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8.xml" ContentType="application/vnd.openxmlformats-officedocument.spreadsheetml.comments+xml"/>
  <Override PartName="/xl/theme/theme1.xml" ContentType="application/vnd.openxmlformats-officedocument.theme+xml"/>
  <Override PartName="/xl/comments18.xml" ContentType="application/vnd.openxmlformats-officedocument.spreadsheetml.comments+xml"/>
  <Override PartName="/xl/comments20.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19.vml" ContentType="application/vnd.openxmlformats-officedocument.vmlDrawing"/>
  <Override PartName="/xl/drawings/vmlDrawing5.vml" ContentType="application/vnd.openxmlformats-officedocument.vmlDrawing"/>
  <Override PartName="/xl/drawings/vmlDrawing18.vml" ContentType="application/vnd.openxmlformats-officedocument.vmlDrawing"/>
  <Override PartName="/xl/drawings/vmlDrawing4.vml" ContentType="application/vnd.openxmlformats-officedocument.vmlDrawing"/>
  <Override PartName="/xl/drawings/vmlDrawing17.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16.vml" ContentType="application/vnd.openxmlformats-officedocument.vmlDrawing"/>
  <Override PartName="/xl/drawings/_rels/drawing1.xml.rels" ContentType="application/vnd.openxmlformats-package.relationships+xml"/>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drawings/vmlDrawing13.vml" ContentType="application/vnd.openxmlformats-officedocument.vmlDrawing"/>
  <Override PartName="/xl/comments24.xml" ContentType="application/vnd.openxmlformats-officedocument.spreadsheetml.comments+xml"/>
  <Override PartName="/xl/sharedStrings.xml" ContentType="application/vnd.openxmlformats-officedocument.spreadsheetml.sharedStrings+xml"/>
  <Override PartName="/xl/_rels/workbook.xml.rels" ContentType="application/vnd.openxmlformats-package.relationships+xml"/>
  <Override PartName="/xl/comments27.xml" ContentType="application/vnd.openxmlformats-officedocument.spreadsheetml.comments+xml"/>
  <Override PartName="/xl/comments3.xml" ContentType="application/vnd.openxmlformats-officedocument.spreadsheetml.comments+xml"/>
  <Override PartName="/xl/comments22.xml" ContentType="application/vnd.openxmlformats-officedocument.spreadsheetml.comments+xml"/>
  <Override PartName="/xl/comments14.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xl/comments21.xml" ContentType="application/vnd.openxmlformats-officedocument.spreadsheetml.comments+xml"/>
  <Override PartName="/xl/worksheets/_rels/sheet1.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24.xml.rels" ContentType="application/vnd.openxmlformats-package.relationships+xml"/>
  <Override PartName="/xl/worksheets/_rels/sheet6.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9.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Changes" sheetId="2" state="visible" r:id="rId4"/>
    <sheet name="Levers" sheetId="3" state="visible" r:id="rId5"/>
    <sheet name="Events" sheetId="4" state="visible" r:id="rId6"/>
    <sheet name="Paths" sheetId="5" state="visible" r:id="rId7"/>
    <sheet name="People" sheetId="6" state="visible" r:id="rId8"/>
    <sheet name="Economy" sheetId="7" state="visible" r:id="rId9"/>
    <sheet name="Resources" sheetId="8" state="visible" r:id="rId10"/>
    <sheet name="Budget" sheetId="9" state="visible" r:id="rId11"/>
    <sheet name="Land Fund" sheetId="10" state="visible" r:id="rId12"/>
    <sheet name="Debt &amp; cash" sheetId="11" state="visible" r:id="rId13"/>
    <sheet name="Loans" sheetId="12" state="visible" r:id="rId14"/>
    <sheet name="Gold &amp; money" sheetId="13" state="visible" r:id="rId15"/>
    <sheet name="Abroad" sheetId="14" state="visible" r:id="rId16"/>
    <sheet name="Champions" sheetId="15" state="visible" r:id="rId17"/>
    <sheet name="Labour" sheetId="16" state="visible" r:id="rId18"/>
    <sheet name="Navy plan" sheetId="17" state="visible" r:id="rId19"/>
    <sheet name="Navy" sheetId="18" state="visible" r:id="rId20"/>
    <sheet name="Japan" sheetId="19" state="visible" r:id="rId21"/>
    <sheet name="Siberia" sheetId="20" state="visible" r:id="rId22"/>
    <sheet name="Partners" sheetId="21" state="visible" r:id="rId23"/>
    <sheet name="Gulf" sheetId="22" state="visible" r:id="rId24"/>
    <sheet name="World" sheetId="23" state="visible" r:id="rId25"/>
    <sheet name="Checks" sheetId="24" state="visible" r:id="rId26"/>
    <sheet name="Japan rescue" sheetId="25" state="visible" r:id="rId27"/>
    <sheet name="Sources &amp; uses" sheetId="26" state="visible" r:id="rId28"/>
    <sheet name="War credit" sheetId="27" state="visible" r:id="rId29"/>
    <sheet name="Japan expansion" sheetId="28" state="visible" r:id="rId30"/>
    <sheet name="Capital accounts" sheetId="29" state="visible" r:id="rId31"/>
    <sheet name="Champion funding" sheetId="30" state="visible" r:id="rId32"/>
    <sheet name="Entente subscribers" sheetId="31" state="visible" r:id="rId33"/>
  </sheets>
  <definedNames>
    <definedName function="false" hidden="false" name="abroad_loss" vbProcedure="false">Levers!$E$78</definedName>
    <definedName function="false" hidden="false" name="abroad_repat" vbProcedure="false">Levers!$E$77</definedName>
    <definedName function="false" hidden="false" name="abroad_return" vbProcedure="false">Levers!$E$76</definedName>
    <definedName function="false" hidden="false" name="abroad_slump" vbProcedure="false">Levers!$E$79</definedName>
    <definedName function="false" hidden="false" name="abroad_tax" vbProcedure="false">Levers!$E$80</definedName>
    <definedName function="false" hidden="false" name="army_cost" vbProcedure="false">Levers!$E$24</definedName>
    <definedName function="false" hidden="false" name="asia_coupon" vbProcedure="false">Levers!$E$43</definedName>
    <definedName function="false" hidden="false" name="asia_repay" vbProcedure="false">Levers!$E$44</definedName>
    <definedName function="false" hidden="false" name="assist_cost" vbProcedure="false">Levers!$E$14</definedName>
    <definedName function="false" hidden="false" name="balt_ops" vbProcedure="false">Levers!$E$322</definedName>
    <definedName function="false" hidden="false" name="bank_recap" vbProcedure="false">Levers!$E$54</definedName>
    <definedName function="false" hidden="false" name="bd_growth" vbProcedure="false">Levers!$E$143</definedName>
    <definedName function="false" hidden="false" name="bd_keep" vbProcedure="false">Levers!$E$155</definedName>
    <definedName function="false" hidden="false" name="canal_opcost" vbProcedure="false">Levers!$E$21</definedName>
    <definedName function="false" hidden="false" name="canal_share" vbProcedure="false">Levers!$E$20</definedName>
    <definedName function="false" hidden="false" name="cap_debt" vbProcedure="false">Levers!$E$187</definedName>
    <definedName function="false" hidden="false" name="cap_def" vbProcedure="false">Levers!$E$185</definedName>
    <definedName function="false" hidden="false" name="cap_int" vbProcedure="false">Levers!$E$186</definedName>
    <definedName function="false" hidden="false" name="case_sel" vbProcedure="false">Levers!$E$4</definedName>
    <definedName function="false" hidden="false" name="cash_target" vbProcedure="false">Levers!$E$34</definedName>
    <definedName function="false" hidden="false" name="cb_buy" vbProcedure="false">Levers!$E$55</definedName>
    <definedName function="false" hidden="false" name="chain_rate" vbProcedure="false">Levers!$E$118</definedName>
    <definedName function="false" hidden="false" name="champ_prem" vbProcedure="false">Levers!$E$91</definedName>
    <definedName function="false" hidden="false" name="champ_profit" vbProcedure="false">Levers!$E$104</definedName>
    <definedName function="false" hidden="false" name="champ_scale" vbProcedure="false">Levers!$E$90</definedName>
    <definedName function="false" hidden="false" name="champ_spill" vbProcedure="false">Levers!$E$92</definedName>
    <definedName function="false" hidden="false" name="chem_va" vbProcedure="false">Levers!$E$93</definedName>
    <definedName function="false" hidden="false" name="compact_cut" vbProcedure="false">Levers!$E$70</definedName>
    <definedName function="false" hidden="false" name="compact_price" vbProcedure="false">Levers!$E$69</definedName>
    <definedName function="false" hidden="false" name="compact_year" vbProcedure="false">Levers!$E$71</definedName>
    <definedName function="false" hidden="false" name="conc_gold" vbProcedure="false">Levers!$E$58</definedName>
    <definedName function="false" hidden="false" name="cont_coupon" vbProcedure="false">Levers!$E$41</definedName>
    <definedName function="false" hidden="false" name="cont_repay" vbProcedure="false">Levers!$E$42</definedName>
    <definedName function="false" hidden="false" name="conv_beta" vbProcedure="false">Levers!$E$147</definedName>
    <definedName function="false" hidden="false" name="conv_cap" vbProcedure="false">Levers!$E$148</definedName>
    <definedName function="false" hidden="false" name="conv_esc" vbProcedure="false">Levers!$E$319</definedName>
    <definedName function="false" hidden="false" name="conv_mun" vbProcedure="false">Levers!$E$316</definedName>
    <definedName function="false" hidden="false" name="conv_n19" vbProcedure="false">Levers!$E$313</definedName>
    <definedName function="false" hidden="false" name="conv_n20" vbProcedure="false">Levers!$E$314</definedName>
    <definedName function="false" hidden="false" name="conv_t" vbProcedure="false">Levers!$E$315</definedName>
    <definedName function="false" hidden="false" name="conv_vfuel" vbProcedure="false">Levers!$E$318</definedName>
    <definedName function="false" hidden="false" name="conv_vmun" vbProcedure="false">Levers!$E$317</definedName>
    <definedName function="false" hidden="false" name="cossack_men" vbProcedure="false">Levers!$E$329</definedName>
    <definedName function="false" hidden="false" name="cossack_pay" vbProcedure="false">Levers!$E$330</definedName>
    <definedName function="false" hidden="false" name="crown_charter" vbProcedure="false">Levers!$E$105</definedName>
    <definedName function="false" hidden="false" name="crown_comp" vbProcedure="false">Levers!$E$106</definedName>
    <definedName function="false" hidden="false" name="crown_payout" vbProcedure="false">Levers!$E$107</definedName>
    <definedName function="false" hidden="false" name="crown_start" vbProcedure="false">Levers!$E$108</definedName>
    <definedName function="false" hidden="false" name="cust_coll" vbProcedure="false">Levers!$E$17</definedName>
    <definedName function="false" hidden="false" name="debt_amort" vbProcedure="false">Levers!$E$36</definedName>
    <definedName function="false" hidden="false" name="debt_floor" vbProcedure="false">Levers!$E$74</definedName>
    <definedName function="false" hidden="false" name="dem01_mult" vbProcedure="false">Levers!$E$277</definedName>
    <definedName function="false" hidden="false" name="dem01_target" vbProcedure="false">Levers!$E$278</definedName>
    <definedName function="false" hidden="false" name="dep_asia" vbProcedure="false">Levers!$E$13</definedName>
    <definedName function="false" hidden="false" name="dep_severity" vbProcedure="false">Levers!$E$12</definedName>
    <definedName function="false" hidden="false" name="dev_bonds" vbProcedure="false">Levers!$E$85</definedName>
    <definedName function="false" hidden="false" name="dev_cap" vbProcedure="false">Levers!$E$87</definedName>
    <definedName function="false" hidden="false" name="dev_dep" vbProcedure="false">Levers!$E$88</definedName>
    <definedName function="false" hidden="false" name="dev_return" vbProcedure="false">Levers!$E$83</definedName>
    <definedName function="false" hidden="false" name="dev_share" vbProcedure="false">Levers!$E$82</definedName>
    <definedName function="false" hidden="false" name="dev_start" vbProcedure="false">Levers!$E$84</definedName>
    <definedName function="false" hidden="false" name="dir_18" vbProcedure="false">Levers!$E$327</definedName>
    <definedName function="false" hidden="false" name="dir_19" vbProcedure="false">Levers!$E$328</definedName>
    <definedName function="false" hidden="false" name="div_assim" vbProcedure="false">Levers!$E$141</definedName>
    <definedName function="false" hidden="false" name="div_comp" vbProcedure="false">Levers!$E$157</definedName>
    <definedName function="false" hidden="false" name="div_max" vbProcedure="false">Levers!$E$139</definedName>
    <definedName function="false" hidden="false" name="div_on" vbProcedure="false">Levers!$E$136</definedName>
    <definedName function="false" hidden="false" name="div_rate" vbProcedure="false">Levers!$E$138</definedName>
    <definedName function="false" hidden="false" name="div_rel" vbProcedure="false">Levers!$E$140</definedName>
    <definedName function="false" hidden="false" name="div_start" vbProcedure="false">Levers!$E$137</definedName>
    <definedName function="false" hidden="false" name="elec_va" vbProcedure="false">Levers!$E$94</definedName>
    <definedName function="false" hidden="false" name="emu_g" vbProcedure="false">Levers!$E$158</definedName>
    <definedName function="false" hidden="false" name="entente_private" vbProcedure="false">Levers!$E$75</definedName>
    <definedName function="false" hidden="false" name="entente_public" vbProcedure="false">Levers!$E$47</definedName>
    <definedName function="false" hidden="false" name="entente_total" vbProcedure="false">Levers!$E$46</definedName>
    <definedName function="false" hidden="false" name="entry_cap" vbProcedure="false">Levers!$E$116</definedName>
    <definedName function="false" hidden="false" name="eu_comp" vbProcedure="false">Levers!$E$156</definedName>
    <definedName function="false" hidden="false" name="ext_gold" vbProcedure="false">Levers!$E$59</definedName>
    <definedName function="false" hidden="false" name="family_mult" vbProcedure="false">Levers!$E$117</definedName>
    <definedName function="false" hidden="false" name="foreign_capacity" vbProcedure="false">Levers!$E$39</definedName>
    <definedName function="false" hidden="false" name="fund_yield" vbProcedure="false">Levers!$E$22</definedName>
    <definedName function="false" hidden="false" name="gap_base" vbProcedure="false">Levers!$E$112</definedName>
    <definedName function="false" hidden="false" name="gold_cover" vbProcedure="false">Levers!$E$61</definedName>
    <definedName function="false" hidden="false" name="gold_retained" vbProcedure="false">Levers!$E$57</definedName>
    <definedName function="false" hidden="false" name="gulf_glut_gdp" vbProcedure="false">Levers!$E$73</definedName>
    <definedName function="false" hidden="false" name="gulf_on" vbProcedure="false">Levers!$E$63</definedName>
    <definedName function="false" hidden="false" name="gulf_wage_dip" vbProcedure="false">Levers!$E$72</definedName>
    <definedName function="false" hidden="false" name="gulf_year" vbProcedure="false">Levers!$E$65</definedName>
    <definedName function="false" hidden="false" name="gulf_years_req" vbProcedure="false">Levers!$E$64</definedName>
    <definedName function="false" hidden="false" name="gw_adj" vbProcedure="false">Levers!$E$169</definedName>
    <definedName function="false" hidden="false" name="gw_admin" vbProcedure="false">Levers!$E$179</definedName>
    <definedName function="false" hidden="false" name="gw_asian" vbProcedure="false">Levers!$E$174</definedName>
    <definedName function="false" hidden="false" name="gw_cap" vbProcedure="false">Levers!$E$168</definedName>
    <definedName function="false" hidden="false" name="gw_conv" vbProcedure="false">Levers!$E$172</definedName>
    <definedName function="false" hidden="false" name="gw_conv_family" vbProcedure="false">Levers!$E$173</definedName>
    <definedName function="false" hidden="false" name="gw_cover" vbProcedure="false">Levers!$E$166</definedName>
    <definedName function="false" hidden="false" name="gw_gen" vbProcedure="false">Levers!$E$167</definedName>
    <definedName function="false" hidden="false" name="gw_levy" vbProcedure="false">Levers!$E$177</definedName>
    <definedName function="false" hidden="false" name="gw_on" vbProcedure="false">Levers!$E$164</definedName>
    <definedName function="false" hidden="false" name="gw_rel" vbProcedure="false">Levers!$E$175</definedName>
    <definedName function="false" hidden="false" name="gw_remit" vbProcedure="false">Levers!$E$178</definedName>
    <definedName function="false" hidden="false" name="gw_slump" vbProcedure="false">Levers!$E$171</definedName>
    <definedName function="false" hidden="false" name="gw_start" vbProcedure="false">Levers!$E$165</definedName>
    <definedName function="false" hidden="false" name="gw_term" vbProcedure="false">Levers!$E$170</definedName>
    <definedName function="false" hidden="false" name="gw_union" vbProcedure="false">Levers!$E$145</definedName>
    <definedName function="false" hidden="false" name="gw_wage_share" vbProcedure="false">Levers!$E$176</definedName>
    <definedName function="false" hidden="false" name="issue_price" vbProcedure="false">Levers!$E$35</definedName>
    <definedName function="false" hidden="false" name="job_family" vbProcedure="false">Levers!$E$128</definedName>
    <definedName function="false" hidden="false" name="job_fill" vbProcedure="false">Levers!$E$126</definedName>
    <definedName function="false" hidden="false" name="job_mult" vbProcedure="false">Levers!$E$125</definedName>
    <definedName function="false" hidden="false" name="job_return" vbProcedure="false">Levers!$E$127</definedName>
    <definedName function="false" hidden="false" name="jp_coupon" vbProcedure="false">Levers!$E$182</definedName>
    <definedName function="false" hidden="false" name="jp_foreign_repay" vbProcedure="false">Levers!$E$183</definedName>
    <definedName function="false" hidden="false" name="jp_uplift" vbProcedure="false">Levers!$E$181</definedName>
    <definedName function="false" hidden="false" name="kazan_gold" vbProcedure="false">Levers!$E$325</definedName>
    <definedName function="false" hidden="false" name="kazan_paid" vbProcedure="false">Levers!$E$326</definedName>
    <definedName function="false" hidden="false" name="lfund_area" vbProcedure="false">Levers!$E$289</definedName>
    <definedName function="false" hidden="false" name="lfund_default" vbProcedure="false">Levers!$E$299</definedName>
    <definedName function="false" hidden="false" name="lfund_farm_scale" vbProcedure="false">Levers!$E$292</definedName>
    <definedName function="false" hidden="false" name="lfund_fee" vbProcedure="false">Levers!$E$305</definedName>
    <definedName function="false" hidden="false" name="lfund_floor" vbProcedure="false">Levers!$E$296</definedName>
    <definedName function="false" hidden="false" name="lfund_grants" vbProcedure="false">Levers!$E$291</definedName>
    <definedName function="false" hidden="false" name="lfund_grant_fee" vbProcedure="false">Levers!$E$301</definedName>
    <definedName function="false" hidden="false" name="lfund_grant_years" vbProcedure="false">Levers!$E$302</definedName>
    <definedName function="false" hidden="false" name="lfund_home" vbProcedure="false">Levers!$E$290</definedName>
    <definedName function="false" hidden="false" name="lfund_inst" vbProcedure="false">Levers!$E$298</definedName>
    <definedName function="false" hidden="false" name="lfund_lead" vbProcedure="false">Levers!$E$293</definedName>
    <definedName function="false" hidden="false" name="lfund_lease_1932" vbProcedure="false">Levers!$E$304</definedName>
    <definedName function="false" hidden="false" name="lfund_on" vbProcedure="false">Levers!$E$287</definedName>
    <definedName function="false" hidden="false" name="lfund_police" vbProcedure="false">Levers!$E$306</definedName>
    <definedName function="false" hidden="false" name="lfund_police_cost" vbProcedure="false">Levers!$E$308</definedName>
    <definedName function="false" hidden="false" name="lfund_police_late" vbProcedure="false">Levers!$E$307</definedName>
    <definedName function="false" hidden="false" name="lfund_price" vbProcedure="false">Levers!$E$294</definedName>
    <definedName function="false" hidden="false" name="lfund_rate" vbProcedure="false">Levers!$E$309</definedName>
    <definedName function="false" hidden="false" name="lfund_rent" vbProcedure="false">Levers!$E$303</definedName>
    <definedName function="false" hidden="false" name="lfund_share" vbProcedure="false">Levers!$E$297</definedName>
    <definedName function="false" hidden="false" name="lfund_start" vbProcedure="false">Levers!$E$288</definedName>
    <definedName function="false" hidden="false" name="lfund_survey" vbProcedure="false">Levers!$E$300</definedName>
    <definedName function="false" hidden="false" name="lfund_term" vbProcedure="false">Levers!$E$295</definedName>
    <definedName function="false" hidden="false" name="lf_rate" vbProcedure="false">Levers!$E$124</definedName>
    <definedName function="false" hidden="false" name="lic_cut" vbProcedure="false">Levers!$E$160</definedName>
    <definedName function="false" hidden="false" name="maint_rate" vbProcedure="false">Levers!$E$27</definedName>
    <definedName function="false" hidden="false" name="mig_endo" vbProcedure="false">Levers!$E$110</definedName>
    <definedName function="false" hidden="false" name="mig_scale" vbProcedure="false">Levers!$E$11</definedName>
    <definedName function="false" hidden="false" name="mining_va" vbProcedure="false">Levers!$E$15</definedName>
    <definedName function="false" hidden="false" name="mkt_cap" vbProcedure="false">Levers!$E$150</definedName>
    <definedName function="false" hidden="false" name="mkt_capacity" vbProcedure="false">Levers!$E$38</definedName>
    <definedName function="false" hidden="false" name="mkt_cut" vbProcedure="false">Levers!$E$159</definedName>
    <definedName function="false" hidden="false" name="mkt_elast" vbProcedure="false">Levers!$E$149</definedName>
    <definedName function="false" hidden="false" name="money_ratio" vbProcedure="false">Levers!$E$60</definedName>
    <definedName function="false" hidden="false" name="navy_overhead" vbProcedure="false">Levers!$E$28</definedName>
    <definedName function="false" hidden="false" name="oil_baku" vbProcedure="false">Levers!$E$339</definedName>
    <definedName function="false" hidden="false" name="oil_book" vbProcedure="false">Levers!$E$97</definedName>
    <definedName function="false" hidden="false" name="oil_compact" vbProcedure="false">Levers!$E$68</definedName>
    <definedName function="false" hidden="false" name="oil_crew" vbProcedure="false">Levers!$E$29</definedName>
    <definedName function="false" hidden="false" name="oil_emba1" vbProcedure="false">Levers!$E$336</definedName>
    <definedName function="false" hidden="false" name="oil_emba2" vbProcedure="false">Levers!$E$337</definedName>
    <definedName function="false" hidden="false" name="oil_fuel" vbProcedure="false">Levers!$E$30</definedName>
    <definedName function="false" hidden="false" name="oil_groz" vbProcedure="false">Levers!$E$338</definedName>
    <definedName function="false" hidden="false" name="okun" vbProcedure="false">Levers!$E$133</definedName>
    <definedName function="false" hidden="false" name="opening_cash" vbProcedure="false">Levers!$E$33</definedName>
    <definedName function="false" hidden="false" name="pac_quota" vbProcedure="false">Levers!$E$31</definedName>
    <definedName function="false" hidden="false" name="pac_u_base" vbProcedure="false">Levers!$E$131</definedName>
    <definedName function="false" hidden="false" name="pac_u_war" vbProcedure="false">Levers!$E$132</definedName>
    <definedName function="false" hidden="false" name="pop_1846" vbProcedure="false">Levers!$E$8</definedName>
    <definedName function="false" hidden="false" name="prod_factor" vbProcedure="false">Levers!$E$10</definedName>
    <definedName function="false" hidden="false" name="real_pc_1846" vbProcedure="false">Levers!$E$9</definedName>
    <definedName function="false" hidden="false" name="reco_pub" vbProcedure="false">Levers!$E$332</definedName>
    <definedName function="false" hidden="false" name="reco_total" vbProcedure="false">Levers!$E$331</definedName>
    <definedName function="false" hidden="false" name="reco_years" vbProcedure="false">Levers!$E$333</definedName>
    <definedName function="false" hidden="false" name="repay_share" vbProcedure="false">Levers!$E$37</definedName>
    <definedName function="false" hidden="false" name="rescue_coupon" vbProcedure="false">Levers!$E$45</definedName>
    <definedName function="false" hidden="false" name="reserve_buffer" vbProcedure="false">Levers!$E$86</definedName>
    <definedName function="false" hidden="false" name="resp_full" vbProcedure="false">Levers!$E$154</definedName>
    <definedName function="false" hidden="false" name="resp_start" vbProcedure="false">Levers!$E$153</definedName>
    <definedName function="false" hidden="false" name="res_cost" vbProcedure="false">Levers!$E$25</definedName>
    <definedName function="false" hidden="false" name="ret_auto" vbProcedure="false">Levers!$E$101</definedName>
    <definedName function="false" hidden="false" name="ret_chem" vbProcedure="false">Levers!$E$102</definedName>
    <definedName function="false" hidden="false" name="ret_elec" vbProcedure="false">Levers!$E$100</definedName>
    <definedName function="false" hidden="false" name="ret_rail" vbProcedure="false">Levers!$E$98</definedName>
    <definedName function="false" hidden="false" name="ret_steel" vbProcedure="false">Levers!$E$103</definedName>
    <definedName function="false" hidden="false" name="ret_tel" vbProcedure="false">Levers!$E$99</definedName>
    <definedName function="false" hidden="false" name="roy_metal" vbProcedure="false">Levers!$E$18</definedName>
    <definedName function="false" hidden="false" name="roy_oil" vbProcedure="false">Levers!$E$19</definedName>
    <definedName function="false" hidden="false" name="roy_rate" vbProcedure="false">Levers!$E$95</definedName>
    <definedName function="false" hidden="false" name="russia_recog" vbProcedure="false">Levers!$E$334</definedName>
    <definedName function="false" hidden="false" name="russia_recog_yr" vbProcedure="false">Levers!$E$335</definedName>
    <definedName function="false" hidden="false" name="russia_writeoff" vbProcedure="false">Levers!$E$48</definedName>
    <definedName function="false" hidden="false" name="sailor_pay" vbProcedure="false">Levers!$E$26</definedName>
    <definedName function="false" hidden="false" name="siberia_cost" vbProcedure="false">Levers!$E$51</definedName>
    <definedName function="false" hidden="false" name="siberia_front" vbProcedure="false">Levers!$E$52</definedName>
    <definedName function="false" hidden="false" name="sib_ammo" vbProcedure="false">Levers!$E$205</definedName>
    <definedName function="false" hidden="false" name="sib_amur" vbProcedure="false">Levers!$E$213</definedName>
    <definedName function="false" hidden="false" name="sib_bread" vbProcedure="false">Levers!$E$230</definedName>
    <definedName function="false" hidden="false" name="sib_callmax" vbProcedure="false">Levers!$E$234</definedName>
    <definedName function="false" hidden="false" name="sib_civ" vbProcedure="false">Levers!$E$200</definedName>
    <definedName function="false" hidden="false" name="sib_civport" vbProcedure="false">Levers!$E$251</definedName>
    <definedName function="false" hidden="false" name="sib_civused" vbProcedure="false">Levers!$E$249</definedName>
    <definedName function="false" hidden="false" name="sib_cn_kg" vbProcedure="false">Levers!$E$229</definedName>
    <definedName function="false" hidden="false" name="sib_cost" vbProcedure="false">Levers!$E$208</definedName>
    <definedName function="false" hidden="false" name="sib_czw" vbProcedure="false">Levers!$E$244</definedName>
    <definedName function="false" hidden="false" name="sib_c_amur" vbProcedure="false">Levers!$E$273</definedName>
    <definedName function="false" hidden="false" name="sib_c_arm" vbProcedure="false">Levers!$E$265</definedName>
    <definedName function="false" hidden="false" name="sib_c_cz" vbProcedure="false">Levers!$E$255</definedName>
    <definedName function="false" hidden="false" name="sib_c_fed" vbProcedure="false">Levers!$E$275</definedName>
    <definedName function="false" hidden="false" name="sib_c_grain" vbProcedure="false">Levers!$E$271</definedName>
    <definedName function="false" hidden="false" name="sib_c_kara" vbProcedure="false">Levers!$E$268</definedName>
    <definedName function="false" hidden="false" name="sib_c_loco" vbProcedure="false">Levers!$E$262</definedName>
    <definedName function="false" hidden="false" name="sib_c_pac" vbProcedure="false">Levers!$E$254</definedName>
    <definedName function="false" hidden="false" name="sib_c_ref" vbProcedure="false">Levers!$E$267</definedName>
    <definedName function="false" hidden="false" name="sib_c_rep" vbProcedure="false">Levers!$E$264</definedName>
    <definedName function="false" hidden="false" name="sib_c_ship" vbProcedure="false">Levers!$E$266</definedName>
    <definedName function="false" hidden="false" name="sib_c_sib" vbProcedure="false">Levers!$E$256</definedName>
    <definedName function="false" hidden="false" name="sib_c_store" vbProcedure="false">Levers!$E$257</definedName>
    <definedName function="false" hidden="false" name="sib_c_tkm" vbProcedure="false">Levers!$E$260</definedName>
    <definedName function="false" hidden="false" name="sib_c_wag" vbProcedure="false">Levers!$E$263</definedName>
    <definedName function="false" hidden="false" name="sib_decup" vbProcedure="false">Levers!$E$272</definedName>
    <definedName function="false" hidden="false" name="sib_dwt" vbProcedure="false">Levers!$E$253</definedName>
    <definedName function="false" hidden="false" name="sib_e2" vbProcedure="false">Levers!$E$238</definedName>
    <definedName function="false" hidden="false" name="sib_e3" vbProcedure="false">Levers!$E$239</definedName>
    <definedName function="false" hidden="false" name="sib_fed" vbProcedure="false">Levers!$E$274</definedName>
    <definedName function="false" hidden="false" name="sib_fuel" vbProcedure="false">Levers!$E$201</definedName>
    <definedName function="false" hidden="false" name="sib_harvest" vbProcedure="false">Levers!$E$206</definedName>
    <definedName function="false" hidden="false" name="sib_helper" vbProcedure="false">Levers!$E$248</definedName>
    <definedName function="false" hidden="false" name="sib_horses" vbProcedure="false">Levers!$E$231</definedName>
    <definedName function="false" hidden="false" name="sib_jp_kg" vbProcedure="false">Levers!$E$228</definedName>
    <definedName function="false" hidden="false" name="sib_kmloco" vbProcedure="false">Levers!$E$209</definedName>
    <definedName function="false" hidden="false" name="sib_L1" vbProcedure="false">Levers!$E$217</definedName>
    <definedName function="false" hidden="false" name="sib_L2" vbProcedure="false">Levers!$E$218</definedName>
    <definedName function="false" hidden="false" name="sib_L3a" vbProcedure="false">Levers!$E$219</definedName>
    <definedName function="false" hidden="false" name="sib_L3b" vbProcedure="false">Levers!$E$220</definedName>
    <definedName function="false" hidden="false" name="sib_L4" vbProcedure="false">Levers!$E$221</definedName>
    <definedName function="false" hidden="false" name="sib_L5" vbProcedure="false">Levers!$E$311</definedName>
    <definedName function="false" hidden="false" name="sib_loco0" vbProcedure="false">Levers!$E$245</definedName>
    <definedName function="false" hidden="false" name="sib_loc_kg" vbProcedure="false">Levers!$E$227</definedName>
    <definedName function="false" hidden="false" name="sib_mtrain" vbProcedure="false">Levers!$E$241</definedName>
    <definedName function="false" hidden="false" name="sib_net1" vbProcedure="false">Levers!$E$222</definedName>
    <definedName function="false" hidden="false" name="sib_net2" vbProcedure="false">Levers!$E$223</definedName>
    <definedName function="false" hidden="false" name="sib_net3a" vbProcedure="false">Levers!$E$224</definedName>
    <definedName function="false" hidden="false" name="sib_net3b" vbProcedure="false">Levers!$E$225</definedName>
    <definedName function="false" hidden="false" name="sib_net4" vbProcedure="false">Levers!$E$226</definedName>
    <definedName function="false" hidden="false" name="sib_net5" vbProcedure="false">Levers!$E$312</definedName>
    <definedName function="false" hidden="false" name="sib_oats" vbProcedure="false">Levers!$E$232</definedName>
    <definedName function="false" hidden="false" name="sib_pacship" vbProcedure="false">Levers!$E$252</definedName>
    <definedName function="false" hidden="false" name="sib_pass" vbProcedure="false">Levers!$E$202</definedName>
    <definedName function="false" hidden="false" name="sib_portwin" vbProcedure="false">Levers!$E$250</definedName>
    <definedName function="false" hidden="false" name="sib_prail" vbProcedure="false">Levers!$E$261</definedName>
    <definedName function="false" hidden="false" name="sib_pst_e" vbProcedure="false">Levers!$E$259</definedName>
    <definedName function="false" hidden="false" name="sib_pst_w" vbProcedure="false">Levers!$E$258</definedName>
    <definedName function="false" hidden="false" name="sib_pw" vbProcedure="false">Levers!$E$237</definedName>
    <definedName function="false" hidden="false" name="sib_relief_kg" vbProcedure="false">Levers!$E$235</definedName>
    <definedName function="false" hidden="false" name="sib_rot" vbProcedure="false">Levers!$E$240</definedName>
    <definedName function="false" hidden="false" name="sib_ships" vbProcedure="false">Levers!$E$212</definedName>
    <definedName function="false" hidden="false" name="sib_sick" vbProcedure="false">Levers!$E$207</definedName>
    <definedName function="false" hidden="false" name="sib_strike" vbProcedure="false">Levers!$E$214</definedName>
    <definedName function="false" hidden="false" name="sib_surge" vbProcedure="false">Levers!$E$269</definedName>
    <definedName function="false" hidden="false" name="sib_surge_d" vbProcedure="false">Levers!$E$270</definedName>
    <definedName function="false" hidden="false" name="sib_surplus" vbProcedure="false">Levers!$E$233</definedName>
    <definedName function="false" hidden="false" name="sib_sw" vbProcedure="false">Levers!$E$236</definedName>
    <definedName function="false" hidden="false" name="sib_term" vbProcedure="false">Levers!$E$243</definedName>
    <definedName function="false" hidden="false" name="sib_util_max" vbProcedure="false">Levers!$E$199</definedName>
    <definedName function="false" hidden="false" name="sib_voy" vbProcedure="false">Levers!$E$211</definedName>
    <definedName function="false" hidden="false" name="sib_wag0" vbProcedure="false">Levers!$E$246</definedName>
    <definedName function="false" hidden="false" name="sib_wagkm" vbProcedure="false">Levers!$E$210</definedName>
    <definedName function="false" hidden="false" name="sib_winter" vbProcedure="false">Levers!$E$204</definedName>
    <definedName function="false" hidden="false" name="sib_wload" vbProcedure="false">Levers!$E$242</definedName>
    <definedName function="false" hidden="false" name="sib_works" vbProcedure="false">Levers!$E$203</definedName>
    <definedName function="false" hidden="false" name="sib_wserv" vbProcedure="false">Levers!$E$247</definedName>
    <definedName function="false" hidden="false" name="skill_base_share" vbProcedure="false">Levers!$E$122</definedName>
    <definedName function="false" hidden="false" name="skill_rel" vbProcedure="false">Levers!$E$119</definedName>
    <definedName function="false" hidden="false" name="skill_ret" vbProcedure="false">Levers!$E$121</definedName>
    <definedName function="false" hidden="false" name="skill_spill" vbProcedure="false">Levers!$E$120</definedName>
    <definedName function="false" hidden="false" name="slump_price" vbProcedure="false">Levers!$E$67</definedName>
    <definedName function="false" hidden="false" name="talent_champ" vbProcedure="false">Levers!$E$123</definedName>
    <definedName function="false" hidden="false" name="talent_cost" vbProcedure="false">Levers!$E$134</definedName>
    <definedName function="false" hidden="false" name="talent_rate_u" vbProcedure="false">Levers!$E$114</definedName>
    <definedName function="false" hidden="false" name="talent_share_a" vbProcedure="false">Levers!$E$162</definedName>
    <definedName function="false" hidden="false" name="talent_share_o" vbProcedure="false">Levers!$E$115</definedName>
    <definedName function="false" hidden="false" name="talent_start" vbProcedure="false">Levers!$E$111</definedName>
    <definedName function="false" hidden="false" name="tariff_cut" vbProcedure="false">Levers!$E$161</definedName>
    <definedName function="false" hidden="false" name="tg_k" vbProcedure="false">Levers!$E$144</definedName>
    <definedName function="false" hidden="false" name="union_disp" vbProcedure="false">Levers!$E$129</definedName>
    <definedName function="false" hidden="false" name="union_nat" vbProcedure="false">Levers!$E$142</definedName>
    <definedName function="false" hidden="false" name="union_reabsorb" vbProcedure="false">Levers!$E$130</definedName>
    <definedName function="false" hidden="false" name="union_rescue" vbProcedure="false">Levers!$E$53</definedName>
    <definedName function="false" hidden="false" name="union_resp" vbProcedure="false">Levers!$E$152</definedName>
    <definedName function="false" hidden="false" name="union_skill_share" vbProcedure="false">Levers!$E$113</definedName>
    <definedName function="false" hidden="false" name="union_vendor" vbProcedure="false">Levers!$E$49</definedName>
    <definedName function="false" hidden="false" name="uw_fee" vbProcedure="false">Levers!$E$96</definedName>
    <definedName function="false" hidden="false" name="ws_cost" vbProcedure="false">Levers!$E$321</definedName>
    <definedName function="false" hidden="false" name="ws_t" vbProcedure="false">Levers!$E$320</definedName>
    <definedName function="false" hidden="false" name="xo_cn1" vbProcedure="false">Levers!$E$281</definedName>
    <definedName function="false" hidden="false" name="xo_cn2" vbProcedure="false">Levers!$E$284</definedName>
    <definedName function="false" hidden="false" name="xo_jp1" vbProcedure="false">Levers!$E$280</definedName>
    <definedName function="false" hidden="false" name="xo_jp2" vbProcedure="false">Levers!$E$283</definedName>
    <definedName function="false" hidden="false" name="xo_ph1" vbProcedure="false">Levers!$E$282</definedName>
    <definedName function="false" hidden="false" name="xo_ph2" vbProcedure="false">Levers!$E$285</definedName>
    <definedName function="false" hidden="false" name="xo_year" vbProcedure="false">Levers!$E$279</definedName>
    <definedName function="false" hidden="false" name="yud_19" vbProcedure="false">Levers!$E$323</definedName>
    <definedName function="false" hidden="false" name="yud_20" vbProcedure="false">Levers!$E$324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Includes about 150,000 Native Californians (author decision 27 Oct 2026; population/README.md decision 2).</t>
        </r>
      </text>
    </comment>
    <comment ref="C111" authorId="0">
      <text>
        <r>
          <rPr>
            <sz val="10"/>
            <rFont val="Arial"/>
            <family val="2"/>
          </rPr>
          <t xml:space="preserve">CR-034 A24 (author, 27-28 Oct 2026): the Polytechnic's recruitment and citizenship with a chair from the 1850s start skilled entry in 1856, not 1880. The places cap (share of residents) ramps it.</t>
        </r>
      </text>
    </comment>
    <comment ref="C237" authorId="0">
      <text>
        <r>
          <rPr>
            <sz val="10"/>
            <rFont val="Arial"/>
            <family val="2"/>
          </rPr>
          <t xml:space="preserve">CR-041: the corps is the only coalition force west of the Yenisei; only part of the railway brigade works east of Irkutsk. Was 0.85 (CR-030).</t>
        </r>
      </text>
    </comment>
    <comment ref="C277" authorId="0">
      <text>
        <r>
          <rPr>
            <sz val="10"/>
            <rFont val="Arial"/>
            <family val="2"/>
          </rPr>
          <t xml:space="preserve">Author decision 27 Oct 2026 (DEM-01, about 1.2m in 1861); population/data/assumptions.toml [dem01]. Counterfactuals: light licences, assisted passage, secure titles (CR-033 A1).</t>
        </r>
      </text>
    </comment>
    <comment ref="C278" authorId="0">
      <text>
        <r>
          <rPr>
            <sz val="10"/>
            <rFont val="Arial"/>
            <family val="2"/>
          </rPr>
          <t xml:space="preserve">war_base_assumptions.md DEM-01; checked within 10% on Checks!AK.</t>
        </r>
      </text>
    </comment>
    <comment ref="C279" authorId="0">
      <text>
        <r>
          <rPr>
            <sz val="10"/>
            <rFont val="Arial"/>
            <family val="2"/>
          </rPr>
          <t xml:space="preserve">Author 27 Oct 2026: Filipino migration mostly after 1914; population/data/assumptions.toml [extra_origin].</t>
        </r>
      </text>
    </comment>
    <comment ref="C280" authorId="0">
      <text>
        <r>
          <rPr>
            <sz val="10"/>
            <rFont val="Arial"/>
            <family val="2"/>
          </rPr>
          <t xml:space="preserve">Author 27 Oct 2026: Japanese predominance (CR-033 A11). Americas &amp; Europe take the remainder.</t>
        </r>
      </text>
    </comment>
    <comment ref="C281" authorId="0">
      <text>
        <r>
          <rPr>
            <sz val="10"/>
            <rFont val="Arial"/>
            <family val="2"/>
          </rPr>
          <t xml:space="preserve">As above.</t>
        </r>
      </text>
    </comment>
    <comment ref="C282" authorId="0">
      <text>
        <r>
          <rPr>
            <sz val="10"/>
            <rFont val="Arial"/>
            <family val="2"/>
          </rPr>
          <t xml:space="preserve">As above.</t>
        </r>
      </text>
    </comment>
    <comment ref="C283" authorId="0">
      <text>
        <r>
          <rPr>
            <sz val="10"/>
            <rFont val="Arial"/>
            <family val="2"/>
          </rPr>
          <t xml:space="preserve">As above.</t>
        </r>
      </text>
    </comment>
    <comment ref="C284" authorId="0">
      <text>
        <r>
          <rPr>
            <sz val="10"/>
            <rFont val="Arial"/>
            <family val="2"/>
          </rPr>
          <t xml:space="preserve">As above.</t>
        </r>
      </text>
    </comment>
    <comment ref="C285" authorId="0">
      <text>
        <r>
          <rPr>
            <sz val="10"/>
            <rFont val="Arial"/>
            <family val="2"/>
          </rPr>
          <t xml:space="preserve">As above.</t>
        </r>
      </text>
    </comment>
    <comment ref="C287" authorId="0">
      <text>
        <r>
          <rPr>
            <sz val="10"/>
            <rFont val="Arial"/>
            <family val="2"/>
          </rPr>
          <t xml:space="preserve">CR-033 A5-A7, A17-A23 (draft).</t>
        </r>
      </text>
    </comment>
    <comment ref="C288" authorId="0">
      <text>
        <r>
          <rPr>
            <sz val="10"/>
            <rFont val="Arial"/>
            <family val="2"/>
          </rPr>
          <t xml:space="preserve">CR-033 A6: treaties of 1851-52.</t>
        </r>
      </text>
    </comment>
    <comment ref="C289" authorId="0">
      <text>
        <r>
          <rPr>
            <sz val="10"/>
            <rFont val="Arial"/>
            <family val="2"/>
          </rPr>
          <t xml:space="preserve">California's land area is about 155,800 sq mi, about 100m acres; the 1850 Treaty of Monterey line is close to it.</t>
        </r>
      </text>
    </comment>
    <comment ref="C290" authorId="0">
      <text>
        <r>
          <rPr>
            <sz val="10"/>
            <rFont val="Arial"/>
            <family val="2"/>
          </rPr>
          <t xml:space="preserve">Our timeline's eighteen treaties of 1851-52 offered 7.4m acres of reservations (Wikipedia, 'California Indian Reservations and Cessions'). Canon boundaries are OPEN (CR-033 A9).</t>
        </r>
      </text>
    </comment>
    <comment ref="C291" authorId="0">
      <text>
        <r>
          <rPr>
            <sz val="10"/>
            <rFont val="Arial"/>
            <family val="2"/>
          </rPr>
          <t xml:space="preserve">Our timeline confirmed 604 of 813 claims under the 1851 Land Act (Wikipedia, 'California Land Act of 1851'); about 8.8m acres is the commonly cited confirmed total, to verify. Not bought: privately owned.</t>
        </r>
      </text>
    </comment>
    <comment ref="C292" authorId="0">
      <text>
        <r>
          <rPr>
            <sz val="10"/>
            <rFont val="Arial"/>
            <family val="2"/>
          </rPr>
          <t xml:space="preserve">Pacifica's extra people go mainly to towns and industry; farm land is limited by what California's land can carry.</t>
        </r>
      </text>
    </comment>
    <comment ref="C293" authorId="0">
      <text>
        <r>
          <rPr>
            <sz val="10"/>
            <rFont val="Arial"/>
            <family val="2"/>
          </rPr>
          <t xml:space="preserve">CR-033 A17: buys district by district, ahead of settlement.</t>
        </r>
      </text>
    </comment>
    <comment ref="C294" authorId="0">
      <text>
        <r>
          <rPr>
            <sz val="10"/>
            <rFont val="Arial"/>
            <family val="2"/>
          </rPr>
          <t xml:space="preserve">OPEN in canon (A9). Order of magnitude of what the US and New Zealand governments paid (cents an acre); the stress case pays 2.5 times as much.</t>
        </r>
      </text>
    </comment>
    <comment ref="C295" authorId="0">
      <text>
        <r>
          <rPr>
            <sz val="10"/>
            <rFont val="Arial"/>
            <family val="2"/>
          </rPr>
          <t xml:space="preserve">CR-033 A17: annuities over a long term; length OPEN.</t>
        </r>
      </text>
    </comment>
    <comment ref="C296" authorId="0">
      <text>
        <r>
          <rPr>
            <sz val="10"/>
            <rFont val="Arial"/>
            <family val="2"/>
          </rPr>
          <t xml:space="preserve">The US minimum price for public land, $1.25 an acre (Land Act of 1820), is the price across the border; from 1862 the Homestead Act gives 160 acres free for five years' farming. Stress case $1.00.</t>
        </r>
      </text>
    </comment>
    <comment ref="C297" authorId="0">
      <text>
        <r>
          <rPr>
            <sz val="10"/>
            <rFont val="Arial"/>
            <family val="2"/>
          </rPr>
          <t xml:space="preserve">Raw, unsurveyed land is worth a fraction of the census average for farms, which includes improvements, buildings and the best rancho land. The better districts go at auction above the floor (A17: the Republic sets the price). Author decision 27 Oct 2026 to tie the price to land values; the share is a model estimate.</t>
        </r>
      </text>
    </comment>
    <comment ref="C298" authorId="0">
      <text>
        <r>
          <rPr>
            <sz val="10"/>
            <rFont val="Arial"/>
            <family val="2"/>
          </rPr>
          <t xml:space="preserve">CR-033 A17: settlers buy on instalments.</t>
        </r>
      </text>
    </comment>
    <comment ref="C299" authorId="0">
      <text>
        <r>
          <rPr>
            <sz val="10"/>
            <rFont val="Arial"/>
            <family val="2"/>
          </rPr>
          <t xml:space="preserve">Model estimate.</t>
        </r>
      </text>
    </comment>
    <comment ref="C300" authorId="0">
      <text>
        <r>
          <rPr>
            <sz val="10"/>
            <rFont val="Arial"/>
            <family val="2"/>
          </rPr>
          <t xml:space="preserve">Rectangular survey under contract, a few cents an acre; to verify against GLO contract rates. Register running costs are covered by fees (A20) and left out.</t>
        </r>
      </text>
    </comment>
    <comment ref="C301" authorId="0">
      <text>
        <r>
          <rPr>
            <sz val="10"/>
            <rFont val="Arial"/>
            <family val="2"/>
          </rPr>
          <t xml:space="preserve">CR-033 A21: a grantee pays for a fast patent in land, which goes to the Land Fund.</t>
        </r>
      </text>
    </comment>
    <comment ref="C302" authorId="0">
      <text>
        <r>
          <rPr>
            <sz val="10"/>
            <rFont val="Arial"/>
            <family val="2"/>
          </rPr>
          <t xml:space="preserve">CR-033 A21: a short deadline; patents within months of survey.</t>
        </r>
      </text>
    </comment>
    <comment ref="C303" authorId="0">
      <text>
        <r>
          <rPr>
            <sz val="10"/>
            <rFont val="Arial"/>
            <family val="2"/>
          </rPr>
          <t xml:space="preserve">CR-033 A23: long leases at low rents.</t>
        </r>
      </text>
    </comment>
    <comment ref="C304" authorId="0">
      <text>
        <r>
          <rPr>
            <sz val="10"/>
            <rFont val="Arial"/>
            <family val="2"/>
          </rPr>
          <t xml:space="preserve">CR-033 A23: land leaves Native hands through leases. Rises evenly from 1860.</t>
        </r>
      </text>
    </comment>
    <comment ref="C305" authorId="0">
      <text>
        <r>
          <rPr>
            <sz val="10"/>
            <rFont val="Arial"/>
            <family val="2"/>
          </rPr>
          <t xml:space="preserve">CR-033 A22: the Republic keeps a fee.</t>
        </r>
      </text>
    </comment>
    <comment ref="C306" authorId="0">
      <text>
        <r>
          <rPr>
            <sz val="10"/>
            <rFont val="Arial"/>
            <family val="2"/>
          </rPr>
          <t xml:space="preserve">CR-033 A7. Canada's North-West Mounted Police was authorised at 300 men in 1873.</t>
        </r>
      </text>
    </comment>
    <comment ref="C307" authorId="0">
      <text>
        <r>
          <rPr>
            <sz val="10"/>
            <rFont val="Arial"/>
            <family val="2"/>
          </rPr>
          <t xml:space="preserve">Model estimate; county police take over after the 1887 Constitution.</t>
        </r>
      </text>
    </comment>
    <comment ref="C308" authorId="0">
      <text>
        <r>
          <rPr>
            <sz val="10"/>
            <rFont val="Arial"/>
            <family val="2"/>
          </rPr>
          <t xml:space="preserve">NWMP expenditure 1877-78 $345,959 (Tilley's budget speech, 3 March 1885) for about 300 men.</t>
        </r>
      </text>
    </comment>
    <comment ref="C309" authorId="0">
      <text>
        <r>
          <rPr>
            <sz val="10"/>
            <rFont val="Arial"/>
            <family val="2"/>
          </rPr>
          <t xml:space="preserve">Model estimate, near the Republic's borrowing cost.</t>
        </r>
      </text>
    </comment>
    <comment ref="C311" authorId="0">
      <text>
        <r>
          <rPr>
            <sz val="10"/>
            <rFont val="Arial"/>
            <family val="2"/>
          </rPr>
          <t xml:space="preserve">Novonikolayevsk-Omsk 627 km and Omsk-Kurgan-Chelyabinsk about 800 km on the original Siberian line. CR-041 puts the Pacifican corps and the Russian armies' depots at the Urals, so the transport test now runs to Chelyabinsk. Beyond it (Samara-Zlatoust line, the Volga) the Russian armies run their own supply.</t>
        </r>
      </text>
    </comment>
    <comment ref="C312" authorId="0">
      <text>
        <r>
          <rPr>
            <sz val="10"/>
            <rFont val="Arial"/>
            <family val="2"/>
          </rPr>
          <t xml:space="preserve">As section 4 (Irkutsk-Ob). Stress: lighter trains on the steppe grades west of Omsk.</t>
        </r>
      </text>
    </comment>
    <comment ref="C313" authorId="0">
      <text>
        <r>
          <rPr>
            <sz val="10"/>
            <rFont val="Arial"/>
            <family val="2"/>
          </rPr>
          <t xml:space="preserve">CR-041 §3.3: from October 1919 one convoy a month, San Francisco-Panama-Gibraltar-Constantinople-Novorossiysk.</t>
        </r>
      </text>
    </comment>
    <comment ref="C314" authorId="0">
      <text>
        <r>
          <rPr>
            <sz val="10"/>
            <rFont val="Arial"/>
            <family val="2"/>
          </rPr>
          <t xml:space="preserve">Moscow falls in March 1920 and Kronstadt in May; the convoys run to mid-1920, then the reconstruction credit takes over. Stress: two more convoys.</t>
        </r>
      </text>
    </comment>
    <comment ref="C315" authorId="0">
      <text>
        <r>
          <rPr>
            <sz val="10"/>
            <rFont val="Arial"/>
            <family val="2"/>
          </rPr>
          <t xml:space="preserve">CR-041 §3.3: six to eight transports, 50,000-60,000 tons: rifles, guns, shell, oil and petrol, lorries.</t>
        </r>
      </text>
    </comment>
    <comment ref="C316" authorId="0">
      <text>
        <r>
          <rPr>
            <sz val="10"/>
            <rFont val="Arial"/>
            <family val="2"/>
          </rPr>
          <t xml:space="preserve">Oil and petrol are bulky and cheap per ton; the rest is the costly cargo.</t>
        </r>
      </text>
    </comment>
    <comment ref="C317" authorId="0">
      <text>
        <r>
          <rPr>
            <sz val="10"/>
            <rFont val="Arial"/>
            <family val="2"/>
          </rPr>
          <t xml:space="preserve">Same unit value as the Siberia sheet's munitions and stores (sib_c_store).</t>
        </r>
      </text>
    </comment>
    <comment ref="C318" authorId="0">
      <text>
        <r>
          <rPr>
            <sz val="10"/>
            <rFont val="Arial"/>
            <family val="2"/>
          </rPr>
          <t xml:space="preserve">Fuel oil and petrol at Gulf and California prices before the war, delivered.</t>
        </r>
      </text>
    </comment>
    <comment ref="C319" authorId="0">
      <text>
        <r>
          <rPr>
            <sz val="10"/>
            <rFont val="Arial"/>
            <family val="2"/>
          </rPr>
          <t xml:space="preserve">Seven transports for a 70-day round trip at sib_c_ship ($0.45m a year), plus one cruiser and two destroyers on deployment.</t>
        </r>
      </text>
    </comment>
    <comment ref="C320" authorId="0">
      <text>
        <r>
          <rPr>
            <sz val="10"/>
            <rFont val="Arial"/>
            <family val="2"/>
          </rPr>
          <t xml:space="preserve">CR-041 §3.3: two sailings a summer to Archangel from 1919; Dvina barges to Kotlas, rail to Glazov; ~20,000 tons.</t>
        </r>
      </text>
    </comment>
    <comment ref="C321" authorId="0">
      <text>
        <r>
          <rPr>
            <sz val="10"/>
            <rFont val="Arial"/>
            <family val="2"/>
          </rPr>
          <t xml:space="preserve">Ocean freight to Archangel, Dvina barges and the Kotlas-Vyatka rail. The cargo itself is counted on the Siberia sheet (it replaces rail tonnage to the Perm wing).</t>
        </r>
      </text>
    </comment>
    <comment ref="C322" authorId="0">
      <text>
        <r>
          <rPr>
            <sz val="10"/>
            <rFont val="Arial"/>
            <family val="2"/>
          </rPr>
          <t xml:space="preserve">CR-041 §3.3: two turbine cruisers, six destroyers, four minesweepers, a seaplane tender, an oiler, a hospital ship, eight motor torpedo boats, two transports and a marine battalion, September 1919 to the return in summer 1920 (4 months in 1919, 7 in 1920). The fleet's ordinary running cost is on Navy.</t>
        </r>
      </text>
    </comment>
    <comment ref="C323" authorId="0">
      <text>
        <r>
          <rPr>
            <sz val="10"/>
            <rFont val="Arial"/>
            <family val="2"/>
          </rPr>
          <t xml:space="preserve">CR-041 §3.3: the squadron lands Yudenich's rifles, shells and forty armoured cars at Reval and Narva; Estonia, paid in Pacifican credit, makes no separate peace. A loan to the Russian government.</t>
        </r>
      </text>
    </comment>
    <comment ref="C324" authorId="0">
      <text>
        <r>
          <rPr>
            <sz val="10"/>
            <rFont val="Arial"/>
            <family val="2"/>
          </rPr>
          <t xml:space="preserve">Petrograd falls by land in March-April 1920.</t>
        </r>
      </text>
    </comment>
    <comment ref="C325" authorId="0">
      <text>
        <r>
          <rPr>
            <sz val="10"/>
            <rFont val="Arial"/>
            <family val="2"/>
          </rPr>
          <t xml:space="preserve">CR-041: some 650 million rubles of the Imperial gold reserve, at $0.515 a ruble; in a Reserve Bank escrow at Chelyabinsk against the Siberian treaty.</t>
        </r>
      </text>
    </comment>
    <comment ref="C326" authorId="0">
      <text>
        <r>
          <rPr>
            <sz val="10"/>
            <rFont val="Arial"/>
            <family val="2"/>
          </rPr>
          <t xml:space="preserve">The Directory builds its army on the Kazan gold (§31). The rest backs its currency and passes to Wrangel's government. Paid 60% in 1919 and 40% in 1920; it offsets the munitions the Siberia sheet charges to Pacifica.</t>
        </r>
      </text>
    </comment>
    <comment ref="C327" authorId="0">
      <text>
        <r>
          <rPr>
            <sz val="10"/>
            <rFont val="Arial"/>
            <family val="2"/>
          </rPr>
          <t xml:space="preserve">CR-041 N3: Pacifican credit conditional on the land law; the paymaster at Samara withholds the second tranche until it is enforced. The Directory inherits it, then Wrangel's government. Amount MODEL.</t>
        </r>
      </text>
    </comment>
    <comment ref="C328" authorId="0">
      <text>
        <r>
          <rPr>
            <sz val="10"/>
            <rFont val="Arial"/>
            <family val="2"/>
          </rPr>
          <t xml:space="preserve">The Directory's ministries are funded only while it sits (N2). Amount MODEL.</t>
        </r>
      </text>
    </comment>
    <comment ref="C329" authorId="0">
      <text>
        <r>
          <rPr>
            <sz val="10"/>
            <rFont val="Arial"/>
            <family val="2"/>
          </rPr>
          <t xml:space="preserve">CR-041 order of battle: 15,000-25,000 mounted, paid in Pacifican gold; bought, not commanded.</t>
        </r>
      </text>
    </comment>
    <comment ref="C330" authorId="0">
      <text>
        <r>
          <rPr>
            <sz val="10"/>
            <rFont val="Arial"/>
            <family val="2"/>
          </rPr>
          <t xml:space="preserve">Between the Siberian subsidy ($100) and the Legion's pay and keep ($600). Seven months in 1918, all of 1919, half of 1920.</t>
        </r>
      </text>
    </comment>
    <comment ref="C331" authorId="0">
      <text>
        <r>
          <rPr>
            <sz val="10"/>
            <rFont val="Arial"/>
            <family val="2"/>
          </rPr>
          <t xml:space="preserve">CR-040 (§32): Pacifica's reconstruction credit reaches Wrangel's government in stages, against results. Size MODEL: about a tenth of Russia's prewar output.</t>
        </r>
      </text>
    </comment>
    <comment ref="C332" authorId="0">
      <text>
        <r>
          <rPr>
            <sz val="10"/>
            <rFont val="Arial"/>
            <family val="2"/>
          </rPr>
          <t xml:space="preserve">The rest is placed by the San Francisco syndicates with savers, as with the Entente credit.</t>
        </r>
      </text>
    </comment>
    <comment ref="C333" authorId="0">
      <text>
        <r>
          <rPr>
            <sz val="10"/>
            <rFont val="Arial"/>
            <family val="2"/>
          </rPr>
          <t xml:space="preserve">1920-1924, against results.</t>
        </r>
      </text>
    </comment>
    <comment ref="C334" authorId="0">
      <text>
        <r>
          <rPr>
            <sz val="10"/>
            <rFont val="Arial"/>
            <family val="2"/>
          </rPr>
          <t xml:space="preserve">CR-040: Wrangel and Krivoshein offer a Russia that will recognise the settlement and pay its debts. Applied to the Treasury's, the savers' and the foreign subscribers' claims alike, and carried on the Entente funding path. The order of service (B7 in the Anglo-Pacifican planning note) is still open; the Russian gold sequestered in San Francisco in February 1918 is part of the settlement.</t>
        </r>
      </text>
    </comment>
    <comment ref="C335" authorId="0">
      <text>
        <r>
          <rPr>
            <sz val="10"/>
            <rFont val="Arial"/>
            <family val="2"/>
          </rPr>
          <t xml:space="preserve">After Harbin (1921) and with the 1922 standing alliance.</t>
        </r>
      </text>
    </comment>
    <comment ref="C336" authorId="0">
      <text>
        <r>
          <rPr>
            <sz val="10"/>
            <rFont val="Arial"/>
            <family val="2"/>
          </rPr>
          <t xml:space="preserve">CR-041 N14: signed with the Western Alash Orda in 1918, kept through the 1921 transfer of Alash to Russia. Dossor and Makat produced about 0.25 Mt a year before the war. Amount MODEL.</t>
        </r>
      </text>
    </comment>
    <comment ref="C337" authorId="0">
      <text>
        <r>
          <rPr>
            <sz val="10"/>
            <rFont val="Arial"/>
            <family val="2"/>
          </rPr>
          <t xml:space="preserve">About 1 Mt a year with Pacifican capital, $3 a ton profit, the Crown's 25% share plus royalty.</t>
        </r>
      </text>
    </comment>
    <comment ref="C338" authorId="0">
      <text>
        <r>
          <rPr>
            <sz val="10"/>
            <rFont val="Arial"/>
            <family val="2"/>
          </rPr>
          <t xml:space="preserve">CR-041 N14: from Wrangel's government against the reconstruction credit. Grozny made about 1.2 Mt a year before the war. Amount MODEL.</t>
        </r>
      </text>
    </comment>
    <comment ref="C339" authorId="0">
      <text>
        <r>
          <rPr>
            <sz val="10"/>
            <rFont val="Arial"/>
            <family val="2"/>
          </rPr>
          <t xml:space="preserve">CR-041 N14: joint Anglo-Pacifican concession with Azerbaijan, Pacifica operating, Britain the strategic say. About 4 Mt a year to the Pacifican side. What London collects in 1927 (B8) is still open and may change this after 1927. Amount MODEL.</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Gold-dollar price level, 1913 = 1.00. Built from the US GDP deflator (Johnston &amp; Williamson, MeasuringWorth) restated on a gold basis for 1862-78, plus a California gold-rush premium of about +60% in 1849 fading out by 1856 (prices in San Francisco ran far above the East). Anchors: 1846: 0.74, 1848: 0.74, 1849: 1.18, 1850: 1.1, 1851: 1.02, 1852: 1.0, 1853: 0.99, 1854: 0.97, 1855: 0.95, 1857: 0.92, 1860: 0.88, 1862: 0.88, 1865: 0.95, 1870: 0.95, 1875: 0.88, 1880: 0.8, 1885: 0.74, 1890: 0.73, 1896: 0.68, 1900: 0.76, 1905: 0.82, 1910: 0.94, 1913: 1.0, 1914: 1.01, 1915: 1.04, 1916: 1.17, 1917: 1.42, 1918: 1.66, 1919: 1.83, 1920: 2.05, 1921: 1.7, 1922: 1.58, 1923: 1.62, 1924: 1.62, 1925: 1.65, 1926: 1.62, 1927: 1.58, 1928: 1.6, 1929: 1.6, 1930: 1.53, 1931: 1.37, 1932: 1.22</t>
        </r>
      </text>
    </comment>
    <comment ref="C5" authorId="0">
      <text>
        <r>
          <rPr>
            <sz val="10"/>
            <rFont val="Arial"/>
            <family val="2"/>
          </rPr>
          <t xml:space="preserve">From 27 Oct 2026: the population model's implied rate (births minus deaths over residents), by age, sex and group with canon health and fertility paths and the Native Hawaiian and Native Californian paths (population/changes.py, column paths_C_model). Iterated with the workbook until stable. MODEL.</t>
        </r>
      </text>
    </comment>
    <comment ref="D5" authorId="0">
      <text>
        <r>
          <rPr>
            <sz val="10"/>
            <rFont val="Arial"/>
            <family val="2"/>
          </rPr>
          <t xml:space="preserve">Residents who join Pacifica with territory: 1856 Hawaii (Confederation); 1862 Northwest, Arizona and New Mexico; 1863 Deseret, Idaho and Montana camps; 1864 Washoe retaken; 1865 Western Slope and SW Wyoming; 1867 Alaska and Baja. Sizes follow the 1860 census and the old model's interior sheet.</t>
        </r>
      </text>
    </comment>
    <comment ref="E5" authorId="0">
      <text>
        <r>
          <rPr>
            <sz val="10"/>
            <rFont val="Arial"/>
            <family val="2"/>
          </rPr>
          <t xml:space="preserve">Gold rush 1848-55; Civil War deserters and Europeans; 1866-72 demobilized engineers and veterans (§13); 1873-87 laid-off Union workers after the Panic of 1873 (§13); from 1888 skilled and sponsored-family entry only (§25).</t>
        </r>
      </text>
    </comment>
    <comment ref="F5" authorId="0">
      <text>
        <r>
          <rPr>
            <sz val="10"/>
            <rFont val="Arial"/>
            <family val="2"/>
          </rPr>
          <t xml:space="preserve">No exclusion act in Pacifica. 1868 treaty family-emigration article (§14); Hakka families lead (§15); the Asian family programme continues after 1888 (§25).</t>
        </r>
      </text>
    </comment>
    <comment ref="G5" authorId="0">
      <text>
        <r>
          <rPr>
            <sz val="10"/>
            <rFont val="Arial"/>
            <family val="2"/>
          </rPr>
          <t xml:space="preserve">Wakamatsu colony 1869 (§15); emigration opens 1885; 1907 compact secures family immigration and civic equality (§26).</t>
        </r>
      </text>
    </comment>
    <comment ref="H5" authorId="0">
      <text>
        <r>
          <rPr>
            <sz val="10"/>
            <rFont val="Arial"/>
            <family val="2"/>
          </rPr>
          <t xml:space="preserve">Reformers and families after 1876, mainly to Arizona and New Mexico; large flows once the insurgency ebbs (§15).</t>
        </r>
      </text>
    </comment>
    <comment ref="I5" authorId="0">
      <text>
        <r>
          <rPr>
            <sz val="10"/>
            <rFont val="Arial"/>
            <family val="2"/>
          </rPr>
          <t xml:space="preserve">Share of arrivals who leave again; high in the gold rush.</t>
        </r>
      </text>
    </comment>
    <comment ref="J5" authorId="0">
      <text>
        <r>
          <rPr>
            <sz val="10"/>
            <rFont val="Arial"/>
            <family val="2"/>
          </rPr>
          <t xml:space="preserve">Assisted passage for women and families from 1852; narrower after the 1888 selective-entry law.</t>
        </r>
      </text>
    </comment>
    <comment ref="K5" authorId="0">
      <text>
        <r>
          <rPr>
            <sz val="10"/>
            <rFont val="Arial"/>
            <family val="2"/>
          </rPr>
          <t xml:space="preserve">Separate crown or protectorate (§15). Not part of core Pacifica's economy or budget.</t>
        </r>
      </text>
    </comment>
    <comment ref="L5" authorId="0">
      <text>
        <r>
          <rPr>
            <sz val="10"/>
            <rFont val="Arial"/>
            <family val="2"/>
          </rPr>
          <t xml:space="preserve">Annual growth of real non-mining output per resident (held until the next anchor). Gold-rush services boom, Civil War, industrial programme, then slower growth after 1913. Stress case multiplies growth from 1896 by the productivity lever. Model estimate.</t>
        </r>
      </text>
    </comment>
    <comment ref="M5" authorId="0">
      <text>
        <r>
          <rPr>
            <sz val="10"/>
            <rFont val="Arial"/>
            <family val="2"/>
          </rPr>
          <t xml:space="preserve">Output relative to trend in slump years: 1857, 1873-77, 1884-85, 1893-96, 1907-08, 1914, 1921-22 and 1930-32. The story case keeps 1932 about 14% below trend (the US fell about 27%), because Pacifica keeps its market open and its central bank acts. Stress case deepens 1930-32.</t>
        </r>
      </text>
    </comment>
    <comment ref="N5" authorId="0">
      <text>
        <r>
          <rPr>
            <sz val="10"/>
            <rFont val="Arial"/>
            <family val="2"/>
          </rPr>
          <t xml:space="preserve">Old model 25-30%; falls as home industry grows.</t>
        </r>
      </text>
    </comment>
    <comment ref="O5" authorId="0">
      <text>
        <r>
          <rPr>
            <sz val="10"/>
            <rFont val="Arial"/>
            <family val="2"/>
          </rPr>
          <t xml:space="preserve">8% under the Republic, 12% from the 1852 constitution (old model).</t>
        </r>
      </text>
    </comment>
    <comment ref="P5" authorId="0">
      <text>
        <r>
          <rPr>
            <sz val="10"/>
            <rFont val="Arial"/>
            <family val="2"/>
          </rPr>
          <t xml:space="preserve">Rises with the 1855 Defense Law, the Civil War (9%), the 1915-20 war levies (10%) and the 1927 common taxes (§33).</t>
        </r>
      </text>
    </comment>
    <comment ref="Q5" authorId="0">
      <text>
        <r>
          <rPr>
            <sz val="10"/>
            <rFont val="Arial"/>
            <family val="2"/>
          </rPr>
          <t xml:space="preserve">Old model: 85%, lower in the slump.</t>
        </r>
      </text>
    </comment>
    <comment ref="R5" authorId="0">
      <text>
        <r>
          <rPr>
            <sz val="10"/>
            <rFont val="Arial"/>
            <family val="2"/>
          </rPr>
          <t xml:space="preserve">Telegraph, cable, power and railway dividends paid to the Treasury. Model estimate.</t>
        </r>
      </text>
    </comment>
    <comment ref="S5" authorId="0">
      <text>
        <r>
          <rPr>
            <sz val="10"/>
            <rFont val="Arial"/>
            <family val="2"/>
          </rPr>
          <t xml:space="preserve">Opens 1901 (canon: about 1900-02). Historical Panama tolls were $27m in 1929.</t>
        </r>
      </text>
    </comment>
    <comment ref="T5" authorId="0">
      <text>
        <r>
          <rPr>
            <sz val="10"/>
            <rFont val="Arial"/>
            <family val="2"/>
          </rPr>
          <t xml:space="preserve">Courts, schools, examinations, statistics, health.</t>
        </r>
      </text>
    </comment>
    <comment ref="U5" authorId="0">
      <text>
        <r>
          <rPr>
            <sz val="10"/>
            <rFont val="Arial"/>
            <family val="2"/>
          </rPr>
          <t xml:space="preserve">Railways, irrigation, ports, power. Raised in 1930-32 to keep skills employed.</t>
        </r>
      </text>
    </comment>
    <comment ref="V5" authorId="0">
      <text>
        <r>
          <rPr>
            <sz val="10"/>
            <rFont val="Arial"/>
            <family val="2"/>
          </rPr>
          <t xml:space="preserve">Polytechnic, institutes, testing stations, state works. The named oil, turbine and electrical programmes are added on top as Events.</t>
        </r>
      </text>
    </comment>
    <comment ref="W5" authorId="0">
      <text>
        <r>
          <rPr>
            <sz val="10"/>
            <rFont val="Arial"/>
            <family val="2"/>
          </rPr>
          <t xml:space="preserve">1861: about 20,000 regulars rising to a wartime peak (§9). Siberian contingent is costed separately in Events.</t>
        </r>
      </text>
    </comment>
    <comment ref="X5" authorId="0">
      <text>
        <r>
          <rPr>
            <sz val="10"/>
            <rFont val="Arial"/>
            <family val="2"/>
          </rPr>
          <t xml:space="preserve">About 90,000 trained reservists in 1861 (§9).</t>
        </r>
      </text>
    </comment>
    <comment ref="Y5" authorId="0">
      <text>
        <r>
          <rPr>
            <sz val="10"/>
            <rFont val="Arial"/>
            <family val="2"/>
          </rPr>
          <t xml:space="preserve">Falls as Pacifica's credit improves after 1895.</t>
        </r>
      </text>
    </comment>
    <comment ref="Z5" authorId="0">
      <text>
        <r>
          <rPr>
            <sz val="10"/>
            <rFont val="Arial"/>
            <family val="2"/>
          </rPr>
          <t xml:space="preserve">1923 funding: Britain's gold-dollar debt over 62 years at reduced interest (§30).</t>
        </r>
      </text>
    </comment>
    <comment ref="AA5" authorId="0">
      <text>
        <r>
          <rPr>
            <sz val="10"/>
            <rFont val="Arial"/>
            <family val="2"/>
          </rPr>
          <t xml:space="preserve">None during the war years; 1/62 a year from 1923; moratorium 1931-32.</t>
        </r>
      </text>
    </comment>
    <comment ref="AB5" authorId="0">
      <text>
        <r>
          <rPr>
            <sz val="10"/>
            <rFont val="Arial"/>
            <family val="2"/>
          </rPr>
          <t xml:space="preserve">Hoover's moratorium on war debts, June 1931 (§34).</t>
        </r>
      </text>
    </comment>
    <comment ref="AC5" authorId="0">
      <text>
        <r>
          <rPr>
            <sz val="10"/>
            <rFont val="Arial"/>
            <family val="2"/>
          </rPr>
          <t xml:space="preserve">Years exempt from the 4% peacetime ceiling: 1861-65, 1870-71, 1914-22.</t>
        </r>
      </text>
    </comment>
    <comment ref="AD5" authorId="0">
      <text>
        <r>
          <rPr>
            <sz val="10"/>
            <rFont val="Arial"/>
            <family val="2"/>
          </rPr>
          <t xml:space="preserve">Central-bank and treasury gold plus coin, rough historical totals. Used only for Pacifica's share.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J5" authorId="0">
      <text>
        <r>
          <rPr>
            <sz val="10"/>
            <rFont val="Arial"/>
            <family val="2"/>
          </rPr>
          <t xml:space="preserve">Skilled migrants, their families, relatives and workers for new jobs (Labour sheet, CR-020 B10).</t>
        </r>
      </text>
    </comment>
    <comment ref="N5" authorId="0">
      <text>
        <r>
          <rPr>
            <sz val="10"/>
            <rFont val="Arial"/>
            <family val="2"/>
          </rPr>
          <t xml:space="preserve">From 27 Oct 2026 N, O and P also take their origin share of the extra arrivals (Labour AL; Levers xo_*). Q and R are folded in and kept at zero, so nothing is counted twice.</t>
        </r>
      </text>
    </comment>
    <comment ref="S5" authorId="0">
      <text>
        <r>
          <rPr>
            <sz val="10"/>
            <rFont val="Arial"/>
            <family val="2"/>
          </rPr>
          <t xml:space="preserve">The pool from which Hapa families grow (§15).</t>
        </r>
      </text>
    </comment>
    <comment ref="Y5" authorId="0">
      <text>
        <r>
          <rPr>
            <sz val="10"/>
            <rFont val="Arial"/>
            <family val="2"/>
          </rPr>
          <t xml:space="preserve">End-of-year values from population/changes.py (outputs/workbook_changes.csv). Memo only: the totals carry these groups through Paths C. MODEL.</t>
        </r>
      </text>
    </comment>
    <comment ref="Z5" authorId="0">
      <text>
        <r>
          <rPr>
            <sz val="10"/>
            <rFont val="Arial"/>
            <family val="2"/>
          </rPr>
          <t xml:space="preserve">End-of-year values from population/changes.py (outputs/workbook_changes.csv). Memo only: the totals carry these groups through Paths C. MODEL.</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Last year's development investment as a share of GDP, times its social return (CR-020 B8).</t>
        </r>
      </text>
    </comment>
    <comment ref="H5" authorId="0">
      <text>
        <r>
          <rPr>
            <sz val="10"/>
            <rFont val="Arial"/>
            <family val="2"/>
          </rPr>
          <t xml:space="preserve">The Paths price level, except that from 1930 Pacifica suffers only part of the US price fall (Levers, CR-020).</t>
        </r>
      </text>
    </comment>
    <comment ref="L5" authorId="0">
      <text>
        <r>
          <rPr>
            <sz val="10"/>
            <rFont val="Arial"/>
            <family val="2"/>
          </rPr>
          <t xml:space="preserve">CR-020 B11: guest workers, at a fraction of the average resident worker's output.</t>
        </r>
      </text>
    </comment>
    <comment ref="M5" authorId="0">
      <text>
        <r>
          <rPr>
            <sz val="10"/>
            <rFont val="Arial"/>
            <family val="2"/>
          </rPr>
          <t xml:space="preserve">CR-020 B9: the industries the Polytechnic seeds, beyond what the trend path already holds (Champions sheet).</t>
        </r>
      </text>
    </comment>
    <comment ref="N5" authorId="0">
      <text>
        <r>
          <rPr>
            <sz val="10"/>
            <rFont val="Arial"/>
            <family val="2"/>
          </rPr>
          <t xml:space="preserve">Zero unless the Gulf switch on Levers is on and the year has come.</t>
        </r>
      </text>
    </comment>
    <comment ref="O5" authorId="0">
      <text>
        <r>
          <rPr>
            <sz val="10"/>
            <rFont val="Arial"/>
            <family val="2"/>
          </rPr>
          <t xml:space="preserve">California, Hawaii, the Northwest, the interior, Alaska and Baja, plus the Gulf once it joins. Excludes the Philippine crown, Formosa and all partners.</t>
        </r>
      </text>
    </comment>
    <comment ref="P5" authorId="0">
      <text>
        <r>
          <rPr>
            <sz val="10"/>
            <rFont val="Arial"/>
            <family val="2"/>
          </rPr>
          <t xml:space="preserve">Everyone present, guest workers included, so their output does not flatter the figure.</t>
        </r>
      </text>
    </comment>
    <comment ref="Q5" authorId="0">
      <text>
        <r>
          <rPr>
            <sz val="10"/>
            <rFont val="Arial"/>
            <family val="2"/>
          </rPr>
          <t xml:space="preserve">Historical US GDP per person, current dollars, gold basis for 1862-78 (MeasuringWorth). Used only as a benchmark: historical California ran at about 1.4x the US average in 1929, the whole West at about 1.25x.</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Historical California output (the spring 1848 find matches the historical timing).</t>
        </r>
      </text>
    </comment>
    <comment ref="C5" authorId="0">
      <text>
        <r>
          <rPr>
            <sz val="10"/>
            <rFont val="Arial"/>
            <family val="2"/>
          </rPr>
          <t xml:space="preserve">Comstock (Washoe retaken 1863-64), Idaho and Montana camps, Utah silver, San Juan mines. Counted only once the territory is Pacifican.</t>
        </r>
      </text>
    </comment>
    <comment ref="D5" authorId="0">
      <text>
        <r>
          <rPr>
            <sz val="10"/>
            <rFont val="Arial"/>
            <family val="2"/>
          </rPr>
          <t xml:space="preserve">Tonopah 1900-01, Goldfield 1902: historical Nevada output, Pacifican in this timeline (CR-021 H).</t>
        </r>
      </text>
    </comment>
    <comment ref="E5" authorId="0">
      <text>
        <r>
          <rPr>
            <sz val="10"/>
            <rFont val="Arial"/>
            <family val="2"/>
          </rPr>
          <t xml:space="preserve">Juneau from 1880, Nome 1899, Fairbanks 1903 (historical Alaska).</t>
        </r>
      </text>
    </comment>
    <comment ref="F5" authorId="0">
      <text>
        <r>
          <rPr>
            <sz val="10"/>
            <rFont val="Arial"/>
            <family val="2"/>
          </rPr>
          <t xml:space="preserve">Butte (Pacific side of the divide), Arizona, Bingham and Nevada copper, plus Hawaiian bauxite later. Historical values, rounded.</t>
        </r>
      </text>
    </comment>
    <comment ref="G5" authorId="0">
      <text>
        <r>
          <rPr>
            <sz val="10"/>
            <rFont val="Arial"/>
            <family val="2"/>
          </rPr>
          <t xml:space="preserve">Unsan and other mines under the Pacifican guarantee; historically an American concession from 1897 (CR-021 H). Not Pacifican GDP.</t>
        </r>
      </text>
    </comment>
    <comment ref="H5" authorId="0">
      <text>
        <r>
          <rPr>
            <sz val="10"/>
            <rFont val="Arial"/>
            <family val="2"/>
          </rPr>
          <t xml:space="preserve">Found 1926-28; worked with free labour and Pacifican dredges, not the Soviet camps of history (CR-021 H). Not Pacifican GDP.</t>
        </r>
      </text>
    </comment>
    <comment ref="I5" authorId="0">
      <text>
        <r>
          <rPr>
            <sz val="10"/>
            <rFont val="Arial"/>
            <family val="2"/>
          </rPr>
          <t xml:space="preserve">Approved oil programme: Pico Canyon 1876; Los Angeles and Kern fields found about 1885-88 instead of 1892 and 1899, so output runs about seven years ahead of history until 1910, then follows history (300m barrels in 1929).</t>
        </r>
      </text>
    </comment>
    <comment ref="J5" authorId="0">
      <text>
        <r>
          <rPr>
            <sz val="10"/>
            <rFont val="Arial"/>
            <family val="2"/>
          </rPr>
          <t xml:space="preserve">California crude at the well, gold dollars.</t>
        </r>
      </text>
    </comment>
    <comment ref="K5" authorId="0">
      <text>
        <r>
          <rPr>
            <sz val="10"/>
            <rFont val="Arial"/>
            <family val="2"/>
          </rPr>
          <t xml:space="preserve">Cut under the oil compact from 1931 (Levers, CR-020).</t>
        </r>
      </text>
    </comment>
    <comment ref="O5" authorId="0">
      <text>
        <r>
          <rPr>
            <sz val="10"/>
            <rFont val="Arial"/>
            <family val="2"/>
          </rPr>
          <t xml:space="preserve">Gross output less fuel, explosives and other bought inputs.</t>
        </r>
      </text>
    </comment>
    <comment ref="P5" authorId="0">
      <text>
        <r>
          <rPr>
            <sz val="10"/>
            <rFont val="Arial"/>
            <family val="2"/>
          </rPr>
          <t xml:space="preserve">5% royalty, 90% collected.</t>
        </r>
      </text>
    </comment>
    <comment ref="R5" authorId="0">
      <text>
        <r>
          <rPr>
            <sz val="10"/>
            <rFont val="Arial"/>
            <family val="2"/>
          </rPr>
          <t xml:space="preserve">Home output times the retained share, plus concession gold sold to the Reserve Bank. Feeds the Gold &amp; money sheet.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From 27 Oct 2026 includes the Land Fund's net cash (Land Fund column O): land sales and fees less annuities, survey, commissioners and police (CR-033 draft). Negative when the policy costs more than it brings in.</t>
        </r>
      </text>
    </comment>
    <comment ref="AC5" authorId="0">
      <text>
        <r>
          <rPr>
            <sz val="10"/>
            <rFont val="Arial"/>
            <family val="2"/>
          </rPr>
          <t xml:space="preserve">Compared with the 4% peacetime ceiling on Checks.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US Census of Agriculture: 1920 bulletin, California (www2.census.gov/library/publications/decennial/1920/bulletins/agriculture/agriculture-ca.pdf) for 1850-1920; 1959 Census of Agriculture, California, Table 1 for 1925-1930. Interpolated log-linearly between censuses; held before 1850 and after 1930.</t>
        </r>
      </text>
    </comment>
    <comment ref="T5" authorId="0">
      <text>
        <r>
          <rPr>
            <sz val="10"/>
            <rFont val="Arial"/>
            <family val="2"/>
          </rPr>
          <t xml:space="preserve">Average value of farm land and buildings per acre, California: 1920 Census of Agriculture bulletin, Table 5 (1850-1920); 1959 Census of Agriculture, California, Table 1 (1925-1930). Interpolated log-linearly between censuses.</t>
        </r>
      </text>
    </comment>
    <comment ref="U5" authorId="0">
      <text>
        <r>
          <rPr>
            <sz val="10"/>
            <rFont val="Arial"/>
            <family val="2"/>
          </rPr>
          <t xml:space="preserve">The larger of the floor (lfund_floor) and lfund_share × the census value per acre. The price is fixed at the sale; instalments follow it.</t>
        </r>
      </text>
    </comment>
    <comment ref="Z21" authorId="0">
      <text>
        <r>
          <rPr>
            <sz val="10"/>
            <rFont val="Arial"/>
            <family val="2"/>
          </rPr>
          <t xml:space="preserve">Claims submitted to the State Comptroller for expeditions against the Indians: $1,293,179.20 (California State Military Museum, 'California and the Indian Wars'). Our-timeline reference only.</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I5" authorId="0">
      <text>
        <r>
          <rPr>
            <sz val="10"/>
            <rFont val="Arial"/>
            <family val="2"/>
          </rPr>
          <t xml:space="preserve">CR-020 B8: the first call on any surplus. Productive public investment that raises output growth the following year (see Economy).</t>
        </r>
      </text>
    </comment>
    <comment ref="J5" authorId="0">
      <text>
        <r>
          <rPr>
            <sz val="10"/>
            <rFont val="Arial"/>
            <family val="2"/>
          </rPr>
          <t xml:space="preserve">The Reserve Fund keeps a crisis buffer; the rest is invested by the Development Fund.</t>
        </r>
      </text>
    </comment>
    <comment ref="N5" authorId="0">
      <text>
        <r>
          <rPr>
            <sz val="10"/>
            <rFont val="Arial"/>
            <family val="2"/>
          </rPr>
          <t xml:space="preserve">Surplus share + reserve above the buffer + development bonds + infrastructure Events marked Investment (cables, harbour works). Drives the growth boost on Economy.</t>
        </r>
      </text>
    </comment>
    <comment ref="O5" authorId="0">
      <text>
        <r>
          <rPr>
            <sz val="10"/>
            <rFont val="Arial"/>
            <family val="2"/>
          </rPr>
          <t xml:space="preserve">Cumulative development investment less wear-out. For reference only.</t>
        </r>
      </text>
    </comment>
    <comment ref="Q5" authorId="0">
      <text>
        <r>
          <rPr>
            <sz val="10"/>
            <rFont val="Arial"/>
            <family val="2"/>
          </rPr>
          <t xml:space="preserve">OPEN-020-06: from 1887 the Treasury keeps bonds in issue up to the standing-debt share of GDP, so the Reserve Bank has securities to work with. The proceeds go into the Reserve Fund.</t>
        </r>
      </text>
    </comment>
    <comment ref="S5" authorId="0">
      <text>
        <r>
          <rPr>
            <sz val="10"/>
            <rFont val="Arial"/>
            <family val="2"/>
          </rPr>
          <t xml:space="preserve">Surpluses not used to repay debt are invested in partner and Union gold bonds. Drawn first when cash runs short. Model mechanism.</t>
        </r>
      </text>
    </comment>
    <comment ref="U5" authorId="0">
      <text>
        <r>
          <rPr>
            <sz val="10"/>
            <rFont val="Arial"/>
            <family val="2"/>
          </rPr>
          <t xml:space="preserve">Negative means the state is a net creditor.</t>
        </r>
      </text>
    </comment>
    <comment ref="Y5" authorId="0">
      <text>
        <r>
          <rPr>
            <sz val="10"/>
            <rFont val="Arial"/>
            <family val="2"/>
          </rPr>
          <t xml:space="preserve">New bonds less those bought by the Reserve Bank.</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Pacifican firms and savers buying factories, refineries, mills and bonds in Japan, China, the Philippines, the Gulf and Siberia (CR-020 B4). Model estimate.</t>
        </r>
      </text>
    </comment>
    <comment ref="G5" authorId="0">
      <text>
        <r>
          <rPr>
            <sz val="10"/>
            <rFont val="Arial"/>
            <family val="2"/>
          </rPr>
          <t xml:space="preserve">Russia's default on its Entente share in 1918; defaults and write-downs in 1931-32.</t>
        </r>
      </text>
    </comment>
    <comment ref="N5" authorId="0">
      <text>
        <r>
          <rPr>
            <sz val="10"/>
            <rFont val="Arial"/>
            <family val="2"/>
          </rPr>
          <t xml:space="preserve">Goes to the Budget sheet.</t>
        </r>
      </text>
    </comment>
    <comment ref="P5" authorId="0">
      <text>
        <r>
          <rPr>
            <sz val="10"/>
            <rFont val="Arial"/>
            <family val="2"/>
          </rPr>
          <t xml:space="preserve">Less what guest workers send home.</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The champions' scale lever, raised by the extra talent the migration loop brings (B10) and by richer markets abroad (B15), less Union tariffs (B13).</t>
        </r>
      </text>
    </comment>
    <comment ref="C5" authorId="0">
      <text>
        <r>
          <rPr>
            <sz val="10"/>
            <rFont val="Arial"/>
            <family val="2"/>
          </rPr>
          <t xml:space="preserve">The Polytechnic system (Berkeley, Pasadena, Honolulu, Seattle and the technical high schools). Model estimate.</t>
        </r>
      </text>
    </comment>
    <comment ref="D5" authorId="0">
      <text>
        <r>
          <rPr>
            <sz val="10"/>
            <rFont val="Arial"/>
            <family val="2"/>
          </rPr>
          <t xml:space="preserve">Chairs, laboratories and citizenship offered to the best of Europe and Asia; the post-1918 exodus from central Europe. Model estimate.</t>
        </r>
      </text>
    </comment>
    <comment ref="F5" authorId="0">
      <text>
        <r>
          <rPr>
            <sz val="10"/>
            <rFont val="Arial"/>
            <family val="2"/>
          </rPr>
          <t xml:space="preserve">The story path times the champions' effective scale: fewer in the stress case, more as talent migrants arrive.</t>
        </r>
      </text>
    </comment>
    <comment ref="H5" authorId="0">
      <text>
        <r>
          <rPr>
            <sz val="10"/>
            <rFont val="Arial"/>
            <family val="2"/>
          </rPr>
          <t xml:space="preserve">US Patent Office grants / population.</t>
        </r>
      </text>
    </comment>
    <comment ref="L5" authorId="0">
      <text>
        <r>
          <rPr>
            <sz val="10"/>
            <rFont val="Arial"/>
            <family val="2"/>
          </rPr>
          <t xml:space="preserve">Spindletop 1901, then Oklahoma and East Texas. Historical Texas, Louisiana and Oklahoma output, rounded.</t>
        </r>
      </text>
    </comment>
    <comment ref="M5" authorId="0">
      <text>
        <r>
          <rPr>
            <sz val="10"/>
            <rFont val="Arial"/>
            <family val="2"/>
          </rPr>
          <t xml:space="preserve">Pacifican capital gets to Spindletop before Pittsburgh and New York; Standard Oil is shut out of the Gulf by its antitrust laws.</t>
        </r>
      </text>
    </comment>
    <comment ref="N5" authorId="0">
      <text>
        <r>
          <rPr>
            <sz val="10"/>
            <rFont val="Arial"/>
            <family val="2"/>
          </rPr>
          <t xml:space="preserve">The 'oil for the lamps of China' trade that Standard Oil built historically, taken by the Pacifican trust from San Francisco.</t>
        </r>
      </text>
    </comment>
    <comment ref="P5" authorId="0">
      <text>
        <r>
          <rPr>
            <sz val="10"/>
            <rFont val="Arial"/>
            <family val="2"/>
          </rPr>
          <t xml:space="preserve">The Gulf part becomes domestic (inside Gulf GDP) once the Gulf joins.</t>
        </r>
      </text>
    </comment>
    <comment ref="R5" authorId="0">
      <text>
        <r>
          <rPr>
            <sz val="10"/>
            <rFont val="Arial"/>
            <family val="2"/>
          </rPr>
          <t xml:space="preserve">Utah and Washington coal, Eagle Mountain and Philippine ore, Pacific hydropower for electric furnaces. The Union made 57 Mt in 1929 historically.</t>
        </r>
      </text>
    </comment>
    <comment ref="U5" authorId="0">
      <text>
        <r>
          <rPr>
            <sz val="10"/>
            <rFont val="Arial"/>
            <family val="2"/>
          </rPr>
          <t xml:space="preserve">The moving assembly line comes from the Polytechnic's production-engineering school in 1911. The world built 6.3m vehicles in 1929.</t>
        </r>
      </text>
    </comment>
    <comment ref="X5" authorId="0">
      <text>
        <r>
          <rPr>
            <sz val="10"/>
            <rFont val="Arial"/>
            <family val="2"/>
          </rPr>
          <t xml:space="preserve">Rough historical world output; the war years reflect munitions.</t>
        </r>
      </text>
    </comment>
    <comment ref="Y5" authorId="0">
      <text>
        <r>
          <rPr>
            <sz val="10"/>
            <rFont val="Arial"/>
            <family val="2"/>
          </rPr>
          <t xml:space="preserve">From Giant Powder's dynamite licence (San Francisco, 1867) to dyes, drugs and plastics.</t>
        </r>
      </text>
    </comment>
    <comment ref="AB5" authorId="0">
      <text>
        <r>
          <rPr>
            <sz val="10"/>
            <rFont val="Arial"/>
            <family val="2"/>
          </rPr>
          <t xml:space="preserve">Less once the Union imposes compulsory licensing (CR-020 B13).</t>
        </r>
      </text>
    </comment>
    <comment ref="AE5" authorId="0">
      <text>
        <r>
          <rPr>
            <sz val="10"/>
            <rFont val="Arial"/>
            <family val="2"/>
          </rPr>
          <t xml:space="preserve">Pacifica, Japan, Korea, China's treaty ports, the Philippines, Siam, the Gulf, Latin America's Pacific coast, Siberia, Persia's oil fields.</t>
        </r>
      </text>
    </comment>
    <comment ref="AG5" authorId="0">
      <text>
        <r>
          <rPr>
            <sz val="10"/>
            <rFont val="Arial"/>
            <family val="2"/>
          </rPr>
          <t xml:space="preserve">Fees on equipment made by others to Pacifican patents.</t>
        </r>
      </text>
    </comment>
    <comment ref="AH5" authorId="0">
      <text>
        <r>
          <rPr>
            <sz val="10"/>
            <rFont val="Arial"/>
            <family val="2"/>
          </rPr>
          <t xml:space="preserve">A Pacifican Western Union, the trans-Pacific cables, Federal Telegraph's arc radio (Palo Alto, 1909) and de Forest's amplifier.</t>
        </r>
      </text>
    </comment>
    <comment ref="AJ5" authorId="0">
      <text>
        <r>
          <rPr>
            <sz val="10"/>
            <rFont val="Arial"/>
            <family val="2"/>
          </rPr>
          <t xml:space="preserve">The trans-Pacific liner conference, the canal route, Yangtze and coastal China.</t>
        </r>
      </text>
    </comment>
    <comment ref="AL5" authorId="0">
      <text>
        <r>
          <rPr>
            <sz val="10"/>
            <rFont val="Arial"/>
            <family val="2"/>
          </rPr>
          <t xml:space="preserve">Japan's war loans of 1904-05, China, Russia, Latin America, the Entente, the 1924 German loan.</t>
        </r>
      </text>
    </comment>
    <comment ref="AN5" authorId="0">
      <text>
        <r>
          <rPr>
            <sz val="10"/>
            <rFont val="Arial"/>
            <family val="2"/>
          </rPr>
          <t xml:space="preserve">Edison's patent trust has no force in Pacifica; sound patents from the electrical programme.</t>
        </r>
      </text>
    </comment>
    <comment ref="AO5" authorId="0">
      <text>
        <r>
          <rPr>
            <sz val="10"/>
            <rFont val="Arial"/>
            <family val="2"/>
          </rPr>
          <t xml:space="preserve">Hawaiian bauxite and hydropower; Douglas, Lockheed and Boeing are Pacifican.</t>
        </r>
      </text>
    </comment>
    <comment ref="AQ5" authorId="0">
      <text>
        <r>
          <rPr>
            <sz val="10"/>
            <rFont val="Arial"/>
            <family val="2"/>
          </rPr>
          <t xml:space="preserve">Only the champions' productivity premium over an average job, plus cluster spillovers: their workers are residents, already counted on Economy (CR-020 B10).</t>
        </r>
      </text>
    </comment>
    <comment ref="AS5" authorId="0">
      <text>
        <r>
          <rPr>
            <sz val="10"/>
            <rFont val="Arial"/>
            <family val="2"/>
          </rPr>
          <t xml:space="preserve">China's trunk lines, Korea, Mexico's west coast, Central America, Peru and Chile, Siam, the Siberian lines after 1921.</t>
        </r>
      </text>
    </comment>
    <comment ref="AT5" authorId="0">
      <text>
        <r>
          <rPr>
            <sz val="10"/>
            <rFont val="Arial"/>
            <family val="2"/>
          </rPr>
          <t xml:space="preserve">Chinese, Siamese and Latin American telegraph concessions; the cables to Asia and Australia.</t>
        </r>
      </text>
    </comment>
    <comment ref="AX5" authorId="0">
      <text>
        <r>
          <rPr>
            <sz val="10"/>
            <rFont val="Arial"/>
            <family val="2"/>
          </rPr>
          <t xml:space="preserve">Philippine and Chilean ore, a share in Hanyang's mills, and from 1901 Carnegie Steel itself: Pacifica Steel, the first billion-dollar company (OPEN-020-13).</t>
        </r>
      </text>
    </comment>
    <comment ref="AZ5" authorId="0">
      <text>
        <r>
          <rPr>
            <sz val="10"/>
            <rFont val="Arial"/>
            <family val="2"/>
          </rPr>
          <t xml:space="preserve">Oil, the yields on the other concessions, and royalties and licence fees. Goes to Abroad.</t>
        </r>
      </text>
    </comment>
    <comment ref="BB5" authorId="0">
      <text>
        <r>
          <rPr>
            <sz val="10"/>
            <rFont val="Arial"/>
            <family val="2"/>
          </rPr>
          <t xml:space="preserve">Oil, rail and port concessions, telegraph and cable, power companies, shipping on the canal route: where the state grants something scarce.</t>
        </r>
      </text>
    </comment>
    <comment ref="BC5" authorId="0">
      <text>
        <r>
          <rPr>
            <sz val="10"/>
            <rFont val="Arial"/>
            <family val="2"/>
          </rPr>
          <t xml:space="preserve">Steel, cars, chemicals, electrical equipment, film, aluminium and aircraft. Banking pays the Crown nothing: the Reserve Bank regulates it instead.</t>
        </r>
      </text>
    </comment>
    <comment ref="BD5" authorId="0">
      <text>
        <r>
          <rPr>
            <sz val="10"/>
            <rFont val="Arial"/>
            <family val="2"/>
          </rPr>
          <t xml:space="preserve">OPEN-020-10 decided: 25% equity where the state grants a charter or concession, a golden share and 8% in competitive industries licensed Polytechnic patents. Goes to Budget.</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Residents and guest workers together.</t>
        </r>
      </text>
    </comment>
    <comment ref="D5" authorId="0">
      <text>
        <r>
          <rPr>
            <sz val="10"/>
            <rFont val="Arial"/>
            <family val="2"/>
          </rPr>
          <t xml:space="preserve">Value added at home / (output per worker × the champions' productivity premium).</t>
        </r>
      </text>
    </comment>
    <comment ref="I5" authorId="0">
      <text>
        <r>
          <rPr>
            <sz val="10"/>
            <rFont val="Arial"/>
            <family val="2"/>
          </rPr>
          <t xml:space="preserve">Residents' unemployment: a low frictional rate in a labour-short economy (lower again in war years), plus half the shortfall of output below trend (Okun's rule), less the jobs guest workers vacate when their permits are not renewed.</t>
        </r>
      </text>
    </comment>
    <comment ref="J5" authorId="0">
      <text>
        <r>
          <rPr>
            <sz val="10"/>
            <rFont val="Arial"/>
            <family val="2"/>
          </rPr>
          <t xml:space="preserve">A share of the champion-related jobs, plus construction, docks, farms and domestic work; capped by the statutory quota.</t>
        </r>
      </text>
    </comment>
    <comment ref="K5" authorId="0">
      <text>
        <r>
          <rPr>
            <sz val="10"/>
            <rFont val="Arial"/>
            <family val="2"/>
          </rPr>
          <t xml:space="preserve">After six years and a trade test, a permit can become residence; the family follows.</t>
        </r>
      </text>
    </comment>
    <comment ref="L5" authorId="0">
      <text>
        <r>
          <rPr>
            <sz val="10"/>
            <rFont val="Arial"/>
            <family val="2"/>
          </rPr>
          <t xml:space="preserve">Permits adjust toward demand each year. In any slump a share is not renewed, in proportion to how far output falls below trend: the slump is partly exported.</t>
        </r>
      </text>
    </comment>
    <comment ref="M5" authorId="0">
      <text>
        <r>
          <rPr>
            <sz val="10"/>
            <rFont val="Arial"/>
            <family val="2"/>
          </rPr>
          <t xml:space="preserve">New workers plus replacements for those whose contracts end.</t>
        </r>
      </text>
    </comment>
    <comment ref="Q5" authorId="0">
      <text>
        <r>
          <rPr>
            <sz val="10"/>
            <rFont val="Arial"/>
            <family val="2"/>
          </rPr>
          <t xml:space="preserve">Singapore-style: employers pay a levy per permit, so a guest worker costs about as much as a resident. Goes to Budget.</t>
        </r>
      </text>
    </comment>
    <comment ref="R5" authorId="0">
      <text>
        <r>
          <rPr>
            <sz val="10"/>
            <rFont val="Arial"/>
            <family val="2"/>
          </rPr>
          <t xml:space="preserve">Leaves national income (Abroad sheet).</t>
        </r>
      </text>
    </comment>
    <comment ref="S5" authorId="0">
      <text>
        <r>
          <rPr>
            <sz val="10"/>
            <rFont val="Arial"/>
            <family val="2"/>
          </rPr>
          <t xml:space="preserve">CR-020 B13: after Whitney's single term, Roosevelt's 'national efficiency' campaign answers the brain drain from 1903; fully in force by 1910.</t>
        </r>
      </text>
    </comment>
    <comment ref="U5" authorId="0">
      <text>
        <r>
          <rPr>
            <sz val="10"/>
            <rFont val="Arial"/>
            <family val="2"/>
          </rPr>
          <t xml:space="preserve">The People sheet's arrival paths were set when Pacifica led the US by about 1.5 times. Only the lead beyond that draws extra people.</t>
        </r>
      </text>
    </comment>
    <comment ref="V5" authorId="0">
      <text>
        <r>
          <rPr>
            <sz val="10"/>
            <rFont val="Arial"/>
            <family val="2"/>
          </rPr>
          <t xml:space="preserve">The World sheet's Union, interpolated.</t>
        </r>
      </text>
    </comment>
    <comment ref="W5" authorId="0">
      <text>
        <r>
          <rPr>
            <sz val="10"/>
            <rFont val="Arial"/>
            <family val="2"/>
          </rPr>
          <t xml:space="preserve">Engineers, chemists, doctors, skilled machinists and tradesmen.</t>
        </r>
      </text>
    </comment>
    <comment ref="X5" authorId="0">
      <text>
        <r>
          <rPr>
            <sz val="10"/>
            <rFont val="Arial"/>
            <family val="2"/>
          </rPr>
          <t xml:space="preserve">Rough: about a tenth of the great European emigration, and the 1919-25 exodus from central Europe.</t>
        </r>
      </text>
    </comment>
    <comment ref="Y5" authorId="0">
      <text>
        <r>
          <rPr>
            <sz val="10"/>
            <rFont val="Arial"/>
            <family val="2"/>
          </rPr>
          <t xml:space="preserve">Cut to a third once the Union responds: its own laboratories and chairs, scholarship bonds, taxing citizens abroad.</t>
        </r>
      </text>
    </comment>
    <comment ref="Z5" authorId="0">
      <text>
        <r>
          <rPr>
            <sz val="10"/>
            <rFont val="Arial"/>
            <family val="2"/>
          </rPr>
          <t xml:space="preserve">The Union, three thousand miles closer to Europe, competes for the same scientists once it responds.</t>
        </r>
      </text>
    </comment>
    <comment ref="AA5" authorId="0">
      <text>
        <r>
          <rPr>
            <sz val="10"/>
            <rFont val="Arial"/>
            <family val="2"/>
          </rPr>
          <t xml:space="preserve">Japanese and Chinese graduates (the Boxer indemnity scholarships), Koreans, Filipinos, Indians. Rough.</t>
        </r>
      </text>
    </comment>
    <comment ref="AB5" authorId="0">
      <text>
        <r>
          <rPr>
            <sz val="10"/>
            <rFont val="Arial"/>
            <family val="2"/>
          </rPr>
          <t xml:space="preserve">CR-020 B13: Pacifica answers the Union's competition for Europeans by recruiting in Asia.</t>
        </r>
      </text>
    </comment>
    <comment ref="AC5" authorId="0">
      <text>
        <r>
          <rPr>
            <sz val="10"/>
            <rFont val="Arial"/>
            <family val="2"/>
          </rPr>
          <t xml:space="preserve">The ceiling Pacifica sets: the Polytechnic, chairs, licences and housing it is ready to provide.</t>
        </r>
      </text>
    </comment>
    <comment ref="AI5" authorId="0">
      <text>
        <r>
          <rPr>
            <sz val="10"/>
            <rFont val="Arial"/>
            <family val="2"/>
          </rPr>
          <t xml:space="preserve">Chain migration under the family programmes: brothers, parents, in-laws.</t>
        </r>
      </text>
    </comment>
    <comment ref="AJ5" authorId="0">
      <text>
        <r>
          <rPr>
            <sz val="10"/>
            <rFont val="Arial"/>
            <family val="2"/>
          </rPr>
          <t xml:space="preserve">Last year's new champion-related jobs that natural growth and the baseline arrivals do not fill; in a slump some workers leave.</t>
        </r>
      </text>
    </comment>
    <comment ref="AL5" authorId="0">
      <text>
        <r>
          <rPr>
            <sz val="10"/>
            <rFont val="Arial"/>
            <family val="2"/>
          </rPr>
          <t xml:space="preserve">Goes to the People sheet.</t>
        </r>
      </text>
    </comment>
    <comment ref="AO5" authorId="0">
      <text>
        <r>
          <rPr>
            <sz val="10"/>
            <rFont val="Arial"/>
            <family val="2"/>
          </rPr>
          <t xml:space="preserve">Each talent migrant produces skill_rel times an average worker and raises others' output by skill_spill; less the dilution while diverted immigrants learn the language and trades. Goes to Economy.</t>
        </r>
      </text>
    </comment>
    <comment ref="AP5" authorId="0">
      <text>
        <r>
          <rPr>
            <sz val="10"/>
            <rFont val="Arial"/>
            <family val="2"/>
          </rPr>
          <t xml:space="preserve">Extra skilled workers as a share of Pacifica's own skilled workforce, times an elasticity. Goes to Champions.</t>
        </r>
      </text>
    </comment>
    <comment ref="AQ5" authorId="0">
      <text>
        <r>
          <rPr>
            <sz val="10"/>
            <rFont val="Arial"/>
            <family val="2"/>
          </rPr>
          <t xml:space="preserve">Historical Statistics of the US, series C89. Most of it went to the states the Union holds.</t>
        </r>
      </text>
    </comment>
    <comment ref="AR5" authorId="0">
      <text>
        <r>
          <rPr>
            <sz val="10"/>
            <rFont val="Arial"/>
            <family val="2"/>
          </rPr>
          <t xml:space="preserve">Europeans bound for New York or Boston who sail for San Francisco instead, because Pacifica pays more. Goes to the People sheet.</t>
        </r>
      </text>
    </comment>
    <comment ref="AY5" authorId="0">
      <text>
        <r>
          <rPr>
            <sz val="10"/>
            <rFont val="Arial"/>
            <family val="2"/>
          </rPr>
          <t xml:space="preserve">Contract workers from the Union's Midwest and Mountain states; their families stay home.</t>
        </r>
      </text>
    </comment>
    <comment ref="AZ5" authorId="0">
      <text>
        <r>
          <rPr>
            <sz val="10"/>
            <rFont val="Arial"/>
            <family val="2"/>
          </rPr>
          <t xml:space="preserve">The Union keeps the richer Northeast and Midwest (World sheet's regional shares).</t>
        </r>
      </text>
    </comment>
    <comment ref="BB5" authorId="0">
      <text>
        <r>
          <rPr>
            <sz val="10"/>
            <rFont val="Arial"/>
            <family val="2"/>
          </rPr>
          <t xml:space="preserve">The firms its emigrants would have founded and the ideas that compound: a growth loss proportional to the share of its skilled workers who have left.</t>
        </r>
      </text>
    </comment>
    <comment ref="BC5" authorId="0">
      <text>
        <r>
          <rPr>
            <sz val="10"/>
            <rFont val="Arial"/>
            <family val="2"/>
          </rPr>
          <t xml:space="preserve">Lost Pacific markets, shipping, gold and the scale economies that went with them; it grows as Pacifica grows against the Union.</t>
        </r>
      </text>
    </comment>
    <comment ref="BD5" authorId="0">
      <text>
        <r>
          <rPr>
            <sz val="10"/>
            <rFont val="Arial"/>
            <family val="2"/>
          </rPr>
          <t xml:space="preserve">CR-020 B13: a Union central bank after 1895, national laboratories, trusts kept whole as national champions.</t>
        </r>
      </text>
    </comment>
    <comment ref="BG5" authorId="0">
      <text>
        <r>
          <rPr>
            <sz val="10"/>
            <rFont val="Arial"/>
            <family val="2"/>
          </rPr>
          <t xml:space="preserve">Above the average output that leaves with them as people (counted in the population).</t>
        </r>
      </text>
    </comment>
    <comment ref="BH5" authorId="0">
      <text>
        <r>
          <rPr>
            <sz val="10"/>
            <rFont val="Arial"/>
            <family val="2"/>
          </rPr>
          <t xml:space="preserve">The share of the champions' business that Union firms held historically: Gulf and Asian oil, Asian rails and power, car exports, dyes. Less once Union tariffs and licensing bite.</t>
        </r>
      </text>
    </comment>
    <comment ref="BK5" authorId="0">
      <text>
        <r>
          <rPr>
            <sz val="10"/>
            <rFont val="Arial"/>
            <family val="2"/>
          </rPr>
          <t xml:space="preserve">People who are still there × historical output per person × lost productivity × the crash, less the skill premium, business and guest workers that went west. Goes to the World sheet.</t>
        </r>
      </text>
    </comment>
    <comment ref="BO5" authorId="0">
      <text>
        <r>
          <rPr>
            <sz val="10"/>
            <rFont val="Arial"/>
            <family val="2"/>
          </rPr>
          <t xml:space="preserve">Lebergott.</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Ericsson turret ships from 1862 (Columbia), more for the 1870 Gulf war. (Canon)</t>
        </r>
      </text>
    </comment>
    <comment ref="C5" authorId="0">
      <text>
        <r>
          <rPr>
            <sz val="10"/>
            <rFont val="Arial"/>
            <family val="2"/>
          </rPr>
          <t xml:space="preserve">Wooden and iron steam cruisers for the ocean road, Manila and Vladivostok. (Canon)</t>
        </r>
      </text>
    </comment>
    <comment ref="D5" authorId="0">
      <text>
        <r>
          <rPr>
            <sz val="10"/>
            <rFont val="Arial"/>
            <family val="2"/>
          </rPr>
          <t xml:space="preserve">Oil-fired light craft in the 1880s (oil programme from 1876). (Approved)</t>
        </r>
      </text>
    </comment>
    <comment ref="E5" authorId="0">
      <text>
        <r>
          <rPr>
            <sz val="10"/>
            <rFont val="Arial"/>
            <family val="2"/>
          </rPr>
          <t xml:space="preserve">Water-tube boilers burning oil, early 1890s. (Approved)</t>
        </r>
      </text>
    </comment>
    <comment ref="F5" authorId="0">
      <text>
        <r>
          <rPr>
            <sz val="10"/>
            <rFont val="Arial"/>
            <family val="2"/>
          </rPr>
          <t xml:space="preserve">Turbine programme from 1885: destroyers 1893-95. (Approved)</t>
        </r>
      </text>
    </comment>
    <comment ref="G5" authorId="0">
      <text>
        <r>
          <rPr>
            <sz val="10"/>
            <rFont val="Arial"/>
            <family val="2"/>
          </rPr>
          <t xml:space="preserve">Turbine cruisers by 1898. (Approved)</t>
        </r>
      </text>
    </comment>
    <comment ref="H5" authorId="0">
      <text>
        <r>
          <rPr>
            <sz val="10"/>
            <rFont val="Arial"/>
            <family val="2"/>
          </rPr>
          <t xml:space="preserve">All-big-gun turbine ships from 1903, three years before HMS Dreadnought. (Proposed)</t>
        </r>
      </text>
    </comment>
    <comment ref="I5" authorId="0">
      <text>
        <r>
          <rPr>
            <sz val="10"/>
            <rFont val="Arial"/>
            <family val="2"/>
          </rPr>
          <t xml:space="preserve">Coastal and fleet submarines from 1900. (Proposed)</t>
        </r>
      </text>
    </comment>
    <comment ref="J5" authorId="0">
      <text>
        <r>
          <rPr>
            <sz val="10"/>
            <rFont val="Arial"/>
            <family val="2"/>
          </rPr>
          <t xml:space="preserve">Naval aviation in the 1920s; first carrier converted 1922. (Proposed)</t>
        </r>
      </text>
    </comment>
    <comment ref="K5" authorId="0">
      <text>
        <r>
          <rPr>
            <sz val="10"/>
            <rFont val="Arial"/>
            <family val="2"/>
          </rPr>
          <t xml:space="preserve">Anchors: 1855: $0.8m, 1862: $1.0m, 1870: $1.2m, 1880: $1.3m, 1890: $1.3m</t>
        </r>
      </text>
    </comment>
    <comment ref="L5" authorId="0">
      <text>
        <r>
          <rPr>
            <sz val="10"/>
            <rFont val="Arial"/>
            <family val="2"/>
          </rPr>
          <t xml:space="preserve">Anchors: 1850: $0.4m, 1860: $0.5m, 1870: $0.8m, 1880: $1.0m, 1890: $1.0m</t>
        </r>
      </text>
    </comment>
    <comment ref="M5" authorId="0">
      <text>
        <r>
          <rPr>
            <sz val="10"/>
            <rFont val="Arial"/>
            <family val="2"/>
          </rPr>
          <t xml:space="preserve">Anchors: 1880: $0.07m, 1890: $0.08m, 1900: $0.08m</t>
        </r>
      </text>
    </comment>
    <comment ref="N5" authorId="0">
      <text>
        <r>
          <rPr>
            <sz val="10"/>
            <rFont val="Arial"/>
            <family val="2"/>
          </rPr>
          <t xml:space="preserve">Anchors: 1888: $1.6m, 1890: $1.8m, 1900: $1.9m, 1913: $2.4m, 1920: $4.5m, 1932: $3.5m</t>
        </r>
      </text>
    </comment>
    <comment ref="O5" authorId="0">
      <text>
        <r>
          <rPr>
            <sz val="10"/>
            <rFont val="Arial"/>
            <family val="2"/>
          </rPr>
          <t xml:space="preserve">Anchors: 1893: $0.3m, 1900: $0.35m, 1905: $0.45m, 1910: $0.65m, 1913: $0.85m, 1917: $1.6m, 1920: $2.0m, 1925: $1.8m, 1932: $1.6m</t>
        </r>
      </text>
    </comment>
    <comment ref="P5" authorId="0">
      <text>
        <r>
          <rPr>
            <sz val="10"/>
            <rFont val="Arial"/>
            <family val="2"/>
          </rPr>
          <t xml:space="preserve">Anchors: 1897: $2.5m, 1905: $3.5m, 1913: $5.0m, 1918: $9.0m, 1925: $10.0m, 1932: $9.0m</t>
        </r>
      </text>
    </comment>
    <comment ref="Q5" authorId="0">
      <text>
        <r>
          <rPr>
            <sz val="10"/>
            <rFont val="Arial"/>
            <family val="2"/>
          </rPr>
          <t xml:space="preserve">Anchors: 1902: $6.0m, 1906: $8.0m, 1910: $11.0m, 1913: $14.0m, 1917: $20.0m, 1920: $30.0m, 1925: $28.0m, 1932: $25.0m</t>
        </r>
      </text>
    </comment>
    <comment ref="R5" authorId="0">
      <text>
        <r>
          <rPr>
            <sz val="10"/>
            <rFont val="Arial"/>
            <family val="2"/>
          </rPr>
          <t xml:space="preserve">Anchors: 1899: $0.2m, 1910: $0.4m, 1917: $1.2m, 1925: $1.5m, 1932: $1.4m</t>
        </r>
      </text>
    </comment>
    <comment ref="S5" authorId="0">
      <text>
        <r>
          <rPr>
            <sz val="10"/>
            <rFont val="Arial"/>
            <family val="2"/>
          </rPr>
          <t xml:space="preserve">Anchors: 1921: $15.0m, 1925: $22.0m, 1928: $25.0m, 1932: $25.0m</t>
        </r>
      </text>
    </comment>
    <comment ref="T5" authorId="0">
      <text>
        <r>
          <rPr>
            <sz val="10"/>
            <rFont val="Arial"/>
            <family val="2"/>
          </rPr>
          <t xml:space="preserve">Japanese dreadnought-type ships, partly to Pacifican designs.</t>
        </r>
      </text>
    </comment>
    <comment ref="U5" authorId="0">
      <text>
        <r>
          <rPr>
            <sz val="10"/>
            <rFont val="Arial"/>
            <family val="2"/>
          </rPr>
          <t xml:space="preserve">Dreadnought-type battleships and battlecruisers (historical to 1918). The 1919 limits bring Britain to parity with Pacifica + Japan by 1922: its 12-inch ships are scrapped or hulked in 1920-22, as under the real 1922 Washington treaty (§30).</t>
        </r>
      </text>
    </comment>
    <comment ref="V5" authorId="0">
      <text>
        <r>
          <rPr>
            <sz val="10"/>
            <rFont val="Arial"/>
            <family val="2"/>
          </rPr>
          <t xml:space="preserve">Outside the 1919 limits until 1932. Smaller than the historical US Navy: Wilson's neutrality and the Coolidge-era lending boom put money into banks, not battleships. Proposed.</t>
        </r>
      </text>
    </comment>
    <comment ref="W5" authorId="0">
      <text>
        <r>
          <rPr>
            <sz val="10"/>
            <rFont val="Arial"/>
            <family val="2"/>
          </rPr>
          <t xml:space="preserve">Undefeated Germany is limited below Pacifica + Japan in 1919 (§30), scrapping its oldest ships in 1920-22.</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Last year's fleet + ships completed − ships reaching the end of a 120-year service life.</t>
        </r>
      </text>
    </comment>
    <comment ref="C5" authorId="0">
      <text>
        <r>
          <rPr>
            <sz val="10"/>
            <rFont val="Arial"/>
            <family val="2"/>
          </rPr>
          <t xml:space="preserve">Last year's fleet + ships completed − ships reaching the end of a 250-year service life.</t>
        </r>
      </text>
    </comment>
    <comment ref="D5" authorId="0">
      <text>
        <r>
          <rPr>
            <sz val="10"/>
            <rFont val="Arial"/>
            <family val="2"/>
          </rPr>
          <t xml:space="preserve">Last year's fleet + ships completed − ships reaching the end of a 20-year service life.</t>
        </r>
      </text>
    </comment>
    <comment ref="E5" authorId="0">
      <text>
        <r>
          <rPr>
            <sz val="10"/>
            <rFont val="Arial"/>
            <family val="2"/>
          </rPr>
          <t xml:space="preserve">Last year's fleet + ships completed − ships reaching the end of a 280-year service life.</t>
        </r>
      </text>
    </comment>
    <comment ref="F5" authorId="0">
      <text>
        <r>
          <rPr>
            <sz val="10"/>
            <rFont val="Arial"/>
            <family val="2"/>
          </rPr>
          <t xml:space="preserve">Last year's fleet + ships completed − ships reaching the end of a 90-year service life.</t>
        </r>
      </text>
    </comment>
    <comment ref="G5" authorId="0">
      <text>
        <r>
          <rPr>
            <sz val="10"/>
            <rFont val="Arial"/>
            <family val="2"/>
          </rPr>
          <t xml:space="preserve">Last year's fleet + ships completed − ships reaching the end of a 400-year service life.</t>
        </r>
      </text>
    </comment>
    <comment ref="H5" authorId="0">
      <text>
        <r>
          <rPr>
            <sz val="10"/>
            <rFont val="Arial"/>
            <family val="2"/>
          </rPr>
          <t xml:space="preserve">Last year's fleet + ships completed − ships reaching the end of a 1000-year service life.</t>
        </r>
      </text>
    </comment>
    <comment ref="I5" authorId="0">
      <text>
        <r>
          <rPr>
            <sz val="10"/>
            <rFont val="Arial"/>
            <family val="2"/>
          </rPr>
          <t xml:space="preserve">Last year's fleet + ships completed − ships reaching the end of a 30-year service life.</t>
        </r>
      </text>
    </comment>
    <comment ref="J5" authorId="0">
      <text>
        <r>
          <rPr>
            <sz val="10"/>
            <rFont val="Arial"/>
            <family val="2"/>
          </rPr>
          <t xml:space="preserve">Last year's fleet + ships completed − ships reaching the end of a 1500-year service life.</t>
        </r>
      </text>
    </comment>
    <comment ref="L5" authorId="0">
      <text>
        <r>
          <rPr>
            <sz val="10"/>
            <rFont val="Arial"/>
            <family val="2"/>
          </rPr>
          <t xml:space="preserve">Half of each ship's cost is paid in the year before it is completed, half in the year it is completed.</t>
        </r>
      </text>
    </comment>
    <comment ref="Q5" authorId="0">
      <text>
        <r>
          <rPr>
            <sz val="10"/>
            <rFont val="Arial"/>
            <family val="2"/>
          </rPr>
          <t xml:space="preserve">5% a year of each ship's current replacement cost.</t>
        </r>
      </text>
    </comment>
    <comment ref="Y5" authorId="0">
      <text>
        <r>
          <rPr>
            <sz val="10"/>
            <rFont val="Arial"/>
            <family val="2"/>
          </rPr>
          <t xml:space="preserve">Goes to the Budget sheet.</t>
        </r>
      </text>
    </comment>
    <comment ref="Z5" authorId="0">
      <text>
        <r>
          <rPr>
            <sz val="10"/>
            <rFont val="Arial"/>
            <family val="2"/>
          </rPr>
          <t xml:space="preserve">Oil fuel cost in 1913 dollars at $0.60 a barrel. Canon check: a fleet of the 1895 size needs about a million barrels a year.</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Historical Japanese GNP (Ohkawa, LTES) converted to gold dollars: silver yen to 1896, then par $0.4985. Held at par in 1932 because the canon yen is supported through common finance (historically it fell to $0.28).</t>
        </r>
      </text>
    </comment>
    <comment ref="C5" authorId="0">
      <text>
        <r>
          <rPr>
            <sz val="10"/>
            <rFont val="Arial"/>
            <family val="2"/>
          </rPr>
          <t xml:space="preserve">CR-020 B14: from the Partners sheet. Polytechnic branches, the treaty ports' schools, Pacifican capital, standards and markets.</t>
        </r>
      </text>
    </comment>
    <comment ref="I5" authorId="0">
      <text>
        <r>
          <rPr>
            <sz val="10"/>
            <rFont val="Arial"/>
            <family val="2"/>
          </rPr>
          <t xml:space="preserve">Japan's own fleet. From 1927 it joins the common navy, whose cost is shared by quota.</t>
        </r>
      </text>
    </comment>
    <comment ref="K5" authorId="0">
      <text>
        <r>
          <rPr>
            <sz val="10"/>
            <rFont val="Arial"/>
            <family val="2"/>
          </rPr>
          <t xml:space="preserve">1894-95 Korea war; 1898-99 Primorye war on land; 1904-05 Russian war (historical cost about $860m); 1914 Tsingtao; 1918-22 Japan's share of the Siberian coalition (old model). The permanent front from 1923 is added by formula.</t>
        </r>
      </text>
    </comment>
    <comment ref="M5" authorId="0">
      <text>
        <r>
          <rPr>
            <sz val="10"/>
            <rFont val="Arial"/>
            <family val="2"/>
          </rPr>
          <t xml:space="preserve">1923 Kanto earthquake reconstruction (1923-26) and the 1927 bank crisis (Bank of Japan special loans were about $440m).</t>
        </r>
      </text>
    </comment>
    <comment ref="N5" authorId="0">
      <text>
        <r>
          <rPr>
            <sz val="10"/>
            <rFont val="Arial"/>
            <family val="2"/>
          </rPr>
          <t xml:space="preserve">Scaled with Japan's larger economy: more capital in Tokyo to rebuild, larger banks to rescue (CR-020 B14).</t>
        </r>
      </text>
    </comment>
    <comment ref="S5" authorId="0">
      <text>
        <r>
          <rPr>
            <sz val="10"/>
            <rFont val="Arial"/>
            <family val="2"/>
          </rPr>
          <t xml:space="preserve">Syndicated totals. The Pacifican Treasury's own part is in Events (Japan rows).</t>
        </r>
      </text>
    </comment>
    <comment ref="T5" authorId="0">
      <text>
        <r>
          <rPr>
            <sz val="10"/>
            <rFont val="Arial"/>
            <family val="2"/>
          </rPr>
          <t xml:space="preserve">From 1923 scaled with the disasters it pays for.</t>
        </r>
      </text>
    </comment>
    <comment ref="U5" authorId="0">
      <text>
        <r>
          <rPr>
            <sz val="10"/>
            <rFont val="Arial"/>
            <family val="2"/>
          </rPr>
          <t xml:space="preserve">§26: Russia pays an indemnity. Size and schedule are model estimates.</t>
        </r>
      </text>
    </comment>
    <comment ref="V5" authorId="0">
      <text>
        <r>
          <rPr>
            <sz val="10"/>
            <rFont val="Arial"/>
            <family val="2"/>
          </rPr>
          <t xml:space="preserve">1876 commutation bonds for samurai stipends (historical, about ¥174m).</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Quarter of the campaign, then whole years of the standing front.</t>
        </r>
      </text>
    </comment>
    <comment ref="A6" authorId="0">
      <text>
        <r>
          <rPr>
            <sz val="10"/>
            <rFont val="Arial"/>
            <family val="2"/>
          </rPr>
          <t xml:space="preserve">26 May-30 September 1918 (128 days): the Week and the Volga summer in one period.</t>
        </r>
      </text>
    </comment>
    <comment ref="B5" authorId="0">
      <text>
        <r>
          <rPr>
            <sz val="10"/>
            <rFont val="Arial"/>
            <family val="2"/>
          </rPr>
          <t xml:space="preserve">Calendar year of the period.</t>
        </r>
      </text>
    </comment>
    <comment ref="B37" authorId="0">
      <text>
        <r>
          <rPr>
            <sz val="10"/>
            <rFont val="Arial"/>
            <family val="2"/>
          </rPr>
          <t xml:space="preserve">1918-22: everything Pacifica pays for the campaign. From 1923: its quota of the common front budget. Feeds Events E76, E152-E164 and E81.</t>
        </r>
      </text>
    </comment>
    <comment ref="C5" authorId="0">
      <text>
        <r>
          <rPr>
            <sz val="10"/>
            <rFont val="Arial"/>
            <family val="2"/>
          </rPr>
          <t xml:space="preserve">Days in the period.</t>
        </r>
      </text>
    </comment>
    <comment ref="C37" authorId="0">
      <text>
        <r>
          <rPr>
            <sz val="10"/>
            <rFont val="Arial"/>
            <family val="2"/>
          </rPr>
          <t xml:space="preserve">From 1923 only: the common budget of the standing front (contingent, subsidy, stores, railway, flotillas, Kara route, relief).</t>
        </r>
      </text>
    </comment>
    <comment ref="D5" authorId="0">
      <text>
        <r>
          <rPr>
            <sz val="10"/>
            <rFont val="Arial"/>
            <family val="2"/>
          </rPr>
          <t xml:space="preserve">The storyline event that sets the period.</t>
        </r>
      </text>
    </comment>
    <comment ref="D37" authorId="0">
      <text>
        <r>
          <rPr>
            <sz val="10"/>
            <rFont val="Arial"/>
            <family val="2"/>
          </rPr>
          <t xml:space="preserve">From 1923: (1 - quota) × the common budget. Feeds Japan, column L.</t>
        </r>
      </text>
    </comment>
    <comment ref="E5" authorId="0">
      <text>
        <r>
          <rPr>
            <sz val="10"/>
            <rFont val="Arial"/>
            <family val="2"/>
          </rPr>
          <t xml:space="preserve">Share of train paths lost to cold, frozen water and snow (Q1 0.30, Q4 0.15, spring thaw 0.08). Whole years are tested at January conditions.</t>
        </r>
      </text>
    </comment>
    <comment ref="E37" authorId="0">
      <text>
        <r>
          <rPr>
            <sz val="10"/>
            <rFont val="Arial"/>
            <family val="2"/>
          </rPr>
          <t xml:space="preserve">The highest quarterly use in the year (whole years are tested at January conditions).</t>
        </r>
      </text>
    </comment>
    <comment ref="F5" authorId="0">
      <text>
        <r>
          <rPr>
            <sz val="10"/>
            <rFont val="Arial"/>
            <family val="2"/>
          </rPr>
          <t xml:space="preserve">1 when the stress lever for winter severity applies.</t>
        </r>
      </text>
    </comment>
    <comment ref="G5" authorId="0">
      <text>
        <r>
          <rPr>
            <sz val="10"/>
            <rFont val="Arial"/>
            <family val="2"/>
          </rPr>
          <t xml:space="preserve">Share of normal train paths available: 1 - loss × winter severity.</t>
        </r>
      </text>
    </comment>
    <comment ref="G37" authorId="0">
      <text>
        <r>
          <rPr>
            <sz val="10"/>
            <rFont val="Arial"/>
            <family val="2"/>
          </rPr>
          <t xml:space="preserve">Sum of the period problems in the year. Feeds Checks.</t>
        </r>
      </text>
    </comment>
    <comment ref="H5" authorId="0">
      <text>
        <r>
          <rPr>
            <sz val="10"/>
            <rFont val="Arial"/>
            <family val="2"/>
          </rPr>
          <t xml:space="preserve">CR-041: three divisions in May 1918, five by September, seven by 1919 (historically about 70,000). Japan's field divisions hold east of the Yenisei; its line-guard battalions relieve the Legion section by section as far as Omsk, hence a share west of Irkutsk. From 1923 the Transbaikal protectorate's garrison.</t>
        </r>
      </text>
    </comment>
    <comment ref="I5" authorId="0">
      <text>
        <r>
          <rPr>
            <sz val="10"/>
            <rFont val="Arial"/>
            <family val="2"/>
          </rPr>
          <t xml:space="preserve">CR-041: a Chinese brigade of about 6,000 guards the Chinese Eastern Railway; Peking's price is that Chinese soldiers guard it. (The CR-030 schedule had up to 60,000.)</t>
        </r>
      </text>
    </comment>
    <comment ref="I37" authorId="0">
      <text>
        <r>
          <rPr>
            <sz val="10"/>
            <rFont val="Arial"/>
            <family val="2"/>
          </rPr>
          <t xml:space="preserve">Sol's flat estimate: $808m over five years, then $80m a year shared.</t>
        </r>
      </text>
    </comment>
    <comment ref="J5" authorId="0">
      <text>
        <r>
          <rPr>
            <sz val="10"/>
            <rFont val="Arial"/>
            <family val="2"/>
          </rPr>
          <t xml:space="preserve">CR-041: the Siberian Army (5,000 in June 1918, 40,000 by October, 100,000 by spring 1919) and the Directory's army built at Chelyabinsk and Omsk on the Kazan gold (about 120,000 at the front by April 1919), then Kappel's eastern army and the Perm wing. Armed partly from Pacifican stores (sib_pst_w) and given the Pacifican subsidy (sib_c_sib). From 1923 federal Russia's own army: not on this sheet.</t>
        </r>
      </text>
    </comment>
    <comment ref="K5" authorId="0">
      <text>
        <r>
          <rPr>
            <sz val="10"/>
            <rFont val="Arial"/>
            <family val="2"/>
          </rPr>
          <t xml:space="preserve">Czechoslovak Legion, paid and supplied by Pacifica until it leaves by sea in 1920.</t>
        </r>
      </text>
    </comment>
    <comment ref="L5" authorId="0">
      <text>
        <r>
          <rPr>
            <sz val="10"/>
            <rFont val="Arial"/>
            <family val="2"/>
          </rPr>
          <t xml:space="preserve">CR-041: a Pacifican Expeditionary Corps of 50,000 (two infantry divisions, a railway brigade of 8,000, a river-flotilla detachment, two air squadrons), shipped across the Pacific in April-May 1918, the only coalition force west of the Yenisei. From 1923 a railway and guarantee reserve.</t>
        </r>
      </text>
    </comment>
    <comment ref="M5" authorId="0">
      <text>
        <r>
          <rPr>
            <sz val="10"/>
            <rFont val="Arial"/>
            <family val="2"/>
          </rPr>
          <t xml:space="preserve">All coalition troops supplied over the line.</t>
        </r>
      </text>
    </comment>
    <comment ref="N5" authorId="0">
      <text>
        <r>
          <rPr>
            <sz val="10"/>
            <rFont val="Arial"/>
            <family val="2"/>
          </rPr>
          <t xml:space="preserve">Share of Japanese troops beyond Lake Baikal. Kept low in the first winter, before the works.</t>
        </r>
      </text>
    </comment>
    <comment ref="O5" authorId="0">
      <text>
        <r>
          <rPr>
            <sz val="10"/>
            <rFont val="Arial"/>
            <family val="2"/>
          </rPr>
          <t xml:space="preserve">Share of Chinese troops beyond Lake Baikal.</t>
        </r>
      </text>
    </comment>
    <comment ref="P5" authorId="0">
      <text>
        <r>
          <rPr>
            <sz val="10"/>
            <rFont val="Arial"/>
            <family val="2"/>
          </rPr>
          <t xml:space="preserve">Troops between Lake Baikal and the Ob, supplied over all sections.</t>
        </r>
      </text>
    </comment>
    <comment ref="Q5" authorId="0">
      <text>
        <r>
          <rPr>
            <sz val="10"/>
            <rFont val="Arial"/>
            <family val="2"/>
          </rPr>
          <t xml:space="preserve">Troops in Transbaikalia and on the Manchurian line.</t>
        </r>
      </text>
    </comment>
    <comment ref="R5" authorId="0">
      <text>
        <r>
          <rPr>
            <sz val="10"/>
            <rFont val="Arial"/>
            <family val="2"/>
          </rPr>
          <t xml:space="preserve">Share of the western troops in the line or in reserve behind it.</t>
        </r>
      </text>
    </comment>
    <comment ref="S5" authorId="0">
      <text>
        <r>
          <rPr>
            <sz val="10"/>
            <rFont val="Arial"/>
            <family val="2"/>
          </rPr>
          <t xml:space="preserve">Ammunition, fuel, engineer and medical stores, clothing; food and fodder are bought locally.</t>
        </r>
      </text>
    </comment>
    <comment ref="T5" authorId="0">
      <text>
        <r>
          <rPr>
            <sz val="10"/>
            <rFont val="Arial"/>
            <family val="2"/>
          </rPr>
          <t xml:space="preserve">Men west × (front share × front kg × ammunition lever + rest × kg on the lines of communication).</t>
        </r>
      </text>
    </comment>
    <comment ref="U5" authorId="0">
      <text>
        <r>
          <rPr>
            <sz val="10"/>
            <rFont val="Arial"/>
            <family val="2"/>
          </rPr>
          <t xml:space="preserve">Rice and ration items carried from the sea for Japanese troops west of Irkutsk.</t>
        </r>
      </text>
    </comment>
    <comment ref="V5" authorId="0">
      <text>
        <r>
          <rPr>
            <sz val="10"/>
            <rFont val="Arial"/>
            <family val="2"/>
          </rPr>
          <t xml:space="preserve">Wire, cement, timber frames and rails for the Ob position and the Yenisei fallback.</t>
        </r>
      </text>
    </comment>
    <comment ref="W5" authorId="0">
      <text>
        <r>
          <rPr>
            <sz val="10"/>
            <rFont val="Arial"/>
            <family val="2"/>
          </rPr>
          <t xml:space="preserve">Rails, loops, water-tower heaters, bridge girders for the works.</t>
        </r>
      </text>
    </comment>
    <comment ref="X5" authorId="0">
      <text>
        <r>
          <rPr>
            <sz val="10"/>
            <rFont val="Arial"/>
            <family val="2"/>
          </rPr>
          <t xml:space="preserve">Stores passed to the Omsk government fighting west of the Ob.</t>
        </r>
      </text>
    </comment>
    <comment ref="Y5" authorId="0">
      <text>
        <r>
          <rPr>
            <sz val="10"/>
            <rFont val="Arial"/>
            <family val="2"/>
          </rPr>
          <t xml:space="preserve">Summer barge tonnage from Khabarovsk and Harbin up the Amur and Shilka (May-October), transferred to the railway at Sretensk.</t>
        </r>
      </text>
    </comment>
    <comment ref="Z5" authorId="0">
      <text>
        <r>
          <rPr>
            <sz val="10"/>
            <rFont val="Arial"/>
            <family val="2"/>
          </rPr>
          <t xml:space="preserve">Plan × Amur lever (the stress case is a dry year with half the tonnage).</t>
        </r>
      </text>
    </comment>
    <comment ref="AA5" authorId="0">
      <text>
        <r>
          <rPr>
            <sz val="10"/>
            <rFont val="Arial"/>
            <family val="2"/>
          </rPr>
          <t xml:space="preserve">Stores landed at the Yenisei and Ob mouths in the August-September season and taken upriver.</t>
        </r>
      </text>
    </comment>
    <comment ref="AB5" authorId="0">
      <text>
        <r>
          <rPr>
            <sz val="10"/>
            <rFont val="Arial"/>
            <family val="2"/>
          </rPr>
          <t xml:space="preserve">Summer stocking and winter drawing of the depots behind the Ob, sized to a dry Amur year. Whole years: river landings replace rail tonnage.</t>
        </r>
      </text>
    </comment>
    <comment ref="AC5" authorId="0">
      <text>
        <r>
          <rPr>
            <sz val="10"/>
            <rFont val="Arial"/>
            <family val="2"/>
          </rPr>
          <t xml:space="preserve">People fed from the relief grain of the land-and-grain guarantee.</t>
        </r>
      </text>
    </comment>
    <comment ref="AD5" authorId="0">
      <text>
        <r>
          <rPr>
            <sz val="10"/>
            <rFont val="Arial"/>
            <family val="2"/>
          </rPr>
          <t xml:space="preserve">Siberian harvest east of the Ob against the prewar average.</t>
        </r>
      </text>
    </comment>
    <comment ref="AE5" authorId="0">
      <text>
        <r>
          <rPr>
            <sz val="10"/>
            <rFont val="Arial"/>
            <family val="2"/>
          </rPr>
          <t xml:space="preserve">Bread for non-Japanese, non-Chinese troops west, oats for their horses, relief grain.</t>
        </r>
      </text>
    </comment>
    <comment ref="AF5" authorId="0">
      <text>
        <r>
          <rPr>
            <sz val="10"/>
            <rFont val="Arial"/>
            <family val="2"/>
          </rPr>
          <t xml:space="preserve">Prewar surplus × harvest × harvest lever × share the army may take; the rest stays with the towns.</t>
        </r>
      </text>
    </comment>
    <comment ref="AG5" authorId="0">
      <text>
        <r>
          <rPr>
            <sz val="10"/>
            <rFont val="Arial"/>
            <family val="2"/>
          </rPr>
          <t xml:space="preserve">Shortfall bought at Harbin and carried west.</t>
        </r>
      </text>
    </comment>
    <comment ref="AH5" authorId="0">
      <text>
        <r>
          <rPr>
            <sz val="10"/>
            <rFont val="Arial"/>
            <family val="2"/>
          </rPr>
          <t xml:space="preserve">Bought at the guaranteed price.</t>
        </r>
      </text>
    </comment>
    <comment ref="AI5" authorId="0">
      <text>
        <r>
          <rPr>
            <sz val="10"/>
            <rFont val="Arial"/>
            <family val="2"/>
          </rPr>
          <t xml:space="preserve">Millet and flour from Harbin for Chinese troops west of Irkutsk.</t>
        </r>
      </text>
    </comment>
    <comment ref="AJ5" authorId="0">
      <text>
        <r>
          <rPr>
            <sz val="10"/>
            <rFont val="Arial"/>
            <family val="2"/>
          </rPr>
          <t xml:space="preserve">Men east × kg on the lines, plus Japanese rations east.</t>
        </r>
      </text>
    </comment>
    <comment ref="AK5" authorId="0">
      <text>
        <r>
          <rPr>
            <sz val="10"/>
            <rFont val="Arial"/>
            <family val="2"/>
          </rPr>
          <t xml:space="preserve">Sea-borne tonnage bound beyond Lake Baikal by the Manchurian route.</t>
        </r>
      </text>
    </comment>
    <comment ref="AL5" authorId="0">
      <text>
        <r>
          <rPr>
            <sz val="10"/>
            <rFont val="Arial"/>
            <family val="2"/>
          </rPr>
          <t xml:space="preserve">Manchurian grain bound beyond Lake Baikal.</t>
        </r>
      </text>
    </comment>
    <comment ref="AM5" authorId="0">
      <text>
        <r>
          <rPr>
            <sz val="10"/>
            <rFont val="Arial"/>
            <family val="2"/>
          </rPr>
          <t xml:space="preserve">Westbound military tonnage on section 1.</t>
        </r>
      </text>
    </comment>
    <comment ref="AN5" authorId="0">
      <text>
        <r>
          <rPr>
            <sz val="10"/>
            <rFont val="Arial"/>
            <family val="2"/>
          </rPr>
          <t xml:space="preserve">Section 2: the Chinese line over the Khingan.</t>
        </r>
      </text>
    </comment>
    <comment ref="AO5" authorId="0">
      <text>
        <r>
          <rPr>
            <sz val="10"/>
            <rFont val="Arial"/>
            <family val="2"/>
          </rPr>
          <t xml:space="preserve">Section 3a: the single-track branch, the neck of the route.</t>
        </r>
      </text>
    </comment>
    <comment ref="AP5" authorId="0">
      <text>
        <r>
          <rPr>
            <sz val="10"/>
            <rFont val="Arial"/>
            <family val="2"/>
          </rPr>
          <t xml:space="preserve">Section 3b: double track; carries the Amur tonnage from Sretensk as well.</t>
        </r>
      </text>
    </comment>
    <comment ref="AQ5" authorId="0">
      <text>
        <r>
          <rPr>
            <sz val="10"/>
            <rFont val="Arial"/>
            <family val="2"/>
          </rPr>
          <t xml:space="preserve">Section 4.</t>
        </r>
      </text>
    </comment>
    <comment ref="AR5" authorId="0">
      <text>
        <r>
          <rPr>
            <sz val="10"/>
            <rFont val="Arial"/>
            <family val="2"/>
          </rPr>
          <t xml:space="preserve">Japanese, Chinese and Pacifican troops; Siberians are raised locally.</t>
        </r>
      </text>
    </comment>
    <comment ref="AS5" authorId="0">
      <text>
        <r>
          <rPr>
            <sz val="10"/>
            <rFont val="Arial"/>
            <family val="2"/>
          </rPr>
          <t xml:space="preserve">The same troops west of Irkutsk.</t>
        </r>
      </text>
    </comment>
    <comment ref="AT5" authorId="0">
      <text>
        <r>
          <rPr>
            <sz val="10"/>
            <rFont val="Arial"/>
            <family val="2"/>
          </rPr>
          <t xml:space="preserve">(Build-up + rotation) ÷ men per train ÷ days.</t>
        </r>
      </text>
    </comment>
    <comment ref="AU5" authorId="0">
      <text>
        <r>
          <rPr>
            <sz val="10"/>
            <rFont val="Arial"/>
            <family val="2"/>
          </rPr>
          <t xml:space="preserve">The same west of Irkutsk.</t>
        </r>
      </text>
    </comment>
    <comment ref="AV5" authorId="0">
      <text>
        <r>
          <rPr>
            <sz val="10"/>
            <rFont val="Arial"/>
            <family val="2"/>
          </rPr>
          <t xml:space="preserve">Russian-gauge 2-10-0s built in Pacifica on Entente orders in 1915-17 and working on the Siberian and Manchurian lines when Russia collapses. No new cost.</t>
        </r>
      </text>
    </comment>
    <comment ref="AW5" authorId="0">
      <text>
        <r>
          <rPr>
            <sz val="10"/>
            <rFont val="Arial"/>
            <family val="2"/>
          </rPr>
          <t xml:space="preserve">Undelivered engines from Pacifican yards (1918 Q4) and one new batch.</t>
        </r>
      </text>
    </comment>
    <comment ref="AX5" authorId="0">
      <text>
        <r>
          <rPr>
            <sz val="10"/>
            <rFont val="Arial"/>
            <family val="2"/>
          </rPr>
          <t xml:space="preserve">Inherited and delivered to date × 0.9 availability.</t>
        </r>
      </text>
    </comment>
    <comment ref="AY5" authorId="0">
      <text>
        <r>
          <rPr>
            <sz val="10"/>
            <rFont val="Arial"/>
            <family val="2"/>
          </rPr>
          <t xml:space="preserve">A railway board trained before the war, then shops at Irkutsk, Krasnoyarsk, Chita and Harbin.</t>
        </r>
      </text>
    </comment>
    <comment ref="AZ5" authorId="0">
      <text>
        <r>
          <rPr>
            <sz val="10"/>
            <rFont val="Arial"/>
            <family val="2"/>
          </rPr>
          <t xml:space="preserve">1 - (1 - plan) × sickness lever.</t>
        </r>
      </text>
    </comment>
    <comment ref="BA5" authorId="0">
      <text>
        <r>
          <rPr>
            <sz val="10"/>
            <rFont val="Arial"/>
            <family val="2"/>
          </rPr>
          <t xml:space="preserve">Old fleet × serviceable share + Decapods in service.</t>
        </r>
      </text>
    </comment>
    <comment ref="BB5" authorId="0">
      <text>
        <r>
          <rPr>
            <sz val="10"/>
            <rFont val="Arial"/>
            <family val="2"/>
          </rPr>
          <t xml:space="preserve">Share of serviceable engines that are Decapods; raises the load per train.</t>
        </r>
      </text>
    </comment>
    <comment ref="BC5" authorId="0">
      <text>
        <r>
          <rPr>
            <sz val="10"/>
            <rFont val="Arial"/>
            <family val="2"/>
          </rPr>
          <t xml:space="preserve">Trains each way a day after the works: Vladivostok-Harbin.</t>
        </r>
      </text>
    </comment>
    <comment ref="BD5" authorId="0">
      <text>
        <r>
          <rPr>
            <sz val="10"/>
            <rFont val="Arial"/>
            <family val="2"/>
          </rPr>
          <t xml:space="preserve">Trains each way a day after the works: Harbin-Manzhouli.</t>
        </r>
      </text>
    </comment>
    <comment ref="BE5" authorId="0">
      <text>
        <r>
          <rPr>
            <sz val="10"/>
            <rFont val="Arial"/>
            <family val="2"/>
          </rPr>
          <t xml:space="preserve">Trains each way a day after the works: Manzhouli-Kitaisky (branch).</t>
        </r>
      </text>
    </comment>
    <comment ref="BF5" authorId="0">
      <text>
        <r>
          <rPr>
            <sz val="10"/>
            <rFont val="Arial"/>
            <family val="2"/>
          </rPr>
          <t xml:space="preserve">Trains each way a day after the works: Kitaisky-Irkutsk.</t>
        </r>
      </text>
    </comment>
    <comment ref="BG5" authorId="0">
      <text>
        <r>
          <rPr>
            <sz val="10"/>
            <rFont val="Arial"/>
            <family val="2"/>
          </rPr>
          <t xml:space="preserve">Trains each way a day after the works: Irkutsk-Ob.</t>
        </r>
      </text>
    </comment>
    <comment ref="BH5" authorId="0">
      <text>
        <r>
          <rPr>
            <sz val="10"/>
            <rFont val="Arial"/>
            <family val="2"/>
          </rPr>
          <t xml:space="preserve">Mid-1918 capacity + (plan - mid-1918) × works lever.</t>
        </r>
      </text>
    </comment>
    <comment ref="BI5" authorId="0">
      <text>
        <r>
          <rPr>
            <sz val="10"/>
            <rFont val="Arial"/>
            <family val="2"/>
          </rPr>
          <t xml:space="preserve">Mid-1918 capacity + (plan - mid-1918) × works lever.</t>
        </r>
      </text>
    </comment>
    <comment ref="BJ5" authorId="0">
      <text>
        <r>
          <rPr>
            <sz val="10"/>
            <rFont val="Arial"/>
            <family val="2"/>
          </rPr>
          <t xml:space="preserve">Mid-1918 capacity + (plan - mid-1918) × works lever.</t>
        </r>
      </text>
    </comment>
    <comment ref="BK5" authorId="0">
      <text>
        <r>
          <rPr>
            <sz val="10"/>
            <rFont val="Arial"/>
            <family val="2"/>
          </rPr>
          <t xml:space="preserve">Mid-1918 capacity + (plan - mid-1918) × works lever.</t>
        </r>
      </text>
    </comment>
    <comment ref="BL5" authorId="0">
      <text>
        <r>
          <rPr>
            <sz val="10"/>
            <rFont val="Arial"/>
            <family val="2"/>
          </rPr>
          <t xml:space="preserve">Mid-1918 capacity + (plan - mid-1918) × works lever.</t>
        </r>
      </text>
    </comment>
    <comment ref="BM5" authorId="0">
      <text>
        <r>
          <rPr>
            <sz val="10"/>
            <rFont val="Arial"/>
            <family val="2"/>
          </rPr>
          <t xml:space="preserve">Quarter in which a mine strike forces coal trains over long distances, as on the Tomsk Railway in 1918.</t>
        </r>
      </text>
    </comment>
    <comment ref="BN5" authorId="0">
      <text>
        <r>
          <rPr>
            <sz val="10"/>
            <rFont val="Arial"/>
            <family val="2"/>
          </rPr>
          <t xml:space="preserve">(Pairs × season - passenger pairs) × (1 - civil share) × (1 - coal share - strike) - troop trains.</t>
        </r>
      </text>
    </comment>
    <comment ref="BO5" authorId="0">
      <text>
        <r>
          <rPr>
            <sz val="10"/>
            <rFont val="Arial"/>
            <family val="2"/>
          </rPr>
          <t xml:space="preserve">(Pairs × season - passenger pairs) × (1 - civil share) × (1 - coal share - strike) - troop trains.</t>
        </r>
      </text>
    </comment>
    <comment ref="BP5" authorId="0">
      <text>
        <r>
          <rPr>
            <sz val="10"/>
            <rFont val="Arial"/>
            <family val="2"/>
          </rPr>
          <t xml:space="preserve">(Pairs × season - passenger pairs) × (1 - civil share) × (1 - coal share - strike) - troop trains.</t>
        </r>
      </text>
    </comment>
    <comment ref="BQ5" authorId="0">
      <text>
        <r>
          <rPr>
            <sz val="10"/>
            <rFont val="Arial"/>
            <family val="2"/>
          </rPr>
          <t xml:space="preserve">(Pairs × season - passenger pairs) × (1 - civil share) × (1 - coal share - strike) - troop trains.</t>
        </r>
      </text>
    </comment>
    <comment ref="BR5" authorId="0">
      <text>
        <r>
          <rPr>
            <sz val="10"/>
            <rFont val="Arial"/>
            <family val="2"/>
          </rPr>
          <t xml:space="preserve">(Pairs × season - passenger pairs) × (1 - civil share) × (1 - coal share - strike) - troop trains.</t>
        </r>
      </text>
    </comment>
    <comment ref="BS5" authorId="0">
      <text>
        <r>
          <rPr>
            <sz val="10"/>
            <rFont val="Arial"/>
            <family val="2"/>
          </rPr>
          <t xml:space="preserve">Load ÷ (net tons per train × (1 + Decapod uplift × Decapod share)).</t>
        </r>
      </text>
    </comment>
    <comment ref="BT5" authorId="0">
      <text>
        <r>
          <rPr>
            <sz val="10"/>
            <rFont val="Arial"/>
            <family val="2"/>
          </rPr>
          <t xml:space="preserve">Load ÷ (net tons per train × (1 + Decapod uplift × Decapod share)).</t>
        </r>
      </text>
    </comment>
    <comment ref="BU5" authorId="0">
      <text>
        <r>
          <rPr>
            <sz val="10"/>
            <rFont val="Arial"/>
            <family val="2"/>
          </rPr>
          <t xml:space="preserve">Load ÷ (net tons per train × (1 + Decapod uplift × Decapod share)).</t>
        </r>
      </text>
    </comment>
    <comment ref="BV5" authorId="0">
      <text>
        <r>
          <rPr>
            <sz val="10"/>
            <rFont val="Arial"/>
            <family val="2"/>
          </rPr>
          <t xml:space="preserve">Load ÷ (net tons per train × (1 + Decapod uplift × Decapod share)).</t>
        </r>
      </text>
    </comment>
    <comment ref="BW5" authorId="0">
      <text>
        <r>
          <rPr>
            <sz val="10"/>
            <rFont val="Arial"/>
            <family val="2"/>
          </rPr>
          <t xml:space="preserve">Load ÷ (net tons per train × (1 + Decapod uplift × Decapod share)).</t>
        </r>
      </text>
    </comment>
    <comment ref="BX5" authorId="0">
      <text>
        <r>
          <rPr>
            <sz val="10"/>
            <rFont val="Arial"/>
            <family val="2"/>
          </rPr>
          <t xml:space="preserve">Trains needed ÷ trains available.</t>
        </r>
      </text>
    </comment>
    <comment ref="BY5" authorId="0">
      <text>
        <r>
          <rPr>
            <sz val="10"/>
            <rFont val="Arial"/>
            <family val="2"/>
          </rPr>
          <t xml:space="preserve">Trains needed ÷ trains available.</t>
        </r>
      </text>
    </comment>
    <comment ref="BZ5" authorId="0">
      <text>
        <r>
          <rPr>
            <sz val="10"/>
            <rFont val="Arial"/>
            <family val="2"/>
          </rPr>
          <t xml:space="preserve">Trains needed ÷ trains available.</t>
        </r>
      </text>
    </comment>
    <comment ref="CA5" authorId="0">
      <text>
        <r>
          <rPr>
            <sz val="10"/>
            <rFont val="Arial"/>
            <family val="2"/>
          </rPr>
          <t xml:space="preserve">Trains needed ÷ trains available.</t>
        </r>
      </text>
    </comment>
    <comment ref="CB5" authorId="0">
      <text>
        <r>
          <rPr>
            <sz val="10"/>
            <rFont val="Arial"/>
            <family val="2"/>
          </rPr>
          <t xml:space="preserve">Trains needed ÷ trains available.</t>
        </r>
      </text>
    </comment>
    <comment ref="CC5" authorId="0">
      <text>
        <r>
          <rPr>
            <sz val="10"/>
            <rFont val="Arial"/>
            <family val="2"/>
          </rPr>
          <t xml:space="preserve">The tightest of the five sections. Must stay at or below the usable share on Levers.</t>
        </r>
      </text>
    </comment>
    <comment ref="CD5" authorId="0">
      <text>
        <r>
          <rPr>
            <sz val="10"/>
            <rFont val="Arial"/>
            <family val="2"/>
          </rPr>
          <t xml:space="preserve">Which section binds.</t>
        </r>
      </text>
    </comment>
    <comment ref="CE5" authorId="0">
      <text>
        <r>
          <rPr>
            <sz val="10"/>
            <rFont val="Arial"/>
            <family val="2"/>
          </rPr>
          <t xml:space="preserve">At the tightest section: what is left for a reinforcement or a surge.</t>
        </r>
      </text>
    </comment>
    <comment ref="CF5" authorId="0">
      <text>
        <r>
          <rPr>
            <sz val="10"/>
            <rFont val="Arial"/>
            <family val="2"/>
          </rPr>
          <t xml:space="preserve">Every train both ways: military, troop, civil (share run), coal and passenger.</t>
        </r>
      </text>
    </comment>
    <comment ref="CG5" authorId="0">
      <text>
        <r>
          <rPr>
            <sz val="10"/>
            <rFont val="Arial"/>
            <family val="2"/>
          </rPr>
          <t xml:space="preserve">Train-km ÷ km per engine a day × helper and shunting engines.</t>
        </r>
      </text>
    </comment>
    <comment ref="CH5" authorId="0">
      <text>
        <r>
          <rPr>
            <sz val="10"/>
            <rFont val="Arial"/>
            <family val="2"/>
          </rPr>
          <t xml:space="preserve">Must be at or below 1.</t>
        </r>
      </text>
    </comment>
    <comment ref="CI5" authorId="0">
      <text>
        <r>
          <rPr>
            <sz val="10"/>
            <rFont val="Arial"/>
            <family val="2"/>
          </rPr>
          <t xml:space="preserve">Four-axle cars from the Entente orders, each counted as two Russian wagons. No new cost.</t>
        </r>
      </text>
    </comment>
    <comment ref="CJ5" authorId="0">
      <text>
        <r>
          <rPr>
            <sz val="10"/>
            <rFont val="Arial"/>
            <family val="2"/>
          </rPr>
          <t xml:space="preserve">Russian-gauge freight cars built in Pacifica.</t>
        </r>
      </text>
    </comment>
    <comment ref="CK5" authorId="0">
      <text>
        <r>
          <rPr>
            <sz val="10"/>
            <rFont val="Arial"/>
            <family val="2"/>
          </rPr>
          <t xml:space="preserve">Trains of the Omsk retreat and the Legion held east of the Ob.</t>
        </r>
      </text>
    </comment>
    <comment ref="CL5" authorId="0">
      <text>
        <r>
          <rPr>
            <sz val="10"/>
            <rFont val="Arial"/>
            <family val="2"/>
          </rPr>
          <t xml:space="preserve">(Mid-1918 wagons + inherited + deliveries) × serviceable share × (1 - civil share).</t>
        </r>
      </text>
    </comment>
    <comment ref="CM5" authorId="0">
      <text>
        <r>
          <rPr>
            <sz val="10"/>
            <rFont val="Arial"/>
            <family val="2"/>
          </rPr>
          <t xml:space="preserve">Wagons loaded a day × round-trip days, plus troop trains, Legion quarters and the evacuation.</t>
        </r>
      </text>
    </comment>
    <comment ref="CN5" authorId="0">
      <text>
        <r>
          <rPr>
            <sz val="10"/>
            <rFont val="Arial"/>
            <family val="2"/>
          </rPr>
          <t xml:space="preserve">Must be at or below 1.</t>
        </r>
      </text>
    </comment>
    <comment ref="CO5" authorId="0">
      <text>
        <r>
          <rPr>
            <sz val="10"/>
            <rFont val="Arial"/>
            <family val="2"/>
          </rPr>
          <t xml:space="preserve">Entente war stores for Russia lying at Vladivostok and Harbin, taken over in 1918.</t>
        </r>
      </text>
    </comment>
    <comment ref="CP5" authorId="0">
      <text>
        <r>
          <rPr>
            <sz val="10"/>
            <rFont val="Arial"/>
            <family val="2"/>
          </rPr>
          <t xml:space="preserve">Cannot exceed what the line carries.</t>
        </r>
      </text>
    </comment>
    <comment ref="CQ5" authorId="0">
      <text>
        <r>
          <rPr>
            <sz val="10"/>
            <rFont val="Arial"/>
            <family val="2"/>
          </rPr>
          <t xml:space="preserve">Military imports landed (including Amur cargo railed to Khabarovsk) + civil cargo.</t>
        </r>
      </text>
    </comment>
    <comment ref="CR5" authorId="0">
      <text>
        <r>
          <rPr>
            <sz val="10"/>
            <rFont val="Arial"/>
            <family val="2"/>
          </rPr>
          <t xml:space="preserve">Berths, cranes and icebreakers; the Egersheld works raise it.</t>
        </r>
      </text>
    </comment>
    <comment ref="CS5" authorId="0">
      <text>
        <r>
          <rPr>
            <sz val="10"/>
            <rFont val="Arial"/>
            <family val="2"/>
          </rPr>
          <t xml:space="preserve">Cargo ÷ capacity (× winter factor in Q1 and whole years). Must be at or below the usable share.</t>
        </r>
      </text>
    </comment>
    <comment ref="CT5" authorId="0">
      <text>
        <r>
          <rPr>
            <sz val="10"/>
            <rFont val="Arial"/>
            <family val="2"/>
          </rPr>
          <t xml:space="preserve">Pacifican share of imports ÷ (deadweight × 0.9 × voyages a year).</t>
        </r>
      </text>
    </comment>
    <comment ref="CU5" authorId="0">
      <text>
        <r>
          <rPr>
            <sz val="10"/>
            <rFont val="Arial"/>
            <family val="2"/>
          </rPr>
          <t xml:space="preserve">Must be at or below 1.</t>
        </r>
      </text>
    </comment>
    <comment ref="CV5" authorId="0">
      <text>
        <r>
          <rPr>
            <sz val="10"/>
            <rFont val="Arial"/>
            <family val="2"/>
          </rPr>
          <t xml:space="preserve">Opening stock + flows + Amur and Kara landings. Must not be negative.</t>
        </r>
      </text>
    </comment>
    <comment ref="CW5" authorId="0">
      <text>
        <r>
          <rPr>
            <sz val="10"/>
            <rFont val="Arial"/>
            <family val="2"/>
          </rPr>
          <t xml:space="preserve">Standing years only: a corps of the size on Levers within the days allowed.</t>
        </r>
      </text>
    </comment>
    <comment ref="CX5" authorId="0">
      <text>
        <r>
          <rPr>
            <sz val="10"/>
            <rFont val="Arial"/>
            <family val="2"/>
          </rPr>
          <t xml:space="preserve">Rail paths, locomotives, wagons, port, ships, depot, reinforcement.</t>
        </r>
      </text>
    </comment>
    <comment ref="CY5" authorId="0">
      <text>
        <r>
          <rPr>
            <sz val="10"/>
            <rFont val="Arial"/>
            <family val="2"/>
          </rPr>
          <t xml:space="preserve">OK when the line, the rolling stock, the port and the ships carry the army.</t>
        </r>
      </text>
    </comment>
    <comment ref="CZ5" authorId="0">
      <text>
        <r>
          <rPr>
            <sz val="10"/>
            <rFont val="Arial"/>
            <family val="2"/>
          </rPr>
          <t xml:space="preserve">Pacifican armoured trains with naval guns.</t>
        </r>
      </text>
    </comment>
    <comment ref="DA5" authorId="0">
      <text>
        <r>
          <rPr>
            <sz val="10"/>
            <rFont val="Arial"/>
            <family val="2"/>
          </rPr>
          <t xml:space="preserve">Passing loops, heated water towers, block telegraph, bridge strengthening, mechanical coaling, larger water mains, shops, Sretensk wharves and transfer yard, Vladivostok piers and icebreakers.</t>
        </r>
      </text>
    </comment>
    <comment ref="DB5" authorId="0">
      <text>
        <r>
          <rPr>
            <sz val="10"/>
            <rFont val="Arial"/>
            <family val="2"/>
          </rPr>
          <t xml:space="preserve">Ob, Yenisei and Amur flotillas, air squadrons.</t>
        </r>
      </text>
    </comment>
    <comment ref="DC5" authorId="0">
      <text>
        <r>
          <rPr>
            <sz val="10"/>
            <rFont val="Arial"/>
            <family val="2"/>
          </rPr>
          <t xml:space="preserve">Paths price level (1913 = 1) for the year × the Siberian unit-cost lever.</t>
        </r>
      </text>
    </comment>
    <comment ref="DD5" authorId="0">
      <text>
        <r>
          <rPr>
            <sz val="10"/>
            <rFont val="Arial"/>
            <family val="2"/>
          </rPr>
          <t xml:space="preserve">Men × all-in cost a year.</t>
        </r>
      </text>
    </comment>
    <comment ref="DE5" authorId="0">
      <text>
        <r>
          <rPr>
            <sz val="10"/>
            <rFont val="Arial"/>
            <family val="2"/>
          </rPr>
          <t xml:space="preserve">Pay and keep.</t>
        </r>
      </text>
    </comment>
    <comment ref="DF5" authorId="0">
      <text>
        <r>
          <rPr>
            <sz val="10"/>
            <rFont val="Arial"/>
            <family val="2"/>
          </rPr>
          <t xml:space="preserve">Pacifica pays part of the Siberian soldiers' pay in sound money.</t>
        </r>
      </text>
    </comment>
    <comment ref="DG5" authorId="0">
      <text>
        <r>
          <rPr>
            <sz val="10"/>
            <rFont val="Arial"/>
            <family val="2"/>
          </rPr>
          <t xml:space="preserve">Pacifican share of stores bought for the west: consumption (net of the stockpile), fortification stores and net additions to the depots (including river landings), plus a small share in the east.</t>
        </r>
      </text>
    </comment>
    <comment ref="DH5" authorId="0">
      <text>
        <r>
          <rPr>
            <sz val="10"/>
            <rFont val="Arial"/>
            <family val="2"/>
          </rPr>
          <t xml:space="preserve">Decapods delivered, wagons, repaired engines, armoured trains and works.</t>
        </r>
      </text>
    </comment>
    <comment ref="DI5" authorId="0">
      <text>
        <r>
          <rPr>
            <sz val="10"/>
            <rFont val="Arial"/>
            <family val="2"/>
          </rPr>
          <t xml:space="preserve">Pacifican share of military train-km: wages paid in sound money, fuel, repairs.</t>
        </r>
      </text>
    </comment>
    <comment ref="DJ5" authorId="0">
      <text>
        <r>
          <rPr>
            <sz val="10"/>
            <rFont val="Arial"/>
            <family val="2"/>
          </rPr>
          <t xml:space="preserve">Pacifican ships on the Vladivostok run.</t>
        </r>
      </text>
    </comment>
    <comment ref="DL5" authorId="0">
      <text>
        <r>
          <rPr>
            <sz val="10"/>
            <rFont val="Arial"/>
            <family val="2"/>
          </rPr>
          <t xml:space="preserve">Ship and river freight for the Arctic landings.</t>
        </r>
      </text>
    </comment>
    <comment ref="DM5" authorId="0">
      <text>
        <r>
          <rPr>
            <sz val="10"/>
            <rFont val="Arial"/>
            <family val="2"/>
          </rPr>
          <t xml:space="preserve">Refugee relief plus the guaranteed-price premium on grain bought.</t>
        </r>
      </text>
    </comment>
    <comment ref="DN5" authorId="0">
      <text>
        <r>
          <rPr>
            <sz val="10"/>
            <rFont val="Arial"/>
            <family val="2"/>
          </rPr>
          <t xml:space="preserve">Rail to Khabarovsk, barges and steamers, transfer at Sretensk.</t>
        </r>
      </text>
    </comment>
    <comment ref="DO5" authorId="0">
      <text>
        <r>
          <rPr>
            <sz val="10"/>
            <rFont val="Arial"/>
            <family val="2"/>
          </rPr>
          <t xml:space="preserve">Food from the board's stores for the families of railwaymen and coal miners, so that nobody leaves the line to find bread.</t>
        </r>
      </text>
    </comment>
    <comment ref="DP5" authorId="0">
      <text>
        <r>
          <rPr>
            <sz val="10"/>
            <rFont val="Arial"/>
            <family val="2"/>
          </rPr>
          <t xml:space="preserve">1918-22: Pacifican spending. From 1923: the common front budget, shared by quota.</t>
        </r>
      </text>
    </comment>
    <comment ref="DQ5" authorId="0">
      <text>
        <r>
          <rPr>
            <sz val="10"/>
            <rFont val="Arial"/>
            <family val="2"/>
          </rPr>
          <t xml:space="preserve">CR-041: the corps fights at the Urals and the Russian armies' depots are at Chelyabinsk. The share of the westbound tonnage on section 4 that goes on past Novonikolayevsk (the rest is unloaded between Irkutsk and the Ob, or goes down the Altai branch). 0.8 while the war is at the Urals and on the Volga; 0.4 in 1921, when the war is in the Altai.</t>
        </r>
      </text>
    </comment>
    <comment ref="DS5" authorId="0">
      <text>
        <r>
          <rPr>
            <sz val="10"/>
            <rFont val="Arial"/>
            <family val="2"/>
          </rPr>
          <t xml:space="preserve">Double track west of the Ob. CR-041 says thirty pairs a day west of Omsk; the Ob-Omsk stretch is taken as the limit. The storyline's 'twelve pairs a day on the single track east of Omsk' does not match this sheet's 22 planned pairs on Irkutsk-Ob (CR-030); the sheet's figures are kept.</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Each partner closes a share of its gap to Pacifica each year: the conditional convergence of integrated economies (CR-020 B14).</t>
        </r>
      </text>
    </comment>
    <comment ref="E5" authorId="0">
      <text>
        <r>
          <rPr>
            <sz val="10"/>
            <rFont val="Arial"/>
            <family val="2"/>
          </rPr>
          <t xml:space="preserve">Treaty 1858-60; Meiji 1868; the Japanese compact 1887; the 1895 and 1905 victories; the 1927 Pacific Concord. Literate, fast-learning: full weight.</t>
        </r>
      </text>
    </comment>
    <comment ref="M5" authorId="0">
      <text>
        <r>
          <rPr>
            <sz val="10"/>
            <rFont val="Arial"/>
            <family val="2"/>
          </rPr>
          <t xml:space="preserve">The 1895 compact, the oil partnership from Spindletop, Polytechnic branches in Houston and New Orleans, the canal trade.</t>
        </r>
      </text>
    </comment>
    <comment ref="U5" authorId="0">
      <text>
        <r>
          <rPr>
            <sz val="10"/>
            <rFont val="Arial"/>
            <family val="2"/>
          </rPr>
          <t xml:space="preserve">Crown from the 1870s; schools and the Manila Polytechnic, but low literacy at the start.</t>
        </r>
      </text>
    </comment>
    <comment ref="AC5" authorId="0">
      <text>
        <r>
          <rPr>
            <sz val="10"/>
            <rFont val="Arial"/>
            <family val="2"/>
          </rPr>
          <t xml:space="preserve">From the Treaty of Harbin (1921): Siberian lines, Irkutsk's schools, Pacifican capital.</t>
        </r>
      </text>
    </comment>
    <comment ref="AK5" authorId="0">
      <text>
        <r>
          <rPr>
            <sz val="10"/>
            <rFont val="Arial"/>
            <family val="2"/>
          </rPr>
          <t xml:space="preserve">Trading region, outside the order: the Customs Inspectorate, treaty-port schools, rail concessions, Pacifican backing of Sun, reunification after 1922. Civil war holds it back.</t>
        </r>
      </text>
    </comment>
    <comment ref="AS5" authorId="0">
      <text>
        <r>
          <rPr>
            <sz val="10"/>
            <rFont val="Arial"/>
            <family val="2"/>
          </rPr>
          <t xml:space="preserve">Independent under the Pacifican guarantee (1887): schools, mines, railways.</t>
        </r>
      </text>
    </comment>
    <comment ref="BA5" authorId="0">
      <text>
        <r>
          <rPr>
            <sz val="10"/>
            <rFont val="Arial"/>
            <family val="2"/>
          </rPr>
          <t xml:space="preserve">Siam, the Dutch Indies, Malaya, Indochina, Burma: Pacifican oil, power and shipping, but the colonial powers keep the gates.</t>
        </r>
      </text>
    </comment>
    <comment ref="BI5" authorId="0">
      <text>
        <r>
          <rPr>
            <sz val="10"/>
            <rFont val="Arial"/>
            <family val="2"/>
          </rPr>
          <t xml:space="preserve">Mexico, Central America, Colombia, Ecuador, Peru, Bolivia, Chile: west-coast railways, power companies, nitrate and copper, the canal from 1901.</t>
        </r>
      </text>
    </comment>
    <comment ref="BQ5" authorId="0">
      <text>
        <r>
          <rPr>
            <sz val="10"/>
            <rFont val="Arial"/>
            <family val="2"/>
          </rPr>
          <t xml:space="preserve">Persia, Mesopotamia, Arabia and the Gulf coast: the oil trust's concessions, power and the standard. Britain dominates the region.</t>
        </r>
      </text>
    </comment>
    <comment ref="BW5" authorId="0">
      <text>
        <r>
          <rPr>
            <sz val="10"/>
            <rFont val="Arial"/>
            <family val="2"/>
          </rPr>
          <t xml:space="preserve">Each market's output against history, weighted by its share of the champions' business abroad: Japan 25%, China 15%, Mexico and Pacific South America 12%, the Gulf 10%, Southeast Asia 8%, the Philippines 7%, Siberia and the Middle East 5% each, Korea 3%; the rest of the world (10%) unchanged.</t>
        </r>
      </text>
    </comment>
    <comment ref="BX5" authorId="0">
      <text>
        <r>
          <rPr>
            <sz val="10"/>
            <rFont val="Arial"/>
            <family val="2"/>
          </rPr>
          <t xml:space="preserve">CR-020 B15: richer customers buy more oil, cars, power plants, dyes, telegraph time and passages. Goes to Champions.</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Texas, Louisiana, Arkansas and Sequoyah (Indian Territory). Census figures, rounded.</t>
        </r>
      </text>
    </comment>
    <comment ref="C5" authorId="0">
      <text>
        <r>
          <rPr>
            <sz val="10"/>
            <rFont val="Arial"/>
            <family val="2"/>
          </rPr>
          <t xml:space="preserve">Historical Texas, Louisiana, Arkansas and Oklahoma against the US average. The Partners sheet adds the catch-up from the partnership (CR-020 B14).</t>
        </r>
      </text>
    </comment>
    <comment ref="G5" authorId="0">
      <text>
        <r>
          <rPr>
            <sz val="10"/>
            <rFont val="Arial"/>
            <family val="2"/>
          </rPr>
          <t xml:space="preserve">The weakest member is read as Pacifica's weakest former-territory state (a New Mexico-type member).</t>
        </r>
      </text>
    </comment>
    <comment ref="I5" authorId="0">
      <text>
        <r>
          <rPr>
            <sz val="10"/>
            <rFont val="Arial"/>
            <family val="2"/>
          </rPr>
          <t xml:space="preserve">The weakest member is read as Pacifica's weakest former-territory state (a New Mexico-type member).</t>
        </r>
      </text>
    </comment>
    <comment ref="K5" authorId="0">
      <text>
        <r>
          <rPr>
            <sz val="10"/>
            <rFont val="Arial"/>
            <family val="2"/>
          </rPr>
          <t xml:space="preserve">The weakest member is read as Pacifica's weakest former-territory state (a New Mexico-type member).</t>
        </r>
      </text>
    </comment>
    <comment ref="M5" authorId="0">
      <text>
        <r>
          <rPr>
            <sz val="10"/>
            <rFont val="Arial"/>
            <family val="2"/>
          </rPr>
          <t xml:space="preserve">The weakest member is read as Pacifica's weakest former-territory state (a New Mexico-type member).</t>
        </r>
      </text>
    </comment>
    <comment ref="O5" authorId="0">
      <text>
        <r>
          <rPr>
            <sz val="10"/>
            <rFont val="Arial"/>
            <family val="2"/>
          </rPr>
          <t xml:space="preserve">The weakest member is read as Pacifica's weakest former-territory state (a New Mexico-type member).</t>
        </r>
      </text>
    </comment>
    <comment ref="Q5" authorId="0">
      <text>
        <r>
          <rPr>
            <sz val="10"/>
            <rFont val="Arial"/>
            <family val="2"/>
          </rPr>
          <t xml:space="preserve">Parity: Black (incl. tribal freedmen) infant mortality at most 1.05 times white, held for a generation (OPEN-020-02). No American state has ever come close.</t>
        </r>
      </text>
    </comment>
    <comment ref="S5" authorId="0">
      <text>
        <r>
          <rPr>
            <sz val="10"/>
            <rFont val="Arial"/>
            <family val="2"/>
          </rPr>
          <t xml:space="preserve">Parity: Black and freedmen 20-year-olds pass the joint medical and literacy examination for the Defense Law at 95% or more of the white rate, held for a generation (OPEN-020-02).</t>
        </r>
      </text>
    </comment>
    <comment ref="T5" authorId="0">
      <text>
        <r>
          <rPr>
            <sz val="10"/>
            <rFont val="Arial"/>
            <family val="2"/>
          </rPr>
          <t xml:space="preserve">Without an oil compact the 1930 East Texas glut cuts Gulf wages in 1931-33 (CR-020 B5). This is the value tested.</t>
        </r>
      </text>
    </comment>
    <comment ref="AF5" authorId="0">
      <text>
        <r>
          <rPr>
            <sz val="10"/>
            <rFont val="Arial"/>
            <family val="2"/>
          </rPr>
          <t xml:space="preserve">OPEN-020-04: every measure held for a generation (25 years) before Pacifica will consider admission; it may ask for a second.</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The §25 ceilings are the regency's planning guides, so they are tested from 1887. Earlier values are shown for information.</t>
        </r>
      </text>
    </comment>
    <comment ref="L5" authorId="0">
      <text>
        <r>
          <rPr>
            <sz val="10"/>
            <rFont val="Arial"/>
            <family val="2"/>
          </rPr>
          <t xml:space="preserve">Home market up to 6% of GDP a year plus what London and other markets will take.</t>
        </r>
      </text>
    </comment>
    <comment ref="M5" authorId="0">
      <text>
        <r>
          <rPr>
            <sz val="10"/>
            <rFont val="Arial"/>
            <family val="2"/>
          </rPr>
          <t xml:space="preserve">The 40% cover rule applies once the Reserve Bank exists (1900).</t>
        </r>
      </text>
    </comment>
    <comment ref="P5" authorId="0">
      <text>
        <r>
          <rPr>
            <sz val="10"/>
            <rFont val="Arial"/>
            <family val="2"/>
          </rPr>
          <t xml:space="preserve">§30: the 1919 limits count Pacifica + Japan at parity with Britain once Britain's scrapping is complete (1922).</t>
        </r>
      </text>
    </comment>
    <comment ref="R5" authorId="0">
      <text>
        <r>
          <rPr>
            <sz val="10"/>
            <rFont val="Arial"/>
            <family val="2"/>
          </rPr>
          <t xml:space="preserve">The Gulf may join only after a generation (gulf_years_req) of passing every measure, the five general ones and both parity measures.</t>
        </r>
      </text>
    </comment>
    <comment ref="AI5" authorId="0">
      <text>
        <r>
          <rPr>
            <sz val="10"/>
            <rFont val="Arial"/>
            <family val="2"/>
          </rPr>
          <t xml:space="preserve">From the Siberia sheet: in every quarter (and every winter of the standing front) the four railway sections, the locomotives, the wagons, Vladivostok and the ships carry the coalition army, the depots never run dry and a reinforcement corps can still be brought up.</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N5" authorId="0">
      <text>
        <r>
          <rPr>
            <sz val="10"/>
            <rFont val="Arial"/>
            <family val="2"/>
          </rPr>
          <t xml:space="preserve">CR-041 build (30 Oct 2026): a negative loss in the recognition year restores russia_recog of the 1918 Russian write-off (lever russia_recog_yr).</t>
        </r>
      </text>
    </comment>
  </commentList>
</comments>
</file>

<file path=xl/sharedStrings.xml><?xml version="1.0" encoding="utf-8"?>
<sst xmlns="http://schemas.openxmlformats.org/spreadsheetml/2006/main" count="4399" uniqueCount="2683">
  <si>
    <t xml:space="preserve">Pacifica: the financial model, 1846-1932</t>
  </si>
  <si>
    <t xml:space="preserve">Rebuilt from the master storyline of 18 October 2026: every canon event with a cost, the approved oil, turbine and electrical programmes, a real fleet, Japan's own budget and a world comparison.</t>
  </si>
  <si>
    <t xml:space="preserve">Case in use</t>
  </si>
  <si>
    <t xml:space="preserve">Change it on Levers, cell E4 (1 = Story, 2 = Stress).</t>
  </si>
  <si>
    <t xml:space="preserve">Problems found by Checks, all years</t>
  </si>
  <si>
    <t xml:space="preserve">Zero means every year passes the arithmetic, the canon ceilings and the story checks.</t>
  </si>
  <si>
    <t xml:space="preserve">Key results</t>
  </si>
  <si>
    <t xml:space="preserve">People and economy</t>
  </si>
  <si>
    <t xml:space="preserve">Residents (millions)</t>
  </si>
  <si>
    <t xml:space="preserve">Asian-origin share of residents</t>
  </si>
  <si>
    <t xml:space="preserve">Guest workers present (thousands)</t>
  </si>
  <si>
    <t xml:space="preserve">Core GDP ($bn)</t>
  </si>
  <si>
    <t xml:space="preserve">GDP per resident vs the US</t>
  </si>
  <si>
    <t xml:space="preserve">Development Fund investment ($m)</t>
  </si>
  <si>
    <t xml:space="preserve">Oil output (m barrels)</t>
  </si>
  <si>
    <t xml:space="preserve">National champions at home ($m)</t>
  </si>
  <si>
    <t xml:space="preserve">Champions' assets abroad ($m)</t>
  </si>
  <si>
    <t xml:space="preserve">Patents per resident vs the US</t>
  </si>
  <si>
    <t xml:space="preserve">Extra arrivals drawn by the lead</t>
  </si>
  <si>
    <t xml:space="preserve">Champion-related jobs / labour force</t>
  </si>
  <si>
    <t xml:space="preserve">Union output lost to Pacifica</t>
  </si>
  <si>
    <t xml:space="preserve">Union population (m)</t>
  </si>
  <si>
    <t xml:space="preserve">Income from abroad ($m)</t>
  </si>
  <si>
    <t xml:space="preserve">National income ($bn)</t>
  </si>
  <si>
    <t xml:space="preserve">Treasury</t>
  </si>
  <si>
    <t xml:space="preserve">Receipts ($m)</t>
  </si>
  <si>
    <t xml:space="preserve">Crown share dividends ($m)</t>
  </si>
  <si>
    <t xml:space="preserve">Guest-worker levy ($m)</t>
  </si>
  <si>
    <t xml:space="preserve">Spending ($m)</t>
  </si>
  <si>
    <t xml:space="preserve">Defence &amp; overseas / GDP</t>
  </si>
  <si>
    <t xml:space="preserve">Public debt ($m)</t>
  </si>
  <si>
    <t xml:space="preserve">Debt / GDP</t>
  </si>
  <si>
    <t xml:space="preserve">Treasury Reserve Fund ($m)</t>
  </si>
  <si>
    <t xml:space="preserve">Loans abroad outstanding ($m)</t>
  </si>
  <si>
    <t xml:space="preserve">Monetary gold ($m)</t>
  </si>
  <si>
    <t xml:space="preserve">Navy</t>
  </si>
  <si>
    <t xml:space="preserve">Pacifica's navy bill ($m)</t>
  </si>
  <si>
    <t xml:space="preserve">Ships in service</t>
  </si>
  <si>
    <t xml:space="preserve">Capital ships: Pacifica</t>
  </si>
  <si>
    <t xml:space="preserve">Capital ships: Pacifica + Japan / Britain</t>
  </si>
  <si>
    <t xml:space="preserve">Sailors saved by oil firing</t>
  </si>
  <si>
    <t xml:space="preserve">Japan</t>
  </si>
  <si>
    <t xml:space="preserve">Japan GDP ($bn)</t>
  </si>
  <si>
    <t xml:space="preserve">Japan output per person vs the US</t>
  </si>
  <si>
    <t xml:space="preserve">Partners' output vs history</t>
  </si>
  <si>
    <t xml:space="preserve">Champions' markets abroad vs history</t>
  </si>
  <si>
    <t xml:space="preserve">Japan debt / GDP</t>
  </si>
  <si>
    <t xml:space="preserve">Checks</t>
  </si>
  <si>
    <t xml:space="preserve">Problems that year</t>
  </si>
  <si>
    <t xml:space="preserve">World in 1929 and 1932 ($bn)</t>
  </si>
  <si>
    <t xml:space="preserve">Pacifica</t>
  </si>
  <si>
    <t xml:space="preserve">Pacifica + Japan</t>
  </si>
  <si>
    <t xml:space="preserve">The Pacific order</t>
  </si>
  <si>
    <t xml:space="preserve">The Union</t>
  </si>
  <si>
    <t xml:space="preserve">Britain</t>
  </si>
  <si>
    <t xml:space="preserve">Germany</t>
  </si>
  <si>
    <t xml:space="preserve">How to read the workbook</t>
  </si>
  <si>
    <t xml:space="preserve">Levers</t>
  </si>
  <si>
    <t xml:space="preserve">Every scalar assumption, story and stress values side by side, with canon status.</t>
  </si>
  <si>
    <t xml:space="preserve">Events</t>
  </si>
  <si>
    <t xml:space="preserve">The story ledger: each dated commitment with its cost, category, canon status and section.</t>
  </si>
  <si>
    <t xml:space="preserve">Paths</t>
  </si>
  <si>
    <t xml:space="preserve">Year-by-year inputs: prices, migration, growth, tax rates, army size, loan terms.</t>
  </si>
  <si>
    <t xml:space="preserve">People</t>
  </si>
  <si>
    <t xml:space="preserve">Residents: births, territory and four migration streams; Asian-origin residents.</t>
  </si>
  <si>
    <t xml:space="preserve">Economy</t>
  </si>
  <si>
    <t xml:space="preserve">GDP from residents, productivity, slumps, prices, mining and oil; benchmark against the US.</t>
  </si>
  <si>
    <t xml:space="preserve">Resources</t>
  </si>
  <si>
    <t xml:space="preserve">Gold, metals and oil, and the royalties the state takes.</t>
  </si>
  <si>
    <t xml:space="preserve">Budget</t>
  </si>
  <si>
    <t xml:space="preserve">Treasury receipts and spending.</t>
  </si>
  <si>
    <t xml:space="preserve">Debt &amp; cash</t>
  </si>
  <si>
    <t xml:space="preserve">How each year is financed: cash, Reserve Fund, bonds.</t>
  </si>
  <si>
    <t xml:space="preserve">Loans</t>
  </si>
  <si>
    <t xml:space="preserve">Public loans to the Union, the Confederacy, Japan, China and the Entente.</t>
  </si>
  <si>
    <t xml:space="preserve">Gold &amp; money</t>
  </si>
  <si>
    <t xml:space="preserve">Monetary gold against the 40% cover rule.</t>
  </si>
  <si>
    <t xml:space="preserve">Navy plan</t>
  </si>
  <si>
    <t xml:space="preserve">Ships completed each year and their unit costs: edit these to change the fleet.</t>
  </si>
  <si>
    <t xml:space="preserve">Fleet in service, cost, sailors and fuel saved by oil, capital-ship parity.</t>
  </si>
  <si>
    <t xml:space="preserve">Japan's budget, wars, earthquake and bank crisis, San Francisco credit.</t>
  </si>
  <si>
    <t xml:space="preserve">Partners</t>
  </si>
  <si>
    <t xml:space="preserve">Japan, the Gulf, the Philippine crown, Siberia and the trading regions, each catching up with Pacifica as it integrates; the champions' markets.</t>
  </si>
  <si>
    <t xml:space="preserve">Abroad</t>
  </si>
  <si>
    <t xml:space="preserve">Private investment abroad and the income it sends home (national income).</t>
  </si>
  <si>
    <t xml:space="preserve">Labour</t>
  </si>
  <si>
    <t xml:space="preserve">The migration loop: skilled people drawn by Pacifica's lead, their families, jobs, unemployment, and what the Union loses.</t>
  </si>
  <si>
    <t xml:space="preserve">Champions</t>
  </si>
  <si>
    <t xml:space="preserve">The Polytechnic's talent and the national champions: oil, steel, cars, chemicals, electrical, telecom, shipping, finance, film, aircraft.</t>
  </si>
  <si>
    <t xml:space="preserve">Gulf</t>
  </si>
  <si>
    <t xml:space="preserve">The Gulf Republic's six admission indicators and what it adds if it joins (switch on Levers).</t>
  </si>
  <si>
    <t xml:space="preserve">World</t>
  </si>
  <si>
    <t xml:space="preserve">Pacifica and the order against the Union, Britain and Germany.</t>
  </si>
  <si>
    <t xml:space="preserve">Each year tested against arithmetic, canon ceilings and story consistency.</t>
  </si>
  <si>
    <t xml:space="preserve">Changes</t>
  </si>
  <si>
    <t xml:space="preserve">What differs from Sol's model and why.</t>
  </si>
  <si>
    <t xml:space="preserve">Colours: blue = input you can change · black = formula · green = link to another sheet · yellow = the main levers. Years shaded red are war years.</t>
  </si>
  <si>
    <t xml:space="preserve">Japan's 1927 rescue</t>
  </si>
  <si>
    <t xml:space="preserve">See Japan rescue: bank capital, monthly FX, actual public/private funding and repayment through 1933.</t>
  </si>
  <si>
    <t xml:space="preserve">What changed from Sol's model</t>
  </si>
  <si>
    <t xml:space="preserve">Sol's CR-018/CR-019 workbook (working case) against this model, with the reason for each difference.</t>
  </si>
  <si>
    <t xml:space="preserve">Sol's values are typed in from Pacifica_CR018_CR019_financial_model_1846-1932.xlsx; this model's values are live.</t>
  </si>
  <si>
    <t xml:space="preserve">Measure</t>
  </si>
  <si>
    <t xml:space="preserve">Year</t>
  </si>
  <si>
    <t xml:space="preserve">Sol's model</t>
  </si>
  <si>
    <t xml:space="preserve">This model</t>
  </si>
  <si>
    <t xml:space="preserve">Ratio</t>
  </si>
  <si>
    <t xml:space="preserve">Why it differs</t>
  </si>
  <si>
    <t xml:space="preserve">Core residents (m)</t>
  </si>
  <si>
    <t xml:space="preserve">Similar until 1895.</t>
  </si>
  <si>
    <t xml:space="preserve">No exclusion act, family programmes and skilled entry keep migration higher after 1888.</t>
  </si>
  <si>
    <t xml:space="preserve">Baseline arrivals, plus people drawn by Pacifica's lead: skilled migrants and families (B10), settled guest workers (B11), and Europeans who would have gone to the Union (B12).</t>
  </si>
  <si>
    <t xml:space="preserve">Sol's per-resident output was higher early, lower late.</t>
  </si>
  <si>
    <t xml:space="preserve">Sol's 1929 economy was the historical American West (about 1.1x US output per person). This one is about 2x: the trend path near historical California, the national champions (B9), the extra talent (B10) and the Development Fund. Total GDP is also larger because there are more people.</t>
  </si>
  <si>
    <t xml:space="preserve">Sol's slump was -41% in money terms, worse than the Union's. Here about -24%: Pacifica keeps its market open, lends its gold and its central bank acts (§34, CR-020).</t>
  </si>
  <si>
    <t xml:space="preserve">Treasury receipts ($m)</t>
  </si>
  <si>
    <t xml:space="preserve">Navy ($m)</t>
  </si>
  <si>
    <t xml:space="preserve">Sol's navy kept 24 seagoing hulls fixed from 1905 and added a flat allowance. Here the fleet is built ship by ship.</t>
  </si>
  <si>
    <t xml:space="preserve">Includes Pacifica's 65% of the common navy from 1927.</t>
  </si>
  <si>
    <t xml:space="preserve">Here a standing debt of about 5% of GDP is kept for the Reserve Bank (OPEN-020-06), and the rescue is paid from the Reserve Fund.</t>
  </si>
  <si>
    <t xml:space="preserve">Treasury cash ($m)</t>
  </si>
  <si>
    <t xml:space="preserve">Sol's surpluses piled up as $2.3bn of idle cash. Here surpluses repay debt or go to the Reserve Fund.</t>
  </si>
  <si>
    <t xml:space="preserve">Structural changes</t>
  </si>
  <si>
    <t xml:space="preserve">Fleet</t>
  </si>
  <si>
    <t xml:space="preserve">Nine ship classes with the canon technology dates: oil-fired torpedo boats in the 1880s, oil cruisers in the early 1890s, turbine destroyers 1893-95, turbine cruisers 1898, all-big-gun turbine capital ships from 1903 (proposed). HMS Dreadnought changes nothing for Pacifica's budget: there is no 1906 jump.</t>
  </si>
  <si>
    <t xml:space="preserve">Oil</t>
  </si>
  <si>
    <t xml:space="preserve">Sol's model counted oil inside 'other minerals' with no royalty and no navy effect. Here the state takes a 1/8 royalty, the navy burns its own oil, and the sheets show sailors and fuel saved by oil firing.</t>
  </si>
  <si>
    <t xml:space="preserve">Technology</t>
  </si>
  <si>
    <t xml:space="preserve">The approved oil (1876) and turbine (1885) programmes and the proposed electrical institute (1886) are costed Events, on top of a standing technical budget.</t>
  </si>
  <si>
    <t xml:space="preserve">Japan has a conserved Treasury cash account. The 1927 panic combines bank losses, domestic withdrawals and a tested foreign-settlement shortage.</t>
  </si>
  <si>
    <t xml:space="preserve">One ledger lists every dated commitment with its canon status and section, so a story change is one row to edit.</t>
  </si>
  <si>
    <t xml:space="preserve">Canal</t>
  </si>
  <si>
    <t xml:space="preserve">Owned by the state, as the regency's achievement (Sol's model: 20% public). Tolls from 1901.</t>
  </si>
  <si>
    <t xml:space="preserve">A new sheet sets Pacifica, Japan and the order against the Union, Britain and Germany.</t>
  </si>
  <si>
    <t xml:space="preserve">Layout</t>
  </si>
  <si>
    <t xml:space="preserve">Years run down the page; inputs, events and results are separate; every heading has a definition.</t>
  </si>
  <si>
    <t xml:space="preserve">CR-020</t>
  </si>
  <si>
    <t xml:space="preserve">Income from private investment abroad (national income), named export sectors, the Gulf admission switch, Pacifica's milder price fall in 1930-32, an oil compact with the Gulf, a standing public debt for the Reserve Bank, the Thalassia and islands programme as Events, a drag on the Union's output, and a Development Fund that invests most surpluses in productivity (B8). Each has a lever.</t>
  </si>
  <si>
    <t xml:space="preserve">CR-020 B9: a Champions sheet built bottom-up from world markets and Pacifica's share of each: the oil trust (Gulf refining and the Asian trade), steel, the assembly-line car industry, chemicals and drugs, electrical equipment on the Pacifican standard, telecom, shipping, San Francisco underwriting, film and aircraft. It adds to GDP, to income from abroad (concessions, plants, royalties) and to the Treasury (the Crown share), and takes a slice off the Union.</t>
  </si>
  <si>
    <t xml:space="preserve">CR-020 B10: migration answers Pacifica's lead. Skilled workers come from the Union, Europe and Asia up to a ceiling of entry places, with their families and later their relatives; workers come for new champion jobs and leave in a slump. The extra talent raises output per resident and the champions; the Union loses what its emigrants would have produced. Only the champions' productivity premium now adds to GDP, since their workers are residents.</t>
  </si>
  <si>
    <t xml:space="preserve">CR-020 B12: the Union is modelled year by year. Its historical output is reduced by the people who are not there (diverted immigrants, talent emigrants and their children), a compounding brain-drain drag, a compounding loss of Pacific trade and gold that grows with Pacifica, the champions' markets, Union citizens away as guest workers, and the 1930-32 German loan crash. This replaces the old fixed drag.</t>
  </si>
  <si>
    <t xml:space="preserve">Union response</t>
  </si>
  <si>
    <t xml:space="preserve">CR-020 B13: from 1903 (Roosevelt, after Whitney's single term) the Union copies Pacifica and boxes it in: its brain drain falls to a third by 1910, it competes for Europe's scientists and emigrants, regains some growth, and taxes and licenses the champions. Pacifica recruits in Asia instead.</t>
  </si>
  <si>
    <t xml:space="preserve">CR-020 B14: Japan, the Gulf Republic, the Philippine crown and the Siberian Republic are modelled year by year. Each closes part of its log gap to Pacifica's output per person each year, in proportion to its integration with the order. Japan's disasters and San Francisco credit scale with its economy.</t>
  </si>
  <si>
    <t xml:space="preserve">Markets</t>
  </si>
  <si>
    <t xml:space="preserve">CR-020 B15: the trading regions outside the order (China, Korea, Southeast Asia, Mexico and Pacific South America, the Persian Gulf and Middle East) catch up more slowly. The champions' markets abroad, weighted by their share of the champions' business, raise the champions by half of any rise.</t>
  </si>
  <si>
    <t xml:space="preserve">Guest workers</t>
  </si>
  <si>
    <t xml:space="preserve">CR-020 B11: a Singapore-style permit programme from 1890 fills a share of the champions' jobs and construction, dock, farm and domestic work, up to a statutory quota. Employers pay a levy; guest workers pay income tax, send part of their wages home and some settle after six years. In 1930-32 permits are not renewed, which exports part of the slump. Per-person figures count them.</t>
  </si>
  <si>
    <t xml:space="preserve">CR-021</t>
  </si>
  <si>
    <t xml:space="preserve">The capital and the cables: the Pearl Harbor works (1875-85), the San Francisco-Oahu cable (1879) and inter-island cables, the Pali railway tunnel and Kaneohe Bay channel (1876-82), Thalassia's three building phases (1876-1927) in the local Thalassian style and the island premium for running the government from it. The cables and harbour works are Investment Events: they count toward development investment and raise later output. Further gold: Goldfield and Tonopah in Nevada, and concession gold from Korea (Unsan) and Kolyma, most of it sold to the Reserve Bank. The Polytechnic of Formosa (1906) trains Chinese engineers and officials. The Formosan fee becomes an affair of the Concord from 1929, Thalassia's lease premiums go to the Hawaiian crown, and Hawaiian-medium and community schools are funded. All are Events.</t>
  </si>
  <si>
    <t xml:space="preserve">Not carried over</t>
  </si>
  <si>
    <t xml:space="preserve">Sol's bank-by-bank balance sheets, Siberian rail and shipping tonnage tests and foreign settlement deposits. The Siberian campaign keeps Sol's $808m cost and the permanent front keeps his $80m a year.</t>
  </si>
  <si>
    <t xml:space="preserve">CR-025: wartime lending, Japanese expansion and capital funding</t>
  </si>
  <si>
    <t xml:space="preserve">CR-024: Japan's 1927 rescue</t>
  </si>
  <si>
    <t xml:space="preserve">Treasury cash retained, bank capital and yen liquidity separated, monthly FX tested after all liquid reserves, and syndicate matched to actual drawings.</t>
  </si>
  <si>
    <t xml:space="preserve">Standing debt now supplies cash at the common issue price. Entente public/private/foreign claims share one repayment convention.</t>
  </si>
  <si>
    <t xml:space="preserve">Loan terms</t>
  </si>
  <si>
    <t xml:space="preserve">Fixed facility ceiling, 1/3 public and 2/3 private, monthly first-year interest, equal principal 1929-1933; private money reroutes the existing overseas budget.</t>
  </si>
  <si>
    <t xml:space="preserve">Sources &amp; uses, War credit, Japan expansion and Capital accounts distinguish cash, claims, valuation and unverified subscribers.</t>
  </si>
  <si>
    <t xml:space="preserve">FX and gold</t>
  </si>
  <si>
    <t xml:space="preserve">Japanese import buffer is distinct from Pacifica's gold-cover rule. Pacifica records bullion calls and remaining callable settlement balances separately.</t>
  </si>
  <si>
    <t xml:space="preserve">20 Oct: gaps closed</t>
  </si>
  <si>
    <t xml:space="preserve">Private capital</t>
  </si>
  <si>
    <t xml:space="preserve">Home investment allowance falls to 13% of GDP in 1861-65 and 1870-71, and to 12.4% in 1862; the Baja purchase is paid in five instalments, 1867-71.</t>
  </si>
  <si>
    <t xml:space="preserve">Champion funding sheet: retained cash, Carnegie paid in Pacifica Steel paper ($480m, 1901), local partners' equity (25%), champion bonds sold in Europe (1880-1913) and to the Union and Japan (1919-29). Oil assets abroad are priced at four years' earnings.</t>
  </si>
  <si>
    <t xml:space="preserve">Foreign claims</t>
  </si>
  <si>
    <t xml:space="preserve">Coupons, the Carnegie yield and partners' earnings are paid out of national income; redemptions are a use of home saving.</t>
  </si>
  <si>
    <t xml:space="preserve">Entente</t>
  </si>
  <si>
    <t xml:space="preserve">Entente subscribers sheet names the foreign subscribers by source and year, checked against the sources: $3.95bn abroad (none in 1914), $2.85bn from Pacifican savers, $1.7bn from the Treasury.</t>
  </si>
  <si>
    <t xml:space="preserve">Japan creditors</t>
  </si>
  <si>
    <t xml:space="preserve">The $800m outside Pacifican portfolios is named: London houses $400m, Union banks $250m, continental $100m, regional $50m. Japan's short foreign bank debt is re-timed (21 Oct): $600m in wartime, mostly Pacifican; $1bn in 1919-26 as London and the Union banks return. Japan's Entente subscriptions move to 1917-18.</t>
  </si>
  <si>
    <t xml:space="preserve">Numbering</t>
  </si>
  <si>
    <t xml:space="preserve">Japan's 1927 rescue is CR-024 and the wartime credit CR-025 (CR-022 and CR-023 are taken).</t>
  </si>
  <si>
    <t xml:space="preserve">22 Oct: CR-029</t>
  </si>
  <si>
    <t xml:space="preserve">Philippines</t>
  </si>
  <si>
    <t xml:space="preserve">CR-029: the Manila station (1873-76); the 1874 loan cancelled against a $20m price, so only $14.3m leaves in gold; the inherited Sulu war and the Moro stipends; Subic and Olongapo; the friar-estate, waterworks and peso-reserve credits to the Philippines; quarantine; New Calamba; the 1896 rising and the 1897 interception; Micronesia, Samoa, Midway and Wake; the 1914 plebiscites and Ka Lokahi; the Philippine budget support ends in 1914 and a defence contribution starts in 1915. On Partners the Philippine crown integrates faster (+0.04 from the 1886 peso, +0.03 from the 1915 customs union), and its population keeps the people the 1888-89 and 1902-04 cholera epidemics killed historically.</t>
  </si>
  <si>
    <t xml:space="preserve">Islands pay their way</t>
  </si>
  <si>
    <t xml:space="preserve">CR-029 A46-A49: the $20m purchase, the friar-estate bonds ($7m) and the waterworks bonds ($4m) are Philippine debt guaranteed by the Confederation (the Redemption Loan), serviced from Philippine customs under a fairness covenant: debt service never exceeds the measured gain, which binds only in 1877. The Realm takes over the $9.5m left in 1914 (E145). Seigniorage on the token peso (E146), the sale of the tobacco monopoly and the Crown's dividends from the tobacco company and the cordage champion (E147-E151). No Treasury gold is lent for the peso.</t>
  </si>
  <si>
    <t xml:space="preserve">22 Oct: CR-028</t>
  </si>
  <si>
    <t xml:space="preserve">Founding, 1846-60</t>
  </si>
  <si>
    <t xml:space="preserve">CR-028: the royalty runs only from the October 1848 decree; the 1848 claims commission, the whalers' allowance under the Buchanan-Vallejo Convention and the Sausalito storehouse rent (E114-E117).</t>
  </si>
  <si>
    <t xml:space="preserve">22 Oct: CR-030</t>
  </si>
  <si>
    <t xml:space="preserve">Siberian transport</t>
  </si>
  <si>
    <t xml:space="preserve">A Siberia sheet carries the campaign quarter by quarter (1918-22) and the standing front year by year (1923-32): troops, daily tonnage, four railway sections, train paths, locomotives, wagons, Vladivostok, ships, depots and the Kara Sea route. Costs are built up from it and replace Sol's flat $808m and $80m a year (E76, E81, E152-E164; Japan column L). Checks gains column AI, 'Siberian line carries the army'. This restores the rail and shipping tests that were not carried over. Revision 2: five sections (the Manzhouli branch split from the double track), the Amur summer route via Sretensk, Pacifican-built engines and cars inherited in 1918, coal-strike and dry-year levers, stress works at 60%, provisions for railwaymen and miners.</t>
  </si>
  <si>
    <t xml:space="preserve">23 Oct: CR-031</t>
  </si>
  <si>
    <t xml:space="preserve">The Treaty of Harbin: the North</t>
  </si>
  <si>
    <t xml:space="preserve">CR-031 revision 4: relief ships to Chukotka and the Okhotsk coast (1919-20), the Northern Trade Commission's write-down, the Commander Islands' price and seal receipts, and the Pacifican stake in the Kamchatka Company (E165-E169). Kamchatka is a Japanese protectorate and costs Pacifica nothing to garrison; Kolyma gold ships through Nagaevo on the Siberian side, with the road built from 1928.</t>
  </si>
  <si>
    <t xml:space="preserve">27 Oct: CR-033</t>
  </si>
  <si>
    <t xml:space="preserve">Population and the Land Fund</t>
  </si>
  <si>
    <t xml:space="preserve">Population change list P1-P6 (population/workbook_change_list.md): Paths C from the population model; DEM-01 early arrivals (dem01_mult); extra arrivals split by origin into People N-P (xo_*), Q and R folded in; memo columns for Native Hawaiians and Native Californians; two checks. Land Fund sheet (CR-033 draft) feeding Budget G. Events table widened to row 400.</t>
  </si>
  <si>
    <t xml:space="preserve">28 Oct: CR-034</t>
  </si>
  <si>
    <t xml:space="preserve">Skilled entry from the 1850s</t>
  </si>
  <si>
    <t xml:space="preserve">Levers 'First year of the skilled-entry programme' 1856 (was 1880), CR-034 A24.</t>
  </si>
  <si>
    <t xml:space="preserve">30 Oct: CR-041</t>
  </si>
  <si>
    <t xml:space="preserve">The Russian war re-planned</t>
  </si>
  <si>
    <t xml:space="preserve">CR-041 Plan C and CR-040 Stages 3-4: the Siberia schedule rebuilt (50,000-man corps at the Urals, Russian armies on the line, a new railway section (section 5) to Chelyabinsk, a guarantee reserve from 1923 instead of a standing front); new Events for the Directory's credit, Cossack pay, the Kazan gold, the Black Sea, White Sea and Baltic operations, Yudenich and Estonia, the reconstruction credit and the oil concessions; federal Russia recognises part of the 1918 write-off. Paths C from 1918 includes the corps' war deaths.</t>
  </si>
  <si>
    <t xml:space="preserve">Story levers</t>
  </si>
  <si>
    <t xml:space="preserve">Every scalar assumption in one place. Pick the case in E4; the Active column feeds the model.</t>
  </si>
  <si>
    <t xml:space="preserve">Blue = input · yellow = the main levers · Status says whether the idea is canon; the amount is almost always a model estimate.</t>
  </si>
  <si>
    <t xml:space="preserve">Case in use (1 = Story case, 2 = Stress case)</t>
  </si>
  <si>
    <t xml:space="preserve">Lever</t>
  </si>
  <si>
    <t xml:space="preserve">Story case</t>
  </si>
  <si>
    <t xml:space="preserve">Stress case</t>
  </si>
  <si>
    <t xml:space="preserve">Active</t>
  </si>
  <si>
    <t xml:space="preserve">Unit</t>
  </si>
  <si>
    <t xml:space="preserve">Status</t>
  </si>
  <si>
    <t xml:space="preserve">Basis and notes</t>
  </si>
  <si>
    <t xml:space="preserve">— Economy and people —</t>
  </si>
  <si>
    <t xml:space="preserve">Residents of California in 1846</t>
  </si>
  <si>
    <t xml:space="preserve">persons</t>
  </si>
  <si>
    <t xml:space="preserve">Model estimate</t>
  </si>
  <si>
    <t xml:space="preserve">Californios, Indigenous communities and foreigners; old model used the same figure.</t>
  </si>
  <si>
    <t xml:space="preserve">Real non-mining output per resident, 1846</t>
  </si>
  <si>
    <t xml:space="preserve">1913 $</t>
  </si>
  <si>
    <t xml:space="preserve">Pastoral Californio economy, a little above the US level of about $125 in 1913 dollars.</t>
  </si>
  <si>
    <t xml:space="preserve">Productivity growth after 1895 (× story path)</t>
  </si>
  <si>
    <t xml:space="preserve">×</t>
  </si>
  <si>
    <t xml:space="preserve">Stress case cuts growth after 1895 by a quarter, like Sol's 25% lower-productivity case.</t>
  </si>
  <si>
    <t xml:space="preserve">Immigration after 1895 (× story path)</t>
  </si>
  <si>
    <t xml:space="preserve">Selective-entry era. Stress case admits a fifth fewer people.</t>
  </si>
  <si>
    <t xml:space="preserve">Depression severity 1930-32 (× story slump)</t>
  </si>
  <si>
    <t xml:space="preserve">Stress case: the 1932 slump is 22% below trend instead of 14%.</t>
  </si>
  <si>
    <t xml:space="preserve">Return migration, Asian streams</t>
  </si>
  <si>
    <t xml:space="preserve">share</t>
  </si>
  <si>
    <t xml:space="preserve">Share of Chinese, Japanese and Filipino arrivals who later leave. Family migration keeps it lower than the historical 40-50%.</t>
  </si>
  <si>
    <t xml:space="preserve">Assisted passage and reception per person</t>
  </si>
  <si>
    <t xml:space="preserve">Kaiulani's programme: fare, reception and training. Old model: $75 + $12 in 1860 dollars.</t>
  </si>
  <si>
    <t xml:space="preserve">Mining value added / gross output</t>
  </si>
  <si>
    <t xml:space="preserve">Old model used 0.8.</t>
  </si>
  <si>
    <t xml:space="preserve">— Revenue —</t>
  </si>
  <si>
    <t xml:space="preserve">Customs collection</t>
  </si>
  <si>
    <t xml:space="preserve">Old model value.</t>
  </si>
  <si>
    <t xml:space="preserve">Royalty on gold, silver and copper</t>
  </si>
  <si>
    <t xml:space="preserve">Canon</t>
  </si>
  <si>
    <t xml:space="preserve">Mining Law of 1849: 5% public royalty at the mint and choke points (§5). Applied to all metals here.</t>
  </si>
  <si>
    <t xml:space="preserve">State royalty on oil</t>
  </si>
  <si>
    <t xml:space="preserve">The state survey found the fields (approved oil programme), so the state keeps a landowner's 1/8 royalty.</t>
  </si>
  <si>
    <t xml:space="preserve">State ownership of the Panama canal</t>
  </si>
  <si>
    <t xml:space="preserve">Canon: the regency buys the French works in 1889 and completes the canal. Old model assumed 20% public.</t>
  </si>
  <si>
    <t xml:space="preserve">Canal operating cost / tolls</t>
  </si>
  <si>
    <t xml:space="preserve">Historical Panama: about $10m costs on $25-27m tolls in the late 1920s.</t>
  </si>
  <si>
    <t xml:space="preserve">Yield on the Treasury Reserve Fund</t>
  </si>
  <si>
    <t xml:space="preserve">Fund holds gold-dollar bonds of partners and the Union.</t>
  </si>
  <si>
    <t xml:space="preserve">— Spending —</t>
  </si>
  <si>
    <t xml:space="preserve">Cost per active soldier</t>
  </si>
  <si>
    <t xml:space="preserve">Pay, food, equipment. US Army 1913 ran about $1,100 per soldier; conscript army is cheaper.</t>
  </si>
  <si>
    <t xml:space="preserve">Training cost per reservist</t>
  </si>
  <si>
    <t xml:space="preserve">Defense Law of 1855 reserve liability (§8).</t>
  </si>
  <si>
    <t xml:space="preserve">Cost per sailor</t>
  </si>
  <si>
    <t xml:space="preserve">Pay and keep, at Pacifican wage levels.</t>
  </si>
  <si>
    <t xml:space="preserve">Ship maintenance / replacement cost</t>
  </si>
  <si>
    <t xml:space="preserve">Bases, yards, training / running costs</t>
  </si>
  <si>
    <t xml:space="preserve">Crew of an oil-fired ship vs coal-fired</t>
  </si>
  <si>
    <t xml:space="preserve">Oil removes most stokers and coal trimmers, about a fifth of a coal ship's crew.</t>
  </si>
  <si>
    <t xml:space="preserve">Fuel cost of own oil vs bought coal</t>
  </si>
  <si>
    <t xml:space="preserve">Domestic oil, no colliers or foreign coaling stations.</t>
  </si>
  <si>
    <t xml:space="preserve">Pacifica's share of common costs from 1927</t>
  </si>
  <si>
    <t xml:space="preserve">Proposed</t>
  </si>
  <si>
    <t xml:space="preserve">Old model working convention (OPEN FIN-13). Japan pays the rest.</t>
  </si>
  <si>
    <t xml:space="preserve">— Financing —</t>
  </si>
  <si>
    <t xml:space="preserve">Treasury cash at the 1846 founding</t>
  </si>
  <si>
    <t xml:space="preserve">$m</t>
  </si>
  <si>
    <t xml:space="preserve">Cash kept / annual receipts</t>
  </si>
  <si>
    <t xml:space="preserve">Bond issue price / face</t>
  </si>
  <si>
    <t xml:space="preserve">Scheduled debt repayment per year</t>
  </si>
  <si>
    <t xml:space="preserve">Share of surplus used to repay debt</t>
  </si>
  <si>
    <t xml:space="preserve">The rest of a surplus goes to the Treasury Reserve Fund.</t>
  </si>
  <si>
    <t xml:space="preserve">Most new bonds the home market can take / GDP</t>
  </si>
  <si>
    <t xml:space="preserve">Old model's market cash commitment limit. Used only in Checks.</t>
  </si>
  <si>
    <t xml:space="preserve">Bonds London and other markets will take per year</t>
  </si>
  <si>
    <t xml:space="preserve">Early Pacifica depends on foreign credit (§8-9). Used only in Checks.</t>
  </si>
  <si>
    <t xml:space="preserve">— Foreign lending —</t>
  </si>
  <si>
    <t xml:space="preserve">Coupon: continental loans (Union, Confederacy, Cuba)</t>
  </si>
  <si>
    <t xml:space="preserve">Repayment: continental loans</t>
  </si>
  <si>
    <t xml:space="preserve">Coupon: Asian partner loans</t>
  </si>
  <si>
    <t xml:space="preserve">Repayment: Asian partner loans</t>
  </si>
  <si>
    <t xml:space="preserve">Coupon: 1931-32 rescue loans</t>
  </si>
  <si>
    <t xml:space="preserve">Repayment starts after 1932.</t>
  </si>
  <si>
    <t xml:space="preserve">Entente credit organized 1914-18</t>
  </si>
  <si>
    <t xml:space="preserve">Sol's proposal tested $3bn and $8.5bn. Union investors buy most of it through San Francisco.</t>
  </si>
  <si>
    <t xml:space="preserve">Treasury's own share of Entente credit</t>
  </si>
  <si>
    <t xml:space="preserve">Sol's proposal used 10%. A bigger economy can carry 20%; stress case assumes fewer outside buyers.</t>
  </si>
  <si>
    <t xml:space="preserve">Entente credit written off when Russia defaults (1918)</t>
  </si>
  <si>
    <t xml:space="preserve">Western cession vendor credit to the Union</t>
  </si>
  <si>
    <t xml:space="preserve">§12: $40m gold in instalments through 1872.</t>
  </si>
  <si>
    <t xml:space="preserve">— Wars and crises —</t>
  </si>
  <si>
    <t xml:space="preserve">Siberian campaign, Pacifican spending 1918-22 (old estimate, now built up on the Siberia sheet)</t>
  </si>
  <si>
    <t xml:space="preserve">Old model $807.9m; stress case +50% (Sol's adverse procurement case).</t>
  </si>
  <si>
    <t xml:space="preserve">Permanent Siberian front, all partners, per year (old estimate, now built up on the Siberia sheet)</t>
  </si>
  <si>
    <t xml:space="preserve">Old model working / adverse values.</t>
  </si>
  <si>
    <t xml:space="preserve">Second gold rescue of the Union, 1931-32</t>
  </si>
  <si>
    <t xml:space="preserve">Old model $400m; §34 says the scale needs audit.</t>
  </si>
  <si>
    <t xml:space="preserve">Recapitalisation of Pacifican banks 1931-32</t>
  </si>
  <si>
    <t xml:space="preserve">Reserve Bank purchases of Treasury bonds 1931-32</t>
  </si>
  <si>
    <t xml:space="preserve">Sol's proposal needed $400m. The story case does not need it; the stress case does.</t>
  </si>
  <si>
    <t xml:space="preserve">— Money and gold —</t>
  </si>
  <si>
    <t xml:space="preserve">New gold kept as monetary metal</t>
  </si>
  <si>
    <t xml:space="preserve">Old model 0.6. Most private bullion is exported (§8), so 20% here.</t>
  </si>
  <si>
    <t xml:space="preserve">Concession gold (Korea, Kolyma) sold to the Reserve Bank</t>
  </si>
  <si>
    <t xml:space="preserve">CR-021 H: Pacifican concession companies sell most of their gold in San Francisco against credit.</t>
  </si>
  <si>
    <t xml:space="preserve">Gold inflow from the external surplus / GDP</t>
  </si>
  <si>
    <t xml:space="preserve">Creditor and exporter of oil, wheat, copper and shipping services.</t>
  </si>
  <si>
    <t xml:space="preserve">Notes and bank reserves / GDP</t>
  </si>
  <si>
    <t xml:space="preserve">US monetary base was about 6% of GDP in 1929.</t>
  </si>
  <si>
    <t xml:space="preserve">Gold cover required</t>
  </si>
  <si>
    <t xml:space="preserve">Sol's proposal and old model: 40%.</t>
  </si>
  <si>
    <t xml:space="preserve">— Gulf Republic —</t>
  </si>
  <si>
    <t xml:space="preserve">Gulf Republic joins Pacifica (1 = yes, 0 = no)</t>
  </si>
  <si>
    <t xml:space="preserve">switch</t>
  </si>
  <si>
    <t xml:space="preserve">§25 admission test. Off keeps the Gulf an allied republic, as the master storyline has it.</t>
  </si>
  <si>
    <t xml:space="preserve">Years every measure must be held before admission</t>
  </si>
  <si>
    <t xml:space="preserve">years</t>
  </si>
  <si>
    <t xml:space="preserve">Approved</t>
  </si>
  <si>
    <t xml:space="preserve">OPEN-020-04: a generation; Pacifica reserves the right to ask for a second. It is in no hurry.</t>
  </si>
  <si>
    <t xml:space="preserve">Year the Gulf joins (test only)</t>
  </si>
  <si>
    <t xml:space="preserve">year</t>
  </si>
  <si>
    <t xml:space="preserve">1929 is the earliest the six indicators allow (three passing years 1926-28; see the Gulf sheet). A year after 1932 delays admission past the Depression and beyond this model.</t>
  </si>
  <si>
    <t xml:space="preserve">— CR-020: Depression, oil compact, standing debt, investment abroad —</t>
  </si>
  <si>
    <t xml:space="preserve">Share of the US price fall Pacifica suffers, 1930-32</t>
  </si>
  <si>
    <t xml:space="preserve">CR-020 B6: Pacifica lends its gold out instead of hoarding it, so its prices fall less than America's. 1 = the full US fall.</t>
  </si>
  <si>
    <t xml:space="preserve">Oil compact with the Gulf (1 = yes; from the year below)</t>
  </si>
  <si>
    <t xml:space="preserve">CR-020 B6: limits output after the East Texas glut and holds the price. Keeps the Gulf's wage indicator from failing in 1931-33.</t>
  </si>
  <si>
    <t xml:space="preserve">Oil price the compact holds ($ per barrel)</t>
  </si>
  <si>
    <t xml:space="preserve">$</t>
  </si>
  <si>
    <t xml:space="preserve">Historical California crude fell to about $0.70; East Texas to about $0.10.</t>
  </si>
  <si>
    <t xml:space="preserve">Output cut under the compact</t>
  </si>
  <si>
    <t xml:space="preserve">First year of the oil compact</t>
  </si>
  <si>
    <t xml:space="preserve">OPEN-020-04 decided: the compact comes a year late, after a year of 10-cent East Texas oil, so 1931 narrowly breaks the Gulf's streak.</t>
  </si>
  <si>
    <t xml:space="preserve">Fall in the Gulf's real wage, 1931-33, without a compact</t>
  </si>
  <si>
    <t xml:space="preserve">Enough to break the Gulf's admission streak (CR-020 B5).</t>
  </si>
  <si>
    <t xml:space="preserve">Fall in Gulf output, 1931-32, without a compact</t>
  </si>
  <si>
    <t xml:space="preserve">Standing public debt kept from 1887 / GDP</t>
  </si>
  <si>
    <t xml:space="preserve">OPEN-020-06: bonds kept in issue for the Reserve Bank's operations; the proceeds go to the Reserve Fund. Set 0 to repay everything.</t>
  </si>
  <si>
    <t xml:space="preserve">Pacifican private investors' share of the Entente credit</t>
  </si>
  <si>
    <t xml:space="preserve">CR-020 B4.</t>
  </si>
  <si>
    <t xml:space="preserve">Return on private investment abroad</t>
  </si>
  <si>
    <t xml:space="preserve">Britain earned 8-9% of national income from abroad in 1913.</t>
  </si>
  <si>
    <t xml:space="preserve">Investment abroad repaid or sold each year</t>
  </si>
  <si>
    <t xml:space="preserve">Losses on investment abroad, 1931-32</t>
  </si>
  <si>
    <t xml:space="preserve">Defaults and write-downs in the crash.</t>
  </si>
  <si>
    <t xml:space="preserve">Income from abroad in 1931-32 (× normal)</t>
  </si>
  <si>
    <t xml:space="preserve">Moratorium and defaults.</t>
  </si>
  <si>
    <t xml:space="preserve">Tax on income from abroad</t>
  </si>
  <si>
    <t xml:space="preserve">— CR-020: Development Fund —</t>
  </si>
  <si>
    <t xml:space="preserve">Share of each surplus invested by the Development Fund</t>
  </si>
  <si>
    <t xml:space="preserve">CR-020 B8: instead of piling up in the Reserve Fund, most of a surplus goes into productive public investment: the Polytechnic and research institutes, the power grid, ports and rail, technical schools, credit for new industries.</t>
  </si>
  <si>
    <t xml:space="preserve">Lasting rise in output per $1 invested (social return)</t>
  </si>
  <si>
    <t xml:space="preserve">Each $1 invested raises the next year's output growth by this much per $1 of GDP. Estimates for infrastructure, research and technical education mostly fall between 10% and 40%.</t>
  </si>
  <si>
    <t xml:space="preserve">First year of the Development Fund</t>
  </si>
  <si>
    <t xml:space="preserve">Before the regency: Elias's oil and turbine programmes.</t>
  </si>
  <si>
    <t xml:space="preserve">Standing-debt bonds finance development (1 = yes, 0 = Reserve Fund)</t>
  </si>
  <si>
    <t xml:space="preserve">Development bonds, as in a state-capitalist economy: the bonds kept in issue for the Reserve Bank pay for investment instead of sitting in the Reserve Fund.</t>
  </si>
  <si>
    <t xml:space="preserve">Reserve Fund kept as a crisis buffer / GDP</t>
  </si>
  <si>
    <t xml:space="preserve">Anything above this is invested by the Development Fund each year.</t>
  </si>
  <si>
    <t xml:space="preserve">Largest yearly growth boost from the fund</t>
  </si>
  <si>
    <t xml:space="preserve">A ceiling for diminishing returns; even the fastest frontier economies rarely beat rivals by more than about 1 point a year for decades.</t>
  </si>
  <si>
    <t xml:space="preserve">Yearly wear-out of the development stock</t>
  </si>
  <si>
    <t xml:space="preserve">Only for the memo stock column.</t>
  </si>
  <si>
    <t xml:space="preserve">— CR-020 B9: national champions —</t>
  </si>
  <si>
    <t xml:space="preserve">Scale of the champions (× story paths)</t>
  </si>
  <si>
    <t xml:space="preserve">CR-020 B9: oil, steel, motor vehicles, chemicals, electrical, telecom, shipping, finance, film and aircraft. The stress case keeps 60% of what the story claims.</t>
  </si>
  <si>
    <t xml:space="preserve">Champions' output per worker vs the average job</t>
  </si>
  <si>
    <t xml:space="preserve">Only this premium adds to GDP: the champions' workers are residents whose average output is already counted (CR-020 B10).</t>
  </si>
  <si>
    <t xml:space="preserve">Supplier and city spillovers (× champions' value added)</t>
  </si>
  <si>
    <t xml:space="preserve">Parts makers, machine shops, engineering offices, the service economy of the new industrial cities.</t>
  </si>
  <si>
    <t xml:space="preserve">Value added / sales: chemicals and drugs</t>
  </si>
  <si>
    <t xml:space="preserve">Value added / sales: electrical equipment</t>
  </si>
  <si>
    <t xml:space="preserve">Royalty or licence fee on sales</t>
  </si>
  <si>
    <t xml:space="preserve">Typical patent licences ran 2-5% of sales.</t>
  </si>
  <si>
    <t xml:space="preserve">Underwriting and banking fees on bonds floated</t>
  </si>
  <si>
    <t xml:space="preserve">Book value of oil assets abroad (years of earnings)</t>
  </si>
  <si>
    <t xml:space="preserve">Yield: rail, ports and canals abroad</t>
  </si>
  <si>
    <t xml:space="preserve">British overseas railways paid 4-6%.</t>
  </si>
  <si>
    <t xml:space="preserve">Yield: cables and telegraphs abroad</t>
  </si>
  <si>
    <t xml:space="preserve">Cable companies paid 8-12% on monopoly routes.</t>
  </si>
  <si>
    <t xml:space="preserve">Yield: power companies abroad</t>
  </si>
  <si>
    <t xml:space="preserve">Yield: assembly plants abroad</t>
  </si>
  <si>
    <t xml:space="preserve">Yield: chemical plants abroad</t>
  </si>
  <si>
    <t xml:space="preserve">Yield: ore and mills abroad</t>
  </si>
  <si>
    <t xml:space="preserve">Champions' profits / value added at home</t>
  </si>
  <si>
    <t xml:space="preserve">Crown share in chartered and concession industries</t>
  </si>
  <si>
    <t xml:space="preserve">OPEN-020-10: oil, rail and ports, telegraph and cable, power companies, canal shipping. Compare the Suez shares (44%), Anglo-Persian (51%), the South Manchuria Railway (50%), CFP (about 25%).</t>
  </si>
  <si>
    <t xml:space="preserve">Crown share in competitive industries (with a golden share)</t>
  </si>
  <si>
    <t xml:space="preserve">OPEN-020-10: steel, cars, chemicals, electrical equipment, film, aircraft; the price of Polytechnic patents. Compare Lower Saxony's 20% of Volkswagen.</t>
  </si>
  <si>
    <t xml:space="preserve">Share of profits paid out as dividends</t>
  </si>
  <si>
    <t xml:space="preserve">First year the Crown share pays</t>
  </si>
  <si>
    <t xml:space="preserve">— CR-020 B10: talent migration and jobs —</t>
  </si>
  <si>
    <t xml:space="preserve">Migration responds to Pacifica's lead (1 = on)</t>
  </si>
  <si>
    <t xml:space="preserve">CR-020 B10: skilled people, their relatives and workers for new jobs come because Pacifica pays more.</t>
  </si>
  <si>
    <t xml:space="preserve">First year of the skilled-entry programme</t>
  </si>
  <si>
    <t xml:space="preserve">Lead over the US that the baseline arrival paths assume</t>
  </si>
  <si>
    <t xml:space="preserve">Skilled share of the Union's workforce</t>
  </si>
  <si>
    <t xml:space="preserve">Professionals, technicians, skilled crafts.</t>
  </si>
  <si>
    <t xml:space="preserve">Union skilled workers leaving per year, per unit of extra lead</t>
  </si>
  <si>
    <t xml:space="preserve">At a lead 0.5 beyond the baseline, 0.5% of the Union's skilled workers leave each year. East Germany lost about 1.2% of all its people a year before 1961.</t>
  </si>
  <si>
    <t xml:space="preserve">Share of Europe's and Asia's skilled emigrants drawn, per unit of extra lead</t>
  </si>
  <si>
    <t xml:space="preserve">Skilled-entry places / residents</t>
  </si>
  <si>
    <t xml:space="preserve">Pacifica's own ceiling on the programme. At 0.3% it stops binding in the late 1920s: everyone who qualifies and wants to come is admitted.</t>
  </si>
  <si>
    <t xml:space="preserve">People per skilled worker admitted (with family)</t>
  </si>
  <si>
    <t xml:space="preserve">Relatives following per year, per talent migrant in Pacifica</t>
  </si>
  <si>
    <t xml:space="preserve">Output of a talent migrant vs an average worker</t>
  </si>
  <si>
    <t xml:space="preserve">Selected for skill: engineers, chemists, doctors, master machinists.</t>
  </si>
  <si>
    <t xml:space="preserve">Extra output of others per talent migrant (× average worker)</t>
  </si>
  <si>
    <t xml:space="preserve">Ideas, firms founded, apprentices trained.</t>
  </si>
  <si>
    <t xml:space="preserve">Talent stock retiring or dying each year</t>
  </si>
  <si>
    <t xml:space="preserve">Pacifica's own skilled share of the workforce</t>
  </si>
  <si>
    <t xml:space="preserve">Rise in the champions per rise in the skilled workforce</t>
  </si>
  <si>
    <t xml:space="preserve">Labour force / residents</t>
  </si>
  <si>
    <t xml:space="preserve">Related jobs per champion job</t>
  </si>
  <si>
    <t xml:space="preserve">Suppliers, services, construction.</t>
  </si>
  <si>
    <t xml:space="preserve">Share of new champion-related jobs filled by new arrivals</t>
  </si>
  <si>
    <t xml:space="preserve">Share of lost champion-related jobs whose workers leave</t>
  </si>
  <si>
    <t xml:space="preserve">People per worker arriving for a job</t>
  </si>
  <si>
    <t xml:space="preserve">Share of the champions' business taken from Union firms</t>
  </si>
  <si>
    <t xml:space="preserve">Displaced Union workers re-employed each year (not in 1930-32)</t>
  </si>
  <si>
    <t xml:space="preserve">Pacifica's normal unemployment rate</t>
  </si>
  <si>
    <t xml:space="preserve">Frictional only: vacancies are filled from abroad through the permit system. Switzerland ran about 0.5% and Singapore about 2% in comparable labour-short decades.</t>
  </si>
  <si>
    <t xml:space="preserve">Normal unemployment in war years (× normal)</t>
  </si>
  <si>
    <t xml:space="preserve">Munitions, shipyards and the services absorb the slack.</t>
  </si>
  <si>
    <t xml:space="preserve">Unemployment rise per point of output below trend</t>
  </si>
  <si>
    <t xml:space="preserve">Okun's rule.</t>
  </si>
  <si>
    <t xml:space="preserve">Recruiting cost per skilled worker (1913 $)</t>
  </si>
  <si>
    <t xml:space="preserve">Chairs, laboratories, passage, housing loans.</t>
  </si>
  <si>
    <t xml:space="preserve">— CR-020 B12: the Union as a modelled economy —</t>
  </si>
  <si>
    <t xml:space="preserve">Pacifica diverts part of the Union's European immigration (1 = on)</t>
  </si>
  <si>
    <t xml:space="preserve">CR-020 B12: Europeans who would have gone to New York sail for San Francisco instead.</t>
  </si>
  <si>
    <t xml:space="preserve">First year of diversion</t>
  </si>
  <si>
    <t xml:space="preserve">Once the Polytechnic and the oil programme make Pacifica's lead visible in Europe.</t>
  </si>
  <si>
    <t xml:space="preserve">Share of US-bound immigrants diverted, per unit of extra lead</t>
  </si>
  <si>
    <t xml:space="preserve">Largest share diverted</t>
  </si>
  <si>
    <t xml:space="preserve">Distance and passage cost: Hamburg or Naples to San Francisco is four to six weeks longer than to New York.</t>
  </si>
  <si>
    <t xml:space="preserve">First-generation diverted immigrant's output vs an average resident</t>
  </si>
  <si>
    <t xml:space="preserve">Share of first-generation diverted immigrants who catch up each year</t>
  </si>
  <si>
    <t xml:space="preserve">Union natural increase</t>
  </si>
  <si>
    <t xml:space="preserve">For the children the missing people would have had there.</t>
  </si>
  <si>
    <t xml:space="preserve">Union growth lost per unit share of its skilled workers gone</t>
  </si>
  <si>
    <t xml:space="preserve">With 7% of its skilled workers in Pacifica, the Union grows about 0.2 points a year slower.</t>
  </si>
  <si>
    <t xml:space="preserve">Union growth lost to Pacific trade and gold, per unit of Pacifica / Union GDP</t>
  </si>
  <si>
    <t xml:space="preserve">At half the Union's size, Pacifica costs it about 0.15 points of growth a year; replaces the old fixed drag.</t>
  </si>
  <si>
    <t xml:space="preserve">Share of guest workers who are Union citizens</t>
  </si>
  <si>
    <t xml:space="preserve">— CR-020 B14: the partners catch up —</t>
  </si>
  <si>
    <t xml:space="preserve">Share of the log gap to Pacifica a fully integrated partner closes each year</t>
  </si>
  <si>
    <t xml:space="preserve">Conditional convergence: integrated regions close about 2% of the gap a year (Barro and Sala-i-Martin); separate states with open trade, capital and schools, about half of that.</t>
  </si>
  <si>
    <t xml:space="preserve">Largest extra growth a year from catching up</t>
  </si>
  <si>
    <t xml:space="preserve">Post-war Japan and Korea managed 4-6 points.</t>
  </si>
  <si>
    <t xml:space="preserve">Rise in the champions per rise in their markets abroad</t>
  </si>
  <si>
    <t xml:space="preserve">CR-020 B15: about half the champions' business is abroad or tied to foreign markets.</t>
  </si>
  <si>
    <t xml:space="preserve">Largest rise in the champions from richer markets</t>
  </si>
  <si>
    <t xml:space="preserve">— CR-020 B13: the Union responds —</t>
  </si>
  <si>
    <t xml:space="preserve">The Union's response (0 = passive, 1 = emulates, 2 = emulates and contains)</t>
  </si>
  <si>
    <t xml:space="preserve">CR-020 B13: copy Pacifica at home, box it in abroad.</t>
  </si>
  <si>
    <t xml:space="preserve">The alarm rings (first year of the response)</t>
  </si>
  <si>
    <t xml:space="preserve">Whitney (1897-1901) lets his financier friends profit from the brain drain; Roosevelt makes it a national cause.</t>
  </si>
  <si>
    <t xml:space="preserve">The response fully in force</t>
  </si>
  <si>
    <t xml:space="preserve">Union skilled emigration left once it responds (× passive)</t>
  </si>
  <si>
    <t xml:space="preserve">Down to a third.</t>
  </si>
  <si>
    <t xml:space="preserve">Pacifica's share of Europe's skilled emigrants lost to Union competition</t>
  </si>
  <si>
    <t xml:space="preserve">Diverted immigration lost to Union competition</t>
  </si>
  <si>
    <t xml:space="preserve">Union growth regained by emulating Pacifica (a year)</t>
  </si>
  <si>
    <t xml:space="preserve">Champions' Union business lost to tariffs and licensing</t>
  </si>
  <si>
    <t xml:space="preserve">Royalties lost to compulsory licensing</t>
  </si>
  <si>
    <t xml:space="preserve">Champions' output lost to Union tariffs</t>
  </si>
  <si>
    <t xml:space="preserve">Share of Asia's skilled emigrants drawn, per unit of extra lead</t>
  </si>
  <si>
    <t xml:space="preserve">Pacifica's answer to the Union's competition for Europeans.</t>
  </si>
  <si>
    <t xml:space="preserve">— CR-020 B11: guest workers —</t>
  </si>
  <si>
    <t xml:space="preserve">Guest-worker programme (1 = on)</t>
  </si>
  <si>
    <t xml:space="preserve">CR-020 B11: Singapore-style permits for the jobs the champions create: quotas, an employer levy, inspected housing, wage protection, paid return passage, a path to residence.</t>
  </si>
  <si>
    <t xml:space="preserve">First year of the programme</t>
  </si>
  <si>
    <t xml:space="preserve">A regency measure (§25).</t>
  </si>
  <si>
    <t xml:space="preserve">Guest workers per champion-related job</t>
  </si>
  <si>
    <t xml:space="preserve">Guest workers in construction, docks, farms and homes / resident labour force</t>
  </si>
  <si>
    <t xml:space="preserve">Statutory quota: guest workers / resident labour force</t>
  </si>
  <si>
    <t xml:space="preserve">Switzerland had about 30% of its workforce foreign around 1970, Singapore about 38% today, the Gulf states 80-90%.</t>
  </si>
  <si>
    <t xml:space="preserve">Share of the gap to demand closed each year</t>
  </si>
  <si>
    <t xml:space="preserve">Contract length (years)</t>
  </si>
  <si>
    <t xml:space="preserve">Share of permits not renewed per point of output below trend</t>
  </si>
  <si>
    <t xml:space="preserve">With output 11% below trend (1931), about 18% of permits lapse.</t>
  </si>
  <si>
    <t xml:space="preserve">Guest workers becoming residents each year</t>
  </si>
  <si>
    <t xml:space="preserve">After six years and a trade test.</t>
  </si>
  <si>
    <t xml:space="preserve">People per guest worker who settles (with family)</t>
  </si>
  <si>
    <t xml:space="preserve">Asian-origin share of guest workers</t>
  </si>
  <si>
    <t xml:space="preserve">Guangdong, Fujian, Korea, the Philippine crown; a fifth from the Union; the rest from Mexico, the Azores and southern Italy.</t>
  </si>
  <si>
    <t xml:space="preserve">Output of a guest worker vs an average resident worker</t>
  </si>
  <si>
    <t xml:space="preserve">Guest workers' wages / their output</t>
  </si>
  <si>
    <t xml:space="preserve">Employer levy / guest workers' wages</t>
  </si>
  <si>
    <t xml:space="preserve">On top of income tax, which they pay like residents. Singapore's levies today run from about 20% to over 50% of a work-permit wage.</t>
  </si>
  <si>
    <t xml:space="preserve">Share of wages sent home</t>
  </si>
  <si>
    <t xml:space="preserve">Inspection, health and return passage per guest worker a year (1913 $)</t>
  </si>
  <si>
    <t xml:space="preserve">— Japan —</t>
  </si>
  <si>
    <t xml:space="preserve">Japan's catch-up speed (× the partners' base speed)</t>
  </si>
  <si>
    <t xml:space="preserve">Scales how fast Japan closes its gap to Pacifica (Partners sheet).</t>
  </si>
  <si>
    <t xml:space="preserve">Coupon on Japanese public debt</t>
  </si>
  <si>
    <t xml:space="preserve">Legacy Japanese debt coupon; the 1927 facility has explicit terms on Japan rescue.</t>
  </si>
  <si>
    <t xml:space="preserve">Repayment of Japan's foreign debt</t>
  </si>
  <si>
    <t xml:space="preserve">Applies to legacy debt. The 1927 facility repays in equal installments 1929-1933.</t>
  </si>
  <si>
    <t xml:space="preserve">— Policy ceilings (canon planning guides, §25) —</t>
  </si>
  <si>
    <t xml:space="preserve">Peacetime military &amp; overseas spending / GDP</t>
  </si>
  <si>
    <t xml:space="preserve">§25 planning ceiling of 4%.</t>
  </si>
  <si>
    <t xml:space="preserve">Interest / public receipts</t>
  </si>
  <si>
    <t xml:space="preserve">§25 ceiling of 15%.</t>
  </si>
  <si>
    <t xml:space="preserve">Public debt / GDP</t>
  </si>
  <si>
    <t xml:space="preserve">§25 ceiling of 30%.</t>
  </si>
  <si>
    <t xml:space="preserve">Fleet classes</t>
  </si>
  <si>
    <t xml:space="preserve">Parameter</t>
  </si>
  <si>
    <t xml:space="preserve">Turret ships &amp; coastal ironclads</t>
  </si>
  <si>
    <t xml:space="preserve">Steam cruisers (coal)</t>
  </si>
  <si>
    <t xml:space="preserve">Oil-fired torpedo boats</t>
  </si>
  <si>
    <t xml:space="preserve">Oil-fired protected cruisers</t>
  </si>
  <si>
    <t xml:space="preserve">Turbine destroyers</t>
  </si>
  <si>
    <t xml:space="preserve">Turbine cruisers</t>
  </si>
  <si>
    <t xml:space="preserve">Turbine capital ships</t>
  </si>
  <si>
    <t xml:space="preserve">Submarines</t>
  </si>
  <si>
    <t xml:space="preserve">Aircraft carriers</t>
  </si>
  <si>
    <t xml:space="preserve">Service life (years)</t>
  </si>
  <si>
    <t xml:space="preserve">Crew per ship</t>
  </si>
  <si>
    <t xml:space="preserve">Fuel per ship-year ($m, 1913)</t>
  </si>
  <si>
    <t xml:space="preserve">Oil-fired (1 = yes)</t>
  </si>
  <si>
    <t xml:space="preserve">Crew if coal-fired (formula)</t>
  </si>
  <si>
    <t xml:space="preserve">Story status</t>
  </si>
  <si>
    <t xml:space="preserve">What it is</t>
  </si>
  <si>
    <t xml:space="preserve">Ericsson turret ships from 1862 (Columbia), more for the 1870 Gulf war.</t>
  </si>
  <si>
    <t xml:space="preserve">Wooden and iron steam cruisers for the ocean road, Manila and Vladivostok.</t>
  </si>
  <si>
    <t xml:space="preserve">Oil-fired light craft in the 1880s (oil programme from 1876).</t>
  </si>
  <si>
    <t xml:space="preserve">Water-tube boilers burning oil, early 1890s.</t>
  </si>
  <si>
    <t xml:space="preserve">Turbine programme from 1885: destroyers 1893-95.</t>
  </si>
  <si>
    <t xml:space="preserve">Turbine cruisers by 1898.</t>
  </si>
  <si>
    <t xml:space="preserve">All-big-gun turbine ships from 1903, three years before HMS Dreadnought.</t>
  </si>
  <si>
    <t xml:space="preserve">Coastal and fleet submarines from 1900.</t>
  </si>
  <si>
    <t xml:space="preserve">Naval aviation in the 1920s; first carrier converted 1922.</t>
  </si>
  <si>
    <t xml:space="preserve">Siberia: highest usable share of military train paths</t>
  </si>
  <si>
    <t xml:space="preserve">Siberia: share of freight paths kept for the civil economy</t>
  </si>
  <si>
    <t xml:space="preserve">Siberia: share of paths used by locomotive coal</t>
  </si>
  <si>
    <t xml:space="preserve">Siberia: passenger and mail pairs a day</t>
  </si>
  <si>
    <t xml:space="preserve">pairs</t>
  </si>
  <si>
    <t xml:space="preserve">Siberia: share of planned capacity works achieved</t>
  </si>
  <si>
    <t xml:space="preserve">Siberia: winter severity (× the winter loss)</t>
  </si>
  <si>
    <t xml:space="preserve">Siberia: ammunition use (× schedule)</t>
  </si>
  <si>
    <t xml:space="preserve">Siberia: harvest (× schedule)</t>
  </si>
  <si>
    <t xml:space="preserve">Siberia: locomotives out of service (× schedule)</t>
  </si>
  <si>
    <t xml:space="preserve">Siberia: unit costs (× 1913 prices)</t>
  </si>
  <si>
    <t xml:space="preserve">Siberia: km a day per serviceable locomotive</t>
  </si>
  <si>
    <t xml:space="preserve">km</t>
  </si>
  <si>
    <t xml:space="preserve">Siberia: km a day per loaded wagon, terminals excluded</t>
  </si>
  <si>
    <t xml:space="preserve">Siberia: Pacific voyages a year per ship</t>
  </si>
  <si>
    <t xml:space="preserve">voyages</t>
  </si>
  <si>
    <t xml:space="preserve">Siberia: Pacifican ships allotted to the Vladivostok run</t>
  </si>
  <si>
    <t xml:space="preserve">ships</t>
  </si>
  <si>
    <t xml:space="preserve">Siberia: Amur summer route (× plan; stress = a dry year)</t>
  </si>
  <si>
    <t xml:space="preserve">Siberia: extra coal-train share in a coal-strike quarter</t>
  </si>
  <si>
    <t xml:space="preserve">— Siberian transport (CR-030): fixed technical values —</t>
  </si>
  <si>
    <t xml:space="preserve">Siberia: Vladivostok–Harbin (Ussuri line and eastern Manchurian line)</t>
  </si>
  <si>
    <t xml:space="preserve">Siberia: Harbin–Manzhouli (western Manchurian line, Khingan tunnel)</t>
  </si>
  <si>
    <t xml:space="preserve">Siberia: Manzhouli-Kitaisky junction (single-track branch)</t>
  </si>
  <si>
    <t xml:space="preserve">Siberia: Kitaisky junction-Chita-Irkutsk (double track, Yablonovy, Circum-Baikal)</t>
  </si>
  <si>
    <t xml:space="preserve">Siberia: Irkutsk–Novonikolayevsk on the Ob (Mid-Siberian line)</t>
  </si>
  <si>
    <t xml:space="preserve">Siberia: Net load per train, section 1</t>
  </si>
  <si>
    <t xml:space="preserve">t</t>
  </si>
  <si>
    <t xml:space="preserve">Siberia: Net load per train, section 2</t>
  </si>
  <si>
    <t xml:space="preserve">Siberia: Net load per train, section 3a (steppe)</t>
  </si>
  <si>
    <t xml:space="preserve">Siberia: Net load per train, section 3b (Yablonovy grades)</t>
  </si>
  <si>
    <t xml:space="preserve">Siberia: Net load per train, section 4</t>
  </si>
  <si>
    <t xml:space="preserve">Siberia: Stores per man-day away from the front</t>
  </si>
  <si>
    <t xml:space="preserve">kg</t>
  </si>
  <si>
    <t xml:space="preserve">Siberia: Japanese ration items carried from the sea</t>
  </si>
  <si>
    <t xml:space="preserve">Siberia: Chinese grain carried from Harbin</t>
  </si>
  <si>
    <t xml:space="preserve">Siberia: Bread grain per man-day bought in Siberia</t>
  </si>
  <si>
    <t xml:space="preserve">Siberia: Horses per man west of Irkutsk</t>
  </si>
  <si>
    <t xml:space="preserve">horses</t>
  </si>
  <si>
    <t xml:space="preserve">Siberia: Oats per horse-day</t>
  </si>
  <si>
    <t xml:space="preserve">Siberia: Marketable grain surplus east of the Ob before the war</t>
  </si>
  <si>
    <t xml:space="preserve">Mt a year</t>
  </si>
  <si>
    <t xml:space="preserve">Siberia: Share of the surplus the army may buy</t>
  </si>
  <si>
    <t xml:space="preserve">Siberia: Relief grain per refugee-day</t>
  </si>
  <si>
    <t xml:space="preserve">Siberia: Share of Siberian troops west of Irkutsk</t>
  </si>
  <si>
    <t xml:space="preserve">Siberia: Share of Pacifican troops west of Irkutsk</t>
  </si>
  <si>
    <t xml:space="preserve">Siberia: Share of eastern-zone tonnage crossing section 2</t>
  </si>
  <si>
    <t xml:space="preserve">Siberia: Share of eastern-zone tonnage crossing section 3</t>
  </si>
  <si>
    <t xml:space="preserve">Siberia: Troop rotation a year (share of men moved)</t>
  </si>
  <si>
    <t xml:space="preserve">Siberia: Men per troop train</t>
  </si>
  <si>
    <t xml:space="preserve">men</t>
  </si>
  <si>
    <t xml:space="preserve">Siberia: Net load per wagon</t>
  </si>
  <si>
    <t xml:space="preserve">Siberia: Terminal and loading days per wagon round trip</t>
  </si>
  <si>
    <t xml:space="preserve">days</t>
  </si>
  <si>
    <t xml:space="preserve">Siberia: Czechoslovak legionaries per wagon used as quarters</t>
  </si>
  <si>
    <t xml:space="preserve">Siberia: Locomotives on the four sections in mid-1918</t>
  </si>
  <si>
    <t xml:space="preserve">locomotives</t>
  </si>
  <si>
    <t xml:space="preserve">Siberia: Freight wagons on the four sections in mid-1918</t>
  </si>
  <si>
    <t xml:space="preserve">wagons</t>
  </si>
  <si>
    <t xml:space="preserve">Siberia: Serviceable share of wagons</t>
  </si>
  <si>
    <t xml:space="preserve">Siberia: Helper and shunting engines (× road engines)</t>
  </si>
  <si>
    <t xml:space="preserve">Siberia: Share of civil paths actually run</t>
  </si>
  <si>
    <t xml:space="preserve">Siberia: Vladivostok winter capacity (× normal)</t>
  </si>
  <si>
    <t xml:space="preserve">Siberia: Vladivostok civil cargo</t>
  </si>
  <si>
    <t xml:space="preserve">Siberia: Share of sea imports from Pacifican ports</t>
  </si>
  <si>
    <t xml:space="preserve">Siberia: Deadweight of a Vladivostok-run steamer</t>
  </si>
  <si>
    <t xml:space="preserve">Siberia: Pacifican soldier, all-in except munitions</t>
  </si>
  <si>
    <t xml:space="preserve">$ (1913) a year</t>
  </si>
  <si>
    <t xml:space="preserve">Siberia: Czechoslovak legionary, pay and keep</t>
  </si>
  <si>
    <t xml:space="preserve">Siberia: Pacifican subsidy per Siberian soldier</t>
  </si>
  <si>
    <t xml:space="preserve">Siberia: Munitions and stores</t>
  </si>
  <si>
    <t xml:space="preserve">$ (1913) a ton</t>
  </si>
  <si>
    <t xml:space="preserve">Siberia: Pacifican share of munitions and stores west of Irkutsk</t>
  </si>
  <si>
    <t xml:space="preserve">Siberia: Pacifican share of munitions and stores in the east</t>
  </si>
  <si>
    <t xml:space="preserve">Siberia: Military train-km, wages and fuel</t>
  </si>
  <si>
    <t xml:space="preserve">$ (1913)</t>
  </si>
  <si>
    <t xml:space="preserve">Siberia: Pacifican share of military train-km costs</t>
  </si>
  <si>
    <t xml:space="preserve">Siberia: Decapod locomotive</t>
  </si>
  <si>
    <t xml:space="preserve">Siberia: Freight wagon</t>
  </si>
  <si>
    <t xml:space="preserve">Siberia: Locomotive returned to service</t>
  </si>
  <si>
    <t xml:space="preserve">Siberia: Armoured train</t>
  </si>
  <si>
    <t xml:space="preserve">Siberia: Steamer on the Vladivostok run</t>
  </si>
  <si>
    <t xml:space="preserve">$m (1913) a year</t>
  </si>
  <si>
    <t xml:space="preserve">Siberia: Relief per refugee</t>
  </si>
  <si>
    <t xml:space="preserve">Siberia: Kara Sea freight, ship and river</t>
  </si>
  <si>
    <t xml:space="preserve">Siberia: Reinforcement the standing front must be able to receive</t>
  </si>
  <si>
    <t xml:space="preserve">Siberia: Days allowed for that reinforcement</t>
  </si>
  <si>
    <t xml:space="preserve">Siberia: Price premium under the land-and-grain guarantee</t>
  </si>
  <si>
    <t xml:space="preserve">Siberia: Extra load when a train has a Decapod (weak bridges limit it)</t>
  </si>
  <si>
    <t xml:space="preserve">Siberia: Amur route freight: Ussuri rail to Khabarovsk, barges, Sretensk transfer</t>
  </si>
  <si>
    <t xml:space="preserve">Siberia: Railwaymen and miners fed from the board's stores</t>
  </si>
  <si>
    <t xml:space="preserve">people</t>
  </si>
  <si>
    <t xml:space="preserve">Siberia: Provisions per railwayman or miner</t>
  </si>
  <si>
    <t xml:space="preserve">— CR-033 and the population model (27 Oct 2026) —</t>
  </si>
  <si>
    <t xml:space="preserve">DEM-01: arrivals from the Americas, Europe and China, 1848-1860 (× sheet path)</t>
  </si>
  <si>
    <t xml:space="preserve">DEM-01: residents at the start of 1861 (check)</t>
  </si>
  <si>
    <t xml:space="preserve">Extra arrivals by origin: second period starts</t>
  </si>
  <si>
    <t xml:space="preserve">Extra arrivals from Japan, before that year</t>
  </si>
  <si>
    <t xml:space="preserve">Extra arrivals from China, before that year</t>
  </si>
  <si>
    <t xml:space="preserve">Extra arrivals from the Philippines, before that year</t>
  </si>
  <si>
    <t xml:space="preserve">Extra arrivals from Japan, from that year</t>
  </si>
  <si>
    <t xml:space="preserve">Extra arrivals from China, from that year</t>
  </si>
  <si>
    <t xml:space="preserve">Extra arrivals from the Philippines, from that year</t>
  </si>
  <si>
    <t xml:space="preserve">— CR-033: Land Fund and Native land (27 Oct 2026) —</t>
  </si>
  <si>
    <t xml:space="preserve">Land Fund and treaty policy (1 = on)</t>
  </si>
  <si>
    <t xml:space="preserve">First year of treaty purchases</t>
  </si>
  <si>
    <t xml:space="preserve">Land area of California</t>
  </si>
  <si>
    <t xml:space="preserve">acres</t>
  </si>
  <si>
    <t xml:space="preserve">Native homelands reserved</t>
  </si>
  <si>
    <t xml:space="preserve">Land in the old Mexican grants</t>
  </si>
  <si>
    <t xml:space="preserve">Farm land needed (× our timeline's California farm acreage)</t>
  </si>
  <si>
    <t xml:space="preserve">Years the Republic buys ahead of settlement</t>
  </si>
  <si>
    <t xml:space="preserve">Price paid to the nations (value of the annuity goods)</t>
  </si>
  <si>
    <t xml:space="preserve">$ an acre</t>
  </si>
  <si>
    <t xml:space="preserve">Annuity term</t>
  </si>
  <si>
    <t xml:space="preserve">Lowest sale price to settlers</t>
  </si>
  <si>
    <t xml:space="preserve">Sale price as a share of the average farm value per acre</t>
  </si>
  <si>
    <t xml:space="preserve">Instalment years for settlers</t>
  </si>
  <si>
    <t xml:space="preserve">Share of instalments never paid</t>
  </si>
  <si>
    <t xml:space="preserve">Survey and register cost</t>
  </si>
  <si>
    <t xml:space="preserve">Share of grant land paid for the patent</t>
  </si>
  <si>
    <t xml:space="preserve">Years to patent the old grants</t>
  </si>
  <si>
    <t xml:space="preserve">Rent on leased homeland ground</t>
  </si>
  <si>
    <t xml:space="preserve">$ an acre a year</t>
  </si>
  <si>
    <t xml:space="preserve">Share of homeland ground under lease by 1932</t>
  </si>
  <si>
    <t xml:space="preserve">Republic's fee on homeland rents</t>
  </si>
  <si>
    <t xml:space="preserve">Commissioners and mounted police, 1852-1870</t>
  </si>
  <si>
    <t xml:space="preserve">Commissioners and mounted police, 1871-1890</t>
  </si>
  <si>
    <t xml:space="preserve">Cost per man a year, at 1877 prices</t>
  </si>
  <si>
    <t xml:space="preserve">Interest on the Land Fund's balance with the Treasury</t>
  </si>
  <si>
    <t xml:space="preserve">a year</t>
  </si>
  <si>
    <t xml:space="preserve">— CR-041 / CR-040 Stages 3-4: the Russian war re-planned (30 Oct 2026) —</t>
  </si>
  <si>
    <t xml:space="preserve">Siberia: Novonikolayevsk-Omsk-Chelyabinsk (section 5, the road to the Ural gate)</t>
  </si>
  <si>
    <t xml:space="preserve">Siberia: Net load per train, section 5</t>
  </si>
  <si>
    <t xml:space="preserve">Black Sea convoys to Novorossiysk in 1919 (one a month from October)</t>
  </si>
  <si>
    <t xml:space="preserve">convoys</t>
  </si>
  <si>
    <t xml:space="preserve">Black Sea convoys in 1920 (to the summer, after Moscow and Petrograd)</t>
  </si>
  <si>
    <t xml:space="preserve">Tons carried by one Black Sea convoy</t>
  </si>
  <si>
    <t xml:space="preserve">Share of a convoy that is munitions, guns and lorries (the rest fuel)</t>
  </si>
  <si>
    <t xml:space="preserve">Value of munitions, guns and lorries</t>
  </si>
  <si>
    <t xml:space="preserve">Value of fuel oil and petrol</t>
  </si>
  <si>
    <t xml:space="preserve">Escort and shipping for one convoy</t>
  </si>
  <si>
    <t xml:space="preserve">$m (1913)</t>
  </si>
  <si>
    <t xml:space="preserve">White Sea route, 1919: tons to Archangel, Kotlas and Glazov</t>
  </si>
  <si>
    <t xml:space="preserve">White Sea route: freight, barges and rail</t>
  </si>
  <si>
    <t xml:space="preserve">Baltic squadron: Pacifican ships' extra running cost on deployment</t>
  </si>
  <si>
    <t xml:space="preserve">Yudenich's rifles, shells and armoured cars, and Estonia's credit: 1919</t>
  </si>
  <si>
    <t xml:space="preserve">Yudenich and Estonia: 1920</t>
  </si>
  <si>
    <t xml:space="preserve">Kazan gold reserve taken on 7 August 1918</t>
  </si>
  <si>
    <t xml:space="preserve">Share of the Kazan gold the Directory spends on Pacifican munitions</t>
  </si>
  <si>
    <t xml:space="preserve">Credit to Komuch and the Directory, Treasury cash: 1918</t>
  </si>
  <si>
    <t xml:space="preserve">Credit to the Directory, Treasury cash: 1919</t>
  </si>
  <si>
    <t xml:space="preserve">Cossack hosts paid in Pacifican gold (Dutov, Siberian, Transbaikal)</t>
  </si>
  <si>
    <t xml:space="preserve">Pay and keep for a Cossack, a year</t>
  </si>
  <si>
    <t xml:space="preserve">Reconstruction credit to Wrangel's government, total syndicated</t>
  </si>
  <si>
    <t xml:space="preserve">Treasury's own share of the reconstruction credit</t>
  </si>
  <si>
    <t xml:space="preserve">Years over which the reconstruction credit is released (from 1920)</t>
  </si>
  <si>
    <t xml:space="preserve">Share of the 1918 Russian write-off that federal Russia recognises</t>
  </si>
  <si>
    <t xml:space="preserve">Year federal Russia recognises the debt</t>
  </si>
  <si>
    <t xml:space="preserve">Emba (Dossor) concession: Crown share and royalty, 1919-1922</t>
  </si>
  <si>
    <t xml:space="preserve">$m a year</t>
  </si>
  <si>
    <t xml:space="preserve">Emba concession: Crown share and royalty, 1923-1932</t>
  </si>
  <si>
    <t xml:space="preserve">Grozny and Maikop concessions: Crown share, 1922-1932</t>
  </si>
  <si>
    <t xml:space="preserve">Baku joint concession: Pacifica's operating share, Crown share, 1920-1932</t>
  </si>
  <si>
    <t xml:space="preserve">Story events ledger</t>
  </si>
  <si>
    <t xml:space="preserve">Every dated commitment from the master storyline that costs or brings in money. One row per event; the annual amount applies in each year from Start to End.</t>
  </si>
  <si>
    <t xml:space="preserve">Category decides where the money lands: Purchase, War &amp; operations, Programme, Investment, Subsidy &amp; guarantee, Relief, Bank rescue &amp; capital and Receipt go to the Budget; Loan goes to Loans; Debt assumed adds debt without cash. Investment is spent like a Programme but also counts as development investment, so it raises later output (CR-021 B6). Amounts are Treasury cash in $m; shared or syndicated totals are in the notes.</t>
  </si>
  <si>
    <t xml:space="preserve">Rows 6-400 are read by the model (widened from 174 on 27 Oct 2026). Add new events in the first empty row.</t>
  </si>
  <si>
    <t xml:space="preserve">ID</t>
  </si>
  <si>
    <t xml:space="preserve">Start</t>
  </si>
  <si>
    <t xml:space="preserve">End</t>
  </si>
  <si>
    <t xml:space="preserve">Event</t>
  </si>
  <si>
    <t xml:space="preserve">Category</t>
  </si>
  <si>
    <t xml:space="preserve">Loan group</t>
  </si>
  <si>
    <t xml:space="preserve">Party</t>
  </si>
  <si>
    <t xml:space="preserve">Per year ($m)</t>
  </si>
  <si>
    <t xml:space="preserve">Total ($m)</t>
  </si>
  <si>
    <t xml:space="preserve">Paid in gold</t>
  </si>
  <si>
    <t xml:space="preserve">Section</t>
  </si>
  <si>
    <t xml:space="preserve">Basis of the amount</t>
  </si>
  <si>
    <t xml:space="preserve">E01</t>
  </si>
  <si>
    <t xml:space="preserve">London bondholders' Mexican debt assumed (£3m)</t>
  </si>
  <si>
    <t xml:space="preserve">Debt assumed</t>
  </si>
  <si>
    <t xml:space="preserve">No</t>
  </si>
  <si>
    <t xml:space="preserve">§4</t>
  </si>
  <si>
    <t xml:space="preserve">£3m at $4.87</t>
  </si>
  <si>
    <t xml:space="preserve">E02</t>
  </si>
  <si>
    <t xml:space="preserve">San Francisco mint and assay office</t>
  </si>
  <si>
    <t xml:space="preserve">Programme</t>
  </si>
  <si>
    <t xml:space="preserve">§5</t>
  </si>
  <si>
    <t xml:space="preserve">E03</t>
  </si>
  <si>
    <t xml:space="preserve">Walker filibusters: naval supply cut-off</t>
  </si>
  <si>
    <t xml:space="preserve">War &amp; operations</t>
  </si>
  <si>
    <t xml:space="preserve">§6</t>
  </si>
  <si>
    <t xml:space="preserve">E04</t>
  </si>
  <si>
    <t xml:space="preserve">Ericsson experimental workshop and turret trials</t>
  </si>
  <si>
    <t xml:space="preserve">§8</t>
  </si>
  <si>
    <t xml:space="preserve">Hulls are in the navy plan</t>
  </si>
  <si>
    <t xml:space="preserve">E05</t>
  </si>
  <si>
    <t xml:space="preserve">Utah War border readiness</t>
  </si>
  <si>
    <t xml:space="preserve">E06</t>
  </si>
  <si>
    <t xml:space="preserve">Pyramid Lake relief force and Washoe crisis</t>
  </si>
  <si>
    <t xml:space="preserve">E07</t>
  </si>
  <si>
    <t xml:space="preserve">Northwestern campaign: sea transport and occupation</t>
  </si>
  <si>
    <t xml:space="preserve">§10</t>
  </si>
  <si>
    <t xml:space="preserve">On top of the wartime army in Paths</t>
  </si>
  <si>
    <t xml:space="preserve">E08</t>
  </si>
  <si>
    <t xml:space="preserve">Occupation, interior columns and garrisons</t>
  </si>
  <si>
    <t xml:space="preserve">§10-11</t>
  </si>
  <si>
    <t xml:space="preserve">E09</t>
  </si>
  <si>
    <t xml:space="preserve">Eastern technical mission and Confederate aid</t>
  </si>
  <si>
    <t xml:space="preserve">Subsidy &amp; guarantee</t>
  </si>
  <si>
    <t xml:space="preserve">Confederacy</t>
  </si>
  <si>
    <t xml:space="preserve">§11</t>
  </si>
  <si>
    <t xml:space="preserve">Logan's mission, Louisiana repairs, Mobile mines</t>
  </si>
  <si>
    <t xml:space="preserve">E10</t>
  </si>
  <si>
    <t xml:space="preserve">Navajo and Apache treaties, peonage compensation</t>
  </si>
  <si>
    <t xml:space="preserve">E11</t>
  </si>
  <si>
    <t xml:space="preserve">Western cession: vendor credit to the Union</t>
  </si>
  <si>
    <t xml:space="preserve">Purchase</t>
  </si>
  <si>
    <t xml:space="preserve">Union</t>
  </si>
  <si>
    <t xml:space="preserve">Yes</t>
  </si>
  <si>
    <t xml:space="preserve">§12</t>
  </si>
  <si>
    <t xml:space="preserve">$40m gold in instalments through 1872</t>
  </si>
  <si>
    <t xml:space="preserve">E12</t>
  </si>
  <si>
    <t xml:space="preserve">Alaska purchase</t>
  </si>
  <si>
    <t xml:space="preserve">Russia</t>
  </si>
  <si>
    <t xml:space="preserve">§14</t>
  </si>
  <si>
    <t xml:space="preserve">Historical US price as comparator</t>
  </si>
  <si>
    <t xml:space="preserve">E13</t>
  </si>
  <si>
    <t xml:space="preserve">Baja purchase</t>
  </si>
  <si>
    <t xml:space="preserve">Mexico</t>
  </si>
  <si>
    <t xml:space="preserve">§13</t>
  </si>
  <si>
    <t xml:space="preserve">Old model working price ($5m), paid in five annual instalments of $1m, 1867-71 (author's decision, 20 Oct)</t>
  </si>
  <si>
    <t xml:space="preserve">E14</t>
  </si>
  <si>
    <t xml:space="preserve">Treasury loan to the Union</t>
  </si>
  <si>
    <t xml:space="preserve">Loan</t>
  </si>
  <si>
    <t xml:space="preserve">Continental</t>
  </si>
  <si>
    <t xml:space="preserve">Old model L01: $10m syndicate</t>
  </si>
  <si>
    <t xml:space="preserve">E15</t>
  </si>
  <si>
    <t xml:space="preserve">Ocean mail line subsidy (SF-Honolulu-Yokohama-Hong Kong)</t>
  </si>
  <si>
    <t xml:space="preserve">E16</t>
  </si>
  <si>
    <t xml:space="preserve">Fleet guarantee for the Edo transition</t>
  </si>
  <si>
    <t xml:space="preserve">E17</t>
  </si>
  <si>
    <t xml:space="preserve">Gulf squadron, turret ships and mines in Grant's war</t>
  </si>
  <si>
    <t xml:space="preserve">No field army sent</t>
  </si>
  <si>
    <t xml:space="preserve">E18</t>
  </si>
  <si>
    <t xml:space="preserve">Japan alliance credit (Yokosuka, Takashima)</t>
  </si>
  <si>
    <t xml:space="preserve">Asia</t>
  </si>
  <si>
    <t xml:space="preserve">Old model L02</t>
  </si>
  <si>
    <t xml:space="preserve">E19</t>
  </si>
  <si>
    <t xml:space="preserve">Confederate debt refinanced on customs security</t>
  </si>
  <si>
    <t xml:space="preserve">Old model L03 + L04</t>
  </si>
  <si>
    <t xml:space="preserve">E20</t>
  </si>
  <si>
    <t xml:space="preserve">Replacement of Richmond's Mississippi tolls</t>
  </si>
  <si>
    <t xml:space="preserve">E21</t>
  </si>
  <si>
    <t xml:space="preserve">Chinese industrial loans (arsenals, steamships, Kaiping)</t>
  </si>
  <si>
    <t xml:space="preserve">China</t>
  </si>
  <si>
    <t xml:space="preserve">Public share of a $20m syndicate</t>
  </si>
  <si>
    <t xml:space="preserve">E22</t>
  </si>
  <si>
    <t xml:space="preserve">One-day naval action at Manila Bay</t>
  </si>
  <si>
    <t xml:space="preserve">Spain</t>
  </si>
  <si>
    <t xml:space="preserve">§15</t>
  </si>
  <si>
    <t xml:space="preserve">E23</t>
  </si>
  <si>
    <t xml:space="preserve">Hawaiian crisis and the Honolulu suppression</t>
  </si>
  <si>
    <t xml:space="preserve">Hawaii</t>
  </si>
  <si>
    <t xml:space="preserve">§17</t>
  </si>
  <si>
    <t xml:space="preserve">E24</t>
  </si>
  <si>
    <t xml:space="preserve">Supplies for Japan's Formosa expedition</t>
  </si>
  <si>
    <t xml:space="preserve">E25</t>
  </si>
  <si>
    <t xml:space="preserve">Loan of 1874 to Serrano's Republic, secured on Philippine customs and tobacco</t>
  </si>
  <si>
    <t xml:space="preserve">Europe</t>
  </si>
  <si>
    <t xml:space="preserve">§15; CR-029 A7</t>
  </si>
  <si>
    <t xml:space="preserve">Old model L09: $6m; cancelled against the 1876 price (E119)</t>
  </si>
  <si>
    <t xml:space="preserve">E26</t>
  </si>
  <si>
    <t xml:space="preserve">Purchase of the Philippines, Marianas, Carolines and Palau: $20m, paid from the Philippine Redemption Loan</t>
  </si>
  <si>
    <t xml:space="preserve">§15; CR-029 A8</t>
  </si>
  <si>
    <t xml:space="preserve">Off-budget: a Philippine 4% loan of 1876, guaranteed by the Confederation and serviced from Philippine customs; $5.73m of it repays the 1874 loan (E119). The US paid $20m in 1898</t>
  </si>
  <si>
    <t xml:space="preserve">E27</t>
  </si>
  <si>
    <t xml:space="preserve">State oil programme: survey, burner trials, oil locomotives</t>
  </si>
  <si>
    <t xml:space="preserve">§21</t>
  </si>
  <si>
    <t xml:space="preserve">Pico Canyon find; LA and Kern fields found 1885-88</t>
  </si>
  <si>
    <t xml:space="preserve">E28</t>
  </si>
  <si>
    <t xml:space="preserve">North China famine relief</t>
  </si>
  <si>
    <t xml:space="preserve">Relief</t>
  </si>
  <si>
    <t xml:space="preserve">E29</t>
  </si>
  <si>
    <t xml:space="preserve">Support to the Philippine budget (until the crown of 1914)</t>
  </si>
  <si>
    <t xml:space="preserve">§15; CR-029 A10-A11</t>
  </si>
  <si>
    <t xml:space="preserve">Old model transfer; from 1915 the Philippine crown pays a defence contribution (E143-E144)</t>
  </si>
  <si>
    <t xml:space="preserve">E30</t>
  </si>
  <si>
    <t xml:space="preserve">Support for the Meiji government against Satsuma</t>
  </si>
  <si>
    <t xml:space="preserve">E31</t>
  </si>
  <si>
    <t xml:space="preserve">Vladivostok maritime action</t>
  </si>
  <si>
    <t xml:space="preserve">§16</t>
  </si>
  <si>
    <t xml:space="preserve">E32</t>
  </si>
  <si>
    <t xml:space="preserve">Panama Railroad control and Colombian transit treaty</t>
  </si>
  <si>
    <t xml:space="preserve">Colombia</t>
  </si>
  <si>
    <t xml:space="preserve">§19</t>
  </si>
  <si>
    <t xml:space="preserve">Old model $10m</t>
  </si>
  <si>
    <t xml:space="preserve">E33</t>
  </si>
  <si>
    <t xml:space="preserve">Korean treaty and neutrality advisers</t>
  </si>
  <si>
    <t xml:space="preserve">Korea</t>
  </si>
  <si>
    <t xml:space="preserve">E34</t>
  </si>
  <si>
    <t xml:space="preserve">Keelung squadron protecting the coal trade</t>
  </si>
  <si>
    <t xml:space="preserve">E35</t>
  </si>
  <si>
    <t xml:space="preserve">Keelung coal and local rail (public stake)</t>
  </si>
  <si>
    <t xml:space="preserve">Old model Q03</t>
  </si>
  <si>
    <t xml:space="preserve">E36</t>
  </si>
  <si>
    <t xml:space="preserve">Steam-turbine programme</t>
  </si>
  <si>
    <t xml:space="preserve">Turbo-generators 1885, marine prototype 1890</t>
  </si>
  <si>
    <t xml:space="preserve">E37</t>
  </si>
  <si>
    <t xml:space="preserve">Electrical institute, Tesla, one AC standard</t>
  </si>
  <si>
    <t xml:space="preserve">E38</t>
  </si>
  <si>
    <t xml:space="preserve">Port Hamilton near-war readiness</t>
  </si>
  <si>
    <t xml:space="preserve">E39</t>
  </si>
  <si>
    <t xml:space="preserve">Managed succession, Truce of Thalassia, Donner standoff</t>
  </si>
  <si>
    <t xml:space="preserve">§22</t>
  </si>
  <si>
    <t xml:space="preserve">Old model $1.5m</t>
  </si>
  <si>
    <t xml:space="preserve">E40</t>
  </si>
  <si>
    <t xml:space="preserve">Statistics bureau, multilingual weekly and newsreels</t>
  </si>
  <si>
    <t xml:space="preserve">§25</t>
  </si>
  <si>
    <t xml:space="preserve">Kaiulani's life project; model estimate</t>
  </si>
  <si>
    <t xml:space="preserve">E41</t>
  </si>
  <si>
    <t xml:space="preserve">Abolition compensation bonds (public participation)</t>
  </si>
  <si>
    <t xml:space="preserve">Old model L06</t>
  </si>
  <si>
    <t xml:space="preserve">E42</t>
  </si>
  <si>
    <t xml:space="preserve">Purchase of the French Panama works</t>
  </si>
  <si>
    <t xml:space="preserve">France</t>
  </si>
  <si>
    <t xml:space="preserve">§19, §25</t>
  </si>
  <si>
    <t xml:space="preserve">US paid $40m in 1904</t>
  </si>
  <si>
    <t xml:space="preserve">E43</t>
  </si>
  <si>
    <t xml:space="preserve">Canal construction, lock-and-lake design</t>
  </si>
  <si>
    <t xml:space="preserve">Old model $225m</t>
  </si>
  <si>
    <t xml:space="preserve">E44</t>
  </si>
  <si>
    <t xml:space="preserve">Baring-crisis gold loans</t>
  </si>
  <si>
    <t xml:space="preserve">Public share of $15m</t>
  </si>
  <si>
    <t xml:space="preserve">E45</t>
  </si>
  <si>
    <t xml:space="preserve">Galapagos coaling station lease</t>
  </si>
  <si>
    <t xml:space="preserve">Ecuador</t>
  </si>
  <si>
    <t xml:space="preserve">E46</t>
  </si>
  <si>
    <t xml:space="preserve">Guarantee pays Richmond's missed coupons</t>
  </si>
  <si>
    <t xml:space="preserve">E47</t>
  </si>
  <si>
    <t xml:space="preserve">Coal, equipment and credit for Japan (Korean war)</t>
  </si>
  <si>
    <t xml:space="preserve">E48</t>
  </si>
  <si>
    <t xml:space="preserve">Bread March: border defence, detention, filmed trials</t>
  </si>
  <si>
    <t xml:space="preserve">E49</t>
  </si>
  <si>
    <t xml:space="preserve">Pacific cable onward from Oahu via Midway and Guam to Manila</t>
  </si>
  <si>
    <t xml:space="preserve">Investment</t>
  </si>
  <si>
    <t xml:space="preserve">Old model $20m gross; the San Francisco-Oahu leg is E101</t>
  </si>
  <si>
    <t xml:space="preserve">E50</t>
  </si>
  <si>
    <t xml:space="preserve">Rescue of the Union's gold reserve</t>
  </si>
  <si>
    <t xml:space="preserve">Size of the historical 1895 Morgan-Belmont syndicate</t>
  </si>
  <si>
    <t xml:space="preserve">E51</t>
  </si>
  <si>
    <t xml:space="preserve">Chinese indemnity facility (public share)</t>
  </si>
  <si>
    <t xml:space="preserve">Public share of a $75m facility</t>
  </si>
  <si>
    <t xml:space="preserve">E52</t>
  </si>
  <si>
    <t xml:space="preserve">Formosan revenue administration set-up</t>
  </si>
  <si>
    <t xml:space="preserve">Old model value</t>
  </si>
  <si>
    <t xml:space="preserve">E53</t>
  </si>
  <si>
    <t xml:space="preserve">Manchurian and Hankow-Canton railway credits</t>
  </si>
  <si>
    <t xml:space="preserve">Public share of $20m</t>
  </si>
  <si>
    <t xml:space="preserve">E54</t>
  </si>
  <si>
    <t xml:space="preserve">Gold loan for Japan's move to gold</t>
  </si>
  <si>
    <t xml:space="preserve">Old model L11</t>
  </si>
  <si>
    <t xml:space="preserve">E55</t>
  </si>
  <si>
    <t xml:space="preserve">Primorye war: holding the sea</t>
  </si>
  <si>
    <t xml:space="preserve">Old model $6m a year</t>
  </si>
  <si>
    <t xml:space="preserve">E56</t>
  </si>
  <si>
    <t xml:space="preserve">Primorye war credit for Japan</t>
  </si>
  <si>
    <t xml:space="preserve">Old model L13: $30m</t>
  </si>
  <si>
    <t xml:space="preserve">E57</t>
  </si>
  <si>
    <t xml:space="preserve">Cuban colonial debt bought on customs security</t>
  </si>
  <si>
    <t xml:space="preserve">Cuba</t>
  </si>
  <si>
    <t xml:space="preserve">Old model $18m</t>
  </si>
  <si>
    <t xml:space="preserve">E58</t>
  </si>
  <si>
    <t xml:space="preserve">Exclusive Nicaraguan canal rights</t>
  </si>
  <si>
    <t xml:space="preserve">Nicaragua</t>
  </si>
  <si>
    <t xml:space="preserve">E59</t>
  </si>
  <si>
    <t xml:space="preserve">Finlay's yellow-fever work</t>
  </si>
  <si>
    <t xml:space="preserve">E60</t>
  </si>
  <si>
    <t xml:space="preserve">Pearl Harbor drydock and dockyard (second phase)</t>
  </si>
  <si>
    <t xml:space="preserve">Model estimate; the dredging is E100</t>
  </si>
  <si>
    <t xml:space="preserve">E61</t>
  </si>
  <si>
    <t xml:space="preserve">Skagway-Whitehorse railway, assay and banking (public share)</t>
  </si>
  <si>
    <t xml:space="preserve">Canada</t>
  </si>
  <si>
    <t xml:space="preserve">Klondike route income policy</t>
  </si>
  <si>
    <t xml:space="preserve">E62</t>
  </si>
  <si>
    <t xml:space="preserve">Boxer relief contingent</t>
  </si>
  <si>
    <t xml:space="preserve">Indemnity turned into scholarships</t>
  </si>
  <si>
    <t xml:space="preserve">E63</t>
  </si>
  <si>
    <t xml:space="preserve">Reserve Bank of Pacifica: capital</t>
  </si>
  <si>
    <t xml:space="preserve">Bank rescue &amp; capital</t>
  </si>
  <si>
    <t xml:space="preserve">§34</t>
  </si>
  <si>
    <t xml:space="preserve">Needed for the canon lender-of-last-resort role in 1931</t>
  </si>
  <si>
    <t xml:space="preserve">E64</t>
  </si>
  <si>
    <t xml:space="preserve">Takahashi's war loans in San Francisco (public share)</t>
  </si>
  <si>
    <t xml:space="preserve">§26</t>
  </si>
  <si>
    <t xml:space="preserve">15% of a $400m syndicate</t>
  </si>
  <si>
    <t xml:space="preserve">E65</t>
  </si>
  <si>
    <t xml:space="preserve">Neutral fleet readiness, Russo-Japanese war</t>
  </si>
  <si>
    <t xml:space="preserve">E66</t>
  </si>
  <si>
    <t xml:space="preserve">Support for Sun Yat-sen's movement</t>
  </si>
  <si>
    <t xml:space="preserve">§27</t>
  </si>
  <si>
    <t xml:space="preserve">E67</t>
  </si>
  <si>
    <t xml:space="preserve">Germany's Pacific islands and Tsingtao</t>
  </si>
  <si>
    <t xml:space="preserve">§28</t>
  </si>
  <si>
    <t xml:space="preserve">E68</t>
  </si>
  <si>
    <t xml:space="preserve">Wartime naval operations and convoys</t>
  </si>
  <si>
    <t xml:space="preserve">§30</t>
  </si>
  <si>
    <t xml:space="preserve">On top of the navy plan</t>
  </si>
  <si>
    <t xml:space="preserve">E69</t>
  </si>
  <si>
    <t xml:space="preserve">Belgian relief administration (public share)</t>
  </si>
  <si>
    <t xml:space="preserve">Belgium</t>
  </si>
  <si>
    <t xml:space="preserve">Hoover's relief, model estimate</t>
  </si>
  <si>
    <t xml:space="preserve">E70</t>
  </si>
  <si>
    <t xml:space="preserve">Entente credit, Treasury share (1914)</t>
  </si>
  <si>
    <t xml:space="preserve">Britain &amp; France</t>
  </si>
  <si>
    <t xml:space="preserve">Profile of the old model's lending by year</t>
  </si>
  <si>
    <t xml:space="preserve">E71</t>
  </si>
  <si>
    <t xml:space="preserve">Entente credit, Treasury share (1915)</t>
  </si>
  <si>
    <t xml:space="preserve">E72</t>
  </si>
  <si>
    <t xml:space="preserve">Entente credit, Treasury share (1916)</t>
  </si>
  <si>
    <t xml:space="preserve">E73</t>
  </si>
  <si>
    <t xml:space="preserve">Entente credit, Treasury share (1917)</t>
  </si>
  <si>
    <t xml:space="preserve">E74</t>
  </si>
  <si>
    <t xml:space="preserve">Entente credit, Treasury share (1918)</t>
  </si>
  <si>
    <t xml:space="preserve">E75</t>
  </si>
  <si>
    <t xml:space="preserve">Food for the Central Powers (the armistice lever)</t>
  </si>
  <si>
    <t xml:space="preserve">E76</t>
  </si>
  <si>
    <t xml:space="preserve">Russian war 1918: Pacifican spending on the line (Siberia sheet)</t>
  </si>
  <si>
    <t xml:space="preserve">Siberia</t>
  </si>
  <si>
    <t xml:space="preserve">§31</t>
  </si>
  <si>
    <t xml:space="preserve">Siberia sheet (CR-041 Plan C), built up from the operational schedule</t>
  </si>
  <si>
    <t xml:space="preserve">E77</t>
  </si>
  <si>
    <t xml:space="preserve">Wartime loans to Chinese and Siberian partners</t>
  </si>
  <si>
    <t xml:space="preserve">China &amp; Siberia</t>
  </si>
  <si>
    <t xml:space="preserve">Sol's proposal: $85m public</t>
  </si>
  <si>
    <t xml:space="preserve">E78</t>
  </si>
  <si>
    <t xml:space="preserve">The Hague peace and the arbitration court</t>
  </si>
  <si>
    <t xml:space="preserve">E79</t>
  </si>
  <si>
    <t xml:space="preserve">Lena gold concessions</t>
  </si>
  <si>
    <t xml:space="preserve">Receipt</t>
  </si>
  <si>
    <t xml:space="preserve">§32</t>
  </si>
  <si>
    <t xml:space="preserve">E92</t>
  </si>
  <si>
    <t xml:space="preserve">Miner licences ($2 residents, $4 foreigners a month)</t>
  </si>
  <si>
    <t xml:space="preserve">Old model: $0.4-1.4m a year</t>
  </si>
  <si>
    <t xml:space="preserve">E80</t>
  </si>
  <si>
    <t xml:space="preserve">Chinese customs agency fee</t>
  </si>
  <si>
    <t xml:space="preserve">E81</t>
  </si>
  <si>
    <t xml:space="preserve">Guarantee of the federal compact 1923 (Pacifica's quota)</t>
  </si>
  <si>
    <t xml:space="preserve">Siberia sheet: a railway and guarantee reserve instead of a standing front (CR-041); quota × the schedule's cost</t>
  </si>
  <si>
    <t xml:space="preserve">E82</t>
  </si>
  <si>
    <t xml:space="preserve">Earthquake reconstruction credit for Japan (public share)</t>
  </si>
  <si>
    <t xml:space="preserve">§33</t>
  </si>
  <si>
    <t xml:space="preserve">Public third of $150m</t>
  </si>
  <si>
    <t xml:space="preserve">E83</t>
  </si>
  <si>
    <t xml:space="preserve">Whampoa and Northern Expedition support</t>
  </si>
  <si>
    <t xml:space="preserve">E84</t>
  </si>
  <si>
    <t xml:space="preserve">Japan foreign-settlement facility (public commitment)</t>
  </si>
  <si>
    <t xml:space="preserve">Commitment</t>
  </si>
  <si>
    <t xml:space="preserve">CR-024: commitment only. Actual public drawings feed Loans directly; private two-thirds reroutes Abroad investment.</t>
  </si>
  <si>
    <t xml:space="preserve">E85</t>
  </si>
  <si>
    <t xml:space="preserve">Common ministries and overseas command (quota)</t>
  </si>
  <si>
    <t xml:space="preserve">Old model $10m a year shared</t>
  </si>
  <si>
    <t xml:space="preserve">E86</t>
  </si>
  <si>
    <t xml:space="preserve">Soviet probe defeated</t>
  </si>
  <si>
    <t xml:space="preserve">USSR</t>
  </si>
  <si>
    <t xml:space="preserve">E87</t>
  </si>
  <si>
    <t xml:space="preserve">Manchurian plot: transport prohibition</t>
  </si>
  <si>
    <t xml:space="preserve">§35</t>
  </si>
  <si>
    <t xml:space="preserve">E88</t>
  </si>
  <si>
    <t xml:space="preserve">Second gold rescue of the Union, first tranche</t>
  </si>
  <si>
    <t xml:space="preserve">Rescue</t>
  </si>
  <si>
    <t xml:space="preserve">Size proposed</t>
  </si>
  <si>
    <t xml:space="preserve">E89</t>
  </si>
  <si>
    <t xml:space="preserve">Second gold rescue of the Union, second tranche</t>
  </si>
  <si>
    <t xml:space="preserve">E90</t>
  </si>
  <si>
    <t xml:space="preserve">Recapitalisation of Pacifican banks</t>
  </si>
  <si>
    <t xml:space="preserve">E91</t>
  </si>
  <si>
    <t xml:space="preserve">Thalassia Conference</t>
  </si>
  <si>
    <t xml:space="preserve">§37</t>
  </si>
  <si>
    <t xml:space="preserve">E93</t>
  </si>
  <si>
    <t xml:space="preserve">The Living Bay: sewage tunnel beyond Mokapu, slope forests, restored fishponds, marine reserve</t>
  </si>
  <si>
    <t xml:space="preserve">CR-020 B7</t>
  </si>
  <si>
    <t xml:space="preserve">Keawe's first scheme (1923 marine reserve); the restored fishponds feed the capital</t>
  </si>
  <si>
    <t xml:space="preserve">E113</t>
  </si>
  <si>
    <t xml:space="preserve">Pali railway tunnel to Honolulu and Pearl Harbor, and Kaneohe Bay channel</t>
  </si>
  <si>
    <t xml:space="preserve">CR-021 B6</t>
  </si>
  <si>
    <t xml:space="preserve">Model estimate, about $7m; the Waiahole water tunnel (1913-16) ran 2.7 miles through the same range</t>
  </si>
  <si>
    <t xml:space="preserve">E94</t>
  </si>
  <si>
    <t xml:space="preserve">Watershed reserves, minimum stream flows, quarantine (all islands)</t>
  </si>
  <si>
    <t xml:space="preserve">E95</t>
  </si>
  <si>
    <t xml:space="preserve">Thalassia Plan: electric transit, sewers, reef outfalls, boulevards</t>
  </si>
  <si>
    <t xml:space="preserve">About 0.1% of GDP</t>
  </si>
  <si>
    <t xml:space="preserve">E96</t>
  </si>
  <si>
    <t xml:space="preserve">Lease premiums on government land</t>
  </si>
  <si>
    <t xml:space="preserve">CR-020 B7, CR-021 B6</t>
  </si>
  <si>
    <t xml:space="preserve">Leasehold, not sale. Thalassia stands on Crown land of the Hawaiian throne: its premiums, about $5m a year, go to the Hawaiian crown, off-budget</t>
  </si>
  <si>
    <t xml:space="preserve">E97</t>
  </si>
  <si>
    <t xml:space="preserve">Lands and Waters Charter: reserves, mined-land restoration, islands index</t>
  </si>
  <si>
    <t xml:space="preserve">E98</t>
  </si>
  <si>
    <t xml:space="preserve">Oil compact with the Gulf: administration</t>
  </si>
  <si>
    <t xml:space="preserve">Gulf Republic</t>
  </si>
  <si>
    <t xml:space="preserve">CR-020 B6</t>
  </si>
  <si>
    <t xml:space="preserve">Zero if the compact lever is off</t>
  </si>
  <si>
    <t xml:space="preserve">E99</t>
  </si>
  <si>
    <t xml:space="preserve">Fee for the Formosan revenue administration (camphor, Keelung, customs)</t>
  </si>
  <si>
    <t xml:space="preserve">CR-020 B4, CR-021 G1</t>
  </si>
  <si>
    <t xml:space="preserve">Formosan Revenue Convention, 1895; the revenue itself goes to the indemnity and Japan</t>
  </si>
  <si>
    <t xml:space="preserve">E100</t>
  </si>
  <si>
    <t xml:space="preserve">Pearl Harbor works: bar dredged, lochs deepened for the fleet</t>
  </si>
  <si>
    <t xml:space="preserve">Model estimate; the US dredged the bar in 1908-11</t>
  </si>
  <si>
    <t xml:space="preserve">E101</t>
  </si>
  <si>
    <t xml:space="preserve">San Francisco-Oahu telegraph cable</t>
  </si>
  <si>
    <t xml:space="preserve">About the length of the 1866 Atlantic cable, in deeper water; model estimate $5m</t>
  </si>
  <si>
    <t xml:space="preserve">E102</t>
  </si>
  <si>
    <t xml:space="preserve">Inter-island cables (Oahu, Maui, Hawaii, Kauai)</t>
  </si>
  <si>
    <t xml:space="preserve">E103</t>
  </si>
  <si>
    <t xml:space="preserve">Thalassia, first phase: bay city, temporary halls, ministries, housing, waterworks</t>
  </si>
  <si>
    <t xml:space="preserve">Model estimate, about $22m in the Thalassian style: basalt, dredge-spoil lime, timber and copper instead of imported marble</t>
  </si>
  <si>
    <t xml:space="preserve">E104</t>
  </si>
  <si>
    <t xml:space="preserve">Thalassia, second phase: palace, glass-domed Senate, ministries, canals from the fishponds</t>
  </si>
  <si>
    <t xml:space="preserve">Model estimate, about $30m; local materials, a fifth below a marble build</t>
  </si>
  <si>
    <t xml:space="preserve">E105</t>
  </si>
  <si>
    <t xml:space="preserve">Thalassia, growth of the capital's public buildings</t>
  </si>
  <si>
    <t xml:space="preserve">Model estimate; from 1928 the Thalassia Plan (E95) and the Concord's ministries (E85)</t>
  </si>
  <si>
    <t xml:space="preserve">E106</t>
  </si>
  <si>
    <t xml:space="preserve">Island premium: packets, allowances and freight for a government at Thalassia</t>
  </si>
  <si>
    <t xml:space="preserve">Model estimate: a fifth to a third above continental costs for the capital's staff</t>
  </si>
  <si>
    <t xml:space="preserve">E107</t>
  </si>
  <si>
    <t xml:space="preserve">Model estimate; a larger capital</t>
  </si>
  <si>
    <t xml:space="preserve">E108</t>
  </si>
  <si>
    <t xml:space="preserve">Hawaiian-medium schools restored (Act of Settlement)</t>
  </si>
  <si>
    <t xml:space="preserve">CR-021 C2</t>
  </si>
  <si>
    <t xml:space="preserve">E109</t>
  </si>
  <si>
    <t xml:space="preserve">Subsidy for Japanese and Chinese community schools</t>
  </si>
  <si>
    <t xml:space="preserve">CR-021 C3</t>
  </si>
  <si>
    <t xml:space="preserve">E111</t>
  </si>
  <si>
    <t xml:space="preserve">Polytechnic of Formosa: Chinese examination and technical university</t>
  </si>
  <si>
    <t xml:space="preserve">CR-021 G2</t>
  </si>
  <si>
    <t xml:space="preserve">Net of Boxer indemnity funds; model estimate</t>
  </si>
  <si>
    <t xml:space="preserve">E112</t>
  </si>
  <si>
    <t xml:space="preserve">Joint examination board with Japan's school on Formosa</t>
  </si>
  <si>
    <t xml:space="preserve">Japan pays for its own school</t>
  </si>
  <si>
    <t xml:space="preserve">E110</t>
  </si>
  <si>
    <t xml:space="preserve">Formosan administration fee, now an affair of the Concord (Pacifica's quota)</t>
  </si>
  <si>
    <t xml:space="preserve">CR-021 G1</t>
  </si>
  <si>
    <t xml:space="preserve">OPEN-015-30 option 2: a Japanese deputy director-general from 1928-29</t>
  </si>
  <si>
    <t xml:space="preserve">E118</t>
  </si>
  <si>
    <t xml:space="preserve">Manila station: coal at Japanese ports, Honolulu repairs, Asian-waters deployment</t>
  </si>
  <si>
    <t xml:space="preserve">CR-029 A4-A5</t>
  </si>
  <si>
    <t xml:space="preserve">Model estimate; the ships are in the navy plan</t>
  </si>
  <si>
    <t xml:space="preserve">E119</t>
  </si>
  <si>
    <t xml:space="preserve">1874 loan cancelled against the purchase price</t>
  </si>
  <si>
    <t xml:space="preserve">CR-029 A8</t>
  </si>
  <si>
    <t xml:space="preserve">Balance after the 1876 repayment (5.91 x 0.97)</t>
  </si>
  <si>
    <t xml:space="preserve">E120</t>
  </si>
  <si>
    <t xml:space="preserve">(Merged into E26: the Redemption Loan repays the 1874 loan)</t>
  </si>
  <si>
    <t xml:space="preserve">With E26 the price stays $20m</t>
  </si>
  <si>
    <t xml:space="preserve">E121</t>
  </si>
  <si>
    <t xml:space="preserve">Inherited Sulu war: the Jolo garrison until the 1878 compacts</t>
  </si>
  <si>
    <t xml:space="preserve">Sulu</t>
  </si>
  <si>
    <t xml:space="preserve">CR-029 A9</t>
  </si>
  <si>
    <t xml:space="preserve">E122</t>
  </si>
  <si>
    <t xml:space="preserve">Stipends under the Moro compacts (Sultan and datus)</t>
  </si>
  <si>
    <t xml:space="preserve">CR-029 A41</t>
  </si>
  <si>
    <t xml:space="preserve">Model estimate; the Bates Treaty paid a small monthly roll, here a larger datu roll</t>
  </si>
  <si>
    <t xml:space="preserve">E123</t>
  </si>
  <si>
    <t xml:space="preserve">Subic and Olongapo station; Corregidor and El Fraile batteries</t>
  </si>
  <si>
    <t xml:space="preserve">CR-029 A20</t>
  </si>
  <si>
    <t xml:space="preserve">Model estimate; Montojo found Subic without batteries or mines in 1898</t>
  </si>
  <si>
    <t xml:space="preserve">E124</t>
  </si>
  <si>
    <t xml:space="preserve">Olongapo dockyard and Subic defences, second phase</t>
  </si>
  <si>
    <t xml:space="preserve">E125</t>
  </si>
  <si>
    <t xml:space="preserve">Micronesian naval administration at Apra (Marianas, Carolines, Palau)</t>
  </si>
  <si>
    <t xml:space="preserve">CR-029 A37</t>
  </si>
  <si>
    <t xml:space="preserve">Model estimate; Guam had about 9,600 people in 1898</t>
  </si>
  <si>
    <t xml:space="preserve">E126</t>
  </si>
  <si>
    <t xml:space="preserve">Ka Lokahi trust of the ocean islands (Realm's share)</t>
  </si>
  <si>
    <t xml:space="preserve">CR-029 A37, A39</t>
  </si>
  <si>
    <t xml:space="preserve">Model estimate; includes Tutuila</t>
  </si>
  <si>
    <t xml:space="preserve">E127</t>
  </si>
  <si>
    <t xml:space="preserve">Friar-estate purchase: Philippine land bonds guaranteed by the Confederation</t>
  </si>
  <si>
    <t xml:space="preserve">CR-029 A13</t>
  </si>
  <si>
    <t xml:space="preserve">Off-budget guarantee; the US financed the 1903 friar-lands purchase with Philippine bonds in the same way</t>
  </si>
  <si>
    <t xml:space="preserve">E128</t>
  </si>
  <si>
    <t xml:space="preserve">Waterworks: Philippine municipal bonds guaranteed by the Confederation</t>
  </si>
  <si>
    <t xml:space="preserve">CR-029 A15</t>
  </si>
  <si>
    <t xml:space="preserve">E129</t>
  </si>
  <si>
    <t xml:space="preserve">Maritime quarantine at Mariveles and the southern ports</t>
  </si>
  <si>
    <t xml:space="preserve">Confederal function; model estimate</t>
  </si>
  <si>
    <t xml:space="preserve">E130</t>
  </si>
  <si>
    <t xml:space="preserve">Philippine peso reserve: held in San Francisco from the seigniorage (no Treasury gold lent)</t>
  </si>
  <si>
    <t xml:space="preserve">CR-029 A14</t>
  </si>
  <si>
    <t xml:space="preserve">About a third of a P20-25m circulation; model estimate</t>
  </si>
  <si>
    <t xml:space="preserve">E131</t>
  </si>
  <si>
    <t xml:space="preserve">North Borneo: 1865 concession rights and the Sultan's lease</t>
  </si>
  <si>
    <t xml:space="preserve">CR-029 A42</t>
  </si>
  <si>
    <t xml:space="preserve">Overbeck paid $15,000 for the American rights; the company pays the Sultan's rent</t>
  </si>
  <si>
    <t xml:space="preserve">E132</t>
  </si>
  <si>
    <t xml:space="preserve">New Calamba: survey, passage and first season</t>
  </si>
  <si>
    <t xml:space="preserve">CR-029 A17</t>
  </si>
  <si>
    <t xml:space="preserve">E133</t>
  </si>
  <si>
    <t xml:space="preserve">The August rising: Constabulary, gunboats and trials</t>
  </si>
  <si>
    <t xml:space="preserve">CR-029 A23</t>
  </si>
  <si>
    <t xml:space="preserve">E134</t>
  </si>
  <si>
    <t xml:space="preserve">Interception of the arms ship in the Balintang Channel</t>
  </si>
  <si>
    <t xml:space="preserve">CR-029 A25</t>
  </si>
  <si>
    <t xml:space="preserve">E135</t>
  </si>
  <si>
    <t xml:space="preserve">Pago Pago coaling station under Hawaii's 1878 treaty</t>
  </si>
  <si>
    <t xml:space="preserve">Samoa</t>
  </si>
  <si>
    <t xml:space="preserve">CR-029 A39</t>
  </si>
  <si>
    <t xml:space="preserve">E136</t>
  </si>
  <si>
    <t xml:space="preserve">Samoan tridominium: Pacifica's share under the Berlin Act</t>
  </si>
  <si>
    <t xml:space="preserve">E137</t>
  </si>
  <si>
    <t xml:space="preserve">Tutuila naval station</t>
  </si>
  <si>
    <t xml:space="preserve">E138</t>
  </si>
  <si>
    <t xml:space="preserve">Midway coaling depot and reef channel</t>
  </si>
  <si>
    <t xml:space="preserve">CR-029 A34</t>
  </si>
  <si>
    <t xml:space="preserve">The Union's 1870 attempt with $50,000 of public money failed</t>
  </si>
  <si>
    <t xml:space="preserve">E139</t>
  </si>
  <si>
    <t xml:space="preserve">Guano cargoes landed duty-free at Hawaiian ports</t>
  </si>
  <si>
    <t xml:space="preserve">Model estimate; the islands were worked out by about 1879</t>
  </si>
  <si>
    <t xml:space="preserve">E140</t>
  </si>
  <si>
    <t xml:space="preserve">Wake claim and survey</t>
  </si>
  <si>
    <t xml:space="preserve">CR-029 A38</t>
  </si>
  <si>
    <t xml:space="preserve">E141</t>
  </si>
  <si>
    <t xml:space="preserve">Plebiscites, the Act of Settlement and the Manila accession</t>
  </si>
  <si>
    <t xml:space="preserve">CR-029 A26, B7</t>
  </si>
  <si>
    <t xml:space="preserve">E142</t>
  </si>
  <si>
    <t xml:space="preserve">Ka Lokahi: council of the crowns, secretariat and tribunal (Realm's share)</t>
  </si>
  <si>
    <t xml:space="preserve">CR-029 A29</t>
  </si>
  <si>
    <t xml:space="preserve">E143</t>
  </si>
  <si>
    <t xml:space="preserve">Philippine contribution to common defence (agreed matters, 1914)</t>
  </si>
  <si>
    <t xml:space="preserve">Model estimate: about 0.4% of Philippine GDP</t>
  </si>
  <si>
    <t xml:space="preserve">E144</t>
  </si>
  <si>
    <t xml:space="preserve">Philippine contribution to common defence (renewed 1924)</t>
  </si>
  <si>
    <t xml:space="preserve">E145</t>
  </si>
  <si>
    <t xml:space="preserve">Philippine Redemption Loan and guaranteed bonds taken over at the crown settlement</t>
  </si>
  <si>
    <t xml:space="preserve">CR-029 A46</t>
  </si>
  <si>
    <t xml:space="preserve">$31m issued 1876-90 at 4% with a 2% sinking fund; about $9.5m remains in 1914. Service never exceeds the measured gain (covenant): it binds only in 1877, when $0.27m is added to principal</t>
  </si>
  <si>
    <t xml:space="preserve">E146</t>
  </si>
  <si>
    <t xml:space="preserve">Seigniorage on the Philippine token peso and income on its San Francisco reserve (Realm's share)</t>
  </si>
  <si>
    <t xml:space="preserve">CR-029 A46-A49</t>
  </si>
  <si>
    <t xml:space="preserve">The US Gold Standard Fund of 1903 was built the same way; model estimate</t>
  </si>
  <si>
    <t xml:space="preserve">E147</t>
  </si>
  <si>
    <t xml:space="preserve">Sale of the tobacco monopoly's factories, warehouses and leaf to a chartered company</t>
  </si>
  <si>
    <t xml:space="preserve">The Compania General de Tabacos de Filipinas was founded in 1881 with 75m pesetas ($14.5m); model estimate $6m</t>
  </si>
  <si>
    <t xml:space="preserve">E148</t>
  </si>
  <si>
    <t xml:space="preserve">Crown share in the chartered tobacco company: dividends</t>
  </si>
  <si>
    <t xml:space="preserve">A quarter of the company, half its profits paid out; model estimate</t>
  </si>
  <si>
    <t xml:space="preserve">E149</t>
  </si>
  <si>
    <t xml:space="preserve">E150</t>
  </si>
  <si>
    <t xml:space="preserve">Crown share in the abaca and binder-twine champion: dividends</t>
  </si>
  <si>
    <t xml:space="preserve">Manila hemp for naval cordage and the wheat belts' binder twine; Tubbs Cordage of San Francisco as the seed; model estimate</t>
  </si>
  <si>
    <t xml:space="preserve">E151</t>
  </si>
  <si>
    <t xml:space="preserve">E114</t>
  </si>
  <si>
    <t xml:space="preserve">Royalty collected only after the October 1848 mining decree</t>
  </si>
  <si>
    <t xml:space="preserve">CR-028 A11a, A20</t>
  </si>
  <si>
    <t xml:space="preserve">Monterey silence: the 5% royalty runs only from October, about a quarter of the year's $0.45m</t>
  </si>
  <si>
    <t xml:space="preserve">E115</t>
  </si>
  <si>
    <t xml:space="preserve">Mixed claims commission of 1848 (claims of 1846, net awards)</t>
  </si>
  <si>
    <t xml:space="preserve">CR-028 A16, B4</t>
  </si>
  <si>
    <t xml:space="preserve">Model estimate; amnesty plus small awards</t>
  </si>
  <si>
    <t xml:space="preserve">E116</t>
  </si>
  <si>
    <t xml:space="preserve">Whalers' allowance: customs foregone under the Buchanan-Vallejo Convention</t>
  </si>
  <si>
    <t xml:space="preserve">CR-028 B4</t>
  </si>
  <si>
    <t xml:space="preserve">Model estimate; commercial articles 1848-60, renewed at Carson</t>
  </si>
  <si>
    <t xml:space="preserve">E117</t>
  </si>
  <si>
    <t xml:space="preserve">Sausalito naval storehouse rent</t>
  </si>
  <si>
    <t xml:space="preserve">CR-028 A19</t>
  </si>
  <si>
    <t xml:space="preserve">Nominal; sealed and interned in 1861</t>
  </si>
  <si>
    <t xml:space="preserve">E152</t>
  </si>
  <si>
    <t xml:space="preserve">Russian war 1919: Pacifican spending on the line (Siberia sheet)</t>
  </si>
  <si>
    <t xml:space="preserve">E153</t>
  </si>
  <si>
    <t xml:space="preserve">Russian war 1920: Pacifican spending on the line (Siberia sheet)</t>
  </si>
  <si>
    <t xml:space="preserve">E154</t>
  </si>
  <si>
    <t xml:space="preserve">Russian war 1921: Pacifican spending on the line (Siberia sheet)</t>
  </si>
  <si>
    <t xml:space="preserve">E155</t>
  </si>
  <si>
    <t xml:space="preserve">Russian war 1922: Pacifican spending on the line (Siberia sheet)</t>
  </si>
  <si>
    <t xml:space="preserve">E156</t>
  </si>
  <si>
    <t xml:space="preserve">Guarantee of the federal compact 1924 (Pacifica's quota)</t>
  </si>
  <si>
    <t xml:space="preserve">E157</t>
  </si>
  <si>
    <t xml:space="preserve">Guarantee of the federal compact 1925 (Pacifica's quota)</t>
  </si>
  <si>
    <t xml:space="preserve">E158</t>
  </si>
  <si>
    <t xml:space="preserve">Guarantee of the federal compact 1926 (Pacifica's quota)</t>
  </si>
  <si>
    <t xml:space="preserve">E159</t>
  </si>
  <si>
    <t xml:space="preserve">Guarantee of the federal compact 1927 (Pacifica's quota)</t>
  </si>
  <si>
    <t xml:space="preserve">E160</t>
  </si>
  <si>
    <t xml:space="preserve">Guarantee of the federal compact 1928 (Pacifica's quota)</t>
  </si>
  <si>
    <t xml:space="preserve">E161</t>
  </si>
  <si>
    <t xml:space="preserve">Guarantee of the federal compact 1929 (Pacifica's quota)</t>
  </si>
  <si>
    <t xml:space="preserve">E162</t>
  </si>
  <si>
    <t xml:space="preserve">Guarantee of the federal compact 1930 (Pacifica's quota)</t>
  </si>
  <si>
    <t xml:space="preserve">E163</t>
  </si>
  <si>
    <t xml:space="preserve">Guarantee of the federal compact 1931 (Pacifica's quota)</t>
  </si>
  <si>
    <t xml:space="preserve">E164</t>
  </si>
  <si>
    <t xml:space="preserve">Guarantee of the federal compact 1932 (Pacifica's quota)</t>
  </si>
  <si>
    <t xml:space="preserve">E165</t>
  </si>
  <si>
    <t xml:space="preserve">Relief ships to Chukotka and the Okhotsk coast</t>
  </si>
  <si>
    <t xml:space="preserve">CR-031 A6</t>
  </si>
  <si>
    <t xml:space="preserve">Model estimate; grain, tea, tools and cartridges. Japan supplies Kamchatka</t>
  </si>
  <si>
    <t xml:space="preserve">E166</t>
  </si>
  <si>
    <t xml:space="preserve">Northern Trade Commission: Pacifica's share of the traders' debt write-down</t>
  </si>
  <si>
    <t xml:space="preserve">Model estimate; debts above a season's catch</t>
  </si>
  <si>
    <t xml:space="preserve">E167</t>
  </si>
  <si>
    <t xml:space="preserve">Commander Islands: purchase price</t>
  </si>
  <si>
    <t xml:space="preserve">CR-031 A16</t>
  </si>
  <si>
    <t xml:space="preserve">Nominal; cession with Aleut consent</t>
  </si>
  <si>
    <t xml:space="preserve">E168</t>
  </si>
  <si>
    <t xml:space="preserve">Commander Islands fur-seal receipts after Japan's share</t>
  </si>
  <si>
    <t xml:space="preserve">Model estimate under the 1911 convention</t>
  </si>
  <si>
    <t xml:space="preserve">E169</t>
  </si>
  <si>
    <t xml:space="preserve">Kamchatka Company: Pacifican stake</t>
  </si>
  <si>
    <t xml:space="preserve">CR-031 A9b</t>
  </si>
  <si>
    <t xml:space="preserve">About 30% of the capital, booked as Treasury cash to be safe; no dividends counted</t>
  </si>
  <si>
    <t xml:space="preserve">E170</t>
  </si>
  <si>
    <t xml:space="preserve">Credit to Komuch and the Directory (Samara tranches)</t>
  </si>
  <si>
    <t xml:space="preserve">§31 (CR-041 N3)</t>
  </si>
  <si>
    <t xml:space="preserve">Treasury cash; conditional on the land law, the second tranche withheld until it is enforced (lever dir_18). Booked with the Siberian-front partners' loans (Asia group) so that the 1914-18 Entente reconciliation is untouched</t>
  </si>
  <si>
    <t xml:space="preserve">E171</t>
  </si>
  <si>
    <t xml:space="preserve">Credit to the Directory (Omsk and Ufa)</t>
  </si>
  <si>
    <t xml:space="preserve">§31 (CR-041 N2)</t>
  </si>
  <si>
    <t xml:space="preserve">Treasury cash; no ministry funded unless the Directory sits (lever dir_19)</t>
  </si>
  <si>
    <t xml:space="preserve">E172</t>
  </si>
  <si>
    <t xml:space="preserve">Cossack hosts paid in gold, 1918 (seven months)</t>
  </si>
  <si>
    <t xml:space="preserve">§31 (CR-041)</t>
  </si>
  <si>
    <t xml:space="preserve">Dutov's, the Siberian and the Transbaikal hosts, bought, not commanded</t>
  </si>
  <si>
    <t xml:space="preserve">E173</t>
  </si>
  <si>
    <t xml:space="preserve">Cossack hosts paid in gold, 1919</t>
  </si>
  <si>
    <t xml:space="preserve">As 1918</t>
  </si>
  <si>
    <t xml:space="preserve">E174</t>
  </si>
  <si>
    <t xml:space="preserve">Cossack hosts paid in gold, 1920 (half year)</t>
  </si>
  <si>
    <t xml:space="preserve">E175</t>
  </si>
  <si>
    <t xml:space="preserve">Kazan gold: the Directory pays for Pacifican munitions (1919)</t>
  </si>
  <si>
    <t xml:space="preserve">The army built on the Kazan gold; offsets the munitions charged on the Siberia sheet</t>
  </si>
  <si>
    <t xml:space="preserve">E176</t>
  </si>
  <si>
    <t xml:space="preserve">Kazan gold: the Directory pays for Pacifican munitions (1920)</t>
  </si>
  <si>
    <t xml:space="preserve">As 1919</t>
  </si>
  <si>
    <t xml:space="preserve">E177</t>
  </si>
  <si>
    <t xml:space="preserve">Black Sea convoys to Wrangel, 1919: rifles, guns, shell, oil and lorries</t>
  </si>
  <si>
    <t xml:space="preserve">§31 (CR-041 §3.3)</t>
  </si>
  <si>
    <t xml:space="preserve">Unloaded only when the paymaster certifies a result; a loan to the Russian government</t>
  </si>
  <si>
    <t xml:space="preserve">E178</t>
  </si>
  <si>
    <t xml:space="preserve">Black Sea convoys to Wrangel, 1920</t>
  </si>
  <si>
    <t xml:space="preserve">E179</t>
  </si>
  <si>
    <t xml:space="preserve">Black Sea convoys, 1919: escort and shipping</t>
  </si>
  <si>
    <t xml:space="preserve">Seven transports, one cruiser and two destroyers a convoy</t>
  </si>
  <si>
    <t xml:space="preserve">E180</t>
  </si>
  <si>
    <t xml:space="preserve">Black Sea convoys, 1920: escort and shipping</t>
  </si>
  <si>
    <t xml:space="preserve">E181</t>
  </si>
  <si>
    <t xml:space="preserve">White Sea route: Archangel, Dvina barges, Kotlas-Glazov</t>
  </si>
  <si>
    <t xml:space="preserve">Freight only; the cargo is on the Siberia sheet</t>
  </si>
  <si>
    <t xml:space="preserve">E182</t>
  </si>
  <si>
    <t xml:space="preserve">Baltic squadron on deployment, 1919 (from September)</t>
  </si>
  <si>
    <t xml:space="preserve">§31 (CR-040 K1, CR-041 §3.3)</t>
  </si>
  <si>
    <t xml:space="preserve">Pacifican ships' extra running cost; Japanese ships at Japan's cost</t>
  </si>
  <si>
    <t xml:space="preserve">E183</t>
  </si>
  <si>
    <t xml:space="preserve">Baltic squadron on deployment, 1920 (Kronstadt and the return)</t>
  </si>
  <si>
    <t xml:space="preserve">§31 (CR-040 K1)</t>
  </si>
  <si>
    <t xml:space="preserve">E184</t>
  </si>
  <si>
    <t xml:space="preserve">Yudenich's rifles, shells and armoured cars; Estonia's credit</t>
  </si>
  <si>
    <t xml:space="preserve">Lever yud_19 at 1913 prices</t>
  </si>
  <si>
    <t xml:space="preserve">E185</t>
  </si>
  <si>
    <t xml:space="preserve">Yudenich and Estonia, 1920</t>
  </si>
  <si>
    <t xml:space="preserve">Lever yud_20 at 1913 prices</t>
  </si>
  <si>
    <t xml:space="preserve">E186</t>
  </si>
  <si>
    <t xml:space="preserve">Reconstruction credit to Wrangel's government (Treasury share)</t>
  </si>
  <si>
    <t xml:space="preserve">§32 (CR-040)</t>
  </si>
  <si>
    <t xml:space="preserve">In stages, against results; the syndicated rest is placed with savers (not modelled as Treasury cash)</t>
  </si>
  <si>
    <t xml:space="preserve">E187</t>
  </si>
  <si>
    <t xml:space="preserve">Emba (Dossor) oil concession: Crown share and royalty</t>
  </si>
  <si>
    <t xml:space="preserve">§32 (CR-041 N14)</t>
  </si>
  <si>
    <t xml:space="preserve">Signed with the Western Alash Orda in 1918</t>
  </si>
  <si>
    <t xml:space="preserve">E188</t>
  </si>
  <si>
    <t xml:space="preserve">Emba oil concession: Crown share and royalty</t>
  </si>
  <si>
    <t xml:space="preserve">Kept through the 1921 transfer of Alash to Russia</t>
  </si>
  <si>
    <t xml:space="preserve">E189</t>
  </si>
  <si>
    <t xml:space="preserve">Grozny and Maikop concessions: Crown share</t>
  </si>
  <si>
    <t xml:space="preserve">From Wrangel's government against the reconstruction credit</t>
  </si>
  <si>
    <t xml:space="preserve">E190</t>
  </si>
  <si>
    <t xml:space="preserve">Baku joint concession: Pacifica's operating share, Crown share</t>
  </si>
  <si>
    <t xml:space="preserve">Azerbaijan</t>
  </si>
  <si>
    <t xml:space="preserve">Joint with Britain; London's 1927 price (B8) is open and may change this after 1927</t>
  </si>
  <si>
    <t xml:space="preserve">Year-by-year inputs</t>
  </si>
  <si>
    <t xml:space="preserve">Time paths behind the model: prices, migration, growth, tax rates, army size and loan terms.</t>
  </si>
  <si>
    <t xml:space="preserve">Years run down the page. Blue = input you can change · black = formula · green = link to another sheet. Hover a column heading for its definition.</t>
  </si>
  <si>
    <t xml:space="preserve">Prices &amp; people</t>
  </si>
  <si>
    <t xml:space="preserve">Gross arrivals (story case)</t>
  </si>
  <si>
    <t xml:space="preserve">Taxes</t>
  </si>
  <si>
    <t xml:space="preserve">Spending</t>
  </si>
  <si>
    <t xml:space="preserve">Financing</t>
  </si>
  <si>
    <t xml:space="preserve">Price level (1913 = 1)</t>
  </si>
  <si>
    <t xml:space="preserve">Natural increase</t>
  </si>
  <si>
    <t xml:space="preserve">Residents joining with territory</t>
  </si>
  <si>
    <t xml:space="preserve">Arrivals: Americas &amp; Europe</t>
  </si>
  <si>
    <t xml:space="preserve">Arrivals: Chinese</t>
  </si>
  <si>
    <t xml:space="preserve">Arrivals: Japanese</t>
  </si>
  <si>
    <t xml:space="preserve">Arrivals: Filipino</t>
  </si>
  <si>
    <t xml:space="preserve">Return migration, Americas &amp; Europe</t>
  </si>
  <si>
    <t xml:space="preserve">Share of arrivals assisted</t>
  </si>
  <si>
    <t xml:space="preserve">Philippine crown residents (separate)</t>
  </si>
  <si>
    <t xml:space="preserve">Real output growth per resident (story)</t>
  </si>
  <si>
    <t xml:space="preserve">Output vs trend (slumps)</t>
  </si>
  <si>
    <t xml:space="preserve">Dutiable imports / GDP</t>
  </si>
  <si>
    <t xml:space="preserve">Average tariff</t>
  </si>
  <si>
    <t xml:space="preserve">Domestic taxes / non-mining GDP</t>
  </si>
  <si>
    <t xml:space="preserve">Tax collection</t>
  </si>
  <si>
    <t xml:space="preserve">State enterprises &amp; concessions / GDP</t>
  </si>
  <si>
    <t xml:space="preserve">Panama canal tolls ($m)</t>
  </si>
  <si>
    <t xml:space="preserve">Civil services / GDP</t>
  </si>
  <si>
    <t xml:space="preserve">Public works / GDP</t>
  </si>
  <si>
    <t xml:space="preserve">Technical &amp; industrial programmes / GDP</t>
  </si>
  <si>
    <t xml:space="preserve">Active army</t>
  </si>
  <si>
    <t xml:space="preserve">Trained reserves</t>
  </si>
  <si>
    <t xml:space="preserve">Average coupon on public debt</t>
  </si>
  <si>
    <t xml:space="preserve">Coupon on Entente / European loans</t>
  </si>
  <si>
    <t xml:space="preserve">Repayment rate on European loans</t>
  </si>
  <si>
    <t xml:space="preserve">European debtors paying (1/0)</t>
  </si>
  <si>
    <t xml:space="preserve">War year (1/0)</t>
  </si>
  <si>
    <t xml:space="preserve">World monetary gold ($m)</t>
  </si>
  <si>
    <t xml:space="preserve">Population</t>
  </si>
  <si>
    <t xml:space="preserve">Residents of core Pacifica: births, territory, and four migration streams.</t>
  </si>
  <si>
    <t xml:space="preserve">Residents</t>
  </si>
  <si>
    <t xml:space="preserve">Arrivals</t>
  </si>
  <si>
    <t xml:space="preserve">Asian-origin residents</t>
  </si>
  <si>
    <t xml:space="preserve">With the Gulf</t>
  </si>
  <si>
    <t xml:space="preserve">Memo (not in totals)</t>
  </si>
  <si>
    <t xml:space="preserve">Residents at start of year</t>
  </si>
  <si>
    <t xml:space="preserve">Join with territory</t>
  </si>
  <si>
    <t xml:space="preserve">Leave again</t>
  </si>
  <si>
    <t xml:space="preserve">Extra arrivals drawn by Pacifica's lead</t>
  </si>
  <si>
    <t xml:space="preserve">Net migration</t>
  </si>
  <si>
    <t xml:space="preserve">Residents at end of year</t>
  </si>
  <si>
    <t xml:space="preserve">Growth</t>
  </si>
  <si>
    <t xml:space="preserve">Chinese-Pacificans</t>
  </si>
  <si>
    <t xml:space="preserve">Japanese-Pacificans</t>
  </si>
  <si>
    <t xml:space="preserve">Filipino-Pacificans</t>
  </si>
  <si>
    <t xml:space="preserve">Settled guest workers of Asian origin (now in N-P)</t>
  </si>
  <si>
    <t xml:space="preserve">Asian talent migrants and families (now in N-P)</t>
  </si>
  <si>
    <t xml:space="preserve">Asian-origin share</t>
  </si>
  <si>
    <t xml:space="preserve">Assisted arrivals</t>
  </si>
  <si>
    <t xml:space="preserve">Gulf Republic residents (once a member)</t>
  </si>
  <si>
    <t xml:space="preserve">All residents incl. the Gulf</t>
  </si>
  <si>
    <t xml:space="preserve">Everyone present, incl. guest workers</t>
  </si>
  <si>
    <t xml:space="preserve">Native Hawaiians (memo, population model)</t>
  </si>
  <si>
    <t xml:space="preserve">Native Californians (memo, population model)</t>
  </si>
  <si>
    <t xml:space="preserve">GDP = residents × real output per resident × slump factor × prices, plus mining and oil and the national champions.</t>
  </si>
  <si>
    <t xml:space="preserve">Inputs</t>
  </si>
  <si>
    <t xml:space="preserve">GDP</t>
  </si>
  <si>
    <t xml:space="preserve">Benchmark</t>
  </si>
  <si>
    <t xml:space="preserve">Average residents</t>
  </si>
  <si>
    <t xml:space="preserve">Real growth per resident, before the Development Fund</t>
  </si>
  <si>
    <t xml:space="preserve">Extra growth from the Development Fund</t>
  </si>
  <si>
    <t xml:space="preserve">Real growth per resident</t>
  </si>
  <si>
    <t xml:space="preserve">Real non-mining output per resident (1913 $)</t>
  </si>
  <si>
    <t xml:space="preserve">Output vs trend</t>
  </si>
  <si>
    <t xml:space="preserve">Price level</t>
  </si>
  <si>
    <t xml:space="preserve">Output raised by the extra talent</t>
  </si>
  <si>
    <t xml:space="preserve">Non-mining GDP ($m)</t>
  </si>
  <si>
    <t xml:space="preserve">Mining &amp; oil ($m)</t>
  </si>
  <si>
    <t xml:space="preserve">Guest workers' output ($m)</t>
  </si>
  <si>
    <t xml:space="preserve">National champions, extra ($m)</t>
  </si>
  <si>
    <t xml:space="preserve">Gulf Republic ($m, once a member)</t>
  </si>
  <si>
    <t xml:space="preserve">Core GDP ($m)</t>
  </si>
  <si>
    <t xml:space="preserve">GDP per person present ($)</t>
  </si>
  <si>
    <t xml:space="preserve">US GDP per person, historical ($)</t>
  </si>
  <si>
    <t xml:space="preserve">Pacifica / US per person</t>
  </si>
  <si>
    <t xml:space="preserve">Real GDP (1913 $m)</t>
  </si>
  <si>
    <t xml:space="preserve">Gold, metals and oil</t>
  </si>
  <si>
    <t xml:space="preserve">What comes out of the ground, and what the state takes from it.</t>
  </si>
  <si>
    <t xml:space="preserve">Gross output, $m</t>
  </si>
  <si>
    <t xml:space="preserve">Concessions abroad, $m</t>
  </si>
  <si>
    <t xml:space="preserve">Totals</t>
  </si>
  <si>
    <t xml:space="preserve">To the Treasury</t>
  </si>
  <si>
    <t xml:space="preserve">California gold ($m)</t>
  </si>
  <si>
    <t xml:space="preserve">Interior gold &amp; silver ($m)</t>
  </si>
  <si>
    <t xml:space="preserve">Nevada gold &amp; silver: Goldfield and Tonopah ($m)</t>
  </si>
  <si>
    <t xml:space="preserve">Alaska gold ($m)</t>
  </si>
  <si>
    <t xml:space="preserve">Copper &amp; other metals ($m)</t>
  </si>
  <si>
    <t xml:space="preserve">Korean concession gold ($m)</t>
  </si>
  <si>
    <t xml:space="preserve">Kolyma gold, Siberian Republic ($m)</t>
  </si>
  <si>
    <t xml:space="preserve">Oil output before any compact (m barrels)</t>
  </si>
  <si>
    <t xml:space="preserve">Oil price before any compact ($ per barrel)</t>
  </si>
  <si>
    <t xml:space="preserve">Oil price ($ per barrel)</t>
  </si>
  <si>
    <t xml:space="preserve">Oil value ($m)</t>
  </si>
  <si>
    <t xml:space="preserve">Gross mineral output ($m)</t>
  </si>
  <si>
    <t xml:space="preserve">Mining &amp; oil value added ($m)</t>
  </si>
  <si>
    <t xml:space="preserve">Metal royalties ($m)</t>
  </si>
  <si>
    <t xml:space="preserve">Oil royalties ($m)</t>
  </si>
  <si>
    <t xml:space="preserve">New gold kept as money ($m)</t>
  </si>
  <si>
    <t xml:space="preserve">Receipts and spending of the Pacifican Treasury (the confederal/imperial budget), $m.</t>
  </si>
  <si>
    <t xml:space="preserve">Receipts, $m</t>
  </si>
  <si>
    <t xml:space="preserve">Spending, $m</t>
  </si>
  <si>
    <t xml:space="preserve">Result</t>
  </si>
  <si>
    <t xml:space="preserve">Customs</t>
  </si>
  <si>
    <t xml:space="preserve">Domestic taxes</t>
  </si>
  <si>
    <t xml:space="preserve">Mineral &amp; oil royalties</t>
  </si>
  <si>
    <t xml:space="preserve">Canal net income</t>
  </si>
  <si>
    <t xml:space="preserve">State enterprises</t>
  </si>
  <si>
    <t xml:space="preserve">Other receipts (Events, Land Fund)</t>
  </si>
  <si>
    <t xml:space="preserve">Interest on loans abroad</t>
  </si>
  <si>
    <t xml:space="preserve">Reserve Fund income</t>
  </si>
  <si>
    <t xml:space="preserve">Guest-worker levy</t>
  </si>
  <si>
    <t xml:space="preserve">Crown share in the national champions</t>
  </si>
  <si>
    <t xml:space="preserve">Total receipts</t>
  </si>
  <si>
    <t xml:space="preserve">Army</t>
  </si>
  <si>
    <t xml:space="preserve">War &amp; operations (Events)</t>
  </si>
  <si>
    <t xml:space="preserve">Civil services</t>
  </si>
  <si>
    <t xml:space="preserve">Public works</t>
  </si>
  <si>
    <t xml:space="preserve">Technical programmes</t>
  </si>
  <si>
    <t xml:space="preserve">Settlement &amp; immigration</t>
  </si>
  <si>
    <t xml:space="preserve">Purchases &amp; canal (Events)</t>
  </si>
  <si>
    <t xml:space="preserve">Subsidies, guarantees &amp; relief (Events)</t>
  </si>
  <si>
    <t xml:space="preserve">Bank rescues &amp; capital (Events)</t>
  </si>
  <si>
    <t xml:space="preserve">Debt interest</t>
  </si>
  <si>
    <t xml:space="preserve">Total spending</t>
  </si>
  <si>
    <t xml:space="preserve">Budget balance</t>
  </si>
  <si>
    <t xml:space="preserve">Receipts / GDP</t>
  </si>
  <si>
    <t xml:space="preserve">Spending / GDP</t>
  </si>
  <si>
    <t xml:space="preserve">Land Fund</t>
  </si>
  <si>
    <t xml:space="preserve">CR-033 (draft): the Republic buys Native land by treaty for annuities in goods, sells it to settlers on instalments, takes grant land as the price of fast patents, and keeps a fee on homeland leases. Does it pay for itself? Inputs are on Levers (lfund_*); the farm-land path is our timeline's census.</t>
  </si>
  <si>
    <t xml:space="preserve">Years run down the page. Blue = input · black = formula · green = link. $m in period money. Net cash to the Treasury feeds Budget column G. Police and commissioners are the wider policy's cost (A7).</t>
  </si>
  <si>
    <t xml:space="preserve">Purchases</t>
  </si>
  <si>
    <t xml:space="preserve">Receipts</t>
  </si>
  <si>
    <t xml:space="preserve">Results</t>
  </si>
  <si>
    <t xml:space="preserve">Land in farms, our timeline (acres)</t>
  </si>
  <si>
    <t xml:space="preserve">Farm land needing purchase (acres)</t>
  </si>
  <si>
    <t xml:space="preserve">Bought from the nations, to date (acres)</t>
  </si>
  <si>
    <t xml:space="preserve">Bought this year (acres)</t>
  </si>
  <si>
    <t xml:space="preserve">Annuities paid in goods ($m)</t>
  </si>
  <si>
    <t xml:space="preserve">Old grants patented this year (acres)</t>
  </si>
  <si>
    <t xml:space="preserve">Survey and register ($m)</t>
  </si>
  <si>
    <t xml:space="preserve">Sold to settlers, to date (acres)</t>
  </si>
  <si>
    <t xml:space="preserve">Instalments received ($m)</t>
  </si>
  <si>
    <t xml:space="preserve">Grant land paid in and sold ($m)</t>
  </si>
  <si>
    <t xml:space="preserve">Homeland lease fees ($m)</t>
  </si>
  <si>
    <t xml:space="preserve">Land Fund net ($m)</t>
  </si>
  <si>
    <t xml:space="preserve">Commissioners and mounted police ($m)</t>
  </si>
  <si>
    <t xml:space="preserve">Net cash to the Treasury ($m)</t>
  </si>
  <si>
    <t xml:space="preserve">Land Fund balance with interest ($m)</t>
  </si>
  <si>
    <t xml:space="preserve">Policy balance with interest, incl. police ($m)</t>
  </si>
  <si>
    <t xml:space="preserve">Assisted passage ($m)</t>
  </si>
  <si>
    <t xml:space="preserve">Land Fund net / assisted passage, to date</t>
  </si>
  <si>
    <t xml:space="preserve">Farm land and buildings, average value, our timeline ($ an acre)</t>
  </si>
  <si>
    <t xml:space="preserve">Sale price ($ an acre)</t>
  </si>
  <si>
    <t xml:space="preserve">Value of land sold this year ($m)</t>
  </si>
  <si>
    <t xml:space="preserve">Value of land sold, to date ($m)</t>
  </si>
  <si>
    <t xml:space="preserve">Summary</t>
  </si>
  <si>
    <t xml:space="preserve">Acres bought, 1851-1932</t>
  </si>
  <si>
    <t xml:space="preserve">Annuities paid ($m)</t>
  </si>
  <si>
    <t xml:space="preserve">Instalments and grant land ($m)</t>
  </si>
  <si>
    <t xml:space="preserve">Average sale price ($ an acre)</t>
  </si>
  <si>
    <t xml:space="preserve">Lease fees ($m)</t>
  </si>
  <si>
    <t xml:space="preserve">Land Fund net, undiscounted ($m)</t>
  </si>
  <si>
    <t xml:space="preserve">Police and commissioners ($m)</t>
  </si>
  <si>
    <t xml:space="preserve">Policy net, undiscounted ($m)</t>
  </si>
  <si>
    <t xml:space="preserve">Land Fund net, value in 1850 at lfund_rate ($m)</t>
  </si>
  <si>
    <t xml:space="preserve">Policy net, value in 1850 at lfund_rate ($m)</t>
  </si>
  <si>
    <t xml:space="preserve">Lowest Land Fund balance ($m)</t>
  </si>
  <si>
    <t xml:space="preserve">First year the Land Fund is back in credit, with interest</t>
  </si>
  <si>
    <t xml:space="preserve">First year the policy is back in credit, with interest</t>
  </si>
  <si>
    <t xml:space="preserve">Land Fund net / assisted passage, 1852-1932</t>
  </si>
  <si>
    <t xml:space="preserve">Our timeline: California's militia claims, 1850s ($m)</t>
  </si>
  <si>
    <t xml:space="preserve">Debt and cash</t>
  </si>
  <si>
    <t xml:space="preserve">How each year's balance is financed: cash target, Reserve Fund, bonds. Closing cash always equals the target.</t>
  </si>
  <si>
    <t xml:space="preserve">Cash flow, $m</t>
  </si>
  <si>
    <t xml:space="preserve">Financing, $m</t>
  </si>
  <si>
    <t xml:space="preserve">Debt and assets, $m</t>
  </si>
  <si>
    <t xml:space="preserve">Ratios</t>
  </si>
  <si>
    <t xml:space="preserve">Net lending abroad</t>
  </si>
  <si>
    <t xml:space="preserve">Scheduled debt repayment</t>
  </si>
  <si>
    <t xml:space="preserve">Cash before financing</t>
  </si>
  <si>
    <t xml:space="preserve">Cash target</t>
  </si>
  <si>
    <t xml:space="preserve">Drawn from Reserve Fund</t>
  </si>
  <si>
    <t xml:space="preserve">Borrowed (cash raised)</t>
  </si>
  <si>
    <t xml:space="preserve">New bonds (face value)</t>
  </si>
  <si>
    <t xml:space="preserve">Invested by the Development Fund</t>
  </si>
  <si>
    <t xml:space="preserve">Reserve above the buffer, invested</t>
  </si>
  <si>
    <t xml:space="preserve">Extra debt repaid from surplus</t>
  </si>
  <si>
    <t xml:space="preserve">Put into Reserve Fund</t>
  </si>
  <si>
    <t xml:space="preserve">Closing cash</t>
  </si>
  <si>
    <t xml:space="preserve">Development investment, cash sources</t>
  </si>
  <si>
    <t xml:space="preserve">Development stock (memo)</t>
  </si>
  <si>
    <t xml:space="preserve">Debt taken over (no cash)</t>
  </si>
  <si>
    <t xml:space="preserve">Bonds kept in issue (standing debt)</t>
  </si>
  <si>
    <t xml:space="preserve">Public debt</t>
  </si>
  <si>
    <t xml:space="preserve">Treasury Reserve Fund</t>
  </si>
  <si>
    <t xml:space="preserve">Loans abroad outstanding</t>
  </si>
  <si>
    <t xml:space="preserve">Net debt</t>
  </si>
  <si>
    <t xml:space="preserve">Interest / receipts</t>
  </si>
  <si>
    <t xml:space="preserve">Reserve Fund / GDP</t>
  </si>
  <si>
    <t xml:space="preserve">Bonds placed in the market</t>
  </si>
  <si>
    <t xml:space="preserve">Public lending abroad</t>
  </si>
  <si>
    <t xml:space="preserve">Treasury loans to partners, grouped by borrower. Amounts come from the Events ledger (Category = Loan).</t>
  </si>
  <si>
    <t xml:space="preserve">All policy loans</t>
  </si>
  <si>
    <t xml:space="preserve">Continental: lent</t>
  </si>
  <si>
    <t xml:space="preserve">Continental: repaid</t>
  </si>
  <si>
    <t xml:space="preserve">Continental: written off</t>
  </si>
  <si>
    <t xml:space="preserve">Continental: outstanding</t>
  </si>
  <si>
    <t xml:space="preserve">Continental: interest received</t>
  </si>
  <si>
    <t xml:space="preserve">Asia: lent</t>
  </si>
  <si>
    <t xml:space="preserve">Asia: repaid</t>
  </si>
  <si>
    <t xml:space="preserve">Asia: written off</t>
  </si>
  <si>
    <t xml:space="preserve">Asia: outstanding</t>
  </si>
  <si>
    <t xml:space="preserve">Asia: interest received</t>
  </si>
  <si>
    <t xml:space="preserve">Europe: lent</t>
  </si>
  <si>
    <t xml:space="preserve">Europe: repaid</t>
  </si>
  <si>
    <t xml:space="preserve">Europe: written off</t>
  </si>
  <si>
    <t xml:space="preserve">Europe: outstanding</t>
  </si>
  <si>
    <t xml:space="preserve">Europe: interest received</t>
  </si>
  <si>
    <t xml:space="preserve">Rescue: lent</t>
  </si>
  <si>
    <t xml:space="preserve">Rescue: repaid</t>
  </si>
  <si>
    <t xml:space="preserve">Rescue: written off</t>
  </si>
  <si>
    <t xml:space="preserve">Rescue: outstanding</t>
  </si>
  <si>
    <t xml:space="preserve">Rescue: interest received</t>
  </si>
  <si>
    <t xml:space="preserve">Total lent</t>
  </si>
  <si>
    <t xml:space="preserve">Total repaid</t>
  </si>
  <si>
    <t xml:space="preserve">Total outstanding</t>
  </si>
  <si>
    <t xml:space="preserve">Total interest received</t>
  </si>
  <si>
    <t xml:space="preserve">Gold and money</t>
  </si>
  <si>
    <t xml:space="preserve">Monetary gold against the 40% cover rule, including the 1931-32 rescue and any Reserve Bank bond purchases.</t>
  </si>
  <si>
    <t xml:space="preserve">Monetary gold, $m</t>
  </si>
  <si>
    <t xml:space="preserve">Money, $m</t>
  </si>
  <si>
    <t xml:space="preserve">Gold at start of year</t>
  </si>
  <si>
    <t xml:space="preserve">From new gold output</t>
  </si>
  <si>
    <t xml:space="preserve">From the external surplus</t>
  </si>
  <si>
    <t xml:space="preserve">Paid out in gold (purchases &amp; rescues)</t>
  </si>
  <si>
    <t xml:space="preserve">Gold at end of year</t>
  </si>
  <si>
    <t xml:space="preserve">Reserve Bank buys Treasury bonds</t>
  </si>
  <si>
    <t xml:space="preserve">Reserve Bank holdings of bonds</t>
  </si>
  <si>
    <t xml:space="preserve">Notes and bank reserves</t>
  </si>
  <si>
    <t xml:space="preserve">Gold required as cover</t>
  </si>
  <si>
    <t xml:space="preserve">Gold above requirement</t>
  </si>
  <si>
    <t xml:space="preserve">Gold cover</t>
  </si>
  <si>
    <t xml:space="preserve">Share of world monetary gold</t>
  </si>
  <si>
    <t xml:space="preserve">Private investment abroad</t>
  </si>
  <si>
    <t xml:space="preserve">Factories, refineries, mills and bonds owned abroad by Pacificans, and the income they send home. Adds to national income, not GDP.</t>
  </si>
  <si>
    <t xml:space="preserve">Outflows</t>
  </si>
  <si>
    <t xml:space="preserve">Assets</t>
  </si>
  <si>
    <t xml:space="preserve">Income</t>
  </si>
  <si>
    <t xml:space="preserve">Private investment abroad / GDP</t>
  </si>
  <si>
    <t xml:space="preserve">Ordinary investment abroad ($m)</t>
  </si>
  <si>
    <t xml:space="preserve">Private share of the Entente credit ($m)</t>
  </si>
  <si>
    <t xml:space="preserve">Assets at start of year ($m)</t>
  </si>
  <si>
    <t xml:space="preserve">Repaid or sold ($m)</t>
  </si>
  <si>
    <t xml:space="preserve">Losses ($m)</t>
  </si>
  <si>
    <t xml:space="preserve">Portfolio assets abroad ($m)</t>
  </si>
  <si>
    <t xml:space="preserve">Champions' direct investment abroad ($m)</t>
  </si>
  <si>
    <t xml:space="preserve">All private assets abroad ($m)</t>
  </si>
  <si>
    <t xml:space="preserve">Income on the portfolio ($m)</t>
  </si>
  <si>
    <t xml:space="preserve">Champions' earnings abroad ($m)</t>
  </si>
  <si>
    <t xml:space="preserve">Tax on it ($m)</t>
  </si>
  <si>
    <t xml:space="preserve">Guest workers' remittances ($m)</t>
  </si>
  <si>
    <t xml:space="preserve">National income: GDP + income from abroad ($m)</t>
  </si>
  <si>
    <t xml:space="preserve">Income from abroad / national income</t>
  </si>
  <si>
    <t xml:space="preserve">Assets abroad / GDP</t>
  </si>
  <si>
    <t xml:space="preserve">Japan facility allocation</t>
  </si>
  <si>
    <t xml:space="preserve">Other ordinary foreign investment</t>
  </si>
  <si>
    <t xml:space="preserve">Japan facility outstanding</t>
  </si>
  <si>
    <t xml:space="preserve">Paid to foreign holders of champion capital ($m)</t>
  </si>
  <si>
    <t xml:space="preserve">National champions</t>
  </si>
  <si>
    <t xml:space="preserve">The Polytechnic's talent and the industries it seeds: oil, steel, motor vehicles, chemicals, electrical, telecom, shipping and finance, film and aircraft, at home and abroad (CR-020 B9).</t>
  </si>
  <si>
    <t xml:space="preserve">Talent</t>
  </si>
  <si>
    <t xml:space="preserve">Oil trust</t>
  </si>
  <si>
    <t xml:space="preserve">Steel</t>
  </si>
  <si>
    <t xml:space="preserve">Motor vehicles</t>
  </si>
  <si>
    <t xml:space="preserve">Chemicals &amp; drugs</t>
  </si>
  <si>
    <t xml:space="preserve">Electrical (AC standard)</t>
  </si>
  <si>
    <t xml:space="preserve">Telecom &amp; services</t>
  </si>
  <si>
    <t xml:space="preserve">At home</t>
  </si>
  <si>
    <t xml:space="preserve">Assets abroad</t>
  </si>
  <si>
    <t xml:space="preserve">Earnings abroad</t>
  </si>
  <si>
    <t xml:space="preserve">Crown share</t>
  </si>
  <si>
    <t xml:space="preserve">Effective scale of the champions</t>
  </si>
  <si>
    <t xml:space="preserve">Polytechnic engineers and scientists graduating</t>
  </si>
  <si>
    <t xml:space="preserve">Foreign scientists and engineers recruited</t>
  </si>
  <si>
    <t xml:space="preserve">Patents granted to Pacificans, story path</t>
  </si>
  <si>
    <t xml:space="preserve">Patents granted to Pacificans</t>
  </si>
  <si>
    <t xml:space="preserve">Patents per million residents</t>
  </si>
  <si>
    <t xml:space="preserve">US patents per million, historical</t>
  </si>
  <si>
    <t xml:space="preserve">Home refining and bunkering margin ($/bbl)</t>
  </si>
  <si>
    <t xml:space="preserve">Oil: refining, bunkering, tankers at home ($m)</t>
  </si>
  <si>
    <t xml:space="preserve">Gulf crude output (m bbl)</t>
  </si>
  <si>
    <t xml:space="preserve">Share refined and sold by Pacifican firms</t>
  </si>
  <si>
    <t xml:space="preserve">Lamp oil, fuel and bunkers sold in Asia (m bbl)</t>
  </si>
  <si>
    <t xml:space="preserve">Trust margin abroad ($/bbl)</t>
  </si>
  <si>
    <t xml:space="preserve">Oil: earnings abroad ($m)</t>
  </si>
  <si>
    <t xml:space="preserve">Oil: assets abroad ($m)</t>
  </si>
  <si>
    <t xml:space="preserve">Steel output (m tonnes)</t>
  </si>
  <si>
    <t xml:space="preserve">Value added per tonne ($)</t>
  </si>
  <si>
    <t xml:space="preserve">Steel ($m)</t>
  </si>
  <si>
    <t xml:space="preserve">Motor vehicles built (thousands)</t>
  </si>
  <si>
    <t xml:space="preserve">Value added per vehicle ($)</t>
  </si>
  <si>
    <t xml:space="preserve">Motor vehicles ($m)</t>
  </si>
  <si>
    <t xml:space="preserve">World chemical and drug sales ($m)</t>
  </si>
  <si>
    <t xml:space="preserve">Pacifica's share of world output</t>
  </si>
  <si>
    <t xml:space="preserve">Chemicals and drugs ($m)</t>
  </si>
  <si>
    <t xml:space="preserve">World output made under Pacifican licence</t>
  </si>
  <si>
    <t xml:space="preserve">Chemical patent royalties from abroad ($m)</t>
  </si>
  <si>
    <t xml:space="preserve">World electrical equipment sales ($m)</t>
  </si>
  <si>
    <t xml:space="preserve">Pacifica's production share</t>
  </si>
  <si>
    <t xml:space="preserve">World sales on the Pacifican standard</t>
  </si>
  <si>
    <t xml:space="preserve">Electrical equipment ($m)</t>
  </si>
  <si>
    <t xml:space="preserve">Licence fees on the standard ($m)</t>
  </si>
  <si>
    <t xml:space="preserve">Telegraph, cable, telephone, radio ($m)</t>
  </si>
  <si>
    <t xml:space="preserve">Telecom value added, scaled ($m)</t>
  </si>
  <si>
    <t xml:space="preserve">Shipping and insurance ($m)</t>
  </si>
  <si>
    <t xml:space="preserve">Shipping value added, scaled ($m)</t>
  </si>
  <si>
    <t xml:space="preserve">Foreign bonds floated in San Francisco ($m)</t>
  </si>
  <si>
    <t xml:space="preserve">Underwriting and banking fees ($m)</t>
  </si>
  <si>
    <t xml:space="preserve">Film and sound ($m)</t>
  </si>
  <si>
    <t xml:space="preserve">Aluminium and aircraft ($m)</t>
  </si>
  <si>
    <t xml:space="preserve">Champions' value added at home ($m)</t>
  </si>
  <si>
    <t xml:space="preserve">Added to GDP ($m)</t>
  </si>
  <si>
    <t xml:space="preserve">Champions at home / GDP</t>
  </si>
  <si>
    <t xml:space="preserve">Rail, ports and canal concessions abroad ($m)</t>
  </si>
  <si>
    <t xml:space="preserve">Cables and telegraphs abroad ($m)</t>
  </si>
  <si>
    <t xml:space="preserve">Power companies and tramways abroad ($m)</t>
  </si>
  <si>
    <t xml:space="preserve">Assembly plants abroad ($m)</t>
  </si>
  <si>
    <t xml:space="preserve">Chemical and drug plants abroad ($m)</t>
  </si>
  <si>
    <t xml:space="preserve">Ore mines and mills abroad ($m)</t>
  </si>
  <si>
    <t xml:space="preserve">Earnings abroad ($m)</t>
  </si>
  <si>
    <t xml:space="preserve">Champions' profits ($m)</t>
  </si>
  <si>
    <t xml:space="preserve">Profits of the chartered industries ($m)</t>
  </si>
  <si>
    <t xml:space="preserve">Profits of the competitive industries ($m)</t>
  </si>
  <si>
    <t xml:space="preserve">Dividends on the Crown share ($m)</t>
  </si>
  <si>
    <t xml:space="preserve">Crown share, average across the champions</t>
  </si>
  <si>
    <t xml:space="preserve">Talent, migration and jobs</t>
  </si>
  <si>
    <t xml:space="preserve">The loop: Pacifica's lead draws skilled people, who raise output and the champions, who create jobs that draw more people; what the Union loses (CR-020 B10).</t>
  </si>
  <si>
    <t xml:space="preserve">Pacifica's workers</t>
  </si>
  <si>
    <t xml:space="preserve">The pull</t>
  </si>
  <si>
    <t xml:space="preserve">Extra arrivals</t>
  </si>
  <si>
    <t xml:space="preserve">Productivity</t>
  </si>
  <si>
    <t xml:space="preserve">Diverted immigration</t>
  </si>
  <si>
    <t xml:space="preserve">Labour force</t>
  </si>
  <si>
    <t xml:space="preserve">Output per worker ($)</t>
  </si>
  <si>
    <t xml:space="preserve">Jobs in the champions</t>
  </si>
  <si>
    <t xml:space="preserve">Related jobs: suppliers, services, construction</t>
  </si>
  <si>
    <t xml:space="preserve">Champion-related jobs</t>
  </si>
  <si>
    <t xml:space="preserve">New champion-related jobs</t>
  </si>
  <si>
    <t xml:space="preserve">Unemployment rate</t>
  </si>
  <si>
    <t xml:space="preserve">Guest-worker permits wanted by employers</t>
  </si>
  <si>
    <t xml:space="preserve">Guest workers who become residents</t>
  </si>
  <si>
    <t xml:space="preserve">Guest workers present</t>
  </si>
  <si>
    <t xml:space="preserve">Guest workers arriving</t>
  </si>
  <si>
    <t xml:space="preserve">Guest workers / resident labour force</t>
  </si>
  <si>
    <t xml:space="preserve">Guest workers' wages ($m)</t>
  </si>
  <si>
    <t xml:space="preserve">Employer levy ($m)</t>
  </si>
  <si>
    <t xml:space="preserve">Remittances sent home ($m)</t>
  </si>
  <si>
    <t xml:space="preserve">The Union's response, phased in</t>
  </si>
  <si>
    <t xml:space="preserve">Lead over US output per person, last year</t>
  </si>
  <si>
    <t xml:space="preserve">Lead beyond what the baseline arrivals assume</t>
  </si>
  <si>
    <t xml:space="preserve">Union population without Pacifica's pull (m)</t>
  </si>
  <si>
    <t xml:space="preserve">Union skilled workers</t>
  </si>
  <si>
    <t xml:space="preserve">Skilled emigrants leaving Europe and Asia</t>
  </si>
  <si>
    <t xml:space="preserve">Skilled workers who want to come: from the Union</t>
  </si>
  <si>
    <t xml:space="preserve">Skilled workers who want to come: from Europe and Asia</t>
  </si>
  <si>
    <t xml:space="preserve">Skilled people in Asia ready to emigrate</t>
  </si>
  <si>
    <t xml:space="preserve">Skilled workers who want to come: from Asia</t>
  </si>
  <si>
    <t xml:space="preserve">Places in the skilled-entry programme</t>
  </si>
  <si>
    <t xml:space="preserve">Skilled workers admitted</t>
  </si>
  <si>
    <t xml:space="preserve">… of whom from the Union</t>
  </si>
  <si>
    <t xml:space="preserve">… of whom from Asia</t>
  </si>
  <si>
    <t xml:space="preserve">Skilled arrivals with their families</t>
  </si>
  <si>
    <t xml:space="preserve">Talent migrants and descendants</t>
  </si>
  <si>
    <t xml:space="preserve">Relatives who follow</t>
  </si>
  <si>
    <t xml:space="preserve">Arrivals for new jobs (− leave when jobs go)</t>
  </si>
  <si>
    <t xml:space="preserve">Former guest workers settling, with families</t>
  </si>
  <si>
    <t xml:space="preserve">Extra arrivals, all</t>
  </si>
  <si>
    <t xml:space="preserve">Extra skilled workers in Pacifica</t>
  </si>
  <si>
    <t xml:space="preserve">Extra skilled workers / labour force</t>
  </si>
  <si>
    <t xml:space="preserve">Output per resident raised by the extra talent</t>
  </si>
  <si>
    <t xml:space="preserve">Champions raised by the extra talent</t>
  </si>
  <si>
    <t xml:space="preserve">US immigration, historical</t>
  </si>
  <si>
    <t xml:space="preserve">Immigrants who choose Pacifica instead</t>
  </si>
  <si>
    <t xml:space="preserve">First-generation diverted immigrants in Pacifica</t>
  </si>
  <si>
    <t xml:space="preserve">Output per resident lowered while they learn the language and trades</t>
  </si>
  <si>
    <t xml:space="preserve">Union-born skilled workers in Pacifica</t>
  </si>
  <si>
    <t xml:space="preserve">Missing from the Union: diverted immigrants and their children</t>
  </si>
  <si>
    <t xml:space="preserve">Missing from the Union: talent emigrants, families and children</t>
  </si>
  <si>
    <t xml:space="preserve">Union citizens working in Pacifica as guest workers</t>
  </si>
  <si>
    <t xml:space="preserve">Union output per person vs the US average</t>
  </si>
  <si>
    <t xml:space="preserve">Union output per worker, historical ($)</t>
  </si>
  <si>
    <t xml:space="preserve">Growth lost to the brain drain</t>
  </si>
  <si>
    <t xml:space="preserve">Growth lost to Pacific trade and gold</t>
  </si>
  <si>
    <t xml:space="preserve">Growth regained by emulating Pacifica</t>
  </si>
  <si>
    <t xml:space="preserve">Union productivity vs history</t>
  </si>
  <si>
    <t xml:space="preserve">Extra crash: the German loan book (§34)</t>
  </si>
  <si>
    <t xml:space="preserve">Skill premium lost with the emigrants ($m)</t>
  </si>
  <si>
    <t xml:space="preserve">Business lost to the champions ($m)</t>
  </si>
  <si>
    <t xml:space="preserve">Output of Union workers away as guest workers ($m)</t>
  </si>
  <si>
    <t xml:space="preserve">Union GDP without Pacifica's pull ($m)</t>
  </si>
  <si>
    <t xml:space="preserve">Union GDP ($m)</t>
  </si>
  <si>
    <t xml:space="preserve">Union jobs displaced this year</t>
  </si>
  <si>
    <t xml:space="preserve">Displaced Union workers not yet re-employed</t>
  </si>
  <si>
    <t xml:space="preserve">US unemployment, historical</t>
  </si>
  <si>
    <t xml:space="preserve">Union unemployment</t>
  </si>
  <si>
    <t xml:space="preserve">Navy plan: what gets built</t>
  </si>
  <si>
    <t xml:space="preserve">Ships completed each year and what each one costs. Edit these to change the fleet.</t>
  </si>
  <si>
    <t xml:space="preserve">Ships completed per year</t>
  </si>
  <si>
    <t xml:space="preserve">Unit cost, current $m</t>
  </si>
  <si>
    <t xml:space="preserve">Capital ships abroad (for comparison)</t>
  </si>
  <si>
    <t xml:space="preserve">Built: Turret ships &amp; coastal ironclads</t>
  </si>
  <si>
    <t xml:space="preserve">Built: Steam cruisers (coal)</t>
  </si>
  <si>
    <t xml:space="preserve">Built: Oil-fired torpedo boats</t>
  </si>
  <si>
    <t xml:space="preserve">Built: Oil-fired protected cruisers</t>
  </si>
  <si>
    <t xml:space="preserve">Built: Turbine destroyers</t>
  </si>
  <si>
    <t xml:space="preserve">Built: Turbine cruisers</t>
  </si>
  <si>
    <t xml:space="preserve">Built: Turbine capital ships</t>
  </si>
  <si>
    <t xml:space="preserve">Built: Submarines</t>
  </si>
  <si>
    <t xml:space="preserve">Built: Aircraft carriers</t>
  </si>
  <si>
    <t xml:space="preserve">Cost each: Turret ships &amp; coastal ironclads ($m)</t>
  </si>
  <si>
    <t xml:space="preserve">Cost each: Steam cruisers (coal) ($m)</t>
  </si>
  <si>
    <t xml:space="preserve">Cost each: Oil-fired torpedo boats ($m)</t>
  </si>
  <si>
    <t xml:space="preserve">Cost each: Oil-fired protected cruisers ($m)</t>
  </si>
  <si>
    <t xml:space="preserve">Cost each: Turbine destroyers ($m)</t>
  </si>
  <si>
    <t xml:space="preserve">Cost each: Turbine cruisers ($m)</t>
  </si>
  <si>
    <t xml:space="preserve">Cost each: Turbine capital ships ($m)</t>
  </si>
  <si>
    <t xml:space="preserve">Cost each: Submarines ($m)</t>
  </si>
  <si>
    <t xml:space="preserve">Cost each: Aircraft carriers ($m)</t>
  </si>
  <si>
    <t xml:space="preserve">Japan capital ships</t>
  </si>
  <si>
    <t xml:space="preserve">Britain capital ships</t>
  </si>
  <si>
    <t xml:space="preserve">Union capital ships</t>
  </si>
  <si>
    <t xml:space="preserve">Germany capital ships</t>
  </si>
  <si>
    <t xml:space="preserve">Navy: fleet and cost</t>
  </si>
  <si>
    <t xml:space="preserve">Fleet in service, its cost, and what oil firing saves. Change the plan on 'Navy plan'.</t>
  </si>
  <si>
    <t xml:space="preserve">Cost, $m</t>
  </si>
  <si>
    <t xml:space="preserve">What oil saves</t>
  </si>
  <si>
    <t xml:space="preserve">Common navy from 1927</t>
  </si>
  <si>
    <t xml:space="preserve">Capital ships</t>
  </si>
  <si>
    <t xml:space="preserve">In service: Turret ships &amp; coastal ironclads</t>
  </si>
  <si>
    <t xml:space="preserve">In service: Steam cruisers (coal)</t>
  </si>
  <si>
    <t xml:space="preserve">In service: Oil-fired torpedo boats</t>
  </si>
  <si>
    <t xml:space="preserve">In service: Oil-fired protected cruisers</t>
  </si>
  <si>
    <t xml:space="preserve">In service: Turbine destroyers</t>
  </si>
  <si>
    <t xml:space="preserve">In service: Turbine cruisers</t>
  </si>
  <si>
    <t xml:space="preserve">In service: Turbine capital ships</t>
  </si>
  <si>
    <t xml:space="preserve">In service: Submarines</t>
  </si>
  <si>
    <t xml:space="preserve">In service: Aircraft carriers</t>
  </si>
  <si>
    <t xml:space="preserve">Construction ($m)</t>
  </si>
  <si>
    <t xml:space="preserve">Sailors</t>
  </si>
  <si>
    <t xml:space="preserve">Sailors a coal-fired fleet would need</t>
  </si>
  <si>
    <t xml:space="preserve">Sailors saved by oil</t>
  </si>
  <si>
    <t xml:space="preserve">Pay and keep ($m)</t>
  </si>
  <si>
    <t xml:space="preserve">Maintenance ($m)</t>
  </si>
  <si>
    <t xml:space="preserve">Fuel ($m)</t>
  </si>
  <si>
    <t xml:space="preserve">Fuel saved vs bought coal ($m)</t>
  </si>
  <si>
    <t xml:space="preserve">Total running cost saved by oil ($m)</t>
  </si>
  <si>
    <t xml:space="preserve">Bases, yards and training ($m)</t>
  </si>
  <si>
    <t xml:space="preserve">Pacifica's own fleet ($m)</t>
  </si>
  <si>
    <t xml:space="preserve">Japan's fleet ($m)</t>
  </si>
  <si>
    <t xml:space="preserve">Common navy ($m)</t>
  </si>
  <si>
    <t xml:space="preserve">Navy oil burned (m barrels)</t>
  </si>
  <si>
    <t xml:space="preserve">Pacifica capital ships</t>
  </si>
  <si>
    <t xml:space="preserve">Pacifica + Japan / Britain</t>
  </si>
  <si>
    <t xml:space="preserve">Japan's own budget: what its wars, the earthquake and the 1927 bank crisis cost, and how much San Francisco lends.</t>
  </si>
  <si>
    <t xml:space="preserve">Issue 1: fiscal cash retained; new bank equity is a financial asset.</t>
  </si>
  <si>
    <t xml:space="preserve">Debt</t>
  </si>
  <si>
    <t xml:space="preserve">Japan GDP, historical ($m)</t>
  </si>
  <si>
    <t xml:space="preserve">Catch-up from integration (× history)</t>
  </si>
  <si>
    <t xml:space="preserve">Japan GDP ($m)</t>
  </si>
  <si>
    <t xml:space="preserve">Revenue / GDP</t>
  </si>
  <si>
    <t xml:space="preserve">Civil &amp; home army / GDP</t>
  </si>
  <si>
    <t xml:space="preserve">Revenue ($m)</t>
  </si>
  <si>
    <t xml:space="preserve">Civil &amp; home army ($m)</t>
  </si>
  <si>
    <t xml:space="preserve">Japanese fleet cost ($m)</t>
  </si>
  <si>
    <t xml:space="preserve">Japan's navy bill ($m)</t>
  </si>
  <si>
    <t xml:space="preserve">Wars &amp; overseas commands ($m)</t>
  </si>
  <si>
    <t xml:space="preserve">Siberian front share ($m)</t>
  </si>
  <si>
    <t xml:space="preserve">Earthquake &amp; bank crisis, historical scale ($m)</t>
  </si>
  <si>
    <t xml:space="preserve">Earthquake uses / bank equity cash</t>
  </si>
  <si>
    <t xml:space="preserve">Common ministries share ($m)</t>
  </si>
  <si>
    <t xml:space="preserve">Interest ($m)</t>
  </si>
  <si>
    <t xml:space="preserve">Total spending ($m)</t>
  </si>
  <si>
    <t xml:space="preserve">Deficit ($m)</t>
  </si>
  <si>
    <t xml:space="preserve">Legacy SF credit, unscaled input</t>
  </si>
  <si>
    <t xml:space="preserve">Credit raised in San Francisco ($m)</t>
  </si>
  <si>
    <t xml:space="preserve">Russian indemnity received ($m)</t>
  </si>
  <si>
    <t xml:space="preserve">Debt assumed ($m)</t>
  </si>
  <si>
    <t xml:space="preserve">Foreign debt repaid ($m)</t>
  </si>
  <si>
    <t xml:space="preserve">Foreign debt ($m)</t>
  </si>
  <si>
    <t xml:space="preserve">Domestic debt ($m)</t>
  </si>
  <si>
    <t xml:space="preserve">Total debt ($m)</t>
  </si>
  <si>
    <t xml:space="preserve">Interest / revenue</t>
  </si>
  <si>
    <t xml:space="preserve">SF share of new borrowing</t>
  </si>
  <si>
    <t xml:space="preserve">Opening Treasury cash</t>
  </si>
  <si>
    <t xml:space="preserve">Cash before domestic finance</t>
  </si>
  <si>
    <t xml:space="preserve">Domestic bonds issued</t>
  </si>
  <si>
    <t xml:space="preserve">Domestic debt before repayment</t>
  </si>
  <si>
    <t xml:space="preserve">Domestic principal repaid</t>
  </si>
  <si>
    <t xml:space="preserve">Cash after financing</t>
  </si>
  <si>
    <t xml:space="preserve">Closing Treasury cash</t>
  </si>
  <si>
    <t xml:space="preserve">Public bank equity asset</t>
  </si>
  <si>
    <t xml:space="preserve">Net public financial assets</t>
  </si>
  <si>
    <t xml:space="preserve">Cash identity difference</t>
  </si>
  <si>
    <t xml:space="preserve">Stabilization on-loans</t>
  </si>
  <si>
    <t xml:space="preserve">Stabilization advances</t>
  </si>
  <si>
    <t xml:space="preserve">Stabilization principal received</t>
  </si>
  <si>
    <t xml:space="preserve">Siberia: the railway behind the coalition, 1918-1932</t>
  </si>
  <si>
    <t xml:space="preserve">One operational schedule (CR-041, Plan C): troops by period, their daily supply, the tonnage on each railway section from the sea to the Ural gate, the train paths, locomotives, wagons, port and ships that carry it, and what it costs. The first period runs from 26 May to 30 September 1918. Whole years from 1923 are the guarantee of the federal compact, tested at January conditions.</t>
  </si>
  <si>
    <t xml:space="preserve">Blue = input you can change · black = formula · levers and fixed values are on Levers (Siberian transport). Hover a column heading for its definition.</t>
  </si>
  <si>
    <t xml:space="preserve">Period</t>
  </si>
  <si>
    <t xml:space="preserve">Forces</t>
  </si>
  <si>
    <t xml:space="preserve">Daily supply</t>
  </si>
  <si>
    <t xml:space="preserve">Load by section</t>
  </si>
  <si>
    <t xml:space="preserve">Troop trains</t>
  </si>
  <si>
    <t xml:space="preserve">Locomotives</t>
  </si>
  <si>
    <t xml:space="preserve">Line capacity</t>
  </si>
  <si>
    <t xml:space="preserve">Capacity test</t>
  </si>
  <si>
    <t xml:space="preserve">Engines and wagons</t>
  </si>
  <si>
    <t xml:space="preserve">Port and ships</t>
  </si>
  <si>
    <t xml:space="preserve">Depots and tests</t>
  </si>
  <si>
    <t xml:space="preserve">Cost inputs</t>
  </si>
  <si>
    <t xml:space="preserve">Cost</t>
  </si>
  <si>
    <t xml:space="preserve">Section 5: Ob-Chelyabinsk (CR-041)</t>
  </si>
  <si>
    <t xml:space="preserve">Days</t>
  </si>
  <si>
    <t xml:space="preserve">What happens</t>
  </si>
  <si>
    <t xml:space="preserve">Winter loss of capacity</t>
  </si>
  <si>
    <t xml:space="preserve">Winter period (1 = yes)</t>
  </si>
  <si>
    <t xml:space="preserve">Season factor</t>
  </si>
  <si>
    <t xml:space="preserve">Japanese (000 men)</t>
  </si>
  <si>
    <t xml:space="preserve">Chinese (000)</t>
  </si>
  <si>
    <t xml:space="preserve">Russian and Siberian armies on the line (000)</t>
  </si>
  <si>
    <t xml:space="preserve">Czechoslovak (000)</t>
  </si>
  <si>
    <t xml:space="preserve">Pacifican (000)</t>
  </si>
  <si>
    <t xml:space="preserve">Total (000)</t>
  </si>
  <si>
    <t xml:space="preserve">Japanese share west of Irkutsk</t>
  </si>
  <si>
    <t xml:space="preserve">Chinese share west of Irkutsk</t>
  </si>
  <si>
    <t xml:space="preserve">Men west of Irkutsk (000)</t>
  </si>
  <si>
    <t xml:space="preserve">Men east of Irkutsk (000)</t>
  </si>
  <si>
    <t xml:space="preserve">Front share of the men west</t>
  </si>
  <si>
    <t xml:space="preserve">Munitions and stores at the front (kg a man-day)</t>
  </si>
  <si>
    <t xml:space="preserve">Munitions and stores west (t a day)</t>
  </si>
  <si>
    <t xml:space="preserve">Japanese rations west (t a day)</t>
  </si>
  <si>
    <t xml:space="preserve">Fortification stores (t a day)</t>
  </si>
  <si>
    <t xml:space="preserve">Railway materials (t a day)</t>
  </si>
  <si>
    <t xml:space="preserve">Through traffic for Omsk (t a day)</t>
  </si>
  <si>
    <t xml:space="preserve">Amur landings at Sretensk, plan (t a day)</t>
  </si>
  <si>
    <t xml:space="preserve">Amur landings at Sretensk (t a day)</t>
  </si>
  <si>
    <t xml:space="preserve">Kara Sea landings (t)</t>
  </si>
  <si>
    <t xml:space="preserve">Into (+) or out of (-) depots west (t a day)</t>
  </si>
  <si>
    <t xml:space="preserve">Refugees and town relief (000)</t>
  </si>
  <si>
    <t xml:space="preserve">Harvest (× prewar)</t>
  </si>
  <si>
    <t xml:space="preserve">Grain needed in Siberia (t a day)</t>
  </si>
  <si>
    <t xml:space="preserve">Grain the army may buy (t a day)</t>
  </si>
  <si>
    <t xml:space="preserve">Grain railed from Manchuria (t a day)</t>
  </si>
  <si>
    <t xml:space="preserve">Grain bought in Siberia (t a day)</t>
  </si>
  <si>
    <t xml:space="preserve">Chinese grain west (t a day)</t>
  </si>
  <si>
    <t xml:space="preserve">Stores for the east (t a day)</t>
  </si>
  <si>
    <t xml:space="preserve">By rail from the sea to the west (t a day)</t>
  </si>
  <si>
    <t xml:space="preserve">From Harbin to the west (t a day)</t>
  </si>
  <si>
    <t xml:space="preserve">Load, Vladivostok-Harbin (t a day)</t>
  </si>
  <si>
    <t xml:space="preserve">Load, Harbin-Manzhouli</t>
  </si>
  <si>
    <t xml:space="preserve">Load, Manzhouli-Kitaisky branch</t>
  </si>
  <si>
    <t xml:space="preserve">Load, Kitaisky-Irkutsk</t>
  </si>
  <si>
    <t xml:space="preserve">Load, Irkutsk-Ob</t>
  </si>
  <si>
    <t xml:space="preserve">Men moved by rail, sections 1-2 (000)</t>
  </si>
  <si>
    <t xml:space="preserve">Men moved by rail, sections 3-4 (000)</t>
  </si>
  <si>
    <t xml:space="preserve">Troop trains a day, sections 1-2</t>
  </si>
  <si>
    <t xml:space="preserve">Troop trains a day, sections 3-4</t>
  </si>
  <si>
    <t xml:space="preserve">Pacifican-built Decapods on the lines in 1918</t>
  </si>
  <si>
    <t xml:space="preserve">Decapods delivered</t>
  </si>
  <si>
    <t xml:space="preserve">Decapods in service</t>
  </si>
  <si>
    <t xml:space="preserve">Serviceable share of the old fleet (plan)</t>
  </si>
  <si>
    <t xml:space="preserve">Serviceable share achieved</t>
  </si>
  <si>
    <t xml:space="preserve">Serviceable locomotives</t>
  </si>
  <si>
    <t xml:space="preserve">Decapod share</t>
  </si>
  <si>
    <t xml:space="preserve">Planned pairs a day, section 1</t>
  </si>
  <si>
    <t xml:space="preserve">Planned pairs a day, section 2</t>
  </si>
  <si>
    <t xml:space="preserve">Planned pairs a day, section 3a</t>
  </si>
  <si>
    <t xml:space="preserve">Planned pairs a day, section 3b</t>
  </si>
  <si>
    <t xml:space="preserve">Planned pairs a day, section 4</t>
  </si>
  <si>
    <t xml:space="preserve">Pairs achieved, section 1</t>
  </si>
  <si>
    <t xml:space="preserve">Pairs achieved, section 2</t>
  </si>
  <si>
    <t xml:space="preserve">Pairs achieved, section 3a</t>
  </si>
  <si>
    <t xml:space="preserve">Pairs achieved, section 3b</t>
  </si>
  <si>
    <t xml:space="preserve">Pairs achieved, section 4</t>
  </si>
  <si>
    <t xml:space="preserve">Coal-strike exposure (1 = yes)</t>
  </si>
  <si>
    <t xml:space="preserve">Military trains available, section 1</t>
  </si>
  <si>
    <t xml:space="preserve">Military trains available, section 2</t>
  </si>
  <si>
    <t xml:space="preserve">Military trains available, section 3a</t>
  </si>
  <si>
    <t xml:space="preserve">Military trains available, section 3b</t>
  </si>
  <si>
    <t xml:space="preserve">Military trains available, section 4</t>
  </si>
  <si>
    <t xml:space="preserve">Freight trains needed, section 1</t>
  </si>
  <si>
    <t xml:space="preserve">Freight trains needed, section 2</t>
  </si>
  <si>
    <t xml:space="preserve">Freight trains needed, section 3a</t>
  </si>
  <si>
    <t xml:space="preserve">Freight trains needed, section 3b</t>
  </si>
  <si>
    <t xml:space="preserve">Freight trains needed, section 4</t>
  </si>
  <si>
    <t xml:space="preserve">Use of military paths, section 1</t>
  </si>
  <si>
    <t xml:space="preserve">Use of military paths, section 2</t>
  </si>
  <si>
    <t xml:space="preserve">Use of military paths, section 3a</t>
  </si>
  <si>
    <t xml:space="preserve">Use of military paths, section 3b</t>
  </si>
  <si>
    <t xml:space="preserve">Use of military paths, section 4</t>
  </si>
  <si>
    <t xml:space="preserve">Highest use of military paths</t>
  </si>
  <si>
    <t xml:space="preserve">Tightest section</t>
  </si>
  <si>
    <t xml:space="preserve">Spare military trains a day</t>
  </si>
  <si>
    <t xml:space="preserve">Train-km a day</t>
  </si>
  <si>
    <t xml:space="preserve">Locomotives needed</t>
  </si>
  <si>
    <t xml:space="preserve">Locomotives needed ÷ serviceable</t>
  </si>
  <si>
    <t xml:space="preserve">Pacifican-built cars on the lines in 1918 (two-axle equivalents)</t>
  </si>
  <si>
    <t xml:space="preserve">Wagons delivered (two-axle equivalents)</t>
  </si>
  <si>
    <t xml:space="preserve">Wagons held by the eastbound evacuation</t>
  </si>
  <si>
    <t xml:space="preserve">Wagons available to the army</t>
  </si>
  <si>
    <t xml:space="preserve">Wagons needed</t>
  </si>
  <si>
    <t xml:space="preserve">Wagons needed ÷ available</t>
  </si>
  <si>
    <t xml:space="preserve">From the 1917 stockpile (t a day, plan)</t>
  </si>
  <si>
    <t xml:space="preserve">From the stockpile (t a day)</t>
  </si>
  <si>
    <t xml:space="preserve">Vladivostok cargo (Mt a year)</t>
  </si>
  <si>
    <t xml:space="preserve">Vladivostok capacity (Mt a year)</t>
  </si>
  <si>
    <t xml:space="preserve">Port use</t>
  </si>
  <si>
    <t xml:space="preserve">Pacifican ships needed</t>
  </si>
  <si>
    <t xml:space="preserve">Ships needed ÷ allotted</t>
  </si>
  <si>
    <t xml:space="preserve">Depot stock west of Irkutsk (t)</t>
  </si>
  <si>
    <t xml:space="preserve">Spare trains needed for a reinforcement</t>
  </si>
  <si>
    <t xml:space="preserve">Problems this period</t>
  </si>
  <si>
    <t xml:space="preserve">Transport test</t>
  </si>
  <si>
    <t xml:space="preserve">Armoured trains built</t>
  </si>
  <si>
    <t xml:space="preserve">Works ($m, 1913 prices)</t>
  </si>
  <si>
    <t xml:space="preserve">River flotillas and aircraft ($m, 1913 prices)</t>
  </si>
  <si>
    <t xml:space="preserve">Price level × unit-cost lever</t>
  </si>
  <si>
    <t xml:space="preserve">Pacifican contingent ($m)</t>
  </si>
  <si>
    <t xml:space="preserve">Czechoslovak Legion ($m)</t>
  </si>
  <si>
    <t xml:space="preserve">Siberian army subsidy ($m)</t>
  </si>
  <si>
    <t xml:space="preserve">Munitions and stores ($m)</t>
  </si>
  <si>
    <t xml:space="preserve">Railway equipment and works ($m)</t>
  </si>
  <si>
    <t xml:space="preserve">Railway operation ($m)</t>
  </si>
  <si>
    <t xml:space="preserve">Shipping ($m)</t>
  </si>
  <si>
    <t xml:space="preserve">Flotillas and aircraft ($m)</t>
  </si>
  <si>
    <t xml:space="preserve">Kara Sea route ($m)</t>
  </si>
  <si>
    <t xml:space="preserve">Relief and the grain guarantee ($m)</t>
  </si>
  <si>
    <t xml:space="preserve">Amur route ($m)</t>
  </si>
  <si>
    <t xml:space="preserve">Provisions for railwaymen and miners ($m)</t>
  </si>
  <si>
    <t xml:space="preserve">Cost of the period ($m)</t>
  </si>
  <si>
    <t xml:space="preserve">Share of the Irkutsk-Ob load going on west of the Ob</t>
  </si>
  <si>
    <t xml:space="preserve">Load, Ob-Chelyabinsk (t a day)</t>
  </si>
  <si>
    <t xml:space="preserve">Planned pairs a day, section 5</t>
  </si>
  <si>
    <t xml:space="preserve">Pairs achieved, section 5</t>
  </si>
  <si>
    <t xml:space="preserve">Military trains available, section 5</t>
  </si>
  <si>
    <t xml:space="preserve">Freight trains needed, section 5</t>
  </si>
  <si>
    <t xml:space="preserve">Use of military paths, section 5</t>
  </si>
  <si>
    <t xml:space="preserve">1918 26 May-Sep</t>
  </si>
  <si>
    <t xml:space="preserve">The Week: the line seized from 26 May; Kazan taken 7 Aug and held 5-12 Sep; Izhevsk relieved</t>
  </si>
  <si>
    <t xml:space="preserve">1918 Q4</t>
  </si>
  <si>
    <t xml:space="preserve">Directory at Ufa; the Omsk coup fails (18 Nov); Perm taken 24 Dec; Vance fills the depots</t>
  </si>
  <si>
    <t xml:space="preserve">1919 Q1</t>
  </si>
  <si>
    <t xml:space="preserve">Glazov and the Kotelnich raid; a Russian army built at Chelyabinsk and Omsk on the Kazan gold</t>
  </si>
  <si>
    <t xml:space="preserve">1919 Q2</t>
  </si>
  <si>
    <t xml:space="preserve">The Volga battle (25 May-15 Jun); Vance on the Zelenodolsk bridge; the Legion's echelons clear</t>
  </si>
  <si>
    <t xml:space="preserve">1919 Q3</t>
  </si>
  <si>
    <t xml:space="preserve">Summer fill: Kotlas line, Amur barges, the Kara Sea convoy; the Legion goes home</t>
  </si>
  <si>
    <t xml:space="preserve">1919 Q4</t>
  </si>
  <si>
    <t xml:space="preserve">Wrangel takes the southern command; Kappel across the frozen Volga: Nizhny and Sormovo</t>
  </si>
  <si>
    <t xml:space="preserve">1920 Q1</t>
  </si>
  <si>
    <t xml:space="preserve">Tula, Serpukhov, Moscow; the Perm wing down the frozen Vyatka</t>
  </si>
  <si>
    <t xml:space="preserve">1920 Q2</t>
  </si>
  <si>
    <t xml:space="preserve">Kotelnich: Lenin taken by Maui; Kronstadt; Nikolayevsk</t>
  </si>
  <si>
    <t xml:space="preserve">1920 Q3</t>
  </si>
  <si>
    <t xml:space="preserve">The trials; drawdown west of the Urals</t>
  </si>
  <si>
    <t xml:space="preserve">1920 Q4</t>
  </si>
  <si>
    <t xml:space="preserve">Lenin and Trotsky executed; partisans in the Altai</t>
  </si>
  <si>
    <t xml:space="preserve">1921 Q1</t>
  </si>
  <si>
    <t xml:space="preserve">Partisan war behind the line</t>
  </si>
  <si>
    <t xml:space="preserve">1921 Q2</t>
  </si>
  <si>
    <t xml:space="preserve">Altai partisan campaign; the Tomsk vote</t>
  </si>
  <si>
    <t xml:space="preserve">1921 Q3</t>
  </si>
  <si>
    <t xml:space="preserve">Altai; gas (§32)</t>
  </si>
  <si>
    <t xml:space="preserve">1921 Q4</t>
  </si>
  <si>
    <t xml:space="preserve">Treaty of Harbin; drawdown begins</t>
  </si>
  <si>
    <t xml:space="preserve">1922 Q1</t>
  </si>
  <si>
    <t xml:space="preserve">Drawdown</t>
  </si>
  <si>
    <t xml:space="preserve">1922 Q2</t>
  </si>
  <si>
    <t xml:space="preserve">1922 Q3</t>
  </si>
  <si>
    <t xml:space="preserve">1922 Q4</t>
  </si>
  <si>
    <t xml:space="preserve">Standing alliance</t>
  </si>
  <si>
    <t xml:space="preserve">1923</t>
  </si>
  <si>
    <t xml:space="preserve">Guarantee of the federal compact (tested at winter conditions)</t>
  </si>
  <si>
    <t xml:space="preserve">1924</t>
  </si>
  <si>
    <t xml:space="preserve">1925</t>
  </si>
  <si>
    <t xml:space="preserve">1926</t>
  </si>
  <si>
    <t xml:space="preserve">1927</t>
  </si>
  <si>
    <t xml:space="preserve">1928</t>
  </si>
  <si>
    <t xml:space="preserve">1929</t>
  </si>
  <si>
    <t xml:space="preserve">1930</t>
  </si>
  <si>
    <t xml:space="preserve">1931</t>
  </si>
  <si>
    <t xml:space="preserve">1932</t>
  </si>
  <si>
    <t xml:space="preserve">By year: what the model uses (1923-32: the guarantee of the federal compact, by quota)</t>
  </si>
  <si>
    <t xml:space="preserve">Pacifican spending ($m)</t>
  </si>
  <si>
    <t xml:space="preserve">Common front budget, all partners ($m)</t>
  </si>
  <si>
    <t xml:space="preserve">Japan's share ($m)</t>
  </si>
  <si>
    <t xml:space="preserve">Problems</t>
  </si>
  <si>
    <t xml:space="preserve">Old estimate ($m)</t>
  </si>
  <si>
    <t xml:space="preserve">1918-22</t>
  </si>
  <si>
    <t xml:space="preserve">1923-32</t>
  </si>
  <si>
    <t xml:space="preserve">Partners and trading regions</t>
  </si>
  <si>
    <t xml:space="preserve">Japan, the Gulf Republic, the Philippine crown and the Siberian Republic (B14), and the trading regions outside the order (B15), each catching up with Pacifica according to how far it is integrated with it; and what their growth does to the champions' markets.</t>
  </si>
  <si>
    <t xml:space="preserve">The pull of the core</t>
  </si>
  <si>
    <t xml:space="preserve">Philippine crown</t>
  </si>
  <si>
    <t xml:space="preserve">Siberian Republic</t>
  </si>
  <si>
    <t xml:space="preserve">Southeast Asia</t>
  </si>
  <si>
    <t xml:space="preserve">Mexico and Pacific South America</t>
  </si>
  <si>
    <t xml:space="preserve">Persian Gulf and Middle East</t>
  </si>
  <si>
    <t xml:space="preserve">The champions' markets</t>
  </si>
  <si>
    <t xml:space="preserve">All partners</t>
  </si>
  <si>
    <t xml:space="preserve">Pacifica's output per person last year ($)</t>
  </si>
  <si>
    <t xml:space="preserve">Japan: population</t>
  </si>
  <si>
    <t xml:space="preserve">Japan: GDP as in history ($m)</t>
  </si>
  <si>
    <t xml:space="preserve">Japan: integration with the order (0-1)</t>
  </si>
  <si>
    <t xml:space="preserve">Japan: output per person as in history ($)</t>
  </si>
  <si>
    <t xml:space="preserve">Japan: extra growth from catching up</t>
  </si>
  <si>
    <t xml:space="preserve">Japan: output vs history (×)</t>
  </si>
  <si>
    <t xml:space="preserve">Japan: GDP ($m)</t>
  </si>
  <si>
    <t xml:space="preserve">Japan: output per person vs the US</t>
  </si>
  <si>
    <t xml:space="preserve">Gulf Republic: population</t>
  </si>
  <si>
    <t xml:space="preserve">Gulf Republic: GDP as in history ($m)</t>
  </si>
  <si>
    <t xml:space="preserve">Gulf Republic: integration with the order (0-1)</t>
  </si>
  <si>
    <t xml:space="preserve">Gulf Republic: output per person as in history ($)</t>
  </si>
  <si>
    <t xml:space="preserve">Gulf Republic: extra growth from catching up</t>
  </si>
  <si>
    <t xml:space="preserve">Gulf Republic: output vs history (×)</t>
  </si>
  <si>
    <t xml:space="preserve">Gulf Republic: GDP ($m)</t>
  </si>
  <si>
    <t xml:space="preserve">Gulf Republic: output per person vs the US</t>
  </si>
  <si>
    <t xml:space="preserve">Philippine crown: population</t>
  </si>
  <si>
    <t xml:space="preserve">Philippine crown: GDP as in history ($m)</t>
  </si>
  <si>
    <t xml:space="preserve">Philippine crown: integration with the order (0-1)</t>
  </si>
  <si>
    <t xml:space="preserve">Philippine crown: output per person as in history ($)</t>
  </si>
  <si>
    <t xml:space="preserve">Philippine crown: extra growth from catching up</t>
  </si>
  <si>
    <t xml:space="preserve">Philippine crown: output vs history (×)</t>
  </si>
  <si>
    <t xml:space="preserve">Philippine crown: GDP ($m)</t>
  </si>
  <si>
    <t xml:space="preserve">Philippine crown: output per person vs the US</t>
  </si>
  <si>
    <t xml:space="preserve">Siberian Republic: population</t>
  </si>
  <si>
    <t xml:space="preserve">Siberian Republic: GDP as in history ($m)</t>
  </si>
  <si>
    <t xml:space="preserve">Siberian Republic: integration with the order (0-1)</t>
  </si>
  <si>
    <t xml:space="preserve">Siberian Republic: output per person as in history ($)</t>
  </si>
  <si>
    <t xml:space="preserve">Siberian Republic: extra growth from catching up</t>
  </si>
  <si>
    <t xml:space="preserve">Siberian Republic: output vs history (×)</t>
  </si>
  <si>
    <t xml:space="preserve">Siberian Republic: GDP ($m)</t>
  </si>
  <si>
    <t xml:space="preserve">Siberian Republic: output per person vs the US</t>
  </si>
  <si>
    <t xml:space="preserve">China: population</t>
  </si>
  <si>
    <t xml:space="preserve">China: GDP as in history ($m)</t>
  </si>
  <si>
    <t xml:space="preserve">China: integration with the order (0-1)</t>
  </si>
  <si>
    <t xml:space="preserve">China: output per person as in history ($)</t>
  </si>
  <si>
    <t xml:space="preserve">China: extra growth from catching up</t>
  </si>
  <si>
    <t xml:space="preserve">China: output vs history (×)</t>
  </si>
  <si>
    <t xml:space="preserve">China: GDP ($m)</t>
  </si>
  <si>
    <t xml:space="preserve">China: output per person vs the US</t>
  </si>
  <si>
    <t xml:space="preserve">Korea: population</t>
  </si>
  <si>
    <t xml:space="preserve">Korea: GDP as in history ($m)</t>
  </si>
  <si>
    <t xml:space="preserve">Korea: integration with the order (0-1)</t>
  </si>
  <si>
    <t xml:space="preserve">Korea: output per person as in history ($)</t>
  </si>
  <si>
    <t xml:space="preserve">Korea: extra growth from catching up</t>
  </si>
  <si>
    <t xml:space="preserve">Korea: output vs history (×)</t>
  </si>
  <si>
    <t xml:space="preserve">Korea: GDP ($m)</t>
  </si>
  <si>
    <t xml:space="preserve">Korea: output per person vs the US</t>
  </si>
  <si>
    <t xml:space="preserve">Southeast Asia: population</t>
  </si>
  <si>
    <t xml:space="preserve">Southeast Asia: GDP as in history ($m)</t>
  </si>
  <si>
    <t xml:space="preserve">Southeast Asia: integration with the order (0-1)</t>
  </si>
  <si>
    <t xml:space="preserve">Southeast Asia: output per person as in history ($)</t>
  </si>
  <si>
    <t xml:space="preserve">Southeast Asia: extra growth from catching up</t>
  </si>
  <si>
    <t xml:space="preserve">Southeast Asia: output vs history (×)</t>
  </si>
  <si>
    <t xml:space="preserve">Southeast Asia: GDP ($m)</t>
  </si>
  <si>
    <t xml:space="preserve">Southeast Asia: output per person vs the US</t>
  </si>
  <si>
    <t xml:space="preserve">Mexico and Pacific South America: population</t>
  </si>
  <si>
    <t xml:space="preserve">Mexico and Pacific South America: GDP as in history ($m)</t>
  </si>
  <si>
    <t xml:space="preserve">Mexico and Pacific South America: integration with the order (0-1)</t>
  </si>
  <si>
    <t xml:space="preserve">Mexico and Pacific South America: output per person as in history ($)</t>
  </si>
  <si>
    <t xml:space="preserve">Mexico and Pacific South America: extra growth from catching up</t>
  </si>
  <si>
    <t xml:space="preserve">Mexico and Pacific South America: output vs history (×)</t>
  </si>
  <si>
    <t xml:space="preserve">Mexico and Pacific South America: GDP ($m)</t>
  </si>
  <si>
    <t xml:space="preserve">Mexico and Pacific South America: output per person vs the US</t>
  </si>
  <si>
    <t xml:space="preserve">Persian Gulf and Middle East: population</t>
  </si>
  <si>
    <t xml:space="preserve">Persian Gulf and Middle East: GDP as in history ($m)</t>
  </si>
  <si>
    <t xml:space="preserve">Persian Gulf and Middle East: integration with the order (0-1)</t>
  </si>
  <si>
    <t xml:space="preserve">Persian Gulf and Middle East: output per person as in history ($)</t>
  </si>
  <si>
    <t xml:space="preserve">Persian Gulf and Middle East: extra growth from catching up</t>
  </si>
  <si>
    <t xml:space="preserve">Persian Gulf and Middle East: output vs history (×)</t>
  </si>
  <si>
    <t xml:space="preserve">Persian Gulf and Middle East: GDP ($m)</t>
  </si>
  <si>
    <t xml:space="preserve">Persian Gulf and Middle East: output per person vs the US</t>
  </si>
  <si>
    <t xml:space="preserve">Champions raised by richer markets</t>
  </si>
  <si>
    <t xml:space="preserve">Partners' GDP ($m)</t>
  </si>
  <si>
    <t xml:space="preserve">Partners' GDP as in history ($m)</t>
  </si>
  <si>
    <t xml:space="preserve">Gulf Republic and the admission test</t>
  </si>
  <si>
    <t xml:space="preserve">The six §25 indicators against the bar, and what the Gulf adds if it joins. Switch it on Levers (Gulf Republic).</t>
  </si>
  <si>
    <t xml:space="preserve">Admission indicators (§25)</t>
  </si>
  <si>
    <t xml:space="preserve">Test</t>
  </si>
  <si>
    <t xml:space="preserve">Output per person vs the US, historical</t>
  </si>
  <si>
    <t xml:space="preserve">GDP ($m)</t>
  </si>
  <si>
    <t xml:space="preserve">Member of Pacifica (1/0)</t>
  </si>
  <si>
    <t xml:space="preserve">Gulf: Infant deaths per 1,000 births</t>
  </si>
  <si>
    <t xml:space="preserve">Bar: weakest member (Infant deaths per 1,000 births)</t>
  </si>
  <si>
    <t xml:space="preserve">Gulf: Literacy, age 10+</t>
  </si>
  <si>
    <t xml:space="preserve">Bar: weakest member (Literacy, age 10+)</t>
  </si>
  <si>
    <t xml:space="preserve">Gulf: Unskilled real wage (bar = 100%)</t>
  </si>
  <si>
    <t xml:space="preserve">Bar: weakest member (Unskilled real wage (bar = 100%))</t>
  </si>
  <si>
    <t xml:space="preserve">Gulf: Homicides per 100,000</t>
  </si>
  <si>
    <t xml:space="preserve">Bar: weakest member (Homicides per 100,000)</t>
  </si>
  <si>
    <t xml:space="preserve">Gulf: Typhoid deaths per 100,000</t>
  </si>
  <si>
    <t xml:space="preserve">Bar: weakest member (Typhoid deaths per 100,000)</t>
  </si>
  <si>
    <t xml:space="preserve">Gulf: Black / white infant mortality</t>
  </si>
  <si>
    <t xml:space="preserve">Parity bar (Black / white infant mortality)</t>
  </si>
  <si>
    <t xml:space="preserve">Gulf: Black / white pass rate, Defense Law examination</t>
  </si>
  <si>
    <t xml:space="preserve">Parity bar (Black / white pass rate, Defense Law examination)</t>
  </si>
  <si>
    <t xml:space="preserve">Gulf real wage after the oil glut</t>
  </si>
  <si>
    <t xml:space="preserve">Passes: Infant deaths per 1</t>
  </si>
  <si>
    <t xml:space="preserve">Passes: Literacy</t>
  </si>
  <si>
    <t xml:space="preserve">Passes: Unskilled real wage</t>
  </si>
  <si>
    <t xml:space="preserve">Passes: Homicides per 100</t>
  </si>
  <si>
    <t xml:space="preserve">Passes: Typhoid deaths per 100</t>
  </si>
  <si>
    <t xml:space="preserve">Passes: Black / white infant mortality</t>
  </si>
  <si>
    <t xml:space="preserve">Passes: Black / white pass rate</t>
  </si>
  <si>
    <t xml:space="preserve">The five general measures pass</t>
  </si>
  <si>
    <t xml:space="preserve">Both parity measures pass</t>
  </si>
  <si>
    <t xml:space="preserve">Everything passes</t>
  </si>
  <si>
    <t xml:space="preserve">Passing years in a row</t>
  </si>
  <si>
    <t xml:space="preserve">May join this year (a generation of passing years before)</t>
  </si>
  <si>
    <t xml:space="preserve">Pacifica against the world</t>
  </si>
  <si>
    <t xml:space="preserve">GDP, population and capital ships for benchmark years, in billions of gold dollars at market exchange rates.</t>
  </si>
  <si>
    <t xml:space="preserve">Pacifica and Japan come from the model. Everyone else is a rounded historical estimate, adjusted where the alternate borders change things (notes at right). Blue = input.</t>
  </si>
  <si>
    <t xml:space="preserve">Output, $bn (gold dollars)</t>
  </si>
  <si>
    <t xml:space="preserve">Basis</t>
  </si>
  <si>
    <t xml:space="preserve">Pacifica (core, incl. the Gulf once it joins)</t>
  </si>
  <si>
    <t xml:space="preserve">From the model (Economy sheet).</t>
  </si>
  <si>
    <t xml:space="preserve">From the model (Japan sheet).</t>
  </si>
  <si>
    <t xml:space="preserve">Pacifica + Japan (the 1927 Concord)</t>
  </si>
  <si>
    <t xml:space="preserve">From the Partners sheet (CR-020 B14).</t>
  </si>
  <si>
    <t xml:space="preserve">Gulf Republic (allied, from 1900)</t>
  </si>
  <si>
    <t xml:space="preserve">From the Gulf sheet. Zero once the Gulf joins Pacifica, because it is then inside Pacifica's row.</t>
  </si>
  <si>
    <t xml:space="preserve">Siberian Republic (from 1921)</t>
  </si>
  <si>
    <t xml:space="preserve">The Pacific Concord of Pacifica and Japan, plus the Philippine crown and the allied Gulf and Siberian republics.</t>
  </si>
  <si>
    <t xml:space="preserve">The Union (United States)</t>
  </si>
  <si>
    <t xml:space="preserve">Modelled year by year on the Labour sheet (CR-020 B12): historical output of the states it holds, less everything Pacifica draws away.</t>
  </si>
  <si>
    <t xml:space="preserve">1870 includes the Gulf states and Virginia/North Carolina; from 1900 the rump of five states.</t>
  </si>
  <si>
    <t xml:space="preserve">Russia / USSR</t>
  </si>
  <si>
    <t xml:space="preserve">From the Partners sheet (CR-020 B15). Outside the order.</t>
  </si>
  <si>
    <t xml:space="preserve">Under the Pacifican guarantee; outside the order.</t>
  </si>
  <si>
    <t xml:space="preserve">Pacifica / Britain</t>
  </si>
  <si>
    <t xml:space="preserve">Pacifica / the Union</t>
  </si>
  <si>
    <t xml:space="preserve">Pacific order / the Union</t>
  </si>
  <si>
    <t xml:space="preserve">Pacific order / Britain + Germany + France</t>
  </si>
  <si>
    <t xml:space="preserve">Population, millions</t>
  </si>
  <si>
    <t xml:space="preserve">Inputs: historical United States and regional shares</t>
  </si>
  <si>
    <t xml:space="preserve">United States GDP, historical ($bn)</t>
  </si>
  <si>
    <t xml:space="preserve">MeasuringWorth nominal GDP; 1870 restated in gold dollars.</t>
  </si>
  <si>
    <t xml:space="preserve">United States population, historical (m)</t>
  </si>
  <si>
    <t xml:space="preserve">Census.</t>
  </si>
  <si>
    <t xml:space="preserve">Share of US output: the West Pacifica holds</t>
  </si>
  <si>
    <t xml:space="preserve">Pacific and Mountain states less Colorado's Front Range; state personal income shares (Easterlin, BEA).</t>
  </si>
  <si>
    <t xml:space="preserve">Share of US output: Texas, Louisiana, Arkansas</t>
  </si>
  <si>
    <t xml:space="preserve">State income shares.</t>
  </si>
  <si>
    <t xml:space="preserve">Share of US output: SC, GA, AL, MS, FL</t>
  </si>
  <si>
    <t xml:space="preserve">Share of US output: Virginia, North Carolina (Confederate to 1898)</t>
  </si>
  <si>
    <t xml:space="preserve">They return to the Union in 1898-99, so zero afterwards.</t>
  </si>
  <si>
    <t xml:space="preserve">Share of US population: the West</t>
  </si>
  <si>
    <t xml:space="preserve">Share of US population: Gulf states</t>
  </si>
  <si>
    <t xml:space="preserve">Share of US population: rump Confederacy</t>
  </si>
  <si>
    <t xml:space="preserve">Share of US population: Virginia, North Carolina</t>
  </si>
  <si>
    <t xml:space="preserve">Gulf Republic output vs history</t>
  </si>
  <si>
    <t xml:space="preserve">Oil partnership with Pacifica and the canal; fell less in the depression. Model estimate.</t>
  </si>
  <si>
    <t xml:space="preserve">Rump Confederacy output vs history</t>
  </si>
  <si>
    <t xml:space="preserve">Debt crisis, sharecropping and fracture after 1897. Model estimate.</t>
  </si>
  <si>
    <t xml:space="preserve">Britain GDP ($bn)</t>
  </si>
  <si>
    <t xml:space="preserve">UK nominal GDP at $4.87/£; 1932 at $3.50/£ after Britain leaves gold (§34).</t>
  </si>
  <si>
    <t xml:space="preserve">Germany GDP ($bn)</t>
  </si>
  <si>
    <t xml:space="preserve">Historical, +10% from 1919: undefeated, keeps Alsace-Lorraine and eastern clients, no reparations (§30).</t>
  </si>
  <si>
    <t xml:space="preserve">France GDP ($bn)</t>
  </si>
  <si>
    <t xml:space="preserve">Historical, −5% from 1919: Alsace-Lorraine not recovered.</t>
  </si>
  <si>
    <t xml:space="preserve">Russia / USSR GDP ($bn)</t>
  </si>
  <si>
    <t xml:space="preserve">Very rough. After 1921 the Soviet state has lost Siberia beyond the Ob, Ukraine, the Baltic and Finland.</t>
  </si>
  <si>
    <t xml:space="preserve">Japan population (m)</t>
  </si>
  <si>
    <t xml:space="preserve">Historical, plus Ussuri, Sakhalin and Siberian settlers later.</t>
  </si>
  <si>
    <t xml:space="preserve">Britain population (m)</t>
  </si>
  <si>
    <t xml:space="preserve">UK incl. Ireland to 1913, then GB and Northern Ireland.</t>
  </si>
  <si>
    <t xml:space="preserve">Germany population (m)</t>
  </si>
  <si>
    <t xml:space="preserve">Keeps Alsace-Lorraine after 1919.</t>
  </si>
  <si>
    <t xml:space="preserve">Union output lost to Pacifica (all channels)</t>
  </si>
  <si>
    <t xml:space="preserve">CR-020 B12, from the Labour sheet: people diverted or gone west, the compounding brain drain, lost Pacific trade and gold, the champions' markets, guest workers, and the 1930-32 German loan crash.</t>
  </si>
  <si>
    <t xml:space="preserve">Capital ships in service</t>
  </si>
  <si>
    <t xml:space="preserve">Dreadnought-type ships only. From the Navy and Navy plan sheets.</t>
  </si>
  <si>
    <t xml:space="preserve">Every year tested against the arithmetic, the canon ceilings and story consistency. 'Check' marks a problem.</t>
  </si>
  <si>
    <t xml:space="preserve">Arithmetic</t>
  </si>
  <si>
    <t xml:space="preserve">Canon ceilings</t>
  </si>
  <si>
    <t xml:space="preserve">Feasibility</t>
  </si>
  <si>
    <t xml:space="preserve">Story consistency</t>
  </si>
  <si>
    <t xml:space="preserve">Total</t>
  </si>
  <si>
    <t xml:space="preserve">Population (CR-033)</t>
  </si>
  <si>
    <t xml:space="preserve">Population adds up</t>
  </si>
  <si>
    <t xml:space="preserve">Cash at target</t>
  </si>
  <si>
    <t xml:space="preserve">Reserve Fund not negative</t>
  </si>
  <si>
    <t xml:space="preserve">Debt within 30% (from 1887)</t>
  </si>
  <si>
    <t xml:space="preserve">Interest within 15% (from 1887)</t>
  </si>
  <si>
    <t xml:space="preserve">Within 4% (from 1887, war years exempt)</t>
  </si>
  <si>
    <t xml:space="preserve">Bonds placed / GDP</t>
  </si>
  <si>
    <t xml:space="preserve">Bond markets can absorb them</t>
  </si>
  <si>
    <t xml:space="preserve">Gold cover met</t>
  </si>
  <si>
    <t xml:space="preserve">Japan debt under 100%</t>
  </si>
  <si>
    <t xml:space="preserve">Naval parity with Britain from 1922</t>
  </si>
  <si>
    <t xml:space="preserve">Oil output covers the navy</t>
  </si>
  <si>
    <t xml:space="preserve">Gulf admission allowed</t>
  </si>
  <si>
    <t xml:space="preserve">Problems this year</t>
  </si>
  <si>
    <t xml:space="preserve">Japan cash conserved</t>
  </si>
  <si>
    <t xml:space="preserve">Japan bank capital</t>
  </si>
  <si>
    <t xml:space="preserve">Japan yen liquidity</t>
  </si>
  <si>
    <t xml:space="preserve">Japan FX buffer funded</t>
  </si>
  <si>
    <t xml:space="preserve">Japan syndicate reconciles</t>
  </si>
  <si>
    <t xml:space="preserve">Japan private allocation funded</t>
  </si>
  <si>
    <t xml:space="preserve">Japan borrower / lenders match</t>
  </si>
  <si>
    <t xml:space="preserve">Public sources = uses</t>
  </si>
  <si>
    <t xml:space="preserve">War credit funding and claims</t>
  </si>
  <si>
    <t xml:space="preserve">Japan bank history</t>
  </si>
  <si>
    <t xml:space="preserve">Private saving capacity</t>
  </si>
  <si>
    <t xml:space="preserve">Foreign Entente capacity</t>
  </si>
  <si>
    <t xml:space="preserve">Japan creditor evidence</t>
  </si>
  <si>
    <t xml:space="preserve">Champion financing evidence</t>
  </si>
  <si>
    <t xml:space="preserve">Funding items unverified</t>
  </si>
  <si>
    <t xml:space="preserve">Siberian line carries the army (1918-32)</t>
  </si>
  <si>
    <t xml:space="preserve">Native Hawaiian low in 1893-97</t>
  </si>
  <si>
    <t xml:space="preserve">1861 residents near DEM-01</t>
  </si>
  <si>
    <t xml:space="preserve">Period $m. MODEL banking and FX stocks; historical sources support the mechanism, not these fictional amounts.</t>
  </si>
  <si>
    <t xml:space="preserve">Case selected</t>
  </si>
  <si>
    <t xml:space="preserve">Opening Japanese Treasury cash</t>
  </si>
  <si>
    <t xml:space="preserve">Japanese bank capital drawn</t>
  </si>
  <si>
    <t xml:space="preserve">Bank of Japan liquidity drawn</t>
  </si>
  <si>
    <t xml:space="preserve">Peak payment deficit with all FX exhausted</t>
  </si>
  <si>
    <t xml:space="preserve">Peak gap retaining critical-import buffer</t>
  </si>
  <si>
    <t xml:space="preserve">San Francisco credit drawn</t>
  </si>
  <si>
    <t xml:space="preserve">Pacifica public participation</t>
  </si>
  <si>
    <t xml:space="preserve">Private syndicate participation</t>
  </si>
  <si>
    <t xml:space="preserve">Committed facility ceiling</t>
  </si>
  <si>
    <t xml:space="preserve">Available funded facility</t>
  </si>
  <si>
    <t xml:space="preserve">Undrawn facility headroom</t>
  </si>
  <si>
    <t xml:space="preserve">Remaining FX buffer shortfall</t>
  </si>
  <si>
    <t xml:space="preserve">Bank capital still missing</t>
  </si>
  <si>
    <t xml:space="preserve">Domestic liquidity still missing</t>
  </si>
  <si>
    <t xml:space="preserve">Critical-import reserve target</t>
  </si>
  <si>
    <t xml:space="preserve">Facility after public/private funding limits</t>
  </si>
  <si>
    <t xml:space="preserve">Inputs and their authority</t>
  </si>
  <si>
    <t xml:space="preserve">MODEL driver</t>
  </si>
  <si>
    <t xml:space="preserve">Story</t>
  </si>
  <si>
    <t xml:space="preserve">Stress</t>
  </si>
  <si>
    <t xml:space="preserve">Affected banks: loan book</t>
  </si>
  <si>
    <t xml:space="preserve">CR-025: derived from Japan expansion annual bank history; scenario calibration, not historical observations.</t>
  </si>
  <si>
    <t xml:space="preserve">Affected banks: old equity</t>
  </si>
  <si>
    <t xml:space="preserve">Target capital / surviving loans</t>
  </si>
  <si>
    <t xml:space="preserve">Planning convention, not a claim about a 1927 capital regulation.</t>
  </si>
  <si>
    <t xml:space="preserve">Japanese capital authorization</t>
  </si>
  <si>
    <t xml:space="preserve">Limit; actual use follows the loss-and-capital calculation.</t>
  </si>
  <si>
    <t xml:space="preserve">Recognized loan losses</t>
  </si>
  <si>
    <t xml:space="preserve">Affected banks: yen liquidity</t>
  </si>
  <si>
    <t xml:space="preserve">Affected banks: domestic deposits</t>
  </si>
  <si>
    <t xml:space="preserve">Peak domestic deposit withdrawal</t>
  </si>
  <si>
    <t xml:space="preserve">Severe run on affected banks; not on every Japanese deposit.</t>
  </si>
  <si>
    <t xml:space="preserve">BOJ domestic liquidity ceiling</t>
  </si>
  <si>
    <t xml:space="preserve">Secured emergency facility, separate from foreign settlement.</t>
  </si>
  <si>
    <t xml:space="preserve">Eligible domestic collateral</t>
  </si>
  <si>
    <t xml:space="preserve">Assessed after the recognized loan losses.</t>
  </si>
  <si>
    <t xml:space="preserve">Collateral haircut</t>
  </si>
  <si>
    <t xml:space="preserve">Domestic facility constrained by both authorization and collateral.</t>
  </si>
  <si>
    <t xml:space="preserve">Official gold and FX, opening 1927</t>
  </si>
  <si>
    <t xml:space="preserve">MODEL stock, about 7.8% of 1926 Story GDP; includes Treasury foreign balances.</t>
  </si>
  <si>
    <t xml:space="preserve">Critical-import reserve buffer</t>
  </si>
  <si>
    <t xml:space="preserve">months</t>
  </si>
  <si>
    <t xml:space="preserve">Operating target, not a legal gold-cover rule. Zero-buffer deficit also shown.</t>
  </si>
  <si>
    <t xml:space="preserve">Other domestic bank liabilities</t>
  </si>
  <si>
    <t xml:space="preserve">Private short-term external funding</t>
  </si>
  <si>
    <t xml:space="preserve">Funding not renewed in the panic</t>
  </si>
  <si>
    <t xml:space="preserve">Three-month sudden-stop assumption; maturity weights 40/35/25%.</t>
  </si>
  <si>
    <t xml:space="preserve">April-June import payments</t>
  </si>
  <si>
    <t xml:space="preserve">Dated trade payments, separately from short-term principal.</t>
  </si>
  <si>
    <t xml:space="preserve">April-June export cash receipts</t>
  </si>
  <si>
    <t xml:space="preserve">Receipts available for settlement during the panic.</t>
  </si>
  <si>
    <t xml:space="preserve">Resident outward conversion demand</t>
  </si>
  <si>
    <t xml:space="preserve">Capital flight; excludes external-lender withdrawals.</t>
  </si>
  <si>
    <t xml:space="preserve">Affected banks' liquid foreign assets</t>
  </si>
  <si>
    <t xml:space="preserve">Other usable private foreign assets</t>
  </si>
  <si>
    <t xml:space="preserve">All other readily available/repatriable assets after realizable-value haircuts.</t>
  </si>
  <si>
    <t xml:space="preserve">San Francisco facility ceiling</t>
  </si>
  <si>
    <t xml:space="preserve">Explicit commitment; no multiplication by Japanese GDP.</t>
  </si>
  <si>
    <t xml:space="preserve">Public share of every drawing</t>
  </si>
  <si>
    <t xml:space="preserve">Pacifica 1/3; private syndicate 2/3, matching the borrower.</t>
  </si>
  <si>
    <t xml:space="preserve">Private overseas budget allocable</t>
  </si>
  <si>
    <t xml:space="preserve">Japan subscriptions reroute existing Abroad investment; not extra saving.</t>
  </si>
  <si>
    <t xml:space="preserve">Syndicate coupon</t>
  </si>
  <si>
    <t xml:space="preserve">Accrues from actual draw month; first payment December 1927.</t>
  </si>
  <si>
    <t xml:space="preserve">First principal repayment year</t>
  </si>
  <si>
    <t xml:space="preserve">Two calendar years without principal repayment.</t>
  </si>
  <si>
    <t xml:space="preserve">Equal principal installments</t>
  </si>
  <si>
    <t xml:space="preserve">1929-1933. Last installment is displayed beyond the novel's horizon.</t>
  </si>
  <si>
    <t xml:space="preserve">Net normal FX receipts, July-December</t>
  </si>
  <si>
    <t xml:space="preserve">$m/month</t>
  </si>
  <si>
    <t xml:space="preserve">MODEL recovery after confidence returns; after normal trade payments.</t>
  </si>
  <si>
    <t xml:space="preserve">Capital and domestic liquidity</t>
  </si>
  <si>
    <t xml:space="preserve">Old equity after recognized losses</t>
  </si>
  <si>
    <t xml:space="preserve">Surviving loan book</t>
  </si>
  <si>
    <t xml:space="preserve">Capital required</t>
  </si>
  <si>
    <t xml:space="preserve">New capital required after old owners</t>
  </si>
  <si>
    <t xml:space="preserve">Japanese equity actually drawn</t>
  </si>
  <si>
    <t xml:space="preserve">Unfunded bank capital</t>
  </si>
  <si>
    <t xml:space="preserve">Domestic deposit withdrawals</t>
  </si>
  <si>
    <t xml:space="preserve">Own yen cash available</t>
  </si>
  <si>
    <t xml:space="preserve">Treasury equity brings cash</t>
  </si>
  <si>
    <t xml:space="preserve">BOJ capacity after collateral haircut</t>
  </si>
  <si>
    <t xml:space="preserve">BOJ domestic liquidity drawn</t>
  </si>
  <si>
    <t xml:space="preserve">Unfunded domestic liquidity</t>
  </si>
  <si>
    <t xml:space="preserve">Month</t>
  </si>
  <si>
    <t xml:space="preserve">External funding not renewed</t>
  </si>
  <si>
    <t xml:space="preserve">Imports due</t>
  </si>
  <si>
    <t xml:space="preserve">Capital flight</t>
  </si>
  <si>
    <t xml:space="preserve">Sovereign debt service</t>
  </si>
  <si>
    <t xml:space="preserve">FX receipts</t>
  </si>
  <si>
    <t xml:space="preserve">Net FX demand</t>
  </si>
  <si>
    <t xml:space="preserve">Private FX opening</t>
  </si>
  <si>
    <t xml:space="preserve">Private FX used</t>
  </si>
  <si>
    <t xml:space="preserve">Private FX closing</t>
  </si>
  <si>
    <t xml:space="preserve">Official FX opening</t>
  </si>
  <si>
    <t xml:space="preserve">Import buffer target</t>
  </si>
  <si>
    <t xml:space="preserve">Official FX use</t>
  </si>
  <si>
    <t xml:space="preserve">FX without rescue</t>
  </si>
  <si>
    <t xml:space="preserve">Credit needed</t>
  </si>
  <si>
    <t xml:space="preserve">Credit drawn</t>
  </si>
  <si>
    <t xml:space="preserve">Official FX closing</t>
  </si>
  <si>
    <t xml:space="preserve">Buffer margin</t>
  </si>
  <si>
    <t xml:space="preserve">Unfunded buffer</t>
  </si>
  <si>
    <t xml:space="preserve">Cumulative drawing</t>
  </si>
  <si>
    <t xml:space="preserve">BOJ yen loans</t>
  </si>
  <si>
    <t xml:space="preserve">No-rescue buffer margin</t>
  </si>
  <si>
    <t xml:space="preserve">1927 settlement: yen printing cannot create dollars. Cash in Japan is not added again to official FX.</t>
  </si>
  <si>
    <t xml:space="preserve">The zero-buffer counterfactual spends all liquid official/private FX. Negative balances expose unpaid payments.</t>
  </si>
  <si>
    <t xml:space="preserve">Months 4-6 = April-June. Credit is committed before the moratorium lifts in May; ordinary FX rebuilding follows.</t>
  </si>
  <si>
    <t xml:space="preserve">Opening principal</t>
  </si>
  <si>
    <t xml:space="preserve">Total drawing</t>
  </si>
  <si>
    <t xml:space="preserve">Public drawing</t>
  </si>
  <si>
    <t xml:space="preserve">Private drawing</t>
  </si>
  <si>
    <t xml:space="preserve">Principal paid</t>
  </si>
  <si>
    <t xml:space="preserve">Public principal</t>
  </si>
  <si>
    <t xml:space="preserve">Closing principal</t>
  </si>
  <si>
    <t xml:space="preserve">Public closing</t>
  </si>
  <si>
    <t xml:space="preserve">Coupon paid</t>
  </si>
  <si>
    <t xml:space="preserve">Public coupon</t>
  </si>
  <si>
    <t xml:space="preserve">Private coupon</t>
  </si>
  <si>
    <t xml:space="preserve">Private closing</t>
  </si>
  <si>
    <t xml:space="preserve">Private principal</t>
  </si>
  <si>
    <t xml:space="preserve">Funding difference</t>
  </si>
  <si>
    <t xml:space="preserve">Claims difference</t>
  </si>
  <si>
    <t xml:space="preserve">Coupon difference</t>
  </si>
  <si>
    <t xml:space="preserve">First-year coupons accrue by draw month. Principal runs to 1933; no 1932 write-off or repayment holiday is invented.</t>
  </si>
  <si>
    <t xml:space="preserve">Bank balance sheet and repayment capacity</t>
  </si>
  <si>
    <t xml:space="preserve">Opening assets</t>
  </si>
  <si>
    <t xml:space="preserve">Opening liabilities and old equity</t>
  </si>
  <si>
    <t xml:space="preserve">Opening balance difference</t>
  </si>
  <si>
    <t xml:space="preserve">Bank equity after losses and recapitalization</t>
  </si>
  <si>
    <t xml:space="preserve">Capital / surviving loans</t>
  </si>
  <si>
    <t xml:space="preserve">Performing loans collected in 1928 (7%)</t>
  </si>
  <si>
    <t xml:space="preserve">BOJ principal repaid in 1928</t>
  </si>
  <si>
    <t xml:space="preserve">BOJ principal remaining after 1928</t>
  </si>
  <si>
    <t xml:space="preserve">Private subscription capacity in 1927</t>
  </si>
  <si>
    <t xml:space="preserve">Public commitment backed by opening Reserve Fund</t>
  </si>
  <si>
    <t xml:space="preserve">Bank operating income before funding costs (5%)</t>
  </si>
  <si>
    <t xml:space="preserve">Remaining deposit interest (2.5%)</t>
  </si>
  <si>
    <t xml:space="preserve">Remaining old foreign funding coupon (5.5%)</t>
  </si>
  <si>
    <t xml:space="preserve">Domestic facility coupon, 1927 (nine months)</t>
  </si>
  <si>
    <t xml:space="preserve">Assumed bank operating expenses</t>
  </si>
  <si>
    <t xml:space="preserve">Income after funding and syndicate coupon</t>
  </si>
  <si>
    <t xml:space="preserve">Source: Bank of Japan, Shizume (2009), pp. 2-4: bad loans, moratorium, guaranteed lending and bank restructuring.</t>
  </si>
  <si>
    <t xml:space="preserve">https://www.boj.or.jp/en/research/wps_rev/rev_2009/data/rev09e02.pdf</t>
  </si>
  <si>
    <t xml:space="preserve">Reserve benchmark: historical 1928 specie/foreign reserves were 7.3% of GNP. All alternate quantities above are MODEL.</t>
  </si>
  <si>
    <t xml:space="preserve">The 1.5-month import buffer is an operating target, not a claim that Japan historically had a 40% cover law in 1927.</t>
  </si>
  <si>
    <t xml:space="preserve">Outside-perimeter liquid FX is included. Add any newly established accessible reserves to the input before judging the gap.</t>
  </si>
  <si>
    <t xml:space="preserve">Pacifica settlement and funding</t>
  </si>
  <si>
    <t xml:space="preserve">Share of drawings settled outside Pacifica in gold</t>
  </si>
  <si>
    <t xml:space="preserve">MODEL bullion-call share. Remaining claims settle within SF or against existing correspondent FX; never assume a loan is all gold.</t>
  </si>
  <si>
    <t xml:space="preserve">Actual 1927 bullion outflow</t>
  </si>
  <si>
    <t xml:space="preserve">Public subscriptions + private reallocations</t>
  </si>
  <si>
    <t xml:space="preserve">Syndicate funding difference</t>
  </si>
  <si>
    <t xml:space="preserve">Private ordinary foreign budget remaining</t>
  </si>
  <si>
    <t xml:space="preserve">Initial rescue payments retained in SF</t>
  </si>
  <si>
    <t xml:space="preserve">Rescue-related callable SF balances</t>
  </si>
  <si>
    <t xml:space="preserve">Extra gold cover on callable settlement balances</t>
  </si>
  <si>
    <t xml:space="preserve">Physical gold plus added cover demand</t>
  </si>
  <si>
    <t xml:space="preserve">Callable SF balances are held unchanged through 1932 as a conservative reserve test; redemption is a separate risk.</t>
  </si>
  <si>
    <t xml:space="preserve">Sources and uses of capital</t>
  </si>
  <si>
    <t xml:space="preserve">Period $m. Cash is conserved; MODEL capacity assumptions and unverified financing are shown separately.</t>
  </si>
  <si>
    <t xml:space="preserve">Entente advances, 1914-18</t>
  </si>
  <si>
    <t xml:space="preserve">Treasury subscriptions</t>
  </si>
  <si>
    <t xml:space="preserve">Pacifican private subscriptions</t>
  </si>
  <si>
    <t xml:space="preserve">Foreign subscriptions (named on Entente subscribers)</t>
  </si>
  <si>
    <t xml:space="preserve">Peak yearly foreign subscription</t>
  </si>
  <si>
    <t xml:space="preserve">Net Japanese wartime procurement</t>
  </si>
  <si>
    <t xml:space="preserve">Bank-financed new Japanese capacity</t>
  </si>
  <si>
    <t xml:space="preserve">Japan foreign bank debt, end-1926</t>
  </si>
  <si>
    <t xml:space="preserve">Japan 1927 credit drawing</t>
  </si>
  <si>
    <t xml:space="preserve">1929 standing-debt discount corrected</t>
  </si>
  <si>
    <t xml:space="preserve">Private capital shortfall, largest year</t>
  </si>
  <si>
    <t xml:space="preserve">Champions unallocated project funding, cumulative</t>
  </si>
  <si>
    <t xml:space="preserve">Japan creditors outside Pacifican portfolios</t>
  </si>
  <si>
    <t xml:space="preserve">Foreign subscription capacity</t>
  </si>
  <si>
    <t xml:space="preserve">Private domestic saving / GDP</t>
  </si>
  <si>
    <t xml:space="preserve">Includes domestic corporate retention; excludes foreign earnings.</t>
  </si>
  <si>
    <t xml:space="preserve">Ordinary private domestic capital / GDP</t>
  </si>
  <si>
    <t xml:space="preserve">Minimum home investment allowance; replacement and working capital not independently estimated.</t>
  </si>
  <si>
    <t xml:space="preserve">Net foreign income saved</t>
  </si>
  <si>
    <t xml:space="preserve">Share after modeled foreign-income tax. Includes retained foreign profits; not added twice.</t>
  </si>
  <si>
    <t xml:space="preserve">Champions retained profits assigned abroad</t>
  </si>
  <si>
    <t xml:space="preserve">Allocation of retained profit, not a new source of national saving.</t>
  </si>
  <si>
    <t xml:space="preserve">Named foreign Entente subscription capacity, 1914-18 total</t>
  </si>
  <si>
    <t xml:space="preserve">Named by source and year on the Entente subscribers sheet: Union investors, collateral loans, Japan, neutrals, Gulf and Latin America (MODEL).</t>
  </si>
  <si>
    <t xml:space="preserve">Named other Japan creditors, end-1926 stock</t>
  </si>
  <si>
    <t xml:space="preserve">Named on Japan expansion, rows 46-50: London acceptance houses and British overseas banks, Union banks, continental banks, regional banks (MODEL).</t>
  </si>
  <si>
    <t xml:space="preserve">Japanese procurement / net Entente cash</t>
  </si>
  <si>
    <t xml:space="preserve">Authored allocation of wartime procurement, not additional lending or additional Japanese GDP.</t>
  </si>
  <si>
    <t xml:space="preserve">Imported inputs / Japanese procurement</t>
  </si>
  <si>
    <t xml:space="preserve">MODEL settlement use, not a second capital expenditure.</t>
  </si>
  <si>
    <t xml:space="preserve">Local operating costs / Japanese procurement</t>
  </si>
  <si>
    <t xml:space="preserve">Wages and domestic supplies; balance is corporate cash profit.</t>
  </si>
  <si>
    <t xml:space="preserve">Japanese procurement profit retained</t>
  </si>
  <si>
    <t xml:space="preserve">Remainder distributed; retained cash contributes to expansion.</t>
  </si>
  <si>
    <t xml:space="preserve">Expansion cost / Japanese procurement</t>
  </si>
  <si>
    <t xml:space="preserve">MODEL project cost; bank loans fund the amount beyond retained export profits.</t>
  </si>
  <si>
    <t xml:space="preserve">Pacifica share of Japanese foreign bank debt</t>
  </si>
  <si>
    <t xml:space="preserve">Subset of existing ordinary portfolio assets; remaining creditors still need identification.</t>
  </si>
  <si>
    <t xml:space="preserve">Home capital allowance in war years / GDP</t>
  </si>
  <si>
    <t xml:space="preserve">War years 1861-65 and 1870-71: war bonds crowd out private building, so the home allowance falls by two points (author's decision, 20 Oct).</t>
  </si>
  <si>
    <t xml:space="preserve">Home capital allowance in 1862 / GDP</t>
  </si>
  <si>
    <t xml:space="preserve">1862, the first full year of war, when the war loans crowd out private building hardest: 12.3% instead of 13% (author's decision of 20 Oct at 12.4%, lowered by 0.1 point on 22 Oct to absorb CR-028's smaller 1848-60 receipts).</t>
  </si>
  <si>
    <t xml:space="preserve">Opening cash</t>
  </si>
  <si>
    <t xml:space="preserve">Opening Reserve Fund</t>
  </si>
  <si>
    <t xml:space="preserve">Budget receipts</t>
  </si>
  <si>
    <t xml:space="preserve">Public loan principal returned</t>
  </si>
  <si>
    <t xml:space="preserve">Net bond proceeds</t>
  </si>
  <si>
    <t xml:space="preserve">Total cash sources</t>
  </si>
  <si>
    <t xml:space="preserve">Budget spending</t>
  </si>
  <si>
    <t xml:space="preserve">New public loans</t>
  </si>
  <si>
    <t xml:space="preserve">Scheduled public debt principal</t>
  </si>
  <si>
    <t xml:space="preserve">Extra debt principal</t>
  </si>
  <si>
    <t xml:space="preserve">Development outside Budget</t>
  </si>
  <si>
    <t xml:space="preserve">Closing Reserve Fund</t>
  </si>
  <si>
    <t xml:space="preserve">Total cash uses</t>
  </si>
  <si>
    <t xml:space="preserve">Difference</t>
  </si>
  <si>
    <t xml:space="preserve">Standing-debt face</t>
  </si>
  <si>
    <t xml:space="preserve">Standing-debt cash</t>
  </si>
  <si>
    <t xml:space="preserve">Issue discount</t>
  </si>
  <si>
    <t xml:space="preserve">Domestic saving</t>
  </si>
  <si>
    <t xml:space="preserve">Foreign income saved</t>
  </si>
  <si>
    <t xml:space="preserve">Principal returned from abroad</t>
  </si>
  <si>
    <t xml:space="preserve">Total private sources</t>
  </si>
  <si>
    <t xml:space="preserve">Home capital allowance</t>
  </si>
  <si>
    <t xml:space="preserve">Market Treasury bond subscriptions</t>
  </si>
  <si>
    <t xml:space="preserve">Ordinary portfolio outflow</t>
  </si>
  <si>
    <t xml:space="preserve">Private Entente subscriptions</t>
  </si>
  <si>
    <t xml:space="preserve">Champions' investment abroad paid from home saving (incl. redemptions)</t>
  </si>
  <si>
    <t xml:space="preserve">Total private uses</t>
  </si>
  <si>
    <t xml:space="preserve">Capacity margin</t>
  </si>
  <si>
    <t xml:space="preserve">Shortfall</t>
  </si>
  <si>
    <t xml:space="preserve">Unallocated champion funding</t>
  </si>
  <si>
    <t xml:space="preserve">Foreign Entente subscriptions</t>
  </si>
  <si>
    <t xml:space="preserve">Verified foreign capacity gap</t>
  </si>
  <si>
    <t xml:space="preserve">Evidence status</t>
  </si>
  <si>
    <t xml:space="preserve">Private capacity is a scenario test, not a completed national-accounts reconstruction. Deposits and bank loans are not extra national saving.</t>
  </si>
  <si>
    <t xml:space="preserve">Home capital allowance includes private domestic investment; public development is financed in the separate Treasury account.</t>
  </si>
  <si>
    <t xml:space="preserve">Ordinary portfolio outflows already include the Japanese bank claims and rescue. Subset allocations must not exceed the parent portfolio.</t>
  </si>
  <si>
    <t xml:space="preserve">The foreign Entente subscription and other Japanese creditor capacities are unavailable until supported by investor budgets.</t>
  </si>
  <si>
    <t xml:space="preserve">Wartime lending and procurement</t>
  </si>
  <si>
    <t xml:space="preserve">Period $m. All three lender claims have the same borrower repayment, default and coupon terms; commitments are not cash.</t>
  </si>
  <si>
    <t xml:space="preserve">Total cash advanced</t>
  </si>
  <si>
    <t xml:space="preserve">Pacifica Treasury</t>
  </si>
  <si>
    <t xml:space="preserve">Pacifican private</t>
  </si>
  <si>
    <t xml:space="preserve">Foreign subscribers</t>
  </si>
  <si>
    <t xml:space="preserve">Underwriting cash fee</t>
  </si>
  <si>
    <t xml:space="preserve">Net procurement cash</t>
  </si>
  <si>
    <t xml:space="preserve">Japan procurement</t>
  </si>
  <si>
    <t xml:space="preserve">Other procurement</t>
  </si>
  <si>
    <t xml:space="preserve">Use difference</t>
  </si>
  <si>
    <t xml:space="preserve">Public opening claim</t>
  </si>
  <si>
    <t xml:space="preserve">Public principal received</t>
  </si>
  <si>
    <t xml:space="preserve">Public loss</t>
  </si>
  <si>
    <t xml:space="preserve">Public closing claim</t>
  </si>
  <si>
    <t xml:space="preserve">Private opening claim</t>
  </si>
  <si>
    <t xml:space="preserve">Private principal received</t>
  </si>
  <si>
    <t xml:space="preserve">Private loss</t>
  </si>
  <si>
    <t xml:space="preserve">Private closing claim</t>
  </si>
  <si>
    <t xml:space="preserve">Foreign opening claim</t>
  </si>
  <si>
    <t xml:space="preserve">Foreign principal received</t>
  </si>
  <si>
    <t xml:space="preserve">Foreign loss</t>
  </si>
  <si>
    <t xml:space="preserve">Foreign closing claim</t>
  </si>
  <si>
    <t xml:space="preserve">Foreign coupon</t>
  </si>
  <si>
    <t xml:space="preserve">Total borrower principal</t>
  </si>
  <si>
    <t xml:space="preserve">Borrower coupon</t>
  </si>
  <si>
    <t xml:space="preserve">Foreign capacity gap</t>
  </si>
  <si>
    <t xml:space="preserve">Capacity status</t>
  </si>
  <si>
    <t xml:space="preserve">Japan: expansion, refinancing and rescue</t>
  </si>
  <si>
    <t xml:space="preserve">Period $m. Authored bank history for the affected perimeter. Calibrates the CR-024 opening stocks; it is not historical bank data.</t>
  </si>
  <si>
    <t xml:space="preserve">MODEL opening / phase driver</t>
  </si>
  <si>
    <t xml:space="preserve">1913 opening loan book</t>
  </si>
  <si>
    <t xml:space="preserve">Opening balance and subsequent phase flows are MODEL controls, not independently reconstructed national accounts.</t>
  </si>
  <si>
    <t xml:space="preserve">1913 opening deposits</t>
  </si>
  <si>
    <t xml:space="preserve">1913 opening foreign bank debt</t>
  </si>
  <si>
    <t xml:space="preserve">1913 other liabilities</t>
  </si>
  <si>
    <t xml:space="preserve">1913 equity</t>
  </si>
  <si>
    <t xml:space="preserve">1913 liquid FX</t>
  </si>
  <si>
    <t xml:space="preserve">1914-18 other new bank loans</t>
  </si>
  <si>
    <t xml:space="preserve">1914-18 loan collections</t>
  </si>
  <si>
    <t xml:space="preserve">1914-18 new deposits (raised 21 Oct: the war boom's savings replace the foreign money moved to the 1920s)</t>
  </si>
  <si>
    <t xml:space="preserve">1914-18 reference net foreign borrowing (re-timed 21 Oct: mostly Pacifican correspondents; London lends nothing new in wartime)</t>
  </si>
  <si>
    <t xml:space="preserve">1914-18 other funding</t>
  </si>
  <si>
    <t xml:space="preserve">1914-18 retained bank profit</t>
  </si>
  <si>
    <t xml:space="preserve">1926 legacy industrial exposure ceiling</t>
  </si>
  <si>
    <t xml:space="preserve">Classification of the closing loan book; exposure cannot exceed opening industrial loans plus wartime expansion.</t>
  </si>
  <si>
    <t xml:space="preserve">1926 damaged/reconstruction exposure</t>
  </si>
  <si>
    <t xml:space="preserve">Loss rate on legacy industrial loans</t>
  </si>
  <si>
    <t xml:space="preserve">Loss rate on quake-linked loans</t>
  </si>
  <si>
    <t xml:space="preserve">Reference wartime procurement</t>
  </si>
  <si>
    <t xml:space="preserve">Foreign borrowing responsive to expansion</t>
  </si>
  <si>
    <t xml:space="preserve">1913 legacy industrial loan exposure</t>
  </si>
  <si>
    <t xml:space="preserve">Entente-funded Japanese sales</t>
  </si>
  <si>
    <t xml:space="preserve">Imported inputs</t>
  </si>
  <si>
    <t xml:space="preserve">Domestic operating payments</t>
  </si>
  <si>
    <t xml:space="preserve">Corporate cash profit</t>
  </si>
  <si>
    <t xml:space="preserve">Profit retained for expansion</t>
  </si>
  <si>
    <t xml:space="preserve">New capacity cost</t>
  </si>
  <si>
    <t xml:space="preserve">Bank loans for this capacity</t>
  </si>
  <si>
    <t xml:space="preserve">Other wartime bank lending</t>
  </si>
  <si>
    <t xml:space="preserve">Closing 1926 loans</t>
  </si>
  <si>
    <t xml:space="preserve">Closing deposits</t>
  </si>
  <si>
    <t xml:space="preserve">Closing foreign bank debt</t>
  </si>
  <si>
    <t xml:space="preserve">Closing equity</t>
  </si>
  <si>
    <t xml:space="preserve">Closing yen cash</t>
  </si>
  <si>
    <t xml:space="preserve">Closing liquid bank FX</t>
  </si>
  <si>
    <t xml:space="preserve">Recognized 1927 losses</t>
  </si>
  <si>
    <t xml:space="preserve">Other/performing loan exposure</t>
  </si>
  <si>
    <t xml:space="preserve">Foreign debt held inside Pacifican portfolios</t>
  </si>
  <si>
    <t xml:space="preserve">Other foreign creditors to identify</t>
  </si>
  <si>
    <t xml:space="preserve">Other-creditor verified capacity gap</t>
  </si>
  <si>
    <t xml:space="preserve">1927 settlement drawing</t>
  </si>
  <si>
    <t xml:space="preserve">Funding from equity, BOJ and syndicate</t>
  </si>
  <si>
    <t xml:space="preserve">Named other creditors, end-1926 (MODEL): London acceptance houses and British overseas banks</t>
  </si>
  <si>
    <t xml:space="preserve">Union banks (dollar acceptances)</t>
  </si>
  <si>
    <t xml:space="preserve">Continental banks (Paris, Amsterdam, Switzerland)</t>
  </si>
  <si>
    <t xml:space="preserve">Shanghai and Hong Kong Chinese banks, Indian exchange banks</t>
  </si>
  <si>
    <t xml:space="preserve">Total named other creditors</t>
  </si>
  <si>
    <t xml:space="preserve">Opening loans</t>
  </si>
  <si>
    <t xml:space="preserve">New loans</t>
  </si>
  <si>
    <t xml:space="preserve">Collections</t>
  </si>
  <si>
    <t xml:space="preserve">Recognized loss</t>
  </si>
  <si>
    <t xml:space="preserve">Closing loans</t>
  </si>
  <si>
    <t xml:space="preserve">Net deposits</t>
  </si>
  <si>
    <t xml:space="preserve">Net foreign debt</t>
  </si>
  <si>
    <t xml:space="preserve">Other funding</t>
  </si>
  <si>
    <t xml:space="preserve">Retained bank profit</t>
  </si>
  <si>
    <t xml:space="preserve">Liquid FX change</t>
  </si>
  <si>
    <t xml:space="preserve">Cash source/use difference</t>
  </si>
  <si>
    <t xml:space="preserve">Closing foreign debt</t>
  </si>
  <si>
    <t xml:space="preserve">Other liabilities</t>
  </si>
  <si>
    <t xml:space="preserve">Equity</t>
  </si>
  <si>
    <t xml:space="preserve">Liquid FX</t>
  </si>
  <si>
    <t xml:space="preserve">Yen cash</t>
  </si>
  <si>
    <t xml:space="preserve">Balance difference</t>
  </si>
  <si>
    <t xml:space="preserve">Pacifican claim subset</t>
  </si>
  <si>
    <t xml:space="preserve">Portfolio capacity margin</t>
  </si>
  <si>
    <t xml:space="preserve">Long-loan funding exposure</t>
  </si>
  <si>
    <t xml:space="preserve">Loan renewals do not count as new lending. Collections are principal; retained bank profit is an explicit cash assumption.</t>
  </si>
  <si>
    <t xml:space="preserve">Annual net foreign borrowing is a source; repeated rollover of its closing stock creates maturity exposure, not new capital.</t>
  </si>
  <si>
    <t xml:space="preserve">Procurement receipts pay operating costs and produce profits. Only retained profits and new bank loans fund new capacity.</t>
  </si>
  <si>
    <t xml:space="preserve">Trade receipts are a use of Entente credit, not a second loan. No extra GDP or Treasury tax receipt is added.</t>
  </si>
  <si>
    <t xml:space="preserve">Classification and phase inputs calibrate the existing affected-bank perimeter. Named-bank exposure and actual creditor budgets remain open.</t>
  </si>
  <si>
    <t xml:space="preserve">Private investment and acquisitions</t>
  </si>
  <si>
    <t xml:space="preserve">Period $m. Portfolio cash, planned asset additions and earnings-based valuations are separate. Unallocated funding is not a cash source.</t>
  </si>
  <si>
    <t xml:space="preserve">Opening non-oil foreign assets</t>
  </si>
  <si>
    <t xml:space="preserve">Closing non-oil foreign assets</t>
  </si>
  <si>
    <t xml:space="preserve">Minimum cash additions</t>
  </si>
  <si>
    <t xml:space="preserve">Book value disposed</t>
  </si>
  <si>
    <t xml:space="preserve">Stock difference</t>
  </si>
  <si>
    <t xml:space="preserve">Opening oil valuation</t>
  </si>
  <si>
    <t xml:space="preserve">Closing oil valuation</t>
  </si>
  <si>
    <t xml:space="preserve">Oil valuation change</t>
  </si>
  <si>
    <t xml:space="preserve">Champions profit retained</t>
  </si>
  <si>
    <t xml:space="preserve">Retention allocated abroad</t>
  </si>
  <si>
    <t xml:space="preserve">Unallocated project funding</t>
  </si>
  <si>
    <t xml:space="preserve">Private portfolio cash outflow</t>
  </si>
  <si>
    <t xml:space="preserve">Returned portfolio principal</t>
  </si>
  <si>
    <t xml:space="preserve">Portfolio losses</t>
  </si>
  <si>
    <t xml:space="preserve">Closing private portfolio</t>
  </si>
  <si>
    <t xml:space="preserve">Japan rescue inside outflow</t>
  </si>
  <si>
    <t xml:space="preserve">Other portfolio investment</t>
  </si>
  <si>
    <t xml:space="preserve">Japan bank debt inside portfolio</t>
  </si>
  <si>
    <t xml:space="preserve">Ordinary portfolio capacity margin</t>
  </si>
  <si>
    <t xml:space="preserve">Acquisition terms</t>
  </si>
  <si>
    <t xml:space="preserve">Opening retained cash abroad</t>
  </si>
  <si>
    <t xml:space="preserve">Retained cash available</t>
  </si>
  <si>
    <t xml:space="preserve">Internal cash applied</t>
  </si>
  <si>
    <t xml:space="preserve">Closing retained cash abroad</t>
  </si>
  <si>
    <t xml:space="preserve">Retained cash identity</t>
  </si>
  <si>
    <t xml:space="preserve">Non-oil additions assume the prescribed book-stock increases require cash at cost. Replacement capex and working capital remain unmeasured.</t>
  </si>
  <si>
    <t xml:space="preserve">Oil is valued at a multiple of earnings; its cash cost is priced at four years' earnings on the Champion funding sheet. The valuation change itself is noncash.</t>
  </si>
  <si>
    <t xml:space="preserve">Project funding comes from retained cash, the Carnegie paper, local partners, champion bonds sold abroad and home share issues or development-bank loans (Champion funding). Column L now shows any break in that funding identity; it should be zero.</t>
  </si>
  <si>
    <t xml:space="preserve">Crown shares exchanged for rights/patents create no cash. No additional cash source is credited for those exchanges.</t>
  </si>
  <si>
    <t xml:space="preserve">Japan commercial-bank claims and the 1927 loan are subsets of existing portfolio assets/outflows, not extra assets.</t>
  </si>
  <si>
    <t xml:space="preserve">Champion funding: who pays for the champions' investment abroad</t>
  </si>
  <si>
    <t xml:space="preserve">Period $m. Each cash need is matched to a named source. Foreign money leaves a claim, and its interest or dividends leave national income.</t>
  </si>
  <si>
    <t xml:space="preserve">Non-oil cash additions</t>
  </si>
  <si>
    <t xml:space="preserve">Oil investment at cost</t>
  </si>
  <si>
    <t xml:space="preserve">Total cash need</t>
  </si>
  <si>
    <t xml:space="preserve">Retained cash applied</t>
  </si>
  <si>
    <t xml:space="preserve">Carnegie paper (1901)</t>
  </si>
  <si>
    <t xml:space="preserve">Local partners' equity</t>
  </si>
  <si>
    <t xml:space="preserve">Champion bond capacity abroad</t>
  </si>
  <si>
    <t xml:space="preserve">Champion bonds sold abroad</t>
  </si>
  <si>
    <t xml:space="preserve">Home share issues and development-bank loans</t>
  </si>
  <si>
    <t xml:space="preserve">Foreign-financed this year</t>
  </si>
  <si>
    <t xml:space="preserve">Champion bonds outstanding abroad</t>
  </si>
  <si>
    <t xml:space="preserve">Partners' equity stock</t>
  </si>
  <si>
    <t xml:space="preserve">Carnegie paper outstanding</t>
  </si>
  <si>
    <t xml:space="preserve">Earnings yield abroad</t>
  </si>
  <si>
    <t xml:space="preserve">Paid to foreign holders</t>
  </si>
  <si>
    <t xml:space="preserve">Bonds redeemed</t>
  </si>
  <si>
    <t xml:space="preserve">Carnegie paper redeemed</t>
  </si>
  <si>
    <t xml:space="preserve">Funding identity (must be 0)</t>
  </si>
  <si>
    <t xml:space="preserve">Local partners' share of concession and plant investment abroad</t>
  </si>
  <si>
    <t xml:space="preserve">Joint ventures with Japanese and Chinese merchant houses, Gulf, Mexican and other local investors, as with the South Manchuria Railway (50% state) or Anglo-Persian.</t>
  </si>
  <si>
    <t xml:space="preserve">Carnegie Steel consideration paid in Pacifica Steel paper, 1901 ($m)</t>
  </si>
  <si>
    <t xml:space="preserve">Morgan's 1901 terms: the $480m price was paid in US Steel bonds and shares; Carnegie took his share in 5% gold bonds.</t>
  </si>
  <si>
    <t xml:space="preserve">Yield on the Carnegie paper</t>
  </si>
  <si>
    <t xml:space="preserve">5% gold bonds and 7% preference shares, weighted.</t>
  </si>
  <si>
    <t xml:space="preserve">Carnegie paper redeemed per year</t>
  </si>
  <si>
    <t xml:space="preserve">Fifty-year sinking fund.</t>
  </si>
  <si>
    <t xml:space="preserve">European purchases of champion bonds, cap per year, 1880-99 ($m)</t>
  </si>
  <si>
    <t xml:space="preserve">Before 1914 Europe financed American industry on a large scale; foreign holdings in the US rose to about $7bn by 1914.</t>
  </si>
  <si>
    <t xml:space="preserve">European purchases of champion bonds, cap per year, 1900-13 ($m)</t>
  </si>
  <si>
    <t xml:space="preserve">London, Paris, Amsterdam and Berlin. None during the war.</t>
  </si>
  <si>
    <t xml:space="preserve">Union and Japanese purchases of champion bonds, cap per year, 1919-29 ($m)</t>
  </si>
  <si>
    <t xml:space="preserve">Wall Street ('the Pacifican interest') and Concord-era Japanese capital. None in 1930-32.</t>
  </si>
  <si>
    <t xml:space="preserve">Coupon on champion bonds</t>
  </si>
  <si>
    <t xml:space="preserve">Industrial bonds of the period.</t>
  </si>
  <si>
    <t xml:space="preserve">Champion bonds redeemed per year</t>
  </si>
  <si>
    <t xml:space="preserve">About thirty-year sinking funds.</t>
  </si>
  <si>
    <t xml:space="preserve">Cash cost of oil assets abroad (years of earnings)</t>
  </si>
  <si>
    <t xml:space="preserve">Refineries, pipelines, tankers and terminals cost about four years' earnings; the rest of the seven-year book value is franchise and concession value, which brings no cash.</t>
  </si>
  <si>
    <t xml:space="preserve">Order of funding: the champions' retained cash abroad first, then the Carnegie paper (1901), then local partners' equity, then bonds sold abroad up to the yearly cap; the rest is raised at home through share issues and the state savings and development bank (canon, CR-020). That home money is a use of home saving and is tested by the Private saving capacity check.</t>
  </si>
  <si>
    <t xml:space="preserve">Column S is the funding identity (need less all sources); it must be zero. Capital accounts column L shows it, and Checks column AG tests it.</t>
  </si>
  <si>
    <t xml:space="preserve">Foreign money is not free: bond coupons, the Carnegie yield and partners' share of earnings are paid out of national income (Abroad, column V), and redemptions are a use of home saving (Sources &amp; uses, column J).</t>
  </si>
  <si>
    <t xml:space="preserve">Partners earn the same yield as the champions' assets abroad (column O). Their share of Crown-share dividends is not separately deducted; it is small.</t>
  </si>
  <si>
    <t xml:space="preserve">Oil assets abroad are valued at seven years' earnings; only four years' worth is cash spent on refineries, pipelines, tankers and terminals. A fall in the valuation needs no cash.</t>
  </si>
  <si>
    <t xml:space="preserve">Entente subscribers: who buys the foreign $4.25bn</t>
  </si>
  <si>
    <t xml:space="preserve">Period $m. Named foreign subscribers to the 1914-18 Entente advances, by year. MODEL working estimates to verify against the sources below.</t>
  </si>
  <si>
    <t xml:space="preserve">Union private investors</t>
  </si>
  <si>
    <t xml:space="preserve">Collateral loans on mobilised Entente securities</t>
  </si>
  <si>
    <t xml:space="preserve">Neutral savers</t>
  </si>
  <si>
    <t xml:space="preserve">Gulf Republic and Pacific Latin America</t>
  </si>
  <si>
    <t xml:space="preserve">Named capacity</t>
  </si>
  <si>
    <t xml:space="preserve">Foreign subscriptions required</t>
  </si>
  <si>
    <t xml:space="preserve">Gap</t>
  </si>
  <si>
    <t xml:space="preserve">Stress case: share of the story capacity</t>
  </si>
  <si>
    <t xml:space="preserve">Checked against the sources on 20 Oct (CR-025 H). Foreign subscriptions equal this named capacity; Pacifican private savers take the rest of each year's advance.</t>
  </si>
  <si>
    <t xml:space="preserve">Union private investors: none in 1914 (Washington discourages loans to belligerents); historically the Anglo-French loan of $500m (Oct 1915) and $800m of British secured notes (Sept 1916-Feb 1917). Without US entry no Liberty Loans absorb American savings.</t>
  </si>
  <si>
    <t xml:space="preserve">Collateral loans: by late 1916 Britain had nearly exhausted its dollar collateral; here European-held Pacifican bonds add some collateral. Capped at $800m.</t>
  </si>
  <si>
    <t xml:space="preserve">Japan: historically ¥860m of credits to Russia, France and Britain, opened from 1917 (Strachan); this Japan is nearly twice historical size, so $600m in 1917-18.</t>
  </si>
  <si>
    <t xml:space="preserve">Neutrals from 1916: Switzerland (over 400m francs, 1916-18), Spain (350m pesetas, 1918), the Netherlands and Scandinavia. Gulf Republic and Latin America weighted to 1918, when Argentina opened a 200m peso credit.</t>
  </si>
</sst>
</file>

<file path=xl/styles.xml><?xml version="1.0" encoding="utf-8"?>
<styleSheet xmlns="http://schemas.openxmlformats.org/spreadsheetml/2006/main">
  <numFmts count="24">
    <numFmt numFmtId="164" formatCode="General"/>
    <numFmt numFmtId="165" formatCode="0.00"/>
    <numFmt numFmtId="166" formatCode="0%"/>
    <numFmt numFmtId="167" formatCode="#,##0"/>
    <numFmt numFmtId="168" formatCode="0.0"/>
    <numFmt numFmtId="169" formatCode="0.0%"/>
    <numFmt numFmtId="170" formatCode="0"/>
    <numFmt numFmtId="171" formatCode="#,##0;\(#,##0\);\-"/>
    <numFmt numFmtId="172" formatCode="0.0%;\(0.0%\);\-"/>
    <numFmt numFmtId="173" formatCode="#,##0.0;\(#,##0.0\);\-"/>
    <numFmt numFmtId="174" formatCode="#,##0.##"/>
    <numFmt numFmtId="175" formatCode="0.00%"/>
    <numFmt numFmtId="176" formatCode="0.000;\(0.000\);\-"/>
    <numFmt numFmtId="177" formatCode="@"/>
    <numFmt numFmtId="178" formatCode="0.00%;\(0.00%\);\-"/>
    <numFmt numFmtId="179" formatCode="0.00;\(0.00\);\-"/>
    <numFmt numFmtId="180" formatCode="#,##0.000;\(#,##0.000\);\-"/>
    <numFmt numFmtId="181" formatCode="0%;\(0%\);\-"/>
    <numFmt numFmtId="182" formatCode="#,##0.00;\(#,##0.00\);\-"/>
    <numFmt numFmtId="183" formatCode="#,##0.0"/>
    <numFmt numFmtId="184" formatCode="#,##0.00"/>
    <numFmt numFmtId="185" formatCode="#,##0.000"/>
    <numFmt numFmtId="186" formatCode="&quot;Month &quot;0"/>
    <numFmt numFmtId="187" formatCode="[&gt;=0.005]#,##0.00;[&lt;=-0.005]\(#,##0.00\);&quot;0.00&quot;"/>
  </numFmts>
  <fonts count="38">
    <font>
      <sz val="11"/>
      <color theme="1"/>
      <name val="Calibri"/>
      <family val="2"/>
      <charset val="1"/>
    </font>
    <font>
      <sz val="10"/>
      <name val="Arial"/>
      <family val="0"/>
    </font>
    <font>
      <sz val="10"/>
      <name val="Arial"/>
      <family val="0"/>
    </font>
    <font>
      <sz val="10"/>
      <name val="Arial"/>
      <family val="0"/>
    </font>
    <font>
      <b val="true"/>
      <sz val="18"/>
      <color rgb="FF12324A"/>
      <name val="Arial"/>
      <family val="0"/>
      <charset val="1"/>
    </font>
    <font>
      <i val="true"/>
      <sz val="10"/>
      <color rgb="FF555555"/>
      <name val="Arial"/>
      <family val="0"/>
      <charset val="1"/>
    </font>
    <font>
      <b val="true"/>
      <sz val="10"/>
      <name val="Arial"/>
      <family val="0"/>
      <charset val="1"/>
    </font>
    <font>
      <b val="true"/>
      <sz val="11"/>
      <color rgb="FFC00000"/>
      <name val="Arial"/>
      <family val="0"/>
      <charset val="1"/>
    </font>
    <font>
      <b val="true"/>
      <sz val="9"/>
      <color rgb="FFFFFFFF"/>
      <name val="Arial"/>
      <family val="0"/>
      <charset val="1"/>
    </font>
    <font>
      <b val="true"/>
      <sz val="9"/>
      <color rgb="FF12324A"/>
      <name val="Arial"/>
      <family val="0"/>
      <charset val="1"/>
    </font>
    <font>
      <sz val="10"/>
      <name val="Arial"/>
      <family val="0"/>
      <charset val="1"/>
    </font>
    <font>
      <sz val="10"/>
      <color rgb="FF008000"/>
      <name val="Arial"/>
      <family val="0"/>
      <charset val="1"/>
    </font>
    <font>
      <u val="single"/>
      <sz val="10"/>
      <color rgb="FF0563C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5"/>
      <color rgb="FF12324A"/>
      <name val="Arial"/>
      <family val="0"/>
      <charset val="1"/>
    </font>
    <font>
      <sz val="9"/>
      <color rgb="FF777777"/>
      <name val="Arial"/>
      <family val="0"/>
      <charset val="1"/>
    </font>
    <font>
      <sz val="10"/>
      <color rgb="FF0000FF"/>
      <name val="Arial"/>
      <family val="0"/>
      <charset val="1"/>
    </font>
    <font>
      <sz val="9"/>
      <color rgb="FF444444"/>
      <name val="Arial"/>
      <family val="0"/>
      <charset val="1"/>
    </font>
    <font>
      <b val="true"/>
      <sz val="11"/>
      <color theme="1"/>
      <name val="Calibri"/>
      <family val="2"/>
      <charset val="1"/>
    </font>
    <font>
      <b val="true"/>
      <sz val="12"/>
      <color rgb="FF0000FF"/>
      <name val="Arial"/>
      <family val="0"/>
      <charset val="1"/>
    </font>
    <font>
      <sz val="10"/>
      <name val="Arial"/>
      <family val="2"/>
    </font>
    <font>
      <i val="true"/>
      <sz val="10"/>
      <name val="Arial"/>
      <family val="0"/>
      <charset val="1"/>
    </font>
    <font>
      <b val="true"/>
      <sz val="14"/>
      <name val="Arial"/>
      <family val="0"/>
      <charset val="1"/>
    </font>
    <font>
      <b val="true"/>
      <sz val="10"/>
      <color rgb="FFFFFFFF"/>
      <name val="Arial"/>
      <family val="0"/>
      <charset val="1"/>
    </font>
    <font>
      <sz val="10"/>
      <color rgb="FF000000"/>
      <name val="Arial"/>
      <family val="0"/>
      <charset val="1"/>
    </font>
    <font>
      <b val="true"/>
      <sz val="11"/>
      <color rgb="FFFFFFFF"/>
      <name val="Calibri"/>
      <family val="2"/>
      <charset val="1"/>
    </font>
    <font>
      <b val="true"/>
      <sz val="10"/>
      <color rgb="FFFFFFFF"/>
      <name val="Calibri"/>
      <family val="2"/>
      <charset val="1"/>
    </font>
    <font>
      <sz val="10"/>
      <color theme="1"/>
      <name val="Calibri"/>
      <family val="2"/>
      <charset val="1"/>
    </font>
    <font>
      <b val="true"/>
      <sz val="14"/>
      <color theme="1"/>
      <name val="Calibri"/>
      <family val="2"/>
      <charset val="1"/>
    </font>
    <font>
      <b val="true"/>
      <sz val="14"/>
      <color rgb="FF202020"/>
      <name val="Calibri"/>
      <family val="2"/>
      <charset val="1"/>
    </font>
    <font>
      <sz val="10"/>
      <color rgb="FF202020"/>
      <name val="Calibri"/>
      <family val="2"/>
      <charset val="1"/>
    </font>
    <font>
      <i val="true"/>
      <sz val="10"/>
      <color rgb="FF202020"/>
      <name val="Calibri"/>
      <family val="2"/>
      <charset val="1"/>
    </font>
    <font>
      <b val="true"/>
      <sz val="10"/>
      <color rgb="FF202020"/>
      <name val="Calibri"/>
      <family val="2"/>
      <charset val="1"/>
    </font>
    <font>
      <sz val="10"/>
      <color rgb="FF0000FF"/>
      <name val="Calibri"/>
      <family val="2"/>
      <charset val="1"/>
    </font>
    <font>
      <sz val="10"/>
      <color rgb="FF000000"/>
      <name val="Calibri"/>
      <family val="2"/>
      <charset val="1"/>
    </font>
    <font>
      <sz val="10"/>
      <color rgb="FF008000"/>
      <name val="Calibri"/>
      <family val="2"/>
      <charset val="1"/>
    </font>
  </fonts>
  <fills count="10">
    <fill>
      <patternFill patternType="none"/>
    </fill>
    <fill>
      <patternFill patternType="gray125"/>
    </fill>
    <fill>
      <patternFill patternType="solid">
        <fgColor rgb="FF1F4E6B"/>
        <bgColor rgb="FF2F5597"/>
      </patternFill>
    </fill>
    <fill>
      <patternFill patternType="solid">
        <fgColor rgb="FFD6E4EC"/>
        <bgColor rgb="FFE5EAF0"/>
      </patternFill>
    </fill>
    <fill>
      <patternFill patternType="solid">
        <fgColor rgb="FFFFFF00"/>
        <bgColor rgb="FFFFFF00"/>
      </patternFill>
    </fill>
    <fill>
      <patternFill patternType="solid">
        <fgColor rgb="FFFFF8DC"/>
        <bgColor rgb="FFFFF2CC"/>
      </patternFill>
    </fill>
    <fill>
      <patternFill patternType="solid">
        <fgColor rgb="FFEEF3F6"/>
        <bgColor rgb="FFE5EAF0"/>
      </patternFill>
    </fill>
    <fill>
      <patternFill patternType="solid">
        <fgColor rgb="FFFBE9E7"/>
        <bgColor rgb="FFFCE4D6"/>
      </patternFill>
    </fill>
    <fill>
      <patternFill patternType="solid">
        <fgColor rgb="FF17365D"/>
        <bgColor rgb="FF12324A"/>
      </patternFill>
    </fill>
    <fill>
      <patternFill patternType="solid">
        <fgColor rgb="FFE5EAF0"/>
        <bgColor rgb="FFE2EFDA"/>
      </patternFill>
    </fill>
  </fills>
  <borders count="2">
    <border diagonalUp="false" diagonalDown="false">
      <left/>
      <right/>
      <top/>
      <bottom/>
      <diagonal/>
    </border>
    <border diagonalUp="false" diagonalDown="false">
      <left/>
      <right/>
      <top/>
      <bottom style="thin">
        <color rgb="FFC9D3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bottom" textRotation="0" wrapText="false" indent="0" shrinkToFit="false"/>
      <protection locked="true" hidden="false"/>
    </xf>
    <xf numFmtId="170" fontId="11" fillId="0" borderId="1" xfId="0" applyFont="true" applyBorder="tru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74" fontId="18" fillId="5" borderId="0" xfId="0" applyFont="true" applyBorder="false" applyAlignment="true" applyProtection="false">
      <alignment horizontal="general" vertical="bottom" textRotation="0" wrapText="false" indent="0" shrinkToFit="false"/>
      <protection locked="true" hidden="false"/>
    </xf>
    <xf numFmtId="174" fontId="6" fillId="0" borderId="0" xfId="0" applyFont="true" applyBorder="false" applyAlignment="true" applyProtection="false">
      <alignment horizontal="general" vertical="bottom" textRotation="0" wrapText="false" indent="0" shrinkToFit="false"/>
      <protection locked="true" hidden="false"/>
    </xf>
    <xf numFmtId="165" fontId="18"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9" fontId="18" fillId="5"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5" fontId="18" fillId="5" borderId="0" xfId="0" applyFont="true" applyBorder="false" applyAlignment="true" applyProtection="false">
      <alignment horizontal="general" vertical="bottom" textRotation="0" wrapText="false" indent="0" shrinkToFit="false"/>
      <protection locked="true" hidden="false"/>
    </xf>
    <xf numFmtId="174" fontId="18" fillId="4" borderId="0" xfId="0" applyFont="true" applyBorder="false" applyAlignment="true" applyProtection="false">
      <alignment horizontal="general" vertical="bottom" textRotation="0" wrapText="false" indent="0" shrinkToFit="false"/>
      <protection locked="true" hidden="false"/>
    </xf>
    <xf numFmtId="169" fontId="18" fillId="4" borderId="0" xfId="0" applyFont="true" applyBorder="false" applyAlignment="true" applyProtection="false">
      <alignment horizontal="general" vertical="bottom" textRotation="0" wrapText="false" indent="0" shrinkToFit="false"/>
      <protection locked="true" hidden="false"/>
    </xf>
    <xf numFmtId="175" fontId="18" fillId="5"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0" fontId="18" fillId="4"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70" fontId="18" fillId="5" borderId="0" xfId="0" applyFont="true" applyBorder="false" applyAlignment="true" applyProtection="false">
      <alignment horizontal="general" vertical="bottom" textRotation="0" wrapText="false" indent="0" shrinkToFit="false"/>
      <protection locked="true" hidden="false"/>
    </xf>
    <xf numFmtId="175" fontId="18" fillId="4"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76" fontId="18"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77" fontId="19" fillId="0" borderId="0" xfId="0" applyFont="true" applyBorder="false" applyAlignment="true" applyProtection="false">
      <alignment horizontal="general" vertical="bottom" textRotation="0" wrapText="false" indent="0" shrinkToFit="false"/>
      <protection locked="true" hidden="false"/>
    </xf>
    <xf numFmtId="177" fontId="19" fillId="0" borderId="0" xfId="0" applyFont="true" applyBorder="false" applyAlignment="true" applyProtection="false">
      <alignment horizontal="general" vertical="top" textRotation="0" wrapText="true" indent="0" shrinkToFit="false"/>
      <protection locked="true" hidden="false"/>
    </xf>
    <xf numFmtId="177" fontId="0"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3" fontId="18"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70" fontId="6" fillId="6" borderId="0" xfId="0" applyFont="true" applyBorder="false" applyAlignment="tru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78" fontId="18" fillId="0" borderId="0" xfId="0" applyFont="true" applyBorder="false" applyAlignment="true" applyProtection="false">
      <alignment horizontal="general" vertical="bottom" textRotation="0" wrapText="false" indent="0" shrinkToFit="false"/>
      <protection locked="true" hidden="false"/>
    </xf>
    <xf numFmtId="170" fontId="6" fillId="7"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8" fontId="10"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78" fontId="11" fillId="0" borderId="0" xfId="0" applyFont="true" applyBorder="false" applyAlignment="true" applyProtection="false">
      <alignment horizontal="general" vertical="bottom" textRotation="0" wrapText="false" indent="0" shrinkToFit="false"/>
      <protection locked="true" hidden="false"/>
    </xf>
    <xf numFmtId="179" fontId="10" fillId="0" borderId="0" xfId="0" applyFont="true" applyBorder="false" applyAlignment="true" applyProtection="false">
      <alignment horizontal="general" vertical="bottom" textRotation="0" wrapText="false" indent="0" shrinkToFit="false"/>
      <protection locked="true" hidden="false"/>
    </xf>
    <xf numFmtId="179" fontId="18"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general" vertical="top" textRotation="0" wrapText="true" indent="0" shrinkToFit="false"/>
      <protection locked="true" hidden="false"/>
    </xf>
    <xf numFmtId="171" fontId="26" fillId="0" borderId="0" xfId="0" applyFont="true" applyBorder="false" applyAlignment="true" applyProtection="false">
      <alignment horizontal="general" vertical="bottom" textRotation="0" wrapText="false" indent="0" shrinkToFit="false"/>
      <protection locked="true" hidden="false"/>
    </xf>
    <xf numFmtId="180" fontId="26"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1" fontId="26" fillId="0" borderId="0" xfId="0" applyFont="true" applyBorder="false" applyAlignment="true" applyProtection="false">
      <alignment horizontal="general" vertical="bottom" textRotation="0" wrapText="false" indent="0" shrinkToFit="false"/>
      <protection locked="true" hidden="false"/>
    </xf>
    <xf numFmtId="182" fontId="18" fillId="0" borderId="0" xfId="0" applyFont="true" applyBorder="false" applyAlignment="true" applyProtection="false">
      <alignment horizontal="general" vertical="bottom" textRotation="0" wrapText="false" indent="0" shrinkToFit="false"/>
      <protection locked="true" hidden="false"/>
    </xf>
    <xf numFmtId="182" fontId="26" fillId="0" borderId="0" xfId="0" applyFont="true" applyBorder="false" applyAlignment="true" applyProtection="false">
      <alignment horizontal="general" vertical="bottom" textRotation="0" wrapText="false" indent="0" shrinkToFit="false"/>
      <protection locked="true" hidden="false"/>
    </xf>
    <xf numFmtId="167" fontId="26" fillId="0" borderId="0" xfId="0" applyFont="true" applyBorder="false" applyAlignment="true" applyProtection="false">
      <alignment horizontal="general" vertical="bottom" textRotation="0" wrapText="false" indent="0" shrinkToFit="false"/>
      <protection locked="true" hidden="false"/>
    </xf>
    <xf numFmtId="183" fontId="26" fillId="0" borderId="0" xfId="0" applyFont="true" applyBorder="false" applyAlignment="true" applyProtection="false">
      <alignment horizontal="general" vertical="bottom" textRotation="0" wrapText="false" indent="0" shrinkToFit="false"/>
      <protection locked="true" hidden="false"/>
    </xf>
    <xf numFmtId="184" fontId="26" fillId="0" borderId="0" xfId="0" applyFont="true" applyBorder="false" applyAlignment="true" applyProtection="false">
      <alignment horizontal="general" vertical="bottom" textRotation="0" wrapText="false" indent="0" shrinkToFit="false"/>
      <protection locked="true" hidden="false"/>
    </xf>
    <xf numFmtId="170" fontId="26" fillId="0" borderId="0" xfId="0" applyFont="true" applyBorder="false" applyAlignment="true" applyProtection="false">
      <alignment horizontal="general" vertical="bottom" textRotation="0" wrapText="false" indent="0" shrinkToFit="false"/>
      <protection locked="true" hidden="false"/>
    </xf>
    <xf numFmtId="166" fontId="26" fillId="0" borderId="0" xfId="0" applyFont="true" applyBorder="false" applyAlignment="true" applyProtection="false">
      <alignment horizontal="general" vertical="bottom" textRotation="0" wrapText="false" indent="0" shrinkToFit="false"/>
      <protection locked="true" hidden="false"/>
    </xf>
    <xf numFmtId="185" fontId="18" fillId="0" borderId="0" xfId="0" applyFont="true" applyBorder="false" applyAlignment="true" applyProtection="false">
      <alignment horizontal="general" vertical="bottom" textRotation="0" wrapText="false" indent="0" shrinkToFit="false"/>
      <protection locked="true" hidden="false"/>
    </xf>
    <xf numFmtId="164" fontId="27" fillId="8" borderId="0" xfId="0" applyFont="true" applyBorder="false" applyAlignment="true" applyProtection="false">
      <alignment horizontal="general" vertical="bottom" textRotation="0" wrapText="tru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64" fontId="28" fillId="8" borderId="0" xfId="0" applyFont="true" applyBorder="false" applyAlignment="true" applyProtection="false">
      <alignment horizontal="general" vertical="bottom" textRotation="0" wrapText="tru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73"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8" fontId="26" fillId="0" borderId="0" xfId="0" applyFont="true" applyBorder="false" applyAlignment="true" applyProtection="false">
      <alignment horizontal="general" vertical="bottom" textRotation="0" wrapText="false" indent="0" shrinkToFit="false"/>
      <protection locked="true" hidden="false"/>
    </xf>
    <xf numFmtId="170" fontId="8" fillId="2" borderId="0" xfId="0" applyFont="true" applyBorder="false" applyAlignment="true" applyProtection="false">
      <alignment horizontal="center" vertical="center" textRotation="0" wrapText="tru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77" fontId="10" fillId="0" borderId="0" xfId="0" applyFont="true" applyBorder="fals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34" fillId="9" borderId="0" xfId="0" applyFont="true" applyBorder="false" applyAlignment="true" applyProtection="false">
      <alignment horizontal="general" vertical="bottom" textRotation="0" wrapText="false" indent="0" shrinkToFit="false"/>
      <protection locked="true" hidden="false"/>
    </xf>
    <xf numFmtId="164" fontId="32" fillId="9" borderId="0" xfId="0" applyFont="true" applyBorder="false" applyAlignment="true" applyProtection="false">
      <alignment horizontal="general" vertical="bottom" textRotation="0" wrapText="false" indent="0" shrinkToFit="false"/>
      <protection locked="true" hidden="false"/>
    </xf>
    <xf numFmtId="182" fontId="35" fillId="0" borderId="0" xfId="0" applyFont="true" applyBorder="false" applyAlignment="true" applyProtection="false">
      <alignment horizontal="general" vertical="bottom" textRotation="0" wrapText="false" indent="0" shrinkToFit="false"/>
      <protection locked="true" hidden="false"/>
    </xf>
    <xf numFmtId="182" fontId="36"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xf numFmtId="169" fontId="35" fillId="0" borderId="0" xfId="0" applyFont="true" applyBorder="false" applyAlignment="true" applyProtection="false">
      <alignment horizontal="general" vertical="bottom" textRotation="0" wrapText="false" indent="0" shrinkToFit="false"/>
      <protection locked="true" hidden="false"/>
    </xf>
    <xf numFmtId="169" fontId="3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70" fontId="36" fillId="0" borderId="0" xfId="0" applyFont="true" applyBorder="false" applyAlignment="true" applyProtection="false">
      <alignment horizontal="general" vertical="bottom" textRotation="0" wrapText="false" indent="0" shrinkToFit="false"/>
      <protection locked="true" hidden="false"/>
    </xf>
    <xf numFmtId="182" fontId="28" fillId="8" borderId="0" xfId="0" applyFont="true" applyBorder="false" applyAlignment="true" applyProtection="false">
      <alignment horizontal="general" vertical="bottom" textRotation="0" wrapText="true" indent="0" shrinkToFit="false"/>
      <protection locked="true" hidden="false"/>
    </xf>
    <xf numFmtId="186" fontId="32"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70" fontId="32" fillId="0"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9" fontId="37"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true" indent="0" shrinkToFit="false"/>
      <protection locked="true" hidden="false"/>
    </xf>
    <xf numFmtId="182" fontId="37" fillId="0" borderId="0" xfId="0" applyFont="true" applyBorder="false" applyAlignment="true" applyProtection="false">
      <alignment horizontal="general" vertical="bottom" textRotation="0" wrapText="false" indent="0" shrinkToFit="false"/>
      <protection locked="true" hidden="false"/>
    </xf>
    <xf numFmtId="187" fontId="36" fillId="0" borderId="0" xfId="0" applyFont="true" applyBorder="false" applyAlignment="true" applyProtection="false">
      <alignment horizontal="general" vertical="bottom" textRotation="0" wrapText="false" indent="0" shrinkToFit="false"/>
      <protection locked="true" hidden="false"/>
    </xf>
    <xf numFmtId="182" fontId="37" fillId="0" borderId="0" xfId="0" applyFont="true" applyBorder="false" applyAlignment="true" applyProtection="false">
      <alignment horizontal="right" vertical="bottom" textRotation="0" wrapText="false" indent="0" shrinkToFit="false"/>
      <protection locked="true" hidden="false"/>
    </xf>
    <xf numFmtId="182" fontId="32" fillId="0" borderId="0" xfId="0" applyFont="true" applyBorder="false" applyAlignment="true" applyProtection="false">
      <alignment horizontal="right"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84" fontId="2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8CBAD"/>
        </patternFill>
      </fill>
    </dxf>
    <dxf>
      <fill>
        <patternFill>
          <bgColor rgb="FFE2EFDA"/>
        </patternFill>
      </fill>
    </dxf>
    <dxf>
      <font>
        <b val="1"/>
        <color rgb="FF9C0006"/>
      </font>
      <fill>
        <patternFill>
          <bgColor rgb="FFFCE4D6"/>
        </patternFill>
      </fill>
    </dxf>
    <dxf>
      <font>
        <b val="1"/>
        <color rgb="FF9C6500"/>
      </font>
      <fill>
        <patternFill>
          <bgColor rgb="FFFFF2CC"/>
        </patternFill>
      </fill>
    </dxf>
    <dxf>
      <font>
        <color rgb="FF9C0006"/>
      </font>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B050"/>
      <rgbColor rgb="FFD9D9D9"/>
      <rgbColor rgb="FF878787"/>
      <rgbColor rgb="FF9999FF"/>
      <rgbColor rgb="FFBE4B48"/>
      <rgbColor rgb="FFFFF8DC"/>
      <rgbColor rgb="FFEEF3F6"/>
      <rgbColor rgb="FF660066"/>
      <rgbColor rgb="FFFF8080"/>
      <rgbColor rgb="FF0563C1"/>
      <rgbColor rgb="FFC9D3DA"/>
      <rgbColor rgb="FF000080"/>
      <rgbColor rgb="FFFF00FF"/>
      <rgbColor rgb="FFFFFF00"/>
      <rgbColor rgb="FF00FFFF"/>
      <rgbColor rgb="FF800080"/>
      <rgbColor rgb="FF800000"/>
      <rgbColor rgb="FF1F4E6B"/>
      <rgbColor rgb="FF0000FF"/>
      <rgbColor rgb="FF00CCFF"/>
      <rgbColor rgb="FFE5EAF0"/>
      <rgbColor rgb="FFE2EFDA"/>
      <rgbColor rgb="FFFFF2CC"/>
      <rgbColor rgb="FFD6E4EC"/>
      <rgbColor rgb="FFFCE4D6"/>
      <rgbColor rgb="FFFBE9E7"/>
      <rgbColor rgb="FFF8CBAD"/>
      <rgbColor rgb="FF4A7EBB"/>
      <rgbColor rgb="FF33CCCC"/>
      <rgbColor rgb="FF98B855"/>
      <rgbColor rgb="FFFFCC00"/>
      <rgbColor rgb="FFBF8F00"/>
      <rgbColor rgb="FFFF6600"/>
      <rgbColor rgb="FF777777"/>
      <rgbColor rgb="FF555555"/>
      <rgbColor rgb="FF17365D"/>
      <rgbColor rgb="FF548235"/>
      <rgbColor rgb="FF12324A"/>
      <rgbColor rgb="FF202020"/>
      <rgbColor rgb="FF9C6500"/>
      <rgbColor rgb="FF7030A0"/>
      <rgbColor rgb="FF2F5597"/>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Core GDP: Pacifica and Japan ($m)</a:t>
            </a:r>
          </a:p>
        </c:rich>
      </c:tx>
      <c:overlay val="0"/>
      <c:spPr>
        <a:noFill/>
        <a:ln w="0">
          <a:noFill/>
        </a:ln>
      </c:spPr>
    </c:title>
    <c:autoTitleDeleted val="0"/>
    <c:plotArea>
      <c:lineChart>
        <c:grouping val="standard"/>
        <c:varyColors val="0"/>
        <c:ser>
          <c:idx val="0"/>
          <c:order val="0"/>
          <c:tx>
            <c:strRef>
              <c:f>"Pacifica"</c:f>
              <c:strCache>
                <c:ptCount val="1"/>
                <c:pt idx="0">
                  <c:v>Pacifica</c:v>
                </c:pt>
              </c:strCache>
            </c:strRef>
          </c:tx>
          <c:spPr>
            <a:solidFill>
              <a:srgbClr val="4a7ebb"/>
            </a:solidFill>
            <a:ln w="2196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Economy!$A$10:$A$92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Economy!$O$10:$O$92</c:f>
              <c:numCache>
                <c:formatCode>#,##0;\(#,##0\);\-</c:formatCode>
                <c:ptCount val="83"/>
                <c:pt idx="0">
                  <c:v>89.4599110680586</c:v>
                </c:pt>
                <c:pt idx="1">
                  <c:v>124.006436449299</c:v>
                </c:pt>
                <c:pt idx="2">
                  <c:v>146.011198003574</c:v>
                </c:pt>
                <c:pt idx="3">
                  <c:v>156.813385584131</c:v>
                </c:pt>
                <c:pt idx="4">
                  <c:v>174.514384597729</c:v>
                </c:pt>
                <c:pt idx="5">
                  <c:v>180.608929988692</c:v>
                </c:pt>
                <c:pt idx="6">
                  <c:v>205.368348150228</c:v>
                </c:pt>
                <c:pt idx="7">
                  <c:v>217.101147120744</c:v>
                </c:pt>
                <c:pt idx="8">
                  <c:v>242.966111190215</c:v>
                </c:pt>
                <c:pt idx="9">
                  <c:v>269.382095487281</c:v>
                </c:pt>
                <c:pt idx="10">
                  <c:v>293.708249375319</c:v>
                </c:pt>
                <c:pt idx="11">
                  <c:v>310.488908544549</c:v>
                </c:pt>
                <c:pt idx="12">
                  <c:v>347.509403821264</c:v>
                </c:pt>
                <c:pt idx="13">
                  <c:v>414.177686346965</c:v>
                </c:pt>
                <c:pt idx="14">
                  <c:v>486.272809388817</c:v>
                </c:pt>
                <c:pt idx="15">
                  <c:v>530.722790598496</c:v>
                </c:pt>
                <c:pt idx="16">
                  <c:v>568.392352534946</c:v>
                </c:pt>
                <c:pt idx="17">
                  <c:v>616.40713062241</c:v>
                </c:pt>
                <c:pt idx="18">
                  <c:v>666.786277655439</c:v>
                </c:pt>
                <c:pt idx="19">
                  <c:v>717.966554468653</c:v>
                </c:pt>
                <c:pt idx="20">
                  <c:v>776.183377974681</c:v>
                </c:pt>
                <c:pt idx="21">
                  <c:v>830.011822765798</c:v>
                </c:pt>
                <c:pt idx="22">
                  <c:v>885.622751068388</c:v>
                </c:pt>
                <c:pt idx="23">
                  <c:v>932.353646361054</c:v>
                </c:pt>
                <c:pt idx="24">
                  <c:v>988.419457045886</c:v>
                </c:pt>
                <c:pt idx="25">
                  <c:v>1065.16289514771</c:v>
                </c:pt>
                <c:pt idx="26">
                  <c:v>1155.43787311212</c:v>
                </c:pt>
                <c:pt idx="27">
                  <c:v>1203.91586683697</c:v>
                </c:pt>
                <c:pt idx="28">
                  <c:v>1283.15539475405</c:v>
                </c:pt>
                <c:pt idx="29">
                  <c:v>1339.5317416909</c:v>
                </c:pt>
                <c:pt idx="30">
                  <c:v>1403.87478768746</c:v>
                </c:pt>
                <c:pt idx="31">
                  <c:v>1486.64137199492</c:v>
                </c:pt>
                <c:pt idx="32">
                  <c:v>1570.56854129372</c:v>
                </c:pt>
                <c:pt idx="33">
                  <c:v>1656.96941220042</c:v>
                </c:pt>
                <c:pt idx="34">
                  <c:v>1711.95975071673</c:v>
                </c:pt>
                <c:pt idx="35">
                  <c:v>1804.76280682288</c:v>
                </c:pt>
                <c:pt idx="36">
                  <c:v>1963.38202358666</c:v>
                </c:pt>
                <c:pt idx="37">
                  <c:v>2096.56822821989</c:v>
                </c:pt>
                <c:pt idx="38">
                  <c:v>2245.55152436743</c:v>
                </c:pt>
                <c:pt idx="39">
                  <c:v>2396.7611330889</c:v>
                </c:pt>
                <c:pt idx="40">
                  <c:v>2603.83744290112</c:v>
                </c:pt>
                <c:pt idx="41">
                  <c:v>2792.20397914571</c:v>
                </c:pt>
                <c:pt idx="42">
                  <c:v>2985.97293269444</c:v>
                </c:pt>
                <c:pt idx="43">
                  <c:v>3025.72881662191</c:v>
                </c:pt>
                <c:pt idx="44">
                  <c:v>3181.94146799645</c:v>
                </c:pt>
                <c:pt idx="45">
                  <c:v>3485.67864014666</c:v>
                </c:pt>
                <c:pt idx="46">
                  <c:v>3716.20067328638</c:v>
                </c:pt>
                <c:pt idx="47">
                  <c:v>4176.56524675486</c:v>
                </c:pt>
                <c:pt idx="48">
                  <c:v>4582.86208799238</c:v>
                </c:pt>
                <c:pt idx="49">
                  <c:v>5016.14813313475</c:v>
                </c:pt>
                <c:pt idx="50">
                  <c:v>5496.35259516047</c:v>
                </c:pt>
                <c:pt idx="51">
                  <c:v>5985.00119116351</c:v>
                </c:pt>
                <c:pt idx="52">
                  <c:v>6527.49613857527</c:v>
                </c:pt>
                <c:pt idx="53">
                  <c:v>7128.99003190646</c:v>
                </c:pt>
                <c:pt idx="54">
                  <c:v>7787.69757012428</c:v>
                </c:pt>
                <c:pt idx="55">
                  <c:v>8492.17847935843</c:v>
                </c:pt>
                <c:pt idx="56">
                  <c:v>9389.04920757964</c:v>
                </c:pt>
                <c:pt idx="57">
                  <c:v>10217.104128861</c:v>
                </c:pt>
                <c:pt idx="58">
                  <c:v>10826.0171601426</c:v>
                </c:pt>
                <c:pt idx="59">
                  <c:v>12491.3400849024</c:v>
                </c:pt>
                <c:pt idx="60">
                  <c:v>13693.7095813063</c:v>
                </c:pt>
                <c:pt idx="61">
                  <c:v>14940.2277339367</c:v>
                </c:pt>
                <c:pt idx="62">
                  <c:v>16308.0855819624</c:v>
                </c:pt>
                <c:pt idx="63">
                  <c:v>17784.8315903381</c:v>
                </c:pt>
                <c:pt idx="64">
                  <c:v>18545.9764542688</c:v>
                </c:pt>
                <c:pt idx="65">
                  <c:v>20789.0480133639</c:v>
                </c:pt>
                <c:pt idx="66">
                  <c:v>24706.9707240908</c:v>
                </c:pt>
                <c:pt idx="67">
                  <c:v>31275.5268898069</c:v>
                </c:pt>
                <c:pt idx="68">
                  <c:v>38054.5401477249</c:v>
                </c:pt>
                <c:pt idx="69">
                  <c:v>43649.3215483423</c:v>
                </c:pt>
                <c:pt idx="70">
                  <c:v>51269.8472076481</c:v>
                </c:pt>
                <c:pt idx="71">
                  <c:v>41915.1066632529</c:v>
                </c:pt>
                <c:pt idx="72">
                  <c:v>43385.3752764194</c:v>
                </c:pt>
                <c:pt idx="73">
                  <c:v>48970.6784303887</c:v>
                </c:pt>
                <c:pt idx="74">
                  <c:v>52260.0810474513</c:v>
                </c:pt>
                <c:pt idx="75">
                  <c:v>56494.0428375922</c:v>
                </c:pt>
                <c:pt idx="76">
                  <c:v>58929.8887784483</c:v>
                </c:pt>
                <c:pt idx="77">
                  <c:v>61066.3745435664</c:v>
                </c:pt>
                <c:pt idx="78">
                  <c:v>65518.5129585327</c:v>
                </c:pt>
                <c:pt idx="79">
                  <c:v>69472.3418191507</c:v>
                </c:pt>
                <c:pt idx="80">
                  <c:v>65389.4771547291</c:v>
                </c:pt>
                <c:pt idx="81">
                  <c:v>59330.2834725035</c:v>
                </c:pt>
                <c:pt idx="82">
                  <c:v>54846.1190116299</c:v>
                </c:pt>
              </c:numCache>
            </c:numRef>
          </c:val>
          <c:smooth val="0"/>
        </c:ser>
        <c:ser>
          <c:idx val="1"/>
          <c:order val="1"/>
          <c:tx>
            <c:strRef>
              <c:f>"Japan"</c:f>
              <c:strCache>
                <c:ptCount val="1"/>
                <c:pt idx="0">
                  <c:v>Japan</c:v>
                </c:pt>
              </c:strCache>
            </c:strRef>
          </c:tx>
          <c:spPr>
            <a:solidFill>
              <a:srgbClr val="be4b48"/>
            </a:solidFill>
            <a:ln w="2196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Economy!$A$10:$A$92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Japan!$D$10:$D$92</c:f>
              <c:numCache>
                <c:formatCode>#,##0;\(#,##0\);\-</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450</c:v>
                </c:pt>
                <c:pt idx="19">
                  <c:v>461.379884690078</c:v>
                </c:pt>
                <c:pt idx="20">
                  <c:v>473.075114478388</c:v>
                </c:pt>
                <c:pt idx="21">
                  <c:v>485.089092919254</c:v>
                </c:pt>
                <c:pt idx="22">
                  <c:v>498.448158252837</c:v>
                </c:pt>
                <c:pt idx="23">
                  <c:v>511.103440821086</c:v>
                </c:pt>
                <c:pt idx="24">
                  <c:v>524.055312354895</c:v>
                </c:pt>
                <c:pt idx="25">
                  <c:v>537.320597589202</c:v>
                </c:pt>
                <c:pt idx="26">
                  <c:v>565.088623979003</c:v>
                </c:pt>
                <c:pt idx="27">
                  <c:v>593.516060578479</c:v>
                </c:pt>
                <c:pt idx="28">
                  <c:v>622.537636778599</c:v>
                </c:pt>
                <c:pt idx="29">
                  <c:v>652.245835452788</c:v>
                </c:pt>
                <c:pt idx="30">
                  <c:v>682.595555987464</c:v>
                </c:pt>
                <c:pt idx="31">
                  <c:v>702.362231638508</c:v>
                </c:pt>
                <c:pt idx="32">
                  <c:v>722.934233449905</c:v>
                </c:pt>
                <c:pt idx="33">
                  <c:v>744.32335813288</c:v>
                </c:pt>
                <c:pt idx="34">
                  <c:v>766.583284844329</c:v>
                </c:pt>
                <c:pt idx="35">
                  <c:v>789.653247905243</c:v>
                </c:pt>
                <c:pt idx="36">
                  <c:v>838.330771290128</c:v>
                </c:pt>
                <c:pt idx="37">
                  <c:v>888.748472362482</c:v>
                </c:pt>
                <c:pt idx="38">
                  <c:v>940.685219431989</c:v>
                </c:pt>
                <c:pt idx="39">
                  <c:v>994.254154410447</c:v>
                </c:pt>
                <c:pt idx="40">
                  <c:v>1049.51784086377</c:v>
                </c:pt>
                <c:pt idx="41">
                  <c:v>1071.86739892076</c:v>
                </c:pt>
                <c:pt idx="42">
                  <c:v>1095.09771788833</c:v>
                </c:pt>
                <c:pt idx="43">
                  <c:v>1119.20899287782</c:v>
                </c:pt>
                <c:pt idx="44">
                  <c:v>1143.90592503579</c:v>
                </c:pt>
                <c:pt idx="45">
                  <c:v>1169.44250383551</c:v>
                </c:pt>
                <c:pt idx="46">
                  <c:v>1393.50814177942</c:v>
                </c:pt>
                <c:pt idx="47">
                  <c:v>1624.05943299357</c:v>
                </c:pt>
                <c:pt idx="48">
                  <c:v>1701.03426031218</c:v>
                </c:pt>
                <c:pt idx="49">
                  <c:v>1782.27180610966</c:v>
                </c:pt>
                <c:pt idx="50">
                  <c:v>1864.85978157681</c:v>
                </c:pt>
                <c:pt idx="51">
                  <c:v>2008.97872244636</c:v>
                </c:pt>
                <c:pt idx="52">
                  <c:v>2157.84966202721</c:v>
                </c:pt>
                <c:pt idx="53">
                  <c:v>2311.65528632654</c:v>
                </c:pt>
                <c:pt idx="54">
                  <c:v>2470.58941603939</c:v>
                </c:pt>
                <c:pt idx="55">
                  <c:v>2634.85256829783</c:v>
                </c:pt>
                <c:pt idx="56">
                  <c:v>2825.11954307194</c:v>
                </c:pt>
                <c:pt idx="57">
                  <c:v>3021.62923804661</c:v>
                </c:pt>
                <c:pt idx="58">
                  <c:v>3224.34002597718</c:v>
                </c:pt>
                <c:pt idx="59">
                  <c:v>3432.79918794264</c:v>
                </c:pt>
                <c:pt idx="60">
                  <c:v>3649.53909351739</c:v>
                </c:pt>
                <c:pt idx="61">
                  <c:v>4059.43349078288</c:v>
                </c:pt>
                <c:pt idx="62">
                  <c:v>4482.1747623102</c:v>
                </c:pt>
                <c:pt idx="63">
                  <c:v>4917.93062390534</c:v>
                </c:pt>
                <c:pt idx="64">
                  <c:v>4996.56981035158</c:v>
                </c:pt>
                <c:pt idx="65">
                  <c:v>5077.44791157257</c:v>
                </c:pt>
                <c:pt idx="66">
                  <c:v>7044.20013931809</c:v>
                </c:pt>
                <c:pt idx="67">
                  <c:v>9072.75755444993</c:v>
                </c:pt>
                <c:pt idx="68">
                  <c:v>12934.7329363879</c:v>
                </c:pt>
                <c:pt idx="69">
                  <c:v>16908.6684925507</c:v>
                </c:pt>
                <c:pt idx="70">
                  <c:v>17613.5441699476</c:v>
                </c:pt>
                <c:pt idx="71">
                  <c:v>16776.948471634</c:v>
                </c:pt>
                <c:pt idx="72">
                  <c:v>17654.7985645488</c:v>
                </c:pt>
                <c:pt idx="73">
                  <c:v>17297.9946739031</c:v>
                </c:pt>
                <c:pt idx="74">
                  <c:v>18701.5630214788</c:v>
                </c:pt>
                <c:pt idx="75">
                  <c:v>19569.5633015734</c:v>
                </c:pt>
                <c:pt idx="76">
                  <c:v>19539.5108775906</c:v>
                </c:pt>
                <c:pt idx="77">
                  <c:v>20261.1591312525</c:v>
                </c:pt>
                <c:pt idx="78">
                  <c:v>20744.4835722037</c:v>
                </c:pt>
                <c:pt idx="79">
                  <c:v>20986.0659903679</c:v>
                </c:pt>
                <c:pt idx="80">
                  <c:v>19264.2982977839</c:v>
                </c:pt>
                <c:pt idx="81">
                  <c:v>17743.1292781941</c:v>
                </c:pt>
                <c:pt idx="82">
                  <c:v>17654.9262071279</c:v>
                </c:pt>
              </c:numCache>
            </c:numRef>
          </c:val>
          <c:smooth val="0"/>
        </c:ser>
        <c:hiLowLines>
          <c:spPr>
            <a:ln w="0">
              <a:noFill/>
            </a:ln>
          </c:spPr>
        </c:hiLowLines>
        <c:marker val="0"/>
        <c:axId val="83272068"/>
        <c:axId val="88593593"/>
      </c:lineChart>
      <c:catAx>
        <c:axId val="8327206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593593"/>
        <c:crosses val="autoZero"/>
        <c:auto val="1"/>
        <c:lblAlgn val="ctr"/>
        <c:lblOffset val="100"/>
        <c:noMultiLvlLbl val="0"/>
      </c:catAx>
      <c:valAx>
        <c:axId val="88593593"/>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7206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Public debt and Reserve Fund / GDP</a:t>
            </a:r>
          </a:p>
        </c:rich>
      </c:tx>
      <c:overlay val="0"/>
      <c:spPr>
        <a:noFill/>
        <a:ln w="0">
          <a:noFill/>
        </a:ln>
      </c:spPr>
    </c:title>
    <c:autoTitleDeleted val="0"/>
    <c:plotArea>
      <c:lineChart>
        <c:grouping val="standard"/>
        <c:varyColors val="0"/>
        <c:ser>
          <c:idx val="0"/>
          <c:order val="0"/>
          <c:tx>
            <c:strRef>
              <c:f>"Public debt / GDP"</c:f>
              <c:strCache>
                <c:ptCount val="1"/>
                <c:pt idx="0">
                  <c:v>Public debt / GDP</c:v>
                </c:pt>
              </c:strCache>
            </c:strRef>
          </c:tx>
          <c:spPr>
            <a:solidFill>
              <a:srgbClr val="4a7ebb"/>
            </a:solidFill>
            <a:ln w="2196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'Debt &amp; cash'!$A$10:$A$92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'Debt &amp; cash'!$V$10:$V$92</c:f>
              <c:numCache>
                <c:formatCode>0.0%;\(0.0%\);\-</c:formatCode>
                <c:ptCount val="83"/>
                <c:pt idx="0">
                  <c:v>0.190234665920777</c:v>
                </c:pt>
                <c:pt idx="1">
                  <c:v>0.132073407958157</c:v>
                </c:pt>
                <c:pt idx="2">
                  <c:v>0.110342491701101</c:v>
                </c:pt>
                <c:pt idx="3">
                  <c:v>0.091236058335526</c:v>
                </c:pt>
                <c:pt idx="4">
                  <c:v>0.07003101773281</c:v>
                </c:pt>
                <c:pt idx="5">
                  <c:v>0.0525933621431929</c:v>
                </c:pt>
                <c:pt idx="6">
                  <c:v>0.0346177682234395</c:v>
                </c:pt>
                <c:pt idx="7">
                  <c:v>0.0238703176012588</c:v>
                </c:pt>
                <c:pt idx="8">
                  <c:v>0.0139958459484856</c:v>
                </c:pt>
                <c:pt idx="9">
                  <c:v>0.00591445585849836</c:v>
                </c:pt>
                <c:pt idx="10">
                  <c:v>0.00488595539476134</c:v>
                </c:pt>
                <c:pt idx="11">
                  <c:v>0.00452945164451517</c:v>
                </c:pt>
                <c:pt idx="12">
                  <c:v>0.0202210488989968</c:v>
                </c:pt>
                <c:pt idx="13">
                  <c:v>0.0374185875422702</c:v>
                </c:pt>
                <c:pt idx="14">
                  <c:v>0.0423354276509977</c:v>
                </c:pt>
                <c:pt idx="15">
                  <c:v>0.0250179262717026</c:v>
                </c:pt>
                <c:pt idx="16">
                  <c:v>0.00561704704301827</c:v>
                </c:pt>
                <c:pt idx="17">
                  <c:v>0.00507591930070586</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0.0532770139512322</c:v>
                </c:pt>
                <c:pt idx="72">
                  <c:v>0.05</c:v>
                </c:pt>
                <c:pt idx="73">
                  <c:v>0.05</c:v>
                </c:pt>
                <c:pt idx="74">
                  <c:v>0.05</c:v>
                </c:pt>
                <c:pt idx="75">
                  <c:v>0.05</c:v>
                </c:pt>
                <c:pt idx="76">
                  <c:v>0.05</c:v>
                </c:pt>
                <c:pt idx="77">
                  <c:v>0.05</c:v>
                </c:pt>
                <c:pt idx="78">
                  <c:v>0.05</c:v>
                </c:pt>
                <c:pt idx="79">
                  <c:v>0.05</c:v>
                </c:pt>
                <c:pt idx="80">
                  <c:v>0.05</c:v>
                </c:pt>
                <c:pt idx="81">
                  <c:v>0.051510876775213</c:v>
                </c:pt>
                <c:pt idx="82">
                  <c:v>0.0532488077042495</c:v>
                </c:pt>
              </c:numCache>
            </c:numRef>
          </c:val>
          <c:smooth val="0"/>
        </c:ser>
        <c:ser>
          <c:idx val="1"/>
          <c:order val="1"/>
          <c:tx>
            <c:strRef>
              <c:f>"Reserve Fund / GDP"</c:f>
              <c:strCache>
                <c:ptCount val="1"/>
                <c:pt idx="0">
                  <c:v>Reserve Fund / GDP</c:v>
                </c:pt>
              </c:strCache>
            </c:strRef>
          </c:tx>
          <c:spPr>
            <a:solidFill>
              <a:srgbClr val="be4b48"/>
            </a:solidFill>
            <a:ln w="2196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'Debt &amp; cash'!$A$10:$A$92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'Debt &amp; cash'!$X$10:$X$92</c:f>
              <c:numCache>
                <c:formatCode>0.0%;\(0.0%\);\-</c:formatCode>
                <c:ptCount val="83"/>
                <c:pt idx="0">
                  <c:v>0</c:v>
                </c:pt>
                <c:pt idx="1">
                  <c:v>0.000604920412629105</c:v>
                </c:pt>
                <c:pt idx="2">
                  <c:v>0</c:v>
                </c:pt>
                <c:pt idx="3">
                  <c:v>0.00236264814931473</c:v>
                </c:pt>
                <c:pt idx="4">
                  <c:v>0.00470083591843841</c:v>
                </c:pt>
                <c:pt idx="5">
                  <c:v>0.0079724942890719</c:v>
                </c:pt>
                <c:pt idx="6">
                  <c:v>0.00968878005121034</c:v>
                </c:pt>
                <c:pt idx="7">
                  <c:v>0.0112205852132187</c:v>
                </c:pt>
                <c:pt idx="8">
                  <c:v>0.0117527905768951</c:v>
                </c:pt>
                <c:pt idx="9">
                  <c:v>0.0122144130342354</c:v>
                </c:pt>
                <c:pt idx="10">
                  <c:v>0.0113103010202733</c:v>
                </c:pt>
                <c:pt idx="11">
                  <c:v>0.00740291172199375</c:v>
                </c:pt>
                <c:pt idx="12">
                  <c:v>0</c:v>
                </c:pt>
                <c:pt idx="13">
                  <c:v>0</c:v>
                </c:pt>
                <c:pt idx="14">
                  <c:v>0</c:v>
                </c:pt>
                <c:pt idx="15">
                  <c:v>0.00324899008955016</c:v>
                </c:pt>
                <c:pt idx="16">
                  <c:v>0.00735257857673701</c:v>
                </c:pt>
                <c:pt idx="17">
                  <c:v>0.0042490407336107</c:v>
                </c:pt>
                <c:pt idx="18">
                  <c:v>0.0263098067670874</c:v>
                </c:pt>
                <c:pt idx="19">
                  <c:v>0.0540268360269362</c:v>
                </c:pt>
                <c:pt idx="20">
                  <c:v>0.0697794447392243</c:v>
                </c:pt>
                <c:pt idx="21">
                  <c:v>0.0794604237185284</c:v>
                </c:pt>
                <c:pt idx="22">
                  <c:v>0.0964743161756542</c:v>
                </c:pt>
                <c:pt idx="23">
                  <c:v>0.134721733208739</c:v>
                </c:pt>
                <c:pt idx="24">
                  <c:v>0.165961285311425</c:v>
                </c:pt>
                <c:pt idx="25">
                  <c:v>0.195147555896956</c:v>
                </c:pt>
                <c:pt idx="26">
                  <c:v>0.228661599954572</c:v>
                </c:pt>
                <c:pt idx="27">
                  <c:v>0.264032519332844</c:v>
                </c:pt>
                <c:pt idx="28">
                  <c:v>0.289040140463285</c:v>
                </c:pt>
                <c:pt idx="29">
                  <c:v>0.327867935335361</c:v>
                </c:pt>
                <c:pt idx="30">
                  <c:v>0.0441818980140708</c:v>
                </c:pt>
                <c:pt idx="31">
                  <c:v>0.0409632115553416</c:v>
                </c:pt>
                <c:pt idx="32">
                  <c:v>0.0395343767778719</c:v>
                </c:pt>
                <c:pt idx="33">
                  <c:v>0.0392885549331593</c:v>
                </c:pt>
                <c:pt idx="34">
                  <c:v>0.0390248972029139</c:v>
                </c:pt>
                <c:pt idx="35">
                  <c:v>0.0386805834859036</c:v>
                </c:pt>
                <c:pt idx="36">
                  <c:v>0.0387715996157214</c:v>
                </c:pt>
                <c:pt idx="37">
                  <c:v>0.0387906385650837</c:v>
                </c:pt>
                <c:pt idx="38">
                  <c:v>0.0314125661710624</c:v>
                </c:pt>
                <c:pt idx="39">
                  <c:v>0.0300451041265736</c:v>
                </c:pt>
                <c:pt idx="40">
                  <c:v>0.0287273609540392</c:v>
                </c:pt>
                <c:pt idx="41">
                  <c:v>0.0280337063360959</c:v>
                </c:pt>
                <c:pt idx="42">
                  <c:v>0.0275881334182087</c:v>
                </c:pt>
                <c:pt idx="43">
                  <c:v>0.0286318131313887</c:v>
                </c:pt>
                <c:pt idx="44">
                  <c:v>0.0283396876657498</c:v>
                </c:pt>
                <c:pt idx="45">
                  <c:v>0.0252074151693842</c:v>
                </c:pt>
                <c:pt idx="46">
                  <c:v>0.0246904835545832</c:v>
                </c:pt>
                <c:pt idx="47">
                  <c:v>0.0226208352991211</c:v>
                </c:pt>
                <c:pt idx="48">
                  <c:v>0.0211883516718809</c:v>
                </c:pt>
                <c:pt idx="49">
                  <c:v>0.0199676971122383</c:v>
                </c:pt>
                <c:pt idx="50">
                  <c:v>0.0191271889760732</c:v>
                </c:pt>
                <c:pt idx="51">
                  <c:v>0.0187177511726306</c:v>
                </c:pt>
                <c:pt idx="52">
                  <c:v>0.0185064292811201</c:v>
                </c:pt>
                <c:pt idx="53">
                  <c:v>0.0182948167932902</c:v>
                </c:pt>
                <c:pt idx="54">
                  <c:v>0.0178361397523644</c:v>
                </c:pt>
                <c:pt idx="55">
                  <c:v>0.0174317891793736</c:v>
                </c:pt>
                <c:pt idx="56">
                  <c:v>0.0170087551023213</c:v>
                </c:pt>
                <c:pt idx="57">
                  <c:v>0.0168698180419907</c:v>
                </c:pt>
                <c:pt idx="58">
                  <c:v>0.0171546575104605</c:v>
                </c:pt>
                <c:pt idx="59">
                  <c:v>0.0159737180956729</c:v>
                </c:pt>
                <c:pt idx="60">
                  <c:v>0.0157091115729383</c:v>
                </c:pt>
                <c:pt idx="61">
                  <c:v>0.0154920359946743</c:v>
                </c:pt>
                <c:pt idx="62">
                  <c:v>0.0152671483312721</c:v>
                </c:pt>
                <c:pt idx="63">
                  <c:v>0.0150420579170074</c:v>
                </c:pt>
                <c:pt idx="64">
                  <c:v>0.0151132295036828</c:v>
                </c:pt>
                <c:pt idx="65">
                  <c:v>0.014350957064981</c:v>
                </c:pt>
                <c:pt idx="66">
                  <c:v>0.012820369209151</c:v>
                </c:pt>
                <c:pt idx="67">
                  <c:v>0.0108289666736522</c:v>
                </c:pt>
                <c:pt idx="68">
                  <c:v>0.00950967576447717</c:v>
                </c:pt>
                <c:pt idx="69">
                  <c:v>0.00952307400698076</c:v>
                </c:pt>
                <c:pt idx="70">
                  <c:v>0.0095430985530479</c:v>
                </c:pt>
                <c:pt idx="71">
                  <c:v>0.0133376948523843</c:v>
                </c:pt>
                <c:pt idx="72">
                  <c:v>0.0140789620537781</c:v>
                </c:pt>
                <c:pt idx="73">
                  <c:v>0.0136477106170214</c:v>
                </c:pt>
                <c:pt idx="74">
                  <c:v>0.0140780217251217</c:v>
                </c:pt>
                <c:pt idx="75">
                  <c:v>0.0143732781690122</c:v>
                </c:pt>
                <c:pt idx="76">
                  <c:v>0.0151842057302767</c:v>
                </c:pt>
                <c:pt idx="77">
                  <c:v>0.0160603961614832</c:v>
                </c:pt>
                <c:pt idx="78">
                  <c:v>0.016534077075587</c:v>
                </c:pt>
                <c:pt idx="79">
                  <c:v>0.017201309706652</c:v>
                </c:pt>
                <c:pt idx="80">
                  <c:v>0.0197044245623077</c:v>
                </c:pt>
                <c:pt idx="81">
                  <c:v>0.0223400986323647</c:v>
                </c:pt>
                <c:pt idx="82">
                  <c:v>0.024506378088045</c:v>
                </c:pt>
              </c:numCache>
            </c:numRef>
          </c:val>
          <c:smooth val="0"/>
        </c:ser>
        <c:hiLowLines>
          <c:spPr>
            <a:ln w="0">
              <a:noFill/>
            </a:ln>
          </c:spPr>
        </c:hiLowLines>
        <c:marker val="0"/>
        <c:axId val="23044916"/>
        <c:axId val="80441261"/>
      </c:lineChart>
      <c:catAx>
        <c:axId val="2304491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41261"/>
        <c:crosses val="autoZero"/>
        <c:auto val="1"/>
        <c:lblAlgn val="ctr"/>
        <c:lblOffset val="100"/>
        <c:noMultiLvlLbl val="0"/>
      </c:catAx>
      <c:valAx>
        <c:axId val="8044126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GDP</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0449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Capital ships: Pacifica + Japan vs Britain and the Union</a:t>
            </a:r>
          </a:p>
        </c:rich>
      </c:tx>
      <c:overlay val="0"/>
      <c:spPr>
        <a:noFill/>
        <a:ln w="0">
          <a:noFill/>
        </a:ln>
      </c:spPr>
    </c:title>
    <c:autoTitleDeleted val="0"/>
    <c:plotArea>
      <c:lineChart>
        <c:grouping val="standard"/>
        <c:varyColors val="0"/>
        <c:ser>
          <c:idx val="0"/>
          <c:order val="0"/>
          <c:tx>
            <c:strRef>
              <c:f>"Pacifica + Japan"</c:f>
              <c:strCache>
                <c:ptCount val="1"/>
                <c:pt idx="0">
                  <c:v>Pacifica + Japan</c:v>
                </c:pt>
              </c:strCache>
            </c:strRef>
          </c:tx>
          <c:spPr>
            <a:solidFill>
              <a:srgbClr val="4a7ebb"/>
            </a:solidFill>
            <a:ln w="2196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Navy!$A$10:$A$92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Navy!$AB$10:$AB$92</c:f>
              <c:numCache>
                <c:formatCode>#,##0;\(#,##0\);\-</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c:v>
                </c:pt>
                <c:pt idx="54">
                  <c:v>1</c:v>
                </c:pt>
                <c:pt idx="55">
                  <c:v>2</c:v>
                </c:pt>
                <c:pt idx="56">
                  <c:v>3</c:v>
                </c:pt>
                <c:pt idx="57">
                  <c:v>4</c:v>
                </c:pt>
                <c:pt idx="58">
                  <c:v>4</c:v>
                </c:pt>
                <c:pt idx="59">
                  <c:v>5</c:v>
                </c:pt>
                <c:pt idx="60">
                  <c:v>8</c:v>
                </c:pt>
                <c:pt idx="61">
                  <c:v>9</c:v>
                </c:pt>
                <c:pt idx="62">
                  <c:v>11</c:v>
                </c:pt>
                <c:pt idx="63">
                  <c:v>13</c:v>
                </c:pt>
                <c:pt idx="64">
                  <c:v>14</c:v>
                </c:pt>
                <c:pt idx="65">
                  <c:v>17</c:v>
                </c:pt>
                <c:pt idx="66">
                  <c:v>18</c:v>
                </c:pt>
                <c:pt idx="67">
                  <c:v>21</c:v>
                </c:pt>
                <c:pt idx="68">
                  <c:v>22</c:v>
                </c:pt>
                <c:pt idx="69">
                  <c:v>24</c:v>
                </c:pt>
                <c:pt idx="70">
                  <c:v>24</c:v>
                </c:pt>
                <c:pt idx="71">
                  <c:v>24</c:v>
                </c:pt>
                <c:pt idx="72">
                  <c:v>24</c:v>
                </c:pt>
                <c:pt idx="73">
                  <c:v>24</c:v>
                </c:pt>
                <c:pt idx="74">
                  <c:v>24</c:v>
                </c:pt>
                <c:pt idx="75">
                  <c:v>24</c:v>
                </c:pt>
                <c:pt idx="76">
                  <c:v>24</c:v>
                </c:pt>
                <c:pt idx="77">
                  <c:v>24</c:v>
                </c:pt>
                <c:pt idx="78">
                  <c:v>24</c:v>
                </c:pt>
                <c:pt idx="79">
                  <c:v>24</c:v>
                </c:pt>
                <c:pt idx="80">
                  <c:v>24</c:v>
                </c:pt>
                <c:pt idx="81">
                  <c:v>24</c:v>
                </c:pt>
                <c:pt idx="82">
                  <c:v>24</c:v>
                </c:pt>
              </c:numCache>
            </c:numRef>
          </c:val>
          <c:smooth val="0"/>
        </c:ser>
        <c:ser>
          <c:idx val="1"/>
          <c:order val="1"/>
          <c:tx>
            <c:strRef>
              <c:f>"Britain"</c:f>
              <c:strCache>
                <c:ptCount val="1"/>
                <c:pt idx="0">
                  <c:v>Britain</c:v>
                </c:pt>
              </c:strCache>
            </c:strRef>
          </c:tx>
          <c:spPr>
            <a:solidFill>
              <a:srgbClr val="be4b48"/>
            </a:solidFill>
            <a:ln w="2196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Navy!$A$10:$A$92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Navy!$AC$10:$AC$92</c:f>
              <c:numCache>
                <c:formatCode>#,##0;\(#,##0\);\-</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3</c:v>
                </c:pt>
                <c:pt idx="58">
                  <c:v>5</c:v>
                </c:pt>
                <c:pt idx="59">
                  <c:v>8</c:v>
                </c:pt>
                <c:pt idx="60">
                  <c:v>10</c:v>
                </c:pt>
                <c:pt idx="61">
                  <c:v>14</c:v>
                </c:pt>
                <c:pt idx="62">
                  <c:v>18</c:v>
                </c:pt>
                <c:pt idx="63">
                  <c:v>22</c:v>
                </c:pt>
                <c:pt idx="64">
                  <c:v>29</c:v>
                </c:pt>
                <c:pt idx="65">
                  <c:v>33</c:v>
                </c:pt>
                <c:pt idx="66">
                  <c:v>37</c:v>
                </c:pt>
                <c:pt idx="67">
                  <c:v>40</c:v>
                </c:pt>
                <c:pt idx="68">
                  <c:v>42</c:v>
                </c:pt>
                <c:pt idx="69">
                  <c:v>42</c:v>
                </c:pt>
                <c:pt idx="70">
                  <c:v>36</c:v>
                </c:pt>
                <c:pt idx="71">
                  <c:v>30</c:v>
                </c:pt>
                <c:pt idx="72">
                  <c:v>24</c:v>
                </c:pt>
                <c:pt idx="73">
                  <c:v>24</c:v>
                </c:pt>
                <c:pt idx="74">
                  <c:v>24</c:v>
                </c:pt>
                <c:pt idx="75">
                  <c:v>24</c:v>
                </c:pt>
                <c:pt idx="76">
                  <c:v>24</c:v>
                </c:pt>
                <c:pt idx="77">
                  <c:v>24</c:v>
                </c:pt>
                <c:pt idx="78">
                  <c:v>24</c:v>
                </c:pt>
                <c:pt idx="79">
                  <c:v>24</c:v>
                </c:pt>
                <c:pt idx="80">
                  <c:v>24</c:v>
                </c:pt>
                <c:pt idx="81">
                  <c:v>24</c:v>
                </c:pt>
                <c:pt idx="82">
                  <c:v>24</c:v>
                </c:pt>
              </c:numCache>
            </c:numRef>
          </c:val>
          <c:smooth val="0"/>
        </c:ser>
        <c:ser>
          <c:idx val="2"/>
          <c:order val="2"/>
          <c:tx>
            <c:strRef>
              <c:f>"Union"</c:f>
              <c:strCache>
                <c:ptCount val="1"/>
                <c:pt idx="0">
                  <c:v>Union</c:v>
                </c:pt>
              </c:strCache>
            </c:strRef>
          </c:tx>
          <c:spPr>
            <a:solidFill>
              <a:srgbClr val="98b855"/>
            </a:solidFill>
            <a:ln w="2196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Navy!$A$10:$A$92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Navy!$AD$10:$AD$92</c:f>
              <c:numCache>
                <c:formatCode>#,##0;\(#,##0\);\-</c:formatCode>
                <c:ptCount val="8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4</c:v>
                </c:pt>
                <c:pt idx="61">
                  <c:v>4</c:v>
                </c:pt>
                <c:pt idx="62">
                  <c:v>6</c:v>
                </c:pt>
                <c:pt idx="63">
                  <c:v>6</c:v>
                </c:pt>
                <c:pt idx="64">
                  <c:v>8</c:v>
                </c:pt>
                <c:pt idx="65">
                  <c:v>8</c:v>
                </c:pt>
                <c:pt idx="66">
                  <c:v>10</c:v>
                </c:pt>
                <c:pt idx="67">
                  <c:v>10</c:v>
                </c:pt>
                <c:pt idx="68">
                  <c:v>12</c:v>
                </c:pt>
                <c:pt idx="69">
                  <c:v>12</c:v>
                </c:pt>
                <c:pt idx="70">
                  <c:v>15</c:v>
                </c:pt>
                <c:pt idx="71">
                  <c:v>15</c:v>
                </c:pt>
                <c:pt idx="72">
                  <c:v>16</c:v>
                </c:pt>
                <c:pt idx="73">
                  <c:v>16</c:v>
                </c:pt>
                <c:pt idx="74">
                  <c:v>16</c:v>
                </c:pt>
                <c:pt idx="75">
                  <c:v>18</c:v>
                </c:pt>
                <c:pt idx="76">
                  <c:v>18</c:v>
                </c:pt>
                <c:pt idx="77">
                  <c:v>19</c:v>
                </c:pt>
                <c:pt idx="78">
                  <c:v>20</c:v>
                </c:pt>
                <c:pt idx="79">
                  <c:v>21</c:v>
                </c:pt>
                <c:pt idx="80">
                  <c:v>21</c:v>
                </c:pt>
                <c:pt idx="81">
                  <c:v>21</c:v>
                </c:pt>
                <c:pt idx="82">
                  <c:v>21</c:v>
                </c:pt>
              </c:numCache>
            </c:numRef>
          </c:val>
          <c:smooth val="0"/>
        </c:ser>
        <c:hiLowLines>
          <c:spPr>
            <a:ln w="0">
              <a:noFill/>
            </a:ln>
          </c:spPr>
        </c:hiLowLines>
        <c:marker val="0"/>
        <c:axId val="76904335"/>
        <c:axId val="62826163"/>
      </c:lineChart>
      <c:catAx>
        <c:axId val="7690433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26163"/>
        <c:crosses val="autoZero"/>
        <c:auto val="1"/>
        <c:lblAlgn val="ctr"/>
        <c:lblOffset val="100"/>
        <c:noMultiLvlLbl val="0"/>
      </c:catAx>
      <c:valAx>
        <c:axId val="62826163"/>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ships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9043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Pacifica's navy bill ($m)</a:t>
            </a:r>
          </a:p>
        </c:rich>
      </c:tx>
      <c:overlay val="0"/>
      <c:spPr>
        <a:noFill/>
        <a:ln w="0">
          <a:noFill/>
        </a:ln>
      </c:spPr>
    </c:title>
    <c:autoTitleDeleted val="0"/>
    <c:plotArea>
      <c:lineChart>
        <c:grouping val="standard"/>
        <c:varyColors val="0"/>
        <c:ser>
          <c:idx val="0"/>
          <c:order val="0"/>
          <c:tx>
            <c:strRef>
              <c:f>"Navy bill"</c:f>
              <c:strCache>
                <c:ptCount val="1"/>
                <c:pt idx="0">
                  <c:v>Navy bill</c:v>
                </c:pt>
              </c:strCache>
            </c:strRef>
          </c:tx>
          <c:spPr>
            <a:solidFill>
              <a:srgbClr val="4a7ebb"/>
            </a:solidFill>
            <a:ln w="2196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Navy!$A$10:$A$92</c:f>
              <c:strCache>
                <c:ptCount val="83"/>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strCache>
            </c:strRef>
          </c:cat>
          <c:val>
            <c:numRef>
              <c:f>Navy!$Y$10:$Y$92</c:f>
              <c:numCache>
                <c:formatCode>#,##0.0;\(#,##0.0\);\-</c:formatCode>
                <c:ptCount val="83"/>
                <c:pt idx="0">
                  <c:v>0</c:v>
                </c:pt>
                <c:pt idx="1">
                  <c:v>0.21</c:v>
                </c:pt>
                <c:pt idx="2">
                  <c:v>0.5504</c:v>
                </c:pt>
                <c:pt idx="3">
                  <c:v>0.3378125</c:v>
                </c:pt>
                <c:pt idx="4">
                  <c:v>0.5570625</c:v>
                </c:pt>
                <c:pt idx="5">
                  <c:v>0.877625</c:v>
                </c:pt>
                <c:pt idx="6">
                  <c:v>0.6442875</c:v>
                </c:pt>
                <c:pt idx="7">
                  <c:v>0.87595</c:v>
                </c:pt>
                <c:pt idx="8">
                  <c:v>1.183031625</c:v>
                </c:pt>
                <c:pt idx="9">
                  <c:v>0.932043375</c:v>
                </c:pt>
                <c:pt idx="10">
                  <c:v>1.45115</c:v>
                </c:pt>
                <c:pt idx="11">
                  <c:v>2.573875</c:v>
                </c:pt>
                <c:pt idx="12">
                  <c:v>3.264536</c:v>
                </c:pt>
                <c:pt idx="13">
                  <c:v>4.558677905</c:v>
                </c:pt>
                <c:pt idx="14">
                  <c:v>4.85373945</c:v>
                </c:pt>
                <c:pt idx="15">
                  <c:v>3.77429</c:v>
                </c:pt>
                <c:pt idx="16">
                  <c:v>3.818265</c:v>
                </c:pt>
                <c:pt idx="17">
                  <c:v>4.7817675</c:v>
                </c:pt>
                <c:pt idx="18">
                  <c:v>6.100655</c:v>
                </c:pt>
                <c:pt idx="19">
                  <c:v>6.9993225</c:v>
                </c:pt>
                <c:pt idx="20">
                  <c:v>6.26874</c:v>
                </c:pt>
                <c:pt idx="21">
                  <c:v>6.4761762</c:v>
                </c:pt>
                <c:pt idx="22">
                  <c:v>6.9793633</c:v>
                </c:pt>
                <c:pt idx="23">
                  <c:v>5.4820362</c:v>
                </c:pt>
                <c:pt idx="24">
                  <c:v>6.9597091</c:v>
                </c:pt>
                <c:pt idx="25">
                  <c:v>7.443843</c:v>
                </c:pt>
                <c:pt idx="26">
                  <c:v>5.8566004</c:v>
                </c:pt>
                <c:pt idx="27">
                  <c:v>7.3943578</c:v>
                </c:pt>
                <c:pt idx="28">
                  <c:v>7.8465056</c:v>
                </c:pt>
                <c:pt idx="29">
                  <c:v>6.1785728</c:v>
                </c:pt>
                <c:pt idx="30">
                  <c:v>7.76064</c:v>
                </c:pt>
                <c:pt idx="31">
                  <c:v>7.956909</c:v>
                </c:pt>
                <c:pt idx="32">
                  <c:v>6.2879984</c:v>
                </c:pt>
                <c:pt idx="33">
                  <c:v>7.9452376</c:v>
                </c:pt>
                <c:pt idx="34">
                  <c:v>8.4538228</c:v>
                </c:pt>
                <c:pt idx="35">
                  <c:v>6.808461</c:v>
                </c:pt>
                <c:pt idx="36">
                  <c:v>7.4395288</c:v>
                </c:pt>
                <c:pt idx="37">
                  <c:v>7.5404544</c:v>
                </c:pt>
                <c:pt idx="38">
                  <c:v>6.2264223</c:v>
                </c:pt>
                <c:pt idx="39">
                  <c:v>7.5767196</c:v>
                </c:pt>
                <c:pt idx="40">
                  <c:v>8.1940925</c:v>
                </c:pt>
                <c:pt idx="41">
                  <c:v>8.163556325</c:v>
                </c:pt>
                <c:pt idx="42">
                  <c:v>8.165112735</c:v>
                </c:pt>
                <c:pt idx="43">
                  <c:v>8.28255475</c:v>
                </c:pt>
                <c:pt idx="44">
                  <c:v>9.258088615</c:v>
                </c:pt>
                <c:pt idx="45">
                  <c:v>8.81411885</c:v>
                </c:pt>
                <c:pt idx="46">
                  <c:v>9.791304</c:v>
                </c:pt>
                <c:pt idx="47">
                  <c:v>11.0046225</c:v>
                </c:pt>
                <c:pt idx="48">
                  <c:v>15.013575</c:v>
                </c:pt>
                <c:pt idx="49">
                  <c:v>14.0799595</c:v>
                </c:pt>
                <c:pt idx="50">
                  <c:v>14.693034</c:v>
                </c:pt>
                <c:pt idx="51">
                  <c:v>15.7189258</c:v>
                </c:pt>
                <c:pt idx="52">
                  <c:v>18.3396938</c:v>
                </c:pt>
                <c:pt idx="53">
                  <c:v>20.66852</c:v>
                </c:pt>
                <c:pt idx="54">
                  <c:v>21.5080869</c:v>
                </c:pt>
                <c:pt idx="55">
                  <c:v>28.711684</c:v>
                </c:pt>
                <c:pt idx="56">
                  <c:v>34.4976065</c:v>
                </c:pt>
                <c:pt idx="57">
                  <c:v>34.5010179</c:v>
                </c:pt>
                <c:pt idx="58">
                  <c:v>37.4206716</c:v>
                </c:pt>
                <c:pt idx="59">
                  <c:v>47.7956182</c:v>
                </c:pt>
                <c:pt idx="60">
                  <c:v>52.99911</c:v>
                </c:pt>
                <c:pt idx="61">
                  <c:v>60.0899185</c:v>
                </c:pt>
                <c:pt idx="62">
                  <c:v>64.8694525</c:v>
                </c:pt>
                <c:pt idx="63">
                  <c:v>74.37585</c:v>
                </c:pt>
                <c:pt idx="64">
                  <c:v>90.8056005</c:v>
                </c:pt>
                <c:pt idx="65">
                  <c:v>118.769211</c:v>
                </c:pt>
                <c:pt idx="66">
                  <c:v>142.881682</c:v>
                </c:pt>
                <c:pt idx="67">
                  <c:v>164.129196</c:v>
                </c:pt>
                <c:pt idx="68">
                  <c:v>152.3803925</c:v>
                </c:pt>
                <c:pt idx="69">
                  <c:v>136.04413</c:v>
                </c:pt>
                <c:pt idx="70">
                  <c:v>152.492015</c:v>
                </c:pt>
                <c:pt idx="71">
                  <c:v>144.2009425</c:v>
                </c:pt>
                <c:pt idx="72">
                  <c:v>145.2846805</c:v>
                </c:pt>
                <c:pt idx="73">
                  <c:v>137.193832</c:v>
                </c:pt>
                <c:pt idx="74">
                  <c:v>162.338877</c:v>
                </c:pt>
                <c:pt idx="75">
                  <c:v>167.308285</c:v>
                </c:pt>
                <c:pt idx="76">
                  <c:v>153.7792505</c:v>
                </c:pt>
                <c:pt idx="77">
                  <c:v>192.7976349</c:v>
                </c:pt>
                <c:pt idx="78">
                  <c:v>195.497544125</c:v>
                </c:pt>
                <c:pt idx="79">
                  <c:v>183.352537875</c:v>
                </c:pt>
                <c:pt idx="80">
                  <c:v>188.07754238</c:v>
                </c:pt>
                <c:pt idx="81">
                  <c:v>187.191994145</c:v>
                </c:pt>
                <c:pt idx="82">
                  <c:v>163.22577063</c:v>
                </c:pt>
              </c:numCache>
            </c:numRef>
          </c:val>
          <c:smooth val="0"/>
        </c:ser>
        <c:hiLowLines>
          <c:spPr>
            <a:ln w="0">
              <a:noFill/>
            </a:ln>
          </c:spPr>
        </c:hiLowLines>
        <c:marker val="0"/>
        <c:axId val="78490042"/>
        <c:axId val="85823952"/>
      </c:lineChart>
      <c:catAx>
        <c:axId val="7849004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23952"/>
        <c:crosses val="autoZero"/>
        <c:auto val="1"/>
        <c:lblAlgn val="ctr"/>
        <c:lblOffset val="100"/>
        <c:noMultiLvlLbl val="0"/>
      </c:catAx>
      <c:valAx>
        <c:axId val="8582395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9004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83</xdr:row>
      <xdr:rowOff>5760</xdr:rowOff>
    </xdr:from>
    <xdr:to>
      <xdr:col>6</xdr:col>
      <xdr:colOff>353160</xdr:colOff>
      <xdr:row>97</xdr:row>
      <xdr:rowOff>168480</xdr:rowOff>
    </xdr:to>
    <xdr:graphicFrame>
      <xdr:nvGraphicFramePr>
        <xdr:cNvPr id="0" name="Chart 1"/>
        <xdr:cNvGraphicFramePr/>
      </xdr:nvGraphicFramePr>
      <xdr:xfrm>
        <a:off x="141120" y="15121800"/>
        <a:ext cx="6116400" cy="269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83</xdr:row>
      <xdr:rowOff>5760</xdr:rowOff>
    </xdr:from>
    <xdr:to>
      <xdr:col>15</xdr:col>
      <xdr:colOff>558360</xdr:colOff>
      <xdr:row>97</xdr:row>
      <xdr:rowOff>168480</xdr:rowOff>
    </xdr:to>
    <xdr:graphicFrame>
      <xdr:nvGraphicFramePr>
        <xdr:cNvPr id="1" name="Chart 2"/>
        <xdr:cNvGraphicFramePr/>
      </xdr:nvGraphicFramePr>
      <xdr:xfrm>
        <a:off x="6640200" y="15121800"/>
        <a:ext cx="6116400" cy="269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99</xdr:row>
      <xdr:rowOff>5760</xdr:rowOff>
    </xdr:from>
    <xdr:to>
      <xdr:col>6</xdr:col>
      <xdr:colOff>353160</xdr:colOff>
      <xdr:row>113</xdr:row>
      <xdr:rowOff>168480</xdr:rowOff>
    </xdr:to>
    <xdr:graphicFrame>
      <xdr:nvGraphicFramePr>
        <xdr:cNvPr id="2" name="Chart 3"/>
        <xdr:cNvGraphicFramePr/>
      </xdr:nvGraphicFramePr>
      <xdr:xfrm>
        <a:off x="141120" y="18017640"/>
        <a:ext cx="6116400" cy="2696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99</xdr:row>
      <xdr:rowOff>5760</xdr:rowOff>
    </xdr:from>
    <xdr:to>
      <xdr:col>15</xdr:col>
      <xdr:colOff>558360</xdr:colOff>
      <xdr:row>113</xdr:row>
      <xdr:rowOff>168480</xdr:rowOff>
    </xdr:to>
    <xdr:graphicFrame>
      <xdr:nvGraphicFramePr>
        <xdr:cNvPr id="3" name="Chart 4"/>
        <xdr:cNvGraphicFramePr/>
      </xdr:nvGraphicFramePr>
      <xdr:xfrm>
        <a:off x="6640200" y="18017640"/>
        <a:ext cx="6116400" cy="2696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8.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9.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0.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1.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2.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3.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4.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5.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6.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6B"/>
    <pageSetUpPr fitToPage="false"/>
  </sheetPr>
  <dimension ref="B1:L8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8671875" defaultRowHeight="14.2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12" min="3" style="1" width="10.44"/>
  </cols>
  <sheetData>
    <row r="1" customFormat="false" ht="21.75" hidden="false" customHeight="true" outlineLevel="0" collapsed="false">
      <c r="B1" s="2" t="s">
        <v>0</v>
      </c>
    </row>
    <row r="2" customFormat="false" ht="14.25" hidden="false" customHeight="true" outlineLevel="0" collapsed="false">
      <c r="B2" s="3" t="s">
        <v>1</v>
      </c>
    </row>
    <row r="4" customFormat="false" ht="14.25" hidden="false" customHeight="true" outlineLevel="0" collapsed="false">
      <c r="B4" s="4" t="s">
        <v>2</v>
      </c>
      <c r="C4" s="5" t="str">
        <f aca="false">Levers!F4</f>
        <v>Story case</v>
      </c>
      <c r="E4" s="3" t="s">
        <v>3</v>
      </c>
    </row>
    <row r="5" customFormat="false" ht="14.25" hidden="false" customHeight="true" outlineLevel="0" collapsed="false">
      <c r="B5" s="4" t="s">
        <v>4</v>
      </c>
      <c r="C5" s="5" t="n">
        <f aca="false">SUM(Checks!S6:S92)</f>
        <v>0</v>
      </c>
      <c r="E5" s="3" t="s">
        <v>5</v>
      </c>
    </row>
    <row r="7" customFormat="false" ht="14.25" hidden="false" customHeight="true" outlineLevel="0" collapsed="false">
      <c r="B7" s="6" t="s">
        <v>6</v>
      </c>
      <c r="C7" s="7" t="n">
        <v>1850</v>
      </c>
      <c r="D7" s="7" t="n">
        <v>1865</v>
      </c>
      <c r="E7" s="7" t="n">
        <v>1880</v>
      </c>
      <c r="F7" s="7" t="n">
        <v>1895</v>
      </c>
      <c r="G7" s="7" t="n">
        <v>1905</v>
      </c>
      <c r="H7" s="7" t="n">
        <v>1913</v>
      </c>
      <c r="I7" s="7" t="n">
        <v>1918</v>
      </c>
      <c r="J7" s="7" t="n">
        <v>1922</v>
      </c>
      <c r="K7" s="7" t="n">
        <v>1929</v>
      </c>
      <c r="L7" s="7" t="n">
        <v>1932</v>
      </c>
    </row>
    <row r="8" customFormat="false" ht="14.25" hidden="false" customHeight="true" outlineLevel="0" collapsed="false">
      <c r="B8" s="8" t="s">
        <v>7</v>
      </c>
      <c r="C8" s="9"/>
      <c r="D8" s="9"/>
      <c r="E8" s="9"/>
      <c r="F8" s="9"/>
      <c r="G8" s="9"/>
      <c r="H8" s="9"/>
      <c r="I8" s="9"/>
      <c r="J8" s="9"/>
      <c r="K8" s="9"/>
      <c r="L8" s="9"/>
    </row>
    <row r="9" customFormat="false" ht="14.25" hidden="false" customHeight="true" outlineLevel="0" collapsed="false">
      <c r="B9" s="10" t="s">
        <v>8</v>
      </c>
      <c r="C9" s="11" t="n">
        <f aca="false">INDEX(People!$W$6:$W$92,MATCH(C$7,People!$A$6:$A$92,0))/1000000</f>
        <v>0.352802930411063</v>
      </c>
      <c r="D9" s="11" t="n">
        <f aca="false">INDEX(People!$W$6:$W$92,MATCH(D$7,People!$A$6:$A$92,0))/1000000</f>
        <v>1.90059358317436</v>
      </c>
      <c r="E9" s="11" t="n">
        <f aca="false">INDEX(People!$W$6:$W$92,MATCH(E$7,People!$A$6:$A$92,0))/1000000</f>
        <v>4.3604186055294</v>
      </c>
      <c r="F9" s="11" t="n">
        <f aca="false">INDEX(People!$W$6:$W$92,MATCH(F$7,People!$A$6:$A$92,0))/1000000</f>
        <v>8.3296699113983</v>
      </c>
      <c r="G9" s="11" t="n">
        <f aca="false">INDEX(People!$W$6:$W$92,MATCH(G$7,People!$A$6:$A$92,0))/1000000</f>
        <v>13.1951217912968</v>
      </c>
      <c r="H9" s="11" t="n">
        <f aca="false">INDEX(People!$W$6:$W$92,MATCH(H$7,People!$A$6:$A$92,0))/1000000</f>
        <v>19.2276637359441</v>
      </c>
      <c r="I9" s="11" t="n">
        <f aca="false">INDEX(People!$W$6:$W$92,MATCH(I$7,People!$A$6:$A$92,0))/1000000</f>
        <v>22.8911943354093</v>
      </c>
      <c r="J9" s="11" t="n">
        <f aca="false">INDEX(People!$W$6:$W$92,MATCH(J$7,People!$A$6:$A$92,0))/1000000</f>
        <v>26.4028976515987</v>
      </c>
      <c r="K9" s="11" t="n">
        <f aca="false">INDEX(People!$W$6:$W$92,MATCH(K$7,People!$A$6:$A$92,0))/1000000</f>
        <v>33.396639032833</v>
      </c>
      <c r="L9" s="11" t="n">
        <f aca="false">INDEX(People!$W$6:$W$92,MATCH(L$7,People!$A$6:$A$92,0))/1000000</f>
        <v>36.1811780773275</v>
      </c>
    </row>
    <row r="10" customFormat="false" ht="14.25" hidden="false" customHeight="true" outlineLevel="0" collapsed="false">
      <c r="B10" s="10" t="s">
        <v>9</v>
      </c>
      <c r="C10" s="12" t="n">
        <f aca="false">INDEX(People!$S$6:$S$92,MATCH(C$7,People!$A$6:$A$92,0))</f>
        <v>0.0184365877200096</v>
      </c>
      <c r="D10" s="12" t="n">
        <f aca="false">INDEX(People!$S$6:$S$92,MATCH(D$7,People!$A$6:$A$92,0))</f>
        <v>0.103708906114315</v>
      </c>
      <c r="E10" s="12" t="n">
        <f aca="false">INDEX(People!$S$6:$S$92,MATCH(E$7,People!$A$6:$A$92,0))</f>
        <v>0.142902565615883</v>
      </c>
      <c r="F10" s="12" t="n">
        <f aca="false">INDEX(People!$S$6:$S$92,MATCH(F$7,People!$A$6:$A$92,0))</f>
        <v>0.185284210809896</v>
      </c>
      <c r="G10" s="12" t="n">
        <f aca="false">INDEX(People!$S$6:$S$92,MATCH(G$7,People!$A$6:$A$92,0))</f>
        <v>0.216110298249215</v>
      </c>
      <c r="H10" s="12" t="n">
        <f aca="false">INDEX(People!$S$6:$S$92,MATCH(H$7,People!$A$6:$A$92,0))</f>
        <v>0.235573194356769</v>
      </c>
      <c r="I10" s="12" t="n">
        <f aca="false">INDEX(People!$S$6:$S$92,MATCH(I$7,People!$A$6:$A$92,0))</f>
        <v>0.252478508550927</v>
      </c>
      <c r="J10" s="12" t="n">
        <f aca="false">INDEX(People!$S$6:$S$92,MATCH(J$7,People!$A$6:$A$92,0))</f>
        <v>0.266686880364925</v>
      </c>
      <c r="K10" s="12" t="n">
        <f aca="false">INDEX(People!$S$6:$S$92,MATCH(K$7,People!$A$6:$A$92,0))</f>
        <v>0.288227718254858</v>
      </c>
      <c r="L10" s="12" t="n">
        <f aca="false">INDEX(People!$S$6:$S$92,MATCH(L$7,People!$A$6:$A$92,0))</f>
        <v>0.294411765007675</v>
      </c>
    </row>
    <row r="11" customFormat="false" ht="14.25" hidden="false" customHeight="true" outlineLevel="0" collapsed="false">
      <c r="B11" s="10" t="s">
        <v>10</v>
      </c>
      <c r="C11" s="13" t="n">
        <f aca="false">INDEX(Labour!$L$6:$L$92,MATCH(C$7,Labour!$A$6:$A$92,0))/1000</f>
        <v>0</v>
      </c>
      <c r="D11" s="13" t="n">
        <f aca="false">INDEX(Labour!$L$6:$L$92,MATCH(D$7,Labour!$A$6:$A$92,0))/1000</f>
        <v>0</v>
      </c>
      <c r="E11" s="13" t="n">
        <f aca="false">INDEX(Labour!$L$6:$L$92,MATCH(E$7,Labour!$A$6:$A$92,0))/1000</f>
        <v>0</v>
      </c>
      <c r="F11" s="13" t="n">
        <f aca="false">INDEX(Labour!$L$6:$L$92,MATCH(F$7,Labour!$A$6:$A$92,0))/1000</f>
        <v>251.607587389608</v>
      </c>
      <c r="G11" s="13" t="n">
        <f aca="false">INDEX(Labour!$L$6:$L$92,MATCH(G$7,Labour!$A$6:$A$92,0))/1000</f>
        <v>477.175416751143</v>
      </c>
      <c r="H11" s="13" t="n">
        <f aca="false">INDEX(Labour!$L$6:$L$92,MATCH(H$7,Labour!$A$6:$A$92,0))/1000</f>
        <v>695.210434489307</v>
      </c>
      <c r="I11" s="13" t="n">
        <f aca="false">INDEX(Labour!$L$6:$L$92,MATCH(I$7,Labour!$A$6:$A$92,0))/1000</f>
        <v>912.450602806887</v>
      </c>
      <c r="J11" s="13" t="n">
        <f aca="false">INDEX(Labour!$L$6:$L$92,MATCH(J$7,Labour!$A$6:$A$92,0))/1000</f>
        <v>892.356178968701</v>
      </c>
      <c r="K11" s="13" t="n">
        <f aca="false">INDEX(Labour!$L$6:$L$92,MATCH(K$7,Labour!$A$6:$A$92,0))/1000</f>
        <v>1381.2165098011</v>
      </c>
      <c r="L11" s="13" t="n">
        <f aca="false">INDEX(Labour!$L$6:$L$92,MATCH(L$7,Labour!$A$6:$A$92,0))/1000</f>
        <v>1010.68035592573</v>
      </c>
    </row>
    <row r="12" customFormat="false" ht="14.25" hidden="false" customHeight="true" outlineLevel="0" collapsed="false">
      <c r="B12" s="10" t="s">
        <v>11</v>
      </c>
      <c r="C12" s="11" t="n">
        <f aca="false">INDEX(Economy!$O$6:$O$92,MATCH(C$7,Economy!$A$6:$A$92,0))/1000</f>
        <v>0.0894599110680586</v>
      </c>
      <c r="D12" s="11" t="n">
        <f aca="false">INDEX(Economy!$O$6:$O$92,MATCH(D$7,Economy!$A$6:$A$92,0))/1000</f>
        <v>0.530722790598496</v>
      </c>
      <c r="E12" s="11" t="n">
        <f aca="false">INDEX(Economy!$O$6:$O$92,MATCH(E$7,Economy!$A$6:$A$92,0))/1000</f>
        <v>1.40387478768746</v>
      </c>
      <c r="F12" s="11" t="n">
        <f aca="false">INDEX(Economy!$O$6:$O$92,MATCH(F$7,Economy!$A$6:$A$92,0))/1000</f>
        <v>3.48567864014666</v>
      </c>
      <c r="G12" s="11" t="n">
        <f aca="false">INDEX(Economy!$O$6:$O$92,MATCH(G$7,Economy!$A$6:$A$92,0))/1000</f>
        <v>8.49217847935843</v>
      </c>
      <c r="H12" s="11" t="n">
        <f aca="false">INDEX(Economy!$O$6:$O$92,MATCH(H$7,Economy!$A$6:$A$92,0))/1000</f>
        <v>17.7848315903381</v>
      </c>
      <c r="I12" s="11" t="n">
        <f aca="false">INDEX(Economy!$O$6:$O$92,MATCH(I$7,Economy!$A$6:$A$92,0))/1000</f>
        <v>38.0545401477249</v>
      </c>
      <c r="J12" s="11" t="n">
        <f aca="false">INDEX(Economy!$O$6:$O$92,MATCH(J$7,Economy!$A$6:$A$92,0))/1000</f>
        <v>43.3853752764194</v>
      </c>
      <c r="K12" s="11" t="n">
        <f aca="false">INDEX(Economy!$O$6:$O$92,MATCH(K$7,Economy!$A$6:$A$92,0))/1000</f>
        <v>69.4723418191507</v>
      </c>
      <c r="L12" s="11" t="n">
        <f aca="false">INDEX(Economy!$O$6:$O$92,MATCH(L$7,Economy!$A$6:$A$92,0))/1000</f>
        <v>54.8461190116299</v>
      </c>
    </row>
    <row r="13" customFormat="false" ht="14.25" hidden="false" customHeight="true" outlineLevel="0" collapsed="false">
      <c r="B13" s="10" t="s">
        <v>12</v>
      </c>
      <c r="C13" s="11" t="n">
        <f aca="false">INDEX(Economy!$R$6:$R$92,MATCH(C$7,Economy!$A$6:$A$92,0))</f>
        <v>2.70669508868481</v>
      </c>
      <c r="D13" s="11" t="n">
        <f aca="false">INDEX(Economy!$R$6:$R$92,MATCH(D$7,Economy!$A$6:$A$92,0))</f>
        <v>1.90477157720256</v>
      </c>
      <c r="E13" s="11" t="n">
        <f aca="false">INDEX(Economy!$R$6:$R$92,MATCH(E$7,Economy!$A$6:$A$92,0))</f>
        <v>1.58413165358903</v>
      </c>
      <c r="F13" s="11" t="n">
        <f aca="false">INDEX(Economy!$R$6:$R$92,MATCH(F$7,Economy!$A$6:$A$92,0))</f>
        <v>2.07322067306375</v>
      </c>
      <c r="G13" s="11" t="n">
        <f aca="false">INDEX(Economy!$R$6:$R$92,MATCH(G$7,Economy!$A$6:$A$92,0))</f>
        <v>2.19525504397205</v>
      </c>
      <c r="H13" s="11" t="n">
        <f aca="false">INDEX(Economy!$R$6:$R$92,MATCH(H$7,Economy!$A$6:$A$92,0))</f>
        <v>2.26440017421331</v>
      </c>
      <c r="I13" s="11" t="n">
        <f aca="false">INDEX(Economy!$R$6:$R$92,MATCH(I$7,Economy!$A$6:$A$92,0))</f>
        <v>2.19706908415988</v>
      </c>
      <c r="J13" s="11" t="n">
        <f aca="false">INDEX(Economy!$R$6:$R$92,MATCH(J$7,Economy!$A$6:$A$92,0))</f>
        <v>2.37792387848927</v>
      </c>
      <c r="K13" s="11" t="n">
        <f aca="false">INDEX(Economy!$R$6:$R$92,MATCH(K$7,Economy!$A$6:$A$92,0))</f>
        <v>2.36102012305346</v>
      </c>
      <c r="L13" s="11" t="n">
        <f aca="false">INDEX(Economy!$R$6:$R$92,MATCH(L$7,Economy!$A$6:$A$92,0))</f>
        <v>3.13747426606318</v>
      </c>
    </row>
    <row r="14" customFormat="false" ht="14.25" hidden="false" customHeight="true" outlineLevel="0" collapsed="false">
      <c r="B14" s="10" t="s">
        <v>13</v>
      </c>
      <c r="C14" s="13" t="n">
        <f aca="false">INDEX('Debt &amp; cash'!$N$6:$N$92,MATCH(C$7,'Debt &amp; cash'!$A$6:$A$92,0))</f>
        <v>0</v>
      </c>
      <c r="D14" s="13" t="n">
        <f aca="false">INDEX('Debt &amp; cash'!$N$6:$N$92,MATCH(D$7,'Debt &amp; cash'!$A$6:$A$92,0))</f>
        <v>0</v>
      </c>
      <c r="E14" s="13" t="n">
        <f aca="false">INDEX('Debt &amp; cash'!$N$6:$N$92,MATCH(E$7,'Debt &amp; cash'!$A$6:$A$92,0))</f>
        <v>446.029017315273</v>
      </c>
      <c r="F14" s="13" t="n">
        <f aca="false">INDEX('Debt &amp; cash'!$N$6:$N$92,MATCH(F$7,'Debt &amp; cash'!$A$6:$A$92,0))</f>
        <v>20.8177360732414</v>
      </c>
      <c r="G14" s="13" t="n">
        <f aca="false">INDEX('Debt &amp; cash'!$N$6:$N$92,MATCH(G$7,'Debt &amp; cash'!$A$6:$A$92,0))</f>
        <v>183.684264964138</v>
      </c>
      <c r="H14" s="13" t="n">
        <f aca="false">INDEX('Debt &amp; cash'!$N$6:$N$92,MATCH(H$7,'Debt &amp; cash'!$A$6:$A$92,0))</f>
        <v>376.915172663682</v>
      </c>
      <c r="I14" s="13" t="n">
        <f aca="false">INDEX('Debt &amp; cash'!$N$6:$N$92,MATCH(I$7,'Debt &amp; cash'!$A$6:$A$92,0))</f>
        <v>721.075136679798</v>
      </c>
      <c r="J14" s="13" t="n">
        <f aca="false">INDEX('Debt &amp; cash'!$N$6:$N$92,MATCH(J$7,'Debt &amp; cash'!$A$6:$A$92,0))</f>
        <v>787.447960159232</v>
      </c>
      <c r="K14" s="13" t="n">
        <f aca="false">INDEX('Debt &amp; cash'!$N$6:$N$92,MATCH(K$7,'Debt &amp; cash'!$A$6:$A$92,0))</f>
        <v>1993.49802021082</v>
      </c>
      <c r="L14" s="13" t="n">
        <f aca="false">INDEX('Debt &amp; cash'!$N$6:$N$92,MATCH(L$7,'Debt &amp; cash'!$A$6:$A$92,0))</f>
        <v>218.612352488653</v>
      </c>
    </row>
    <row r="15" customFormat="false" ht="14.25" hidden="false" customHeight="true" outlineLevel="0" collapsed="false">
      <c r="B15" s="10" t="s">
        <v>14</v>
      </c>
      <c r="C15" s="13" t="n">
        <f aca="false">INDEX(Resources!$K$6:$K$92,MATCH(C$7,Resources!$A$6:$A$92,0))</f>
        <v>0</v>
      </c>
      <c r="D15" s="13" t="n">
        <f aca="false">INDEX(Resources!$K$6:$K$92,MATCH(D$7,Resources!$A$6:$A$92,0))</f>
        <v>0</v>
      </c>
      <c r="E15" s="13" t="n">
        <f aca="false">INDEX(Resources!$K$6:$K$92,MATCH(E$7,Resources!$A$6:$A$92,0))</f>
        <v>0.05</v>
      </c>
      <c r="F15" s="13" t="n">
        <f aca="false">INDEX(Resources!$K$6:$K$92,MATCH(F$7,Resources!$A$6:$A$92,0))</f>
        <v>10</v>
      </c>
      <c r="G15" s="13" t="n">
        <f aca="false">INDEX(Resources!$K$6:$K$92,MATCH(G$7,Resources!$A$6:$A$92,0))</f>
        <v>50</v>
      </c>
      <c r="H15" s="13" t="n">
        <f aca="false">INDEX(Resources!$K$6:$K$92,MATCH(H$7,Resources!$A$6:$A$92,0))</f>
        <v>100</v>
      </c>
      <c r="I15" s="13" t="n">
        <f aca="false">INDEX(Resources!$K$6:$K$92,MATCH(I$7,Resources!$A$6:$A$92,0))</f>
        <v>105</v>
      </c>
      <c r="J15" s="13" t="n">
        <f aca="false">INDEX(Resources!$K$6:$K$92,MATCH(J$7,Resources!$A$6:$A$92,0))</f>
        <v>150</v>
      </c>
      <c r="K15" s="13" t="n">
        <f aca="false">INDEX(Resources!$K$6:$K$92,MATCH(K$7,Resources!$A$6:$A$92,0))</f>
        <v>300</v>
      </c>
      <c r="L15" s="13" t="n">
        <f aca="false">INDEX(Resources!$K$6:$K$92,MATCH(L$7,Resources!$A$6:$A$92,0))</f>
        <v>153</v>
      </c>
    </row>
    <row r="16" customFormat="false" ht="14.25" hidden="false" customHeight="true" outlineLevel="0" collapsed="false">
      <c r="B16" s="10" t="s">
        <v>15</v>
      </c>
      <c r="C16" s="13" t="n">
        <f aca="false">INDEX(Champions!$AP$6:$AP$92,MATCH(C$7,Champions!$A$6:$A$92,0))</f>
        <v>0</v>
      </c>
      <c r="D16" s="13" t="n">
        <f aca="false">INDEX(Champions!$AP$6:$AP$92,MATCH(D$7,Champions!$A$6:$A$92,0))</f>
        <v>2.11881556824358</v>
      </c>
      <c r="E16" s="13" t="n">
        <f aca="false">INDEX(Champions!$AP$6:$AP$92,MATCH(E$7,Champions!$A$6:$A$92,0))</f>
        <v>25.726156953502</v>
      </c>
      <c r="F16" s="13" t="n">
        <f aca="false">INDEX(Champions!$AP$6:$AP$92,MATCH(F$7,Champions!$A$6:$A$92,0))</f>
        <v>134.123555921516</v>
      </c>
      <c r="G16" s="13" t="n">
        <f aca="false">INDEX(Champions!$AP$6:$AP$92,MATCH(G$7,Champions!$A$6:$A$92,0))</f>
        <v>372.659730016179</v>
      </c>
      <c r="H16" s="13" t="n">
        <f aca="false">INDEX(Champions!$AP$6:$AP$92,MATCH(H$7,Champions!$A$6:$A$92,0))</f>
        <v>751.601241444757</v>
      </c>
      <c r="I16" s="13" t="n">
        <f aca="false">INDEX(Champions!$AP$6:$AP$92,MATCH(I$7,Champions!$A$6:$A$92,0))</f>
        <v>1820.28301283513</v>
      </c>
      <c r="J16" s="13" t="n">
        <f aca="false">INDEX(Champions!$AP$6:$AP$92,MATCH(J$7,Champions!$A$6:$A$92,0))</f>
        <v>2169.6298656333</v>
      </c>
      <c r="K16" s="13" t="n">
        <f aca="false">INDEX(Champions!$AP$6:$AP$92,MATCH(K$7,Champions!$A$6:$A$92,0))</f>
        <v>4186.35488785481</v>
      </c>
      <c r="L16" s="13" t="n">
        <f aca="false">INDEX(Champions!$AP$6:$AP$92,MATCH(L$7,Champions!$A$6:$A$92,0))</f>
        <v>2580.96608545002</v>
      </c>
    </row>
    <row r="17" customFormat="false" ht="14.25" hidden="false" customHeight="true" outlineLevel="0" collapsed="false">
      <c r="B17" s="10" t="s">
        <v>16</v>
      </c>
      <c r="C17" s="13" t="n">
        <f aca="false">INDEX(Champions!$AY$6:$AY$92,MATCH(C$7,Champions!$A$6:$A$92,0))</f>
        <v>0</v>
      </c>
      <c r="D17" s="13" t="n">
        <f aca="false">INDEX(Champions!$AY$6:$AY$92,MATCH(D$7,Champions!$A$6:$A$92,0))</f>
        <v>0</v>
      </c>
      <c r="E17" s="13" t="n">
        <f aca="false">INDEX(Champions!$AY$6:$AY$92,MATCH(E$7,Champions!$A$6:$A$92,0))</f>
        <v>52.1211248004613</v>
      </c>
      <c r="F17" s="13" t="n">
        <f aca="false">INDEX(Champions!$AY$6:$AY$92,MATCH(F$7,Champions!$A$6:$A$92,0))</f>
        <v>348.391715573911</v>
      </c>
      <c r="G17" s="13" t="n">
        <f aca="false">INDEX(Champions!$AY$6:$AY$92,MATCH(G$7,Champions!$A$6:$A$92,0))</f>
        <v>1850.05666009181</v>
      </c>
      <c r="H17" s="13" t="n">
        <f aca="false">INDEX(Champions!$AY$6:$AY$92,MATCH(H$7,Champions!$A$6:$A$92,0))</f>
        <v>3158.32063548341</v>
      </c>
      <c r="I17" s="13" t="n">
        <f aca="false">INDEX(Champions!$AY$6:$AY$92,MATCH(I$7,Champions!$A$6:$A$92,0))</f>
        <v>4601.51822935757</v>
      </c>
      <c r="J17" s="13" t="n">
        <f aca="false">INDEX(Champions!$AY$6:$AY$92,MATCH(J$7,Champions!$A$6:$A$92,0))</f>
        <v>6566.44132411023</v>
      </c>
      <c r="K17" s="13" t="n">
        <f aca="false">INDEX(Champions!$AY$6:$AY$92,MATCH(K$7,Champions!$A$6:$A$92,0))</f>
        <v>11602.6535744262</v>
      </c>
      <c r="L17" s="13" t="n">
        <f aca="false">INDEX(Champions!$AY$6:$AY$92,MATCH(L$7,Champions!$A$6:$A$92,0))</f>
        <v>9716.7071772776</v>
      </c>
    </row>
    <row r="18" customFormat="false" ht="14.25" hidden="false" customHeight="true" outlineLevel="0" collapsed="false">
      <c r="B18" s="10" t="s">
        <v>17</v>
      </c>
      <c r="C18" s="14" t="n">
        <f aca="false">INDEX(Champions!$I$6:$I$92,MATCH(C$7,Champions!$A$6:$A$92,0))</f>
        <v>0</v>
      </c>
      <c r="D18" s="14" t="n">
        <f aca="false">INDEX(Champions!$I$6:$I$92,MATCH(D$7,Champions!$A$6:$A$92,0))</f>
        <v>0.295000562480806</v>
      </c>
      <c r="E18" s="14" t="n">
        <f aca="false">INDEX(Champions!$I$6:$I$92,MATCH(E$7,Champions!$A$6:$A$92,0))</f>
        <v>1.0490154173052</v>
      </c>
      <c r="F18" s="14" t="n">
        <f aca="false">INDEX(Champions!$I$6:$I$92,MATCH(F$7,Champions!$A$6:$A$92,0))</f>
        <v>1.45380653517592</v>
      </c>
      <c r="G18" s="14" t="n">
        <f aca="false">INDEX(Champions!$I$6:$I$92,MATCH(G$7,Champions!$A$6:$A$92,0))</f>
        <v>1.78922974229135</v>
      </c>
      <c r="H18" s="14" t="n">
        <f aca="false">INDEX(Champions!$I$6:$I$92,MATCH(H$7,Champions!$A$6:$A$92,0))</f>
        <v>1.62765326080752</v>
      </c>
      <c r="I18" s="14" t="n">
        <f aca="false">INDEX(Champions!$I$6:$I$92,MATCH(I$7,Champions!$A$6:$A$92,0))</f>
        <v>1.63020705026479</v>
      </c>
      <c r="J18" s="14" t="n">
        <f aca="false">INDEX(Champions!$I$6:$I$92,MATCH(J$7,Champions!$A$6:$A$92,0))</f>
        <v>1.6642103526346</v>
      </c>
      <c r="K18" s="14" t="n">
        <f aca="false">INDEX(Champions!$I$6:$I$92,MATCH(K$7,Champions!$A$6:$A$92,0))</f>
        <v>1.71149496385808</v>
      </c>
      <c r="L18" s="14" t="n">
        <f aca="false">INDEX(Champions!$I$6:$I$92,MATCH(L$7,Champions!$A$6:$A$92,0))</f>
        <v>1.25131668818256</v>
      </c>
    </row>
    <row r="19" customFormat="false" ht="14.25" hidden="false" customHeight="true" outlineLevel="0" collapsed="false">
      <c r="B19" s="10" t="s">
        <v>18</v>
      </c>
      <c r="C19" s="13" t="n">
        <f aca="false">INDEX(Labour!$AL$6:$AL$92,MATCH(C$7,Labour!$A$6:$A$92,0))</f>
        <v>0</v>
      </c>
      <c r="D19" s="13" t="n">
        <f aca="false">INDEX(Labour!$AL$6:$AL$92,MATCH(D$7,Labour!$A$6:$A$92,0))</f>
        <v>10729.8389441319</v>
      </c>
      <c r="E19" s="13" t="n">
        <f aca="false">INDEX(Labour!$AL$6:$AL$92,MATCH(E$7,Labour!$A$6:$A$92,0))</f>
        <v>33751.3534616152</v>
      </c>
      <c r="F19" s="13" t="n">
        <f aca="false">INDEX(Labour!$AL$6:$AL$92,MATCH(F$7,Labour!$A$6:$A$92,0))</f>
        <v>128663.328315257</v>
      </c>
      <c r="G19" s="13" t="n">
        <f aca="false">INDEX(Labour!$AL$6:$AL$92,MATCH(G$7,Labour!$A$6:$A$92,0))</f>
        <v>311422.174417433</v>
      </c>
      <c r="H19" s="13" t="n">
        <f aca="false">INDEX(Labour!$AL$6:$AL$92,MATCH(H$7,Labour!$A$6:$A$92,0))</f>
        <v>332155.665496083</v>
      </c>
      <c r="I19" s="13" t="n">
        <f aca="false">INDEX(Labour!$AL$6:$AL$92,MATCH(I$7,Labour!$A$6:$A$92,0))</f>
        <v>165282.00935384</v>
      </c>
      <c r="J19" s="13" t="n">
        <f aca="false">INDEX(Labour!$AL$6:$AL$92,MATCH(J$7,Labour!$A$6:$A$92,0))</f>
        <v>328439.068341815</v>
      </c>
      <c r="K19" s="13" t="n">
        <f aca="false">INDEX(Labour!$AL$6:$AL$92,MATCH(K$7,Labour!$A$6:$A$92,0))</f>
        <v>339606.570057177</v>
      </c>
      <c r="L19" s="13" t="n">
        <f aca="false">INDEX(Labour!$AL$6:$AL$92,MATCH(L$7,Labour!$A$6:$A$92,0))</f>
        <v>304486.38489907</v>
      </c>
    </row>
    <row r="20" customFormat="false" ht="14.25" hidden="false" customHeight="true" outlineLevel="0" collapsed="false">
      <c r="B20" s="10" t="s">
        <v>19</v>
      </c>
      <c r="C20" s="12" t="n">
        <f aca="false">INDEX(Labour!$G$6:$G$92,MATCH(C$7,Labour!$A$6:$A$92,0))</f>
        <v>0</v>
      </c>
      <c r="D20" s="12" t="n">
        <f aca="false">INDEX(Labour!$G$6:$G$92,MATCH(D$7,Labour!$A$6:$A$92,0))</f>
        <v>0.00377052507953051</v>
      </c>
      <c r="E20" s="12" t="n">
        <f aca="false">INDEX(Labour!$G$6:$G$92,MATCH(E$7,Labour!$A$6:$A$92,0))</f>
        <v>0.017307046343972</v>
      </c>
      <c r="F20" s="12" t="n">
        <f aca="false">INDEX(Labour!$G$6:$G$92,MATCH(F$7,Labour!$A$6:$A$92,0))</f>
        <v>0.0390104174392315</v>
      </c>
      <c r="G20" s="12" t="n">
        <f aca="false">INDEX(Labour!$G$6:$G$92,MATCH(G$7,Labour!$A$6:$A$92,0))</f>
        <v>0.0451056290622</v>
      </c>
      <c r="H20" s="12" t="n">
        <f aca="false">INDEX(Labour!$G$6:$G$92,MATCH(H$7,Labour!$A$6:$A$92,0))</f>
        <v>0.0434282983154587</v>
      </c>
      <c r="I20" s="12" t="n">
        <f aca="false">INDEX(Labour!$G$6:$G$92,MATCH(I$7,Labour!$A$6:$A$92,0))</f>
        <v>0.049527061018178</v>
      </c>
      <c r="J20" s="12" t="n">
        <f aca="false">INDEX(Labour!$G$6:$G$92,MATCH(J$7,Labour!$A$6:$A$92,0))</f>
        <v>0.0510987447165329</v>
      </c>
      <c r="K20" s="12" t="n">
        <f aca="false">INDEX(Labour!$G$6:$G$92,MATCH(K$7,Labour!$A$6:$A$92,0))</f>
        <v>0.0626049204880857</v>
      </c>
      <c r="L20" s="12" t="n">
        <f aca="false">INDEX(Labour!$G$6:$G$92,MATCH(L$7,Labour!$A$6:$A$92,0))</f>
        <v>0.0474385614738022</v>
      </c>
    </row>
    <row r="21" customFormat="false" ht="14.25" hidden="false" customHeight="true" outlineLevel="0" collapsed="false">
      <c r="B21" s="10" t="s">
        <v>20</v>
      </c>
      <c r="C21" s="15" t="n">
        <f aca="false">INDEX(Labour!$BL$6:$BL$92,MATCH(C$7,Labour!$A$6:$A$92,0))</f>
        <v>0.000239162003736193</v>
      </c>
      <c r="D21" s="15" t="n">
        <f aca="false">INDEX(Labour!$BL$6:$BL$92,MATCH(D$7,Labour!$A$6:$A$92,0))</f>
        <v>0.0127760273701045</v>
      </c>
      <c r="E21" s="15" t="n">
        <f aca="false">INDEX(Labour!$BL$6:$BL$92,MATCH(E$7,Labour!$A$6:$A$92,0))</f>
        <v>0.0412717916481054</v>
      </c>
      <c r="F21" s="15" t="n">
        <f aca="false">INDEX(Labour!$BL$6:$BL$92,MATCH(F$7,Labour!$A$6:$A$92,0))</f>
        <v>0.0865750490619978</v>
      </c>
      <c r="G21" s="15" t="n">
        <f aca="false">INDEX(Labour!$BL$6:$BL$92,MATCH(G$7,Labour!$A$6:$A$92,0))</f>
        <v>0.137338360797198</v>
      </c>
      <c r="H21" s="15" t="n">
        <f aca="false">INDEX(Labour!$BL$6:$BL$92,MATCH(H$7,Labour!$A$6:$A$92,0))</f>
        <v>0.17093966120101</v>
      </c>
      <c r="I21" s="15" t="n">
        <f aca="false">INDEX(Labour!$BL$6:$BL$92,MATCH(I$7,Labour!$A$6:$A$92,0))</f>
        <v>0.190172569699091</v>
      </c>
      <c r="J21" s="15" t="n">
        <f aca="false">INDEX(Labour!$BL$6:$BL$92,MATCH(J$7,Labour!$A$6:$A$92,0))</f>
        <v>0.206595152974475</v>
      </c>
      <c r="K21" s="15" t="n">
        <f aca="false">INDEX(Labour!$BL$6:$BL$92,MATCH(K$7,Labour!$A$6:$A$92,0))</f>
        <v>0.23876937522233</v>
      </c>
      <c r="L21" s="15" t="n">
        <f aca="false">INDEX(Labour!$BL$6:$BL$92,MATCH(L$7,Labour!$A$6:$A$92,0))</f>
        <v>0.316523741481188</v>
      </c>
    </row>
    <row r="22" customFormat="false" ht="14.25" hidden="false" customHeight="true" outlineLevel="0" collapsed="false">
      <c r="B22" s="10" t="s">
        <v>21</v>
      </c>
      <c r="C22" s="14" t="n">
        <f aca="false">INDEX(Labour!$AX$6:$AX$92,MATCH(C$7,Labour!$A$6:$A$92,0))</f>
        <v>16.87</v>
      </c>
      <c r="D22" s="14" t="n">
        <f aca="false">INDEX(Labour!$AX$6:$AX$92,MATCH(D$7,Labour!$A$6:$A$92,0))</f>
        <v>24.9332876507121</v>
      </c>
      <c r="E22" s="14" t="n">
        <f aca="false">INDEX(Labour!$AX$6:$AX$92,MATCH(E$7,Labour!$A$6:$A$92,0))</f>
        <v>39.7270807103957</v>
      </c>
      <c r="F22" s="14" t="n">
        <f aca="false">INDEX(Labour!$AX$6:$AX$92,MATCH(F$7,Labour!$A$6:$A$92,0))</f>
        <v>53.6211735760287</v>
      </c>
      <c r="G22" s="14" t="n">
        <f aca="false">INDEX(Labour!$AX$6:$AX$92,MATCH(G$7,Labour!$A$6:$A$92,0))</f>
        <v>63.281476766299</v>
      </c>
      <c r="H22" s="14" t="n">
        <f aca="false">INDEX(Labour!$AX$6:$AX$92,MATCH(H$7,Labour!$A$6:$A$92,0))</f>
        <v>71.8936290182125</v>
      </c>
      <c r="I22" s="14" t="n">
        <f aca="false">INDEX(Labour!$AX$6:$AX$92,MATCH(I$7,Labour!$A$6:$A$92,0))</f>
        <v>75.4016566924015</v>
      </c>
      <c r="J22" s="14" t="n">
        <f aca="false">INDEX(Labour!$AX$6:$AX$92,MATCH(J$7,Labour!$A$6:$A$92,0))</f>
        <v>78.4078324986864</v>
      </c>
      <c r="K22" s="14" t="n">
        <f aca="false">INDEX(Labour!$AX$6:$AX$92,MATCH(K$7,Labour!$A$6:$A$92,0))</f>
        <v>84.0686831845522</v>
      </c>
      <c r="L22" s="14" t="n">
        <f aca="false">INDEX(Labour!$AX$6:$AX$92,MATCH(L$7,Labour!$A$6:$A$92,0))</f>
        <v>85.8503193306969</v>
      </c>
    </row>
    <row r="23" customFormat="false" ht="14.25" hidden="false" customHeight="true" outlineLevel="0" collapsed="false">
      <c r="B23" s="10" t="s">
        <v>22</v>
      </c>
      <c r="C23" s="13" t="n">
        <f aca="false">INDEX(Abroad!$M$6:$M$92,MATCH(C$7,Abroad!$A$6:$A$92,0))</f>
        <v>0.0166607534311718</v>
      </c>
      <c r="D23" s="13" t="n">
        <f aca="false">INDEX(Abroad!$M$6:$M$92,MATCH(D$7,Abroad!$A$6:$A$92,0))</f>
        <v>0.388527236455188</v>
      </c>
      <c r="E23" s="13" t="n">
        <f aca="false">INDEX(Abroad!$M$6:$M$92,MATCH(E$7,Abroad!$A$6:$A$92,0))</f>
        <v>7.71053378901019</v>
      </c>
      <c r="F23" s="13" t="n">
        <f aca="false">INDEX(Abroad!$M$6:$M$92,MATCH(F$7,Abroad!$A$6:$A$92,0))</f>
        <v>39.6005224685622</v>
      </c>
      <c r="G23" s="13" t="n">
        <f aca="false">INDEX(Abroad!$M$6:$M$92,MATCH(G$7,Abroad!$A$6:$A$92,0))</f>
        <v>203.383076106156</v>
      </c>
      <c r="H23" s="13" t="n">
        <f aca="false">INDEX(Abroad!$M$6:$M$92,MATCH(H$7,Abroad!$A$6:$A$92,0))</f>
        <v>401.586389313196</v>
      </c>
      <c r="I23" s="13" t="n">
        <f aca="false">INDEX(Abroad!$M$6:$M$92,MATCH(I$7,Abroad!$A$6:$A$92,0))</f>
        <v>733.463906039479</v>
      </c>
      <c r="J23" s="13" t="n">
        <f aca="false">INDEX(Abroad!$M$6:$M$92,MATCH(J$7,Abroad!$A$6:$A$92,0))</f>
        <v>1234.8876903469</v>
      </c>
      <c r="K23" s="13" t="n">
        <f aca="false">INDEX(Abroad!$M$6:$M$92,MATCH(K$7,Abroad!$A$6:$A$92,0))</f>
        <v>2344.47259547433</v>
      </c>
      <c r="L23" s="13" t="n">
        <f aca="false">INDEX(Abroad!$M$6:$M$92,MATCH(L$7,Abroad!$A$6:$A$92,0))</f>
        <v>1499.72435590069</v>
      </c>
    </row>
    <row r="24" customFormat="false" ht="14.25" hidden="false" customHeight="true" outlineLevel="0" collapsed="false">
      <c r="B24" s="10" t="s">
        <v>23</v>
      </c>
      <c r="C24" s="11" t="n">
        <f aca="false">INDEX(Abroad!$P$6:$P$92,MATCH(C$7,Abroad!$A$6:$A$92,0))/1000</f>
        <v>0.0894765718214898</v>
      </c>
      <c r="D24" s="11" t="n">
        <f aca="false">INDEX(Abroad!$P$6:$P$92,MATCH(D$7,Abroad!$A$6:$A$92,0))/1000</f>
        <v>0.531111317834951</v>
      </c>
      <c r="E24" s="11" t="n">
        <f aca="false">INDEX(Abroad!$P$6:$P$92,MATCH(E$7,Abroad!$A$6:$A$92,0))/1000</f>
        <v>1.41079704785671</v>
      </c>
      <c r="F24" s="11" t="n">
        <f aca="false">INDEX(Abroad!$P$6:$P$92,MATCH(F$7,Abroad!$A$6:$A$92,0))/1000</f>
        <v>3.49243393314271</v>
      </c>
      <c r="G24" s="11" t="n">
        <f aca="false">INDEX(Abroad!$P$6:$P$92,MATCH(G$7,Abroad!$A$6:$A$92,0))/1000</f>
        <v>8.5629106697336</v>
      </c>
      <c r="H24" s="11" t="n">
        <f aca="false">INDEX(Abroad!$P$6:$P$92,MATCH(H$7,Abroad!$A$6:$A$92,0))/1000</f>
        <v>17.9523439421235</v>
      </c>
      <c r="I24" s="11" t="n">
        <f aca="false">INDEX(Abroad!$P$6:$P$92,MATCH(I$7,Abroad!$A$6:$A$92,0))/1000</f>
        <v>38.3446491391388</v>
      </c>
      <c r="J24" s="11" t="n">
        <f aca="false">INDEX(Abroad!$P$6:$P$92,MATCH(J$7,Abroad!$A$6:$A$92,0))/1000</f>
        <v>44.142541582641</v>
      </c>
      <c r="K24" s="11" t="n">
        <f aca="false">INDEX(Abroad!$P$6:$P$92,MATCH(K$7,Abroad!$A$6:$A$92,0))/1000</f>
        <v>70.9269925898857</v>
      </c>
      <c r="L24" s="11" t="n">
        <f aca="false">INDEX(Abroad!$P$6:$P$92,MATCH(L$7,Abroad!$A$6:$A$92,0))/1000</f>
        <v>55.773407435985</v>
      </c>
    </row>
    <row r="25" customFormat="false" ht="14.25" hidden="false" customHeight="true" outlineLevel="0" collapsed="false">
      <c r="B25" s="8" t="s">
        <v>24</v>
      </c>
      <c r="C25" s="9"/>
      <c r="D25" s="9"/>
      <c r="E25" s="9"/>
      <c r="F25" s="9"/>
      <c r="G25" s="9"/>
      <c r="H25" s="9"/>
      <c r="I25" s="9"/>
      <c r="J25" s="9"/>
      <c r="K25" s="9"/>
      <c r="L25" s="9"/>
    </row>
    <row r="26" customFormat="false" ht="14.25" hidden="false" customHeight="true" outlineLevel="0" collapsed="false">
      <c r="B26" s="10" t="s">
        <v>25</v>
      </c>
      <c r="C26" s="13" t="n">
        <f aca="false">INDEX(Budget!$M$6:$M$92,MATCH(C$7,Budget!$A$6:$A$92,0))</f>
        <v>7.77424560093084</v>
      </c>
      <c r="D26" s="13" t="n">
        <f aca="false">INDEX(Budget!$M$6:$M$92,MATCH(D$7,Budget!$A$6:$A$92,0))</f>
        <v>68.560763363681</v>
      </c>
      <c r="E26" s="13" t="n">
        <f aca="false">INDEX(Budget!$M$6:$M$92,MATCH(E$7,Budget!$A$6:$A$92,0))</f>
        <v>187.920184367224</v>
      </c>
      <c r="F26" s="13" t="n">
        <f aca="false">INDEX(Budget!$M$6:$M$92,MATCH(F$7,Budget!$A$6:$A$92,0))</f>
        <v>380.655745173071</v>
      </c>
      <c r="G26" s="13" t="n">
        <f aca="false">INDEX(Budget!$M$6:$M$92,MATCH(G$7,Budget!$A$6:$A$92,0))</f>
        <v>857.876670996509</v>
      </c>
      <c r="H26" s="13" t="n">
        <f aca="false">INDEX(Budget!$M$6:$M$92,MATCH(H$7,Budget!$A$6:$A$92,0))</f>
        <v>1753.8047412288</v>
      </c>
      <c r="I26" s="13" t="n">
        <f aca="false">INDEX(Budget!$M$6:$M$92,MATCH(I$7,Budget!$A$6:$A$92,0))</f>
        <v>4435.04230376981</v>
      </c>
      <c r="J26" s="13" t="n">
        <f aca="false">INDEX(Budget!$M$6:$M$92,MATCH(J$7,Budget!$A$6:$A$92,0))</f>
        <v>4544.40575334999</v>
      </c>
      <c r="K26" s="13" t="n">
        <f aca="false">INDEX(Budget!$M$6:$M$92,MATCH(K$7,Budget!$A$6:$A$92,0))</f>
        <v>7577.41890193333</v>
      </c>
      <c r="L26" s="13" t="n">
        <f aca="false">INDEX(Budget!$M$6:$M$92,MATCH(L$7,Budget!$A$6:$A$92,0))</f>
        <v>5330.04145035524</v>
      </c>
    </row>
    <row r="27" customFormat="false" ht="14.25" hidden="false" customHeight="true" outlineLevel="0" collapsed="false">
      <c r="B27" s="10" t="s">
        <v>26</v>
      </c>
      <c r="C27" s="13" t="n">
        <f aca="false">INDEX(Budget!$K$6:$K$92,MATCH(C$7,Budget!$A$6:$A$92,0))</f>
        <v>0</v>
      </c>
      <c r="D27" s="13" t="n">
        <f aca="false">INDEX(Budget!$K$6:$K$92,MATCH(D$7,Budget!$A$6:$A$92,0))</f>
        <v>0</v>
      </c>
      <c r="E27" s="13" t="n">
        <f aca="false">INDEX(Budget!$K$6:$K$92,MATCH(E$7,Budget!$A$6:$A$92,0))</f>
        <v>0.975333844662083</v>
      </c>
      <c r="F27" s="13" t="n">
        <f aca="false">INDEX(Budget!$K$6:$K$92,MATCH(F$7,Budget!$A$6:$A$92,0))</f>
        <v>5.28821589023885</v>
      </c>
      <c r="G27" s="13" t="n">
        <f aca="false">INDEX(Budget!$K$6:$K$92,MATCH(G$7,Budget!$A$6:$A$92,0))</f>
        <v>18.6826666902286</v>
      </c>
      <c r="H27" s="13" t="n">
        <f aca="false">INDEX(Budget!$K$6:$K$92,MATCH(H$7,Budget!$A$6:$A$92,0))</f>
        <v>35.7276570256697</v>
      </c>
      <c r="I27" s="13" t="n">
        <f aca="false">INDEX(Budget!$K$6:$K$92,MATCH(I$7,Budget!$A$6:$A$92,0))</f>
        <v>67.8964089035222</v>
      </c>
      <c r="J27" s="13" t="n">
        <f aca="false">INDEX(Budget!$K$6:$K$92,MATCH(J$7,Budget!$A$6:$A$92,0))</f>
        <v>95.257938242096</v>
      </c>
      <c r="K27" s="13" t="n">
        <f aca="false">INDEX(Budget!$K$6:$K$92,MATCH(K$7,Budget!$A$6:$A$92,0))</f>
        <v>171.022987177803</v>
      </c>
      <c r="L27" s="13" t="n">
        <f aca="false">INDEX(Budget!$K$6:$K$92,MATCH(L$7,Budget!$A$6:$A$92,0))</f>
        <v>104.667753613816</v>
      </c>
    </row>
    <row r="28" customFormat="false" ht="14.25" hidden="false" customHeight="true" outlineLevel="0" collapsed="false">
      <c r="B28" s="10" t="s">
        <v>27</v>
      </c>
      <c r="C28" s="13" t="n">
        <f aca="false">INDEX(Budget!$J$6:$J$92,MATCH(C$7,Budget!$A$6:$A$92,0))</f>
        <v>0</v>
      </c>
      <c r="D28" s="13" t="n">
        <f aca="false">INDEX(Budget!$J$6:$J$92,MATCH(D$7,Budget!$A$6:$A$92,0))</f>
        <v>0</v>
      </c>
      <c r="E28" s="13" t="n">
        <f aca="false">INDEX(Budget!$J$6:$J$92,MATCH(E$7,Budget!$A$6:$A$92,0))</f>
        <v>0</v>
      </c>
      <c r="F28" s="13" t="n">
        <f aca="false">INDEX(Budget!$J$6:$J$92,MATCH(F$7,Budget!$A$6:$A$92,0))</f>
        <v>22.9034592457773</v>
      </c>
      <c r="G28" s="13" t="n">
        <f aca="false">INDEX(Budget!$J$6:$J$92,MATCH(G$7,Budget!$A$6:$A$92,0))</f>
        <v>66.3230251703174</v>
      </c>
      <c r="H28" s="13" t="n">
        <f aca="false">INDEX(Budget!$J$6:$J$92,MATCH(H$7,Budget!$A$6:$A$92,0))</f>
        <v>139.320653546814</v>
      </c>
      <c r="I28" s="13" t="n">
        <f aca="false">INDEX(Budget!$J$6:$J$92,MATCH(I$7,Budget!$A$6:$A$92,0))</f>
        <v>323.380667311632</v>
      </c>
      <c r="J28" s="13" t="n">
        <f aca="false">INDEX(Budget!$J$6:$J$92,MATCH(J$7,Budget!$A$6:$A$92,0))</f>
        <v>316.795470548822</v>
      </c>
      <c r="K28" s="13" t="n">
        <f aca="false">INDEX(Budget!$J$6:$J$92,MATCH(K$7,Budget!$A$6:$A$92,0))</f>
        <v>608.149408837855</v>
      </c>
      <c r="L28" s="13" t="n">
        <f aca="false">INDEX(Budget!$J$6:$J$92,MATCH(L$7,Budget!$A$6:$A$92,0))</f>
        <v>334.03131286035</v>
      </c>
    </row>
    <row r="29" customFormat="false" ht="14.25" hidden="false" customHeight="true" outlineLevel="0" collapsed="false">
      <c r="B29" s="10" t="s">
        <v>28</v>
      </c>
      <c r="C29" s="13" t="n">
        <f aca="false">INDEX(Budget!$Y$6:$Y$92,MATCH(C$7,Budget!$A$6:$A$92,0))</f>
        <v>7.51504797810362</v>
      </c>
      <c r="D29" s="13" t="n">
        <f aca="false">INDEX(Budget!$Y$6:$Y$92,MATCH(D$7,Budget!$A$6:$A$92,0))</f>
        <v>58.0746345189341</v>
      </c>
      <c r="E29" s="13" t="n">
        <f aca="false">INDEX(Budget!$Y$6:$Y$92,MATCH(E$7,Budget!$A$6:$A$92,0))</f>
        <v>119.948031189571</v>
      </c>
      <c r="F29" s="13" t="n">
        <f aca="false">INDEX(Budget!$Y$6:$Y$92,MATCH(F$7,Budget!$A$6:$A$92,0))</f>
        <v>292.62048935643</v>
      </c>
      <c r="G29" s="13" t="n">
        <f aca="false">INDEX(Budget!$Y$6:$Y$92,MATCH(G$7,Budget!$A$6:$A$92,0))</f>
        <v>656.902780885277</v>
      </c>
      <c r="H29" s="13" t="n">
        <f aca="false">INDEX(Budget!$Y$6:$Y$92,MATCH(H$7,Budget!$A$6:$A$92,0))</f>
        <v>1398.70898643708</v>
      </c>
      <c r="I29" s="13" t="n">
        <f aca="false">INDEX(Budget!$Y$6:$Y$92,MATCH(I$7,Budget!$A$6:$A$92,0))</f>
        <v>3294.77379444097</v>
      </c>
      <c r="J29" s="13" t="n">
        <f aca="false">INDEX(Budget!$Y$6:$Y$92,MATCH(J$7,Budget!$A$6:$A$92,0))</f>
        <v>3507.03114501645</v>
      </c>
      <c r="K29" s="13" t="n">
        <f aca="false">INDEX(Budget!$Y$6:$Y$92,MATCH(K$7,Budget!$A$6:$A$92,0))</f>
        <v>5617.77130708869</v>
      </c>
      <c r="L29" s="13" t="n">
        <f aca="false">INDEX(Budget!$Y$6:$Y$92,MATCH(L$7,Budget!$A$6:$A$92,0))</f>
        <v>5001.37617759991</v>
      </c>
    </row>
    <row r="30" customFormat="false" ht="14.25" hidden="false" customHeight="true" outlineLevel="0" collapsed="false">
      <c r="B30" s="10" t="s">
        <v>29</v>
      </c>
      <c r="C30" s="15" t="n">
        <f aca="false">INDEX(Budget!$AC$6:$AC$92,MATCH(C$7,Budget!$A$6:$A$92,0))</f>
        <v>0.0136485715827629</v>
      </c>
      <c r="D30" s="15" t="n">
        <f aca="false">INDEX(Budget!$AC$6:$AC$92,MATCH(D$7,Budget!$A$6:$A$92,0))</f>
        <v>0.0504298863250586</v>
      </c>
      <c r="E30" s="15" t="n">
        <f aca="false">INDEX(Budget!$AC$6:$AC$92,MATCH(E$7,Budget!$A$6:$A$92,0))</f>
        <v>0.0145316663415582</v>
      </c>
      <c r="F30" s="15" t="n">
        <f aca="false">INDEX(Budget!$AC$6:$AC$92,MATCH(F$7,Budget!$A$6:$A$92,0))</f>
        <v>0.00693433914750759</v>
      </c>
      <c r="G30" s="15" t="n">
        <f aca="false">INDEX(Budget!$AC$6:$AC$92,MATCH(G$7,Budget!$A$6:$A$92,0))</f>
        <v>0.00613179340572856</v>
      </c>
      <c r="H30" s="15" t="n">
        <f aca="false">INDEX(Budget!$AC$6:$AC$92,MATCH(H$7,Budget!$A$6:$A$92,0))</f>
        <v>0.00575073480344696</v>
      </c>
      <c r="I30" s="15" t="n">
        <f aca="false">INDEX(Budget!$AC$6:$AC$92,MATCH(I$7,Budget!$A$6:$A$92,0))</f>
        <v>0.0110537521128505</v>
      </c>
      <c r="J30" s="15" t="n">
        <f aca="false">INDEX(Budget!$AC$6:$AC$92,MATCH(J$7,Budget!$A$6:$A$92,0))</f>
        <v>0.00554045375467762</v>
      </c>
      <c r="K30" s="15" t="n">
        <f aca="false">INDEX(Budget!$AC$6:$AC$92,MATCH(K$7,Budget!$A$6:$A$92,0))</f>
        <v>0.00364610511676206</v>
      </c>
      <c r="L30" s="15" t="n">
        <f aca="false">INDEX(Budget!$AC$6:$AC$92,MATCH(L$7,Budget!$A$6:$A$92,0))</f>
        <v>0.00393130367988355</v>
      </c>
    </row>
    <row r="31" customFormat="false" ht="14.25" hidden="false" customHeight="true" outlineLevel="0" collapsed="false">
      <c r="B31" s="10" t="s">
        <v>30</v>
      </c>
      <c r="C31" s="13" t="n">
        <f aca="false">INDEX('Debt &amp; cash'!$R$6:$R$92,MATCH(C$7,'Debt &amp; cash'!$A$6:$A$92,0))</f>
        <v>17.0183762953345</v>
      </c>
      <c r="D31" s="13" t="n">
        <f aca="false">INDEX('Debt &amp; cash'!$R$6:$R$92,MATCH(D$7,'Debt &amp; cash'!$A$6:$A$92,0))</f>
        <v>13.2775836459054</v>
      </c>
      <c r="E31" s="13" t="n">
        <f aca="false">INDEX('Debt &amp; cash'!$R$6:$R$92,MATCH(E$7,'Debt &amp; cash'!$A$6:$A$92,0))</f>
        <v>0</v>
      </c>
      <c r="F31" s="13" t="n">
        <f aca="false">INDEX('Debt &amp; cash'!$R$6:$R$92,MATCH(F$7,'Debt &amp; cash'!$A$6:$A$92,0))</f>
        <v>174.283932007333</v>
      </c>
      <c r="G31" s="13" t="n">
        <f aca="false">INDEX('Debt &amp; cash'!$R$6:$R$92,MATCH(G$7,'Debt &amp; cash'!$A$6:$A$92,0))</f>
        <v>424.608923967921</v>
      </c>
      <c r="H31" s="13" t="n">
        <f aca="false">INDEX('Debt &amp; cash'!$R$6:$R$92,MATCH(H$7,'Debt &amp; cash'!$A$6:$A$92,0))</f>
        <v>889.241579516903</v>
      </c>
      <c r="I31" s="13" t="n">
        <f aca="false">INDEX('Debt &amp; cash'!$R$6:$R$92,MATCH(I$7,'Debt &amp; cash'!$A$6:$A$92,0))</f>
        <v>1902.72700738624</v>
      </c>
      <c r="J31" s="13" t="n">
        <f aca="false">INDEX('Debt &amp; cash'!$R$6:$R$92,MATCH(J$7,'Debt &amp; cash'!$A$6:$A$92,0))</f>
        <v>2169.26876382097</v>
      </c>
      <c r="K31" s="13" t="n">
        <f aca="false">INDEX('Debt &amp; cash'!$R$6:$R$92,MATCH(K$7,'Debt &amp; cash'!$A$6:$A$92,0))</f>
        <v>3473.61709095753</v>
      </c>
      <c r="L31" s="13" t="n">
        <f aca="false">INDEX('Debt &amp; cash'!$R$6:$R$92,MATCH(L$7,'Debt &amp; cash'!$A$6:$A$92,0))</f>
        <v>2920.49044457466</v>
      </c>
    </row>
    <row r="32" customFormat="false" ht="14.25" hidden="false" customHeight="true" outlineLevel="0" collapsed="false">
      <c r="B32" s="10" t="s">
        <v>31</v>
      </c>
      <c r="C32" s="15" t="n">
        <f aca="false">INDEX('Debt &amp; cash'!$V$6:$V$92,MATCH(C$7,'Debt &amp; cash'!$A$6:$A$92,0))</f>
        <v>0.190234665920777</v>
      </c>
      <c r="D32" s="15" t="n">
        <f aca="false">INDEX('Debt &amp; cash'!$V$6:$V$92,MATCH(D$7,'Debt &amp; cash'!$A$6:$A$92,0))</f>
        <v>0.0250179262717026</v>
      </c>
      <c r="E32" s="15" t="n">
        <f aca="false">INDEX('Debt &amp; cash'!$V$6:$V$92,MATCH(E$7,'Debt &amp; cash'!$A$6:$A$92,0))</f>
        <v>0</v>
      </c>
      <c r="F32" s="15" t="n">
        <f aca="false">INDEX('Debt &amp; cash'!$V$6:$V$92,MATCH(F$7,'Debt &amp; cash'!$A$6:$A$92,0))</f>
        <v>0.05</v>
      </c>
      <c r="G32" s="15" t="n">
        <f aca="false">INDEX('Debt &amp; cash'!$V$6:$V$92,MATCH(G$7,'Debt &amp; cash'!$A$6:$A$92,0))</f>
        <v>0.05</v>
      </c>
      <c r="H32" s="15" t="n">
        <f aca="false">INDEX('Debt &amp; cash'!$V$6:$V$92,MATCH(H$7,'Debt &amp; cash'!$A$6:$A$92,0))</f>
        <v>0.05</v>
      </c>
      <c r="I32" s="15" t="n">
        <f aca="false">INDEX('Debt &amp; cash'!$V$6:$V$92,MATCH(I$7,'Debt &amp; cash'!$A$6:$A$92,0))</f>
        <v>0.05</v>
      </c>
      <c r="J32" s="15" t="n">
        <f aca="false">INDEX('Debt &amp; cash'!$V$6:$V$92,MATCH(J$7,'Debt &amp; cash'!$A$6:$A$92,0))</f>
        <v>0.05</v>
      </c>
      <c r="K32" s="15" t="n">
        <f aca="false">INDEX('Debt &amp; cash'!$V$6:$V$92,MATCH(K$7,'Debt &amp; cash'!$A$6:$A$92,0))</f>
        <v>0.05</v>
      </c>
      <c r="L32" s="15" t="n">
        <f aca="false">INDEX('Debt &amp; cash'!$V$6:$V$92,MATCH(L$7,'Debt &amp; cash'!$A$6:$A$92,0))</f>
        <v>0.0532488077042495</v>
      </c>
    </row>
    <row r="33" customFormat="false" ht="14.25" hidden="false" customHeight="true" outlineLevel="0" collapsed="false">
      <c r="B33" s="10" t="s">
        <v>32</v>
      </c>
      <c r="C33" s="13" t="n">
        <f aca="false">INDEX('Debt &amp; cash'!$S$6:$S$92,MATCH(C$7,'Debt &amp; cash'!$A$6:$A$92,0))</f>
        <v>0</v>
      </c>
      <c r="D33" s="13" t="n">
        <f aca="false">INDEX('Debt &amp; cash'!$S$6:$S$92,MATCH(D$7,'Debt &amp; cash'!$A$6:$A$92,0))</f>
        <v>1.72431308695292</v>
      </c>
      <c r="E33" s="13" t="n">
        <f aca="false">INDEX('Debt &amp; cash'!$S$6:$S$92,MATCH(E$7,'Debt &amp; cash'!$A$6:$A$92,0))</f>
        <v>62.0258526941328</v>
      </c>
      <c r="F33" s="13" t="n">
        <f aca="false">INDEX('Debt &amp; cash'!$S$6:$S$92,MATCH(F$7,'Debt &amp; cash'!$A$6:$A$92,0))</f>
        <v>87.8649486292313</v>
      </c>
      <c r="G33" s="13" t="n">
        <f aca="false">INDEX('Debt &amp; cash'!$S$6:$S$92,MATCH(G$7,'Debt &amp; cash'!$A$6:$A$92,0))</f>
        <v>148.03386492579</v>
      </c>
      <c r="H33" s="13" t="n">
        <f aca="false">INDEX('Debt &amp; cash'!$S$6:$S$92,MATCH(H$7,'Debt &amp; cash'!$A$6:$A$92,0))</f>
        <v>267.520466826089</v>
      </c>
      <c r="I33" s="13" t="n">
        <f aca="false">INDEX('Debt &amp; cash'!$S$6:$S$92,MATCH(I$7,'Debt &amp; cash'!$A$6:$A$92,0))</f>
        <v>361.886338171143</v>
      </c>
      <c r="J33" s="13" t="n">
        <f aca="false">INDEX('Debt &amp; cash'!$S$6:$S$92,MATCH(J$7,'Debt &amp; cash'!$A$6:$A$92,0))</f>
        <v>610.821052205631</v>
      </c>
      <c r="K33" s="13" t="n">
        <f aca="false">INDEX('Debt &amp; cash'!$S$6:$S$92,MATCH(K$7,'Debt &amp; cash'!$A$6:$A$92,0))</f>
        <v>1195.0152676776</v>
      </c>
      <c r="L33" s="13" t="n">
        <f aca="false">INDEX('Debt &amp; cash'!$S$6:$S$92,MATCH(L$7,'Debt &amp; cash'!$A$6:$A$92,0))</f>
        <v>1344.07972916091</v>
      </c>
    </row>
    <row r="34" customFormat="false" ht="14.25" hidden="false" customHeight="true" outlineLevel="0" collapsed="false">
      <c r="B34" s="10" t="s">
        <v>33</v>
      </c>
      <c r="C34" s="13" t="n">
        <f aca="false">INDEX(Loans!$X$6:$X$92,MATCH(C$7,Loans!$A$6:$A$92,0))</f>
        <v>0</v>
      </c>
      <c r="D34" s="13" t="n">
        <f aca="false">INDEX(Loans!$X$6:$X$92,MATCH(D$7,Loans!$A$6:$A$92,0))</f>
        <v>0</v>
      </c>
      <c r="E34" s="13" t="n">
        <f aca="false">INDEX(Loans!$X$6:$X$92,MATCH(E$7,Loans!$A$6:$A$92,0))</f>
        <v>29.7655142635195</v>
      </c>
      <c r="F34" s="13" t="n">
        <f aca="false">INDEX(Loans!$X$6:$X$92,MATCH(F$7,Loans!$A$6:$A$92,0))</f>
        <v>113.353011298102</v>
      </c>
      <c r="G34" s="13" t="n">
        <f aca="false">INDEX(Loans!$X$6:$X$92,MATCH(G$7,Loans!$A$6:$A$92,0))</f>
        <v>189.841160083847</v>
      </c>
      <c r="H34" s="13" t="n">
        <f aca="false">INDEX(Loans!$X$6:$X$92,MATCH(H$7,Loans!$A$6:$A$92,0))</f>
        <v>137.069715436704</v>
      </c>
      <c r="I34" s="13" t="n">
        <f aca="false">INDEX(Loans!$X$6:$X$92,MATCH(I$7,Loans!$A$6:$A$92,0))</f>
        <v>1654.86061020005</v>
      </c>
      <c r="J34" s="13" t="n">
        <f aca="false">INDEX(Loans!$X$6:$X$92,MATCH(J$7,Loans!$A$6:$A$92,0))</f>
        <v>2380.09082408332</v>
      </c>
      <c r="K34" s="13" t="n">
        <f aca="false">INDEX(Loans!$X$6:$X$92,MATCH(K$7,Loans!$A$6:$A$92,0))</f>
        <v>2409.7788206586</v>
      </c>
      <c r="L34" s="13" t="n">
        <f aca="false">INDEX(Loans!$X$6:$X$92,MATCH(L$7,Loans!$A$6:$A$92,0))</f>
        <v>2651.98263702433</v>
      </c>
    </row>
    <row r="35" customFormat="false" ht="14.25" hidden="false" customHeight="true" outlineLevel="0" collapsed="false">
      <c r="B35" s="10" t="s">
        <v>34</v>
      </c>
      <c r="C35" s="13" t="n">
        <f aca="false">INDEX('Gold &amp; money'!$F$6:$F$92,MATCH(C$7,'Gold &amp; money'!$A$6:$A$92,0))</f>
        <v>18.3789198221361</v>
      </c>
      <c r="D35" s="13" t="n">
        <f aca="false">INDEX('Gold &amp; money'!$F$6:$F$92,MATCH(D$7,'Gold &amp; money'!$A$6:$A$92,0))</f>
        <v>190.378223591431</v>
      </c>
      <c r="E35" s="13" t="n">
        <f aca="false">INDEX('Gold &amp; money'!$F$6:$F$92,MATCH(E$7,'Gold &amp; money'!$A$6:$A$92,0))</f>
        <v>303.864667450884</v>
      </c>
      <c r="F35" s="13" t="n">
        <f aca="false">INDEX('Gold &amp; money'!$F$6:$F$92,MATCH(F$7,'Gold &amp; money'!$A$6:$A$92,0))</f>
        <v>389.621723594479</v>
      </c>
      <c r="G35" s="13" t="n">
        <f aca="false">INDEX('Gold &amp; money'!$F$6:$F$92,MATCH(G$7,'Gold &amp; money'!$A$6:$A$92,0))</f>
        <v>598.100707889393</v>
      </c>
      <c r="H35" s="13" t="n">
        <f aca="false">INDEX('Gold &amp; money'!$F$6:$F$92,MATCH(H$7,'Gold &amp; money'!$A$6:$A$92,0))</f>
        <v>951.941438027451</v>
      </c>
      <c r="I35" s="13" t="n">
        <f aca="false">INDEX('Gold &amp; money'!$F$6:$F$92,MATCH(I$7,'Gold &amp; money'!$A$6:$A$92,0))</f>
        <v>1299.50556248596</v>
      </c>
      <c r="J35" s="13" t="n">
        <f aca="false">INDEX('Gold &amp; money'!$F$6:$F$92,MATCH(J$7,'Gold &amp; money'!$A$6:$A$92,0))</f>
        <v>1707.63153054395</v>
      </c>
      <c r="K35" s="13" t="n">
        <f aca="false">INDEX('Gold &amp; money'!$F$6:$F$92,MATCH(K$7,'Gold &amp; money'!$A$6:$A$92,0))</f>
        <v>2358.65903723374</v>
      </c>
      <c r="L35" s="13" t="n">
        <f aca="false">INDEX('Gold &amp; money'!$F$6:$F$92,MATCH(L$7,'Gold &amp; money'!$A$6:$A$92,0))</f>
        <v>2363.09079651146</v>
      </c>
    </row>
    <row r="36" customFormat="false" ht="14.25" hidden="false" customHeight="true" outlineLevel="0" collapsed="false">
      <c r="B36" s="8" t="s">
        <v>35</v>
      </c>
      <c r="C36" s="9"/>
      <c r="D36" s="9"/>
      <c r="E36" s="9"/>
      <c r="F36" s="9"/>
      <c r="G36" s="9"/>
      <c r="H36" s="9"/>
      <c r="I36" s="9"/>
      <c r="J36" s="9"/>
      <c r="K36" s="9"/>
      <c r="L36" s="9"/>
    </row>
    <row r="37" customFormat="false" ht="14.25" hidden="false" customHeight="true" outlineLevel="0" collapsed="false">
      <c r="B37" s="10" t="s">
        <v>36</v>
      </c>
      <c r="C37" s="13" t="n">
        <f aca="false">INDEX(Navy!$Y$6:$Y$92,MATCH(C$7,Navy!$A$6:$A$92,0))</f>
        <v>0</v>
      </c>
      <c r="D37" s="13" t="n">
        <f aca="false">INDEX(Navy!$Y$6:$Y$92,MATCH(D$7,Navy!$A$6:$A$92,0))</f>
        <v>3.77429</v>
      </c>
      <c r="E37" s="13" t="n">
        <f aca="false">INDEX(Navy!$Y$6:$Y$92,MATCH(E$7,Navy!$A$6:$A$92,0))</f>
        <v>7.76064</v>
      </c>
      <c r="F37" s="13" t="n">
        <f aca="false">INDEX(Navy!$Y$6:$Y$92,MATCH(F$7,Navy!$A$6:$A$92,0))</f>
        <v>8.81411885</v>
      </c>
      <c r="G37" s="13" t="n">
        <f aca="false">INDEX(Navy!$Y$6:$Y$92,MATCH(G$7,Navy!$A$6:$A$92,0))</f>
        <v>28.711684</v>
      </c>
      <c r="H37" s="13" t="n">
        <f aca="false">INDEX(Navy!$Y$6:$Y$92,MATCH(H$7,Navy!$A$6:$A$92,0))</f>
        <v>74.37585</v>
      </c>
      <c r="I37" s="13" t="n">
        <f aca="false">INDEX(Navy!$Y$6:$Y$92,MATCH(I$7,Navy!$A$6:$A$92,0))</f>
        <v>152.3803925</v>
      </c>
      <c r="J37" s="13" t="n">
        <f aca="false">INDEX(Navy!$Y$6:$Y$92,MATCH(J$7,Navy!$A$6:$A$92,0))</f>
        <v>145.2846805</v>
      </c>
      <c r="K37" s="13" t="n">
        <f aca="false">INDEX(Navy!$Y$6:$Y$92,MATCH(K$7,Navy!$A$6:$A$92,0))</f>
        <v>183.352537875</v>
      </c>
      <c r="L37" s="13" t="n">
        <f aca="false">INDEX(Navy!$Y$6:$Y$92,MATCH(L$7,Navy!$A$6:$A$92,0))</f>
        <v>163.22577063</v>
      </c>
    </row>
    <row r="38" customFormat="false" ht="14.25" hidden="false" customHeight="true" outlineLevel="0" collapsed="false">
      <c r="B38" s="10" t="s">
        <v>37</v>
      </c>
      <c r="C38" s="13" t="n">
        <f aca="false">INDEX(Navy!$K$6:$K$92,MATCH(C$7,Navy!$A$6:$A$92,0))</f>
        <v>0</v>
      </c>
      <c r="D38" s="13" t="n">
        <f aca="false">INDEX(Navy!$K$6:$K$92,MATCH(D$7,Navy!$A$6:$A$92,0))</f>
        <v>12</v>
      </c>
      <c r="E38" s="13" t="n">
        <f aca="false">INDEX(Navy!$K$6:$K$92,MATCH(E$7,Navy!$A$6:$A$92,0))</f>
        <v>25</v>
      </c>
      <c r="F38" s="13" t="n">
        <f aca="false">INDEX(Navy!$K$6:$K$92,MATCH(F$7,Navy!$A$6:$A$92,0))</f>
        <v>49</v>
      </c>
      <c r="G38" s="13" t="n">
        <f aca="false">INDEX(Navy!$K$6:$K$92,MATCH(G$7,Navy!$A$6:$A$92,0))</f>
        <v>68</v>
      </c>
      <c r="H38" s="13" t="n">
        <f aca="false">INDEX(Navy!$K$6:$K$92,MATCH(H$7,Navy!$A$6:$A$92,0))</f>
        <v>115</v>
      </c>
      <c r="I38" s="13" t="n">
        <f aca="false">INDEX(Navy!$K$6:$K$92,MATCH(I$7,Navy!$A$6:$A$92,0))</f>
        <v>183</v>
      </c>
      <c r="J38" s="13" t="n">
        <f aca="false">INDEX(Navy!$K$6:$K$92,MATCH(J$7,Navy!$A$6:$A$92,0))</f>
        <v>180</v>
      </c>
      <c r="K38" s="13" t="n">
        <f aca="false">INDEX(Navy!$K$6:$K$92,MATCH(K$7,Navy!$A$6:$A$92,0))</f>
        <v>178</v>
      </c>
      <c r="L38" s="13" t="n">
        <f aca="false">INDEX(Navy!$K$6:$K$92,MATCH(L$7,Navy!$A$6:$A$92,0))</f>
        <v>162</v>
      </c>
    </row>
    <row r="39" customFormat="false" ht="14.25" hidden="false" customHeight="true" outlineLevel="0" collapsed="false">
      <c r="B39" s="10" t="s">
        <v>38</v>
      </c>
      <c r="C39" s="16" t="n">
        <f aca="false">INDEX(Navy!$AA$6:$AA$92,MATCH(C$7,Navy!$A$6:$A$92,0))</f>
        <v>0</v>
      </c>
      <c r="D39" s="16" t="n">
        <f aca="false">INDEX(Navy!$AA$6:$AA$92,MATCH(D$7,Navy!$A$6:$A$92,0))</f>
        <v>0</v>
      </c>
      <c r="E39" s="16" t="n">
        <f aca="false">INDEX(Navy!$AA$6:$AA$92,MATCH(E$7,Navy!$A$6:$A$92,0))</f>
        <v>0</v>
      </c>
      <c r="F39" s="16" t="n">
        <f aca="false">INDEX(Navy!$AA$6:$AA$92,MATCH(F$7,Navy!$A$6:$A$92,0))</f>
        <v>0</v>
      </c>
      <c r="G39" s="16" t="n">
        <f aca="false">INDEX(Navy!$AA$6:$AA$92,MATCH(G$7,Navy!$A$6:$A$92,0))</f>
        <v>2</v>
      </c>
      <c r="H39" s="16" t="n">
        <f aca="false">INDEX(Navy!$AA$6:$AA$92,MATCH(H$7,Navy!$A$6:$A$92,0))</f>
        <v>9</v>
      </c>
      <c r="I39" s="16" t="n">
        <f aca="false">INDEX(Navy!$AA$6:$AA$92,MATCH(I$7,Navy!$A$6:$A$92,0))</f>
        <v>14</v>
      </c>
      <c r="J39" s="16" t="n">
        <f aca="false">INDEX(Navy!$AA$6:$AA$92,MATCH(J$7,Navy!$A$6:$A$92,0))</f>
        <v>14</v>
      </c>
      <c r="K39" s="16" t="n">
        <f aca="false">INDEX(Navy!$AA$6:$AA$92,MATCH(K$7,Navy!$A$6:$A$92,0))</f>
        <v>14</v>
      </c>
      <c r="L39" s="16" t="n">
        <f aca="false">INDEX(Navy!$AA$6:$AA$92,MATCH(L$7,Navy!$A$6:$A$92,0))</f>
        <v>14</v>
      </c>
    </row>
    <row r="40" customFormat="false" ht="14.25" hidden="false" customHeight="true" outlineLevel="0" collapsed="false">
      <c r="B40" s="10" t="s">
        <v>39</v>
      </c>
      <c r="C40" s="11" t="n">
        <f aca="false">INDEX(Navy!$AE$6:$AE$92,MATCH(C$7,Navy!$A$6:$A$92,0))</f>
        <v>0</v>
      </c>
      <c r="D40" s="11" t="n">
        <f aca="false">INDEX(Navy!$AE$6:$AE$92,MATCH(D$7,Navy!$A$6:$A$92,0))</f>
        <v>0</v>
      </c>
      <c r="E40" s="11" t="n">
        <f aca="false">INDEX(Navy!$AE$6:$AE$92,MATCH(E$7,Navy!$A$6:$A$92,0))</f>
        <v>0</v>
      </c>
      <c r="F40" s="11" t="n">
        <f aca="false">INDEX(Navy!$AE$6:$AE$92,MATCH(F$7,Navy!$A$6:$A$92,0))</f>
        <v>0</v>
      </c>
      <c r="G40" s="11" t="n">
        <f aca="false">INDEX(Navy!$AE$6:$AE$92,MATCH(G$7,Navy!$A$6:$A$92,0))</f>
        <v>0</v>
      </c>
      <c r="H40" s="11" t="n">
        <f aca="false">INDEX(Navy!$AE$6:$AE$92,MATCH(H$7,Navy!$A$6:$A$92,0))</f>
        <v>0.590909090909091</v>
      </c>
      <c r="I40" s="11" t="n">
        <f aca="false">INDEX(Navy!$AE$6:$AE$92,MATCH(I$7,Navy!$A$6:$A$92,0))</f>
        <v>0.523809523809524</v>
      </c>
      <c r="J40" s="11" t="n">
        <f aca="false">INDEX(Navy!$AE$6:$AE$92,MATCH(J$7,Navy!$A$6:$A$92,0))</f>
        <v>1</v>
      </c>
      <c r="K40" s="11" t="n">
        <f aca="false">INDEX(Navy!$AE$6:$AE$92,MATCH(K$7,Navy!$A$6:$A$92,0))</f>
        <v>1</v>
      </c>
      <c r="L40" s="11" t="n">
        <f aca="false">INDEX(Navy!$AE$6:$AE$92,MATCH(L$7,Navy!$A$6:$A$92,0))</f>
        <v>1</v>
      </c>
    </row>
    <row r="41" customFormat="false" ht="14.25" hidden="false" customHeight="true" outlineLevel="0" collapsed="false">
      <c r="B41" s="10" t="s">
        <v>40</v>
      </c>
      <c r="C41" s="13" t="n">
        <f aca="false">INDEX(Navy!$O$6:$O$92,MATCH(C$7,Navy!$A$6:$A$92,0))</f>
        <v>0</v>
      </c>
      <c r="D41" s="13" t="n">
        <f aca="false">INDEX(Navy!$O$6:$O$92,MATCH(D$7,Navy!$A$6:$A$92,0))</f>
        <v>0</v>
      </c>
      <c r="E41" s="13" t="n">
        <f aca="false">INDEX(Navy!$O$6:$O$92,MATCH(E$7,Navy!$A$6:$A$92,0))</f>
        <v>0</v>
      </c>
      <c r="F41" s="13" t="n">
        <f aca="false">INDEX(Navy!$O$6:$O$92,MATCH(F$7,Navy!$A$6:$A$92,0))</f>
        <v>747.435897435898</v>
      </c>
      <c r="G41" s="13" t="n">
        <f aca="false">INDEX(Navy!$O$6:$O$92,MATCH(G$7,Navy!$A$6:$A$92,0))</f>
        <v>3111.02564102564</v>
      </c>
      <c r="H41" s="13" t="n">
        <f aca="false">INDEX(Navy!$O$6:$O$92,MATCH(H$7,Navy!$A$6:$A$92,0))</f>
        <v>6611.28205128205</v>
      </c>
      <c r="I41" s="13" t="n">
        <f aca="false">INDEX(Navy!$O$6:$O$92,MATCH(I$7,Navy!$A$6:$A$92,0))</f>
        <v>9632.05128205128</v>
      </c>
      <c r="J41" s="13" t="n">
        <f aca="false">INDEX(Navy!$O$6:$O$92,MATCH(J$7,Navy!$A$6:$A$92,0))</f>
        <v>9691.28205128205</v>
      </c>
      <c r="K41" s="13" t="n">
        <f aca="false">INDEX(Navy!$O$6:$O$92,MATCH(K$7,Navy!$A$6:$A$92,0))</f>
        <v>10193.3333333333</v>
      </c>
      <c r="L41" s="13" t="n">
        <f aca="false">INDEX(Navy!$O$6:$O$92,MATCH(L$7,Navy!$A$6:$A$92,0))</f>
        <v>10438.7179487179</v>
      </c>
    </row>
    <row r="42" customFormat="false" ht="14.25" hidden="false" customHeight="true" outlineLevel="0" collapsed="false">
      <c r="B42" s="8" t="s">
        <v>41</v>
      </c>
      <c r="C42" s="9"/>
      <c r="D42" s="9"/>
      <c r="E42" s="9"/>
      <c r="F42" s="9"/>
      <c r="G42" s="9"/>
      <c r="H42" s="9"/>
      <c r="I42" s="9"/>
      <c r="J42" s="9"/>
      <c r="K42" s="9"/>
      <c r="L42" s="9"/>
    </row>
    <row r="43" customFormat="false" ht="14.25" hidden="false" customHeight="true" outlineLevel="0" collapsed="false">
      <c r="B43" s="10" t="s">
        <v>42</v>
      </c>
      <c r="C43" s="11" t="n">
        <f aca="false">INDEX(Japan!$D$6:$D$92,MATCH(C$7,Japan!$A$6:$A$92,0))/1000</f>
        <v>0</v>
      </c>
      <c r="D43" s="11" t="n">
        <f aca="false">INDEX(Japan!$D$6:$D$92,MATCH(D$7,Japan!$A$6:$A$92,0))/1000</f>
        <v>0</v>
      </c>
      <c r="E43" s="11" t="n">
        <f aca="false">INDEX(Japan!$D$6:$D$92,MATCH(E$7,Japan!$A$6:$A$92,0))/1000</f>
        <v>0.682595555987464</v>
      </c>
      <c r="F43" s="11" t="n">
        <f aca="false">INDEX(Japan!$D$6:$D$92,MATCH(F$7,Japan!$A$6:$A$92,0))/1000</f>
        <v>1.16944250383551</v>
      </c>
      <c r="G43" s="11" t="n">
        <f aca="false">INDEX(Japan!$D$6:$D$92,MATCH(G$7,Japan!$A$6:$A$92,0))/1000</f>
        <v>2.63485256829783</v>
      </c>
      <c r="H43" s="11" t="n">
        <f aca="false">INDEX(Japan!$D$6:$D$92,MATCH(H$7,Japan!$A$6:$A$92,0))/1000</f>
        <v>4.91793062390534</v>
      </c>
      <c r="I43" s="11" t="n">
        <f aca="false">INDEX(Japan!$D$6:$D$92,MATCH(I$7,Japan!$A$6:$A$92,0))/1000</f>
        <v>12.9347329363879</v>
      </c>
      <c r="J43" s="11" t="n">
        <f aca="false">INDEX(Japan!$D$6:$D$92,MATCH(J$7,Japan!$A$6:$A$92,0))/1000</f>
        <v>17.6547985645488</v>
      </c>
      <c r="K43" s="11" t="n">
        <f aca="false">INDEX(Japan!$D$6:$D$92,MATCH(K$7,Japan!$A$6:$A$92,0))/1000</f>
        <v>20.9860659903679</v>
      </c>
      <c r="L43" s="11" t="n">
        <f aca="false">INDEX(Japan!$D$6:$D$92,MATCH(L$7,Japan!$A$6:$A$92,0))/1000</f>
        <v>17.6549262071279</v>
      </c>
    </row>
    <row r="44" customFormat="false" ht="14.25" hidden="false" customHeight="true" outlineLevel="0" collapsed="false">
      <c r="B44" s="10" t="s">
        <v>43</v>
      </c>
      <c r="C44" s="11" t="n">
        <f aca="false">INDEX(Partners!$J$6:$J$92,MATCH(C$7,Partners!$A$6:$A$92,0))</f>
        <v>0</v>
      </c>
      <c r="D44" s="11" t="n">
        <f aca="false">INDEX(Partners!$J$6:$J$92,MATCH(D$7,Partners!$A$6:$A$92,0))</f>
        <v>0</v>
      </c>
      <c r="E44" s="11" t="n">
        <f aca="false">INDEX(Partners!$J$6:$J$92,MATCH(E$7,Partners!$A$6:$A$92,0))</f>
        <v>0.0896641913602701</v>
      </c>
      <c r="F44" s="11" t="n">
        <f aca="false">INDEX(Partners!$J$6:$J$92,MATCH(F$7,Partners!$A$6:$A$92,0))</f>
        <v>0.139219345694703</v>
      </c>
      <c r="G44" s="11" t="n">
        <f aca="false">INDEX(Partners!$J$6:$J$92,MATCH(G$7,Partners!$A$6:$A$92,0))</f>
        <v>0.194097383280748</v>
      </c>
      <c r="H44" s="11" t="n">
        <f aca="false">INDEX(Partners!$J$6:$J$92,MATCH(H$7,Partners!$A$6:$A$92,0))</f>
        <v>0.237881126633356</v>
      </c>
      <c r="I44" s="11" t="n">
        <f aca="false">INDEX(Partners!$J$6:$J$92,MATCH(I$7,Partners!$A$6:$A$92,0))</f>
        <v>0.320650171902481</v>
      </c>
      <c r="J44" s="11" t="n">
        <f aca="false">INDEX(Partners!$J$6:$J$92,MATCH(J$7,Partners!$A$6:$A$92,0))</f>
        <v>0.450198353832372</v>
      </c>
      <c r="K44" s="11" t="n">
        <f aca="false">INDEX(Partners!$J$6:$J$92,MATCH(K$7,Partners!$A$6:$A$92,0))</f>
        <v>0.384737169027672</v>
      </c>
      <c r="L44" s="11" t="n">
        <f aca="false">INDEX(Partners!$J$6:$J$92,MATCH(L$7,Partners!$A$6:$A$92,0))</f>
        <v>0.558587064870657</v>
      </c>
    </row>
    <row r="45" customFormat="false" ht="14.25" hidden="false" customHeight="true" outlineLevel="0" collapsed="false">
      <c r="B45" s="10" t="s">
        <v>44</v>
      </c>
      <c r="C45" s="11" t="n">
        <f aca="false">INDEX(Partners!$CA$6:$CA$92,MATCH(C$7,Partners!$A$6:$A$92,0))</f>
        <v>0</v>
      </c>
      <c r="D45" s="11" t="n">
        <f aca="false">INDEX(Partners!$CA$6:$CA$92,MATCH(D$7,Partners!$A$6:$A$92,0))</f>
        <v>0</v>
      </c>
      <c r="E45" s="11" t="n">
        <f aca="false">INDEX(Partners!$CA$6:$CA$92,MATCH(E$7,Partners!$A$6:$A$92,0))</f>
        <v>1.12267651311694</v>
      </c>
      <c r="F45" s="11" t="n">
        <f aca="false">INDEX(Partners!$CA$6:$CA$92,MATCH(F$7,Partners!$A$6:$A$92,0))</f>
        <v>1.38983074091628</v>
      </c>
      <c r="G45" s="11" t="n">
        <f aca="false">INDEX(Partners!$CA$6:$CA$92,MATCH(G$7,Partners!$A$6:$A$92,0))</f>
        <v>1.40854753515797</v>
      </c>
      <c r="H45" s="11" t="n">
        <f aca="false">INDEX(Partners!$CA$6:$CA$92,MATCH(H$7,Partners!$A$6:$A$92,0))</f>
        <v>1.57266352171156</v>
      </c>
      <c r="I45" s="11" t="n">
        <f aca="false">INDEX(Partners!$CA$6:$CA$92,MATCH(I$7,Partners!$A$6:$A$92,0))</f>
        <v>1.72400631690796</v>
      </c>
      <c r="J45" s="11" t="n">
        <f aca="false">INDEX(Partners!$CA$6:$CA$92,MATCH(J$7,Partners!$A$6:$A$92,0))</f>
        <v>1.81991846578031</v>
      </c>
      <c r="K45" s="11" t="n">
        <f aca="false">INDEX(Partners!$CA$6:$CA$92,MATCH(K$7,Partners!$A$6:$A$92,0))</f>
        <v>1.94685198551474</v>
      </c>
      <c r="L45" s="11" t="n">
        <f aca="false">INDEX(Partners!$CA$6:$CA$92,MATCH(L$7,Partners!$A$6:$A$92,0))</f>
        <v>2.13519667818687</v>
      </c>
    </row>
    <row r="46" customFormat="false" ht="14.25" hidden="false" customHeight="true" outlineLevel="0" collapsed="false">
      <c r="B46" s="10" t="s">
        <v>45</v>
      </c>
      <c r="C46" s="11" t="n">
        <f aca="false">INDEX(Partners!$BW$6:$BW$92,MATCH(C$7,Partners!$A$6:$A$92,0))</f>
        <v>1</v>
      </c>
      <c r="D46" s="11" t="n">
        <f aca="false">INDEX(Partners!$BW$6:$BW$92,MATCH(D$7,Partners!$A$6:$A$92,0))</f>
        <v>1.00086261949471</v>
      </c>
      <c r="E46" s="11" t="n">
        <f aca="false">INDEX(Partners!$BW$6:$BW$92,MATCH(E$7,Partners!$A$6:$A$92,0))</f>
        <v>1.04706881562357</v>
      </c>
      <c r="F46" s="11" t="n">
        <f aca="false">INDEX(Partners!$BW$6:$BW$92,MATCH(F$7,Partners!$A$6:$A$92,0))</f>
        <v>1.15697253358579</v>
      </c>
      <c r="G46" s="11" t="n">
        <f aca="false">INDEX(Partners!$BW$6:$BW$92,MATCH(G$7,Partners!$A$6:$A$92,0))</f>
        <v>1.26702393251458</v>
      </c>
      <c r="H46" s="11" t="n">
        <f aca="false">INDEX(Partners!$BW$6:$BW$92,MATCH(H$7,Partners!$A$6:$A$92,0))</f>
        <v>1.38223010864531</v>
      </c>
      <c r="I46" s="11" t="n">
        <f aca="false">INDEX(Partners!$BW$6:$BW$92,MATCH(I$7,Partners!$A$6:$A$92,0))</f>
        <v>1.46632422249876</v>
      </c>
      <c r="J46" s="11" t="n">
        <f aca="false">INDEX(Partners!$BW$6:$BW$92,MATCH(J$7,Partners!$A$6:$A$92,0))</f>
        <v>1.53915539751349</v>
      </c>
      <c r="K46" s="11" t="n">
        <f aca="false">INDEX(Partners!$BW$6:$BW$92,MATCH(K$7,Partners!$A$6:$A$92,0))</f>
        <v>1.68908214761089</v>
      </c>
      <c r="L46" s="11" t="n">
        <f aca="false">INDEX(Partners!$BW$6:$BW$92,MATCH(L$7,Partners!$A$6:$A$92,0))</f>
        <v>1.76248043812865</v>
      </c>
    </row>
    <row r="47" customFormat="false" ht="14.25" hidden="false" customHeight="true" outlineLevel="0" collapsed="false">
      <c r="B47" s="10" t="s">
        <v>46</v>
      </c>
      <c r="C47" s="12" t="n">
        <f aca="false">INDEX(Japan!$AA$6:$AA$92,MATCH(C$7,Japan!$A$6:$A$92,0))</f>
        <v>0</v>
      </c>
      <c r="D47" s="12" t="n">
        <f aca="false">INDEX(Japan!$AA$6:$AA$92,MATCH(D$7,Japan!$A$6:$A$92,0))</f>
        <v>0</v>
      </c>
      <c r="E47" s="12" t="n">
        <f aca="false">INDEX(Japan!$AA$6:$AA$92,MATCH(E$7,Japan!$A$6:$A$92,0))</f>
        <v>0.169866691050443</v>
      </c>
      <c r="F47" s="12" t="n">
        <f aca="false">INDEX(Japan!$AA$6:$AA$92,MATCH(F$7,Japan!$A$6:$A$92,0))</f>
        <v>0.139534779379269</v>
      </c>
      <c r="G47" s="12" t="n">
        <f aca="false">INDEX(Japan!$AA$6:$AA$92,MATCH(G$7,Japan!$A$6:$A$92,0))</f>
        <v>0.425471037101116</v>
      </c>
      <c r="H47" s="12" t="n">
        <f aca="false">INDEX(Japan!$AA$6:$AA$92,MATCH(H$7,Japan!$A$6:$A$92,0))</f>
        <v>0.104493054596555</v>
      </c>
      <c r="I47" s="12" t="n">
        <f aca="false">INDEX(Japan!$AA$6:$AA$92,MATCH(I$7,Japan!$A$6:$A$92,0))</f>
        <v>0.0230589511345637</v>
      </c>
      <c r="J47" s="12" t="n">
        <f aca="false">INDEX(Japan!$AA$6:$AA$92,MATCH(J$7,Japan!$A$6:$A$92,0))</f>
        <v>0.014956197295249</v>
      </c>
      <c r="K47" s="12" t="n">
        <f aca="false">INDEX(Japan!$AA$6:$AA$92,MATCH(K$7,Japan!$A$6:$A$92,0))</f>
        <v>0.0429769031741458</v>
      </c>
      <c r="L47" s="12" t="n">
        <f aca="false">INDEX(Japan!$AA$6:$AA$92,MATCH(L$7,Japan!$A$6:$A$92,0))</f>
        <v>0.0316978413784847</v>
      </c>
    </row>
    <row r="48" customFormat="false" ht="14.25" hidden="false" customHeight="true" outlineLevel="0" collapsed="false">
      <c r="B48" s="8" t="s">
        <v>47</v>
      </c>
      <c r="C48" s="9"/>
      <c r="D48" s="9"/>
      <c r="E48" s="9"/>
      <c r="F48" s="9"/>
      <c r="G48" s="9"/>
      <c r="H48" s="9"/>
      <c r="I48" s="9"/>
      <c r="J48" s="9"/>
      <c r="K48" s="9"/>
      <c r="L48" s="9"/>
    </row>
    <row r="49" customFormat="false" ht="14.25" hidden="false" customHeight="true" outlineLevel="0" collapsed="false">
      <c r="B49" s="10" t="s">
        <v>48</v>
      </c>
      <c r="C49" s="16" t="n">
        <f aca="false">INDEX(Checks!$S$6:$S$92,MATCH(C$7,Checks!$A$6:$A$92,0))</f>
        <v>0</v>
      </c>
      <c r="D49" s="16" t="n">
        <f aca="false">INDEX(Checks!$S$6:$S$92,MATCH(D$7,Checks!$A$6:$A$92,0))</f>
        <v>0</v>
      </c>
      <c r="E49" s="16" t="n">
        <f aca="false">INDEX(Checks!$S$6:$S$92,MATCH(E$7,Checks!$A$6:$A$92,0))</f>
        <v>0</v>
      </c>
      <c r="F49" s="16" t="n">
        <f aca="false">INDEX(Checks!$S$6:$S$92,MATCH(F$7,Checks!$A$6:$A$92,0))</f>
        <v>0</v>
      </c>
      <c r="G49" s="16" t="n">
        <f aca="false">INDEX(Checks!$S$6:$S$92,MATCH(G$7,Checks!$A$6:$A$92,0))</f>
        <v>0</v>
      </c>
      <c r="H49" s="16" t="n">
        <f aca="false">INDEX(Checks!$S$6:$S$92,MATCH(H$7,Checks!$A$6:$A$92,0))</f>
        <v>0</v>
      </c>
      <c r="I49" s="16" t="n">
        <f aca="false">INDEX(Checks!$S$6:$S$92,MATCH(I$7,Checks!$A$6:$A$92,0))</f>
        <v>0</v>
      </c>
      <c r="J49" s="16" t="n">
        <f aca="false">INDEX(Checks!$S$6:$S$92,MATCH(J$7,Checks!$A$6:$A$92,0))</f>
        <v>0</v>
      </c>
      <c r="K49" s="16" t="n">
        <f aca="false">INDEX(Checks!$S$6:$S$92,MATCH(K$7,Checks!$A$6:$A$92,0))</f>
        <v>0</v>
      </c>
      <c r="L49" s="16" t="n">
        <f aca="false">INDEX(Checks!$S$6:$S$92,MATCH(L$7,Checks!$A$6:$A$92,0))</f>
        <v>0</v>
      </c>
    </row>
    <row r="51" customFormat="false" ht="14.25" hidden="false" customHeight="true" outlineLevel="0" collapsed="false">
      <c r="B51" s="8" t="s">
        <v>49</v>
      </c>
      <c r="C51" s="9"/>
      <c r="D51" s="9"/>
      <c r="E51" s="9"/>
      <c r="F51" s="9"/>
    </row>
    <row r="52" customFormat="false" ht="14.25" hidden="false" customHeight="true" outlineLevel="0" collapsed="false">
      <c r="C52" s="7" t="n">
        <v>1913</v>
      </c>
      <c r="D52" s="7" t="n">
        <v>1929</v>
      </c>
      <c r="E52" s="7" t="n">
        <v>1932</v>
      </c>
    </row>
    <row r="53" customFormat="false" ht="14.25" hidden="false" customHeight="true" outlineLevel="0" collapsed="false">
      <c r="B53" s="10" t="s">
        <v>50</v>
      </c>
      <c r="C53" s="17" t="n">
        <f aca="false">World!E6</f>
        <v>17.7848315903381</v>
      </c>
      <c r="D53" s="17" t="n">
        <f aca="false">World!F6</f>
        <v>69.4723418191507</v>
      </c>
      <c r="E53" s="17" t="n">
        <f aca="false">World!G6</f>
        <v>54.8461190116299</v>
      </c>
    </row>
    <row r="54" customFormat="false" ht="14.25" hidden="false" customHeight="true" outlineLevel="0" collapsed="false">
      <c r="B54" s="4" t="s">
        <v>51</v>
      </c>
      <c r="C54" s="17" t="n">
        <f aca="false">World!E8</f>
        <v>22.7027622142434</v>
      </c>
      <c r="D54" s="17" t="n">
        <f aca="false">World!F8</f>
        <v>90.4584078095186</v>
      </c>
      <c r="E54" s="17" t="n">
        <f aca="false">World!G8</f>
        <v>72.5010452187578</v>
      </c>
    </row>
    <row r="55" customFormat="false" ht="14.25" hidden="false" customHeight="true" outlineLevel="0" collapsed="false">
      <c r="B55" s="4" t="s">
        <v>52</v>
      </c>
      <c r="C55" s="17" t="n">
        <f aca="false">World!E12</f>
        <v>25.6965466606457</v>
      </c>
      <c r="D55" s="17" t="n">
        <f aca="false">World!F12</f>
        <v>102.434516148125</v>
      </c>
      <c r="E55" s="17" t="n">
        <f aca="false">World!G12</f>
        <v>80.2993694377632</v>
      </c>
    </row>
    <row r="56" customFormat="false" ht="14.25" hidden="false" customHeight="true" outlineLevel="0" collapsed="false">
      <c r="B56" s="10" t="s">
        <v>53</v>
      </c>
      <c r="C56" s="17" t="n">
        <f aca="false">World!E13</f>
        <v>26.7225906189969</v>
      </c>
      <c r="D56" s="17" t="n">
        <f aca="false">World!F13</f>
        <v>63.2821349038486</v>
      </c>
      <c r="E56" s="17" t="n">
        <f aca="false">World!G13</f>
        <v>32.4601394643285</v>
      </c>
    </row>
    <row r="57" customFormat="false" ht="14.25" hidden="false" customHeight="true" outlineLevel="0" collapsed="false">
      <c r="B57" s="10" t="s">
        <v>54</v>
      </c>
      <c r="C57" s="17" t="n">
        <f aca="false">World!E15</f>
        <v>12.2</v>
      </c>
      <c r="D57" s="17" t="n">
        <f aca="false">World!F15</f>
        <v>22.9</v>
      </c>
      <c r="E57" s="17" t="n">
        <f aca="false">World!G15</f>
        <v>15.3</v>
      </c>
    </row>
    <row r="58" customFormat="false" ht="14.25" hidden="false" customHeight="true" outlineLevel="0" collapsed="false">
      <c r="B58" s="10" t="s">
        <v>55</v>
      </c>
      <c r="C58" s="17" t="n">
        <f aca="false">World!E16</f>
        <v>12.4</v>
      </c>
      <c r="D58" s="17" t="n">
        <f aca="false">World!F16</f>
        <v>23.3</v>
      </c>
      <c r="E58" s="17" t="n">
        <f aca="false">World!G16</f>
        <v>15.2</v>
      </c>
    </row>
    <row r="60" customFormat="false" ht="14.25" hidden="false" customHeight="true" outlineLevel="0" collapsed="false">
      <c r="B60" s="8" t="s">
        <v>56</v>
      </c>
      <c r="C60" s="9"/>
      <c r="D60" s="9"/>
      <c r="E60" s="9"/>
      <c r="F60" s="9"/>
      <c r="G60" s="9"/>
      <c r="H60" s="9"/>
      <c r="I60" s="9"/>
      <c r="J60" s="9"/>
      <c r="K60" s="9"/>
      <c r="L60" s="9"/>
    </row>
    <row r="61" customFormat="false" ht="14.25" hidden="false" customHeight="true" outlineLevel="0" collapsed="false">
      <c r="B61" s="18" t="s">
        <v>57</v>
      </c>
      <c r="C61" s="10" t="s">
        <v>58</v>
      </c>
    </row>
    <row r="62" customFormat="false" ht="14.25" hidden="false" customHeight="true" outlineLevel="0" collapsed="false">
      <c r="B62" s="18" t="s">
        <v>59</v>
      </c>
      <c r="C62" s="10" t="s">
        <v>60</v>
      </c>
    </row>
    <row r="63" customFormat="false" ht="14.25" hidden="false" customHeight="true" outlineLevel="0" collapsed="false">
      <c r="B63" s="18" t="s">
        <v>61</v>
      </c>
      <c r="C63" s="10" t="s">
        <v>62</v>
      </c>
    </row>
    <row r="64" customFormat="false" ht="14.25" hidden="false" customHeight="true" outlineLevel="0" collapsed="false">
      <c r="B64" s="18" t="s">
        <v>63</v>
      </c>
      <c r="C64" s="10" t="s">
        <v>64</v>
      </c>
    </row>
    <row r="65" customFormat="false" ht="14.25" hidden="false" customHeight="true" outlineLevel="0" collapsed="false">
      <c r="B65" s="18" t="s">
        <v>65</v>
      </c>
      <c r="C65" s="10" t="s">
        <v>66</v>
      </c>
    </row>
    <row r="66" customFormat="false" ht="14.25" hidden="false" customHeight="true" outlineLevel="0" collapsed="false">
      <c r="B66" s="18" t="s">
        <v>67</v>
      </c>
      <c r="C66" s="10" t="s">
        <v>68</v>
      </c>
    </row>
    <row r="67" customFormat="false" ht="14.25" hidden="false" customHeight="true" outlineLevel="0" collapsed="false">
      <c r="B67" s="18" t="s">
        <v>69</v>
      </c>
      <c r="C67" s="10" t="s">
        <v>70</v>
      </c>
    </row>
    <row r="68" customFormat="false" ht="14.25" hidden="false" customHeight="true" outlineLevel="0" collapsed="false">
      <c r="B68" s="18" t="s">
        <v>71</v>
      </c>
      <c r="C68" s="10" t="s">
        <v>72</v>
      </c>
    </row>
    <row r="69" customFormat="false" ht="14.25" hidden="false" customHeight="true" outlineLevel="0" collapsed="false">
      <c r="B69" s="18" t="s">
        <v>73</v>
      </c>
      <c r="C69" s="10" t="s">
        <v>74</v>
      </c>
    </row>
    <row r="70" customFormat="false" ht="14.25" hidden="false" customHeight="true" outlineLevel="0" collapsed="false">
      <c r="B70" s="18" t="s">
        <v>75</v>
      </c>
      <c r="C70" s="10" t="s">
        <v>76</v>
      </c>
    </row>
    <row r="71" customFormat="false" ht="14.25" hidden="false" customHeight="true" outlineLevel="0" collapsed="false">
      <c r="B71" s="18" t="s">
        <v>77</v>
      </c>
      <c r="C71" s="10" t="s">
        <v>78</v>
      </c>
    </row>
    <row r="72" customFormat="false" ht="14.25" hidden="false" customHeight="true" outlineLevel="0" collapsed="false">
      <c r="B72" s="18" t="s">
        <v>35</v>
      </c>
      <c r="C72" s="10" t="s">
        <v>79</v>
      </c>
    </row>
    <row r="73" customFormat="false" ht="14.25" hidden="false" customHeight="true" outlineLevel="0" collapsed="false">
      <c r="B73" s="18" t="s">
        <v>41</v>
      </c>
      <c r="C73" s="10" t="s">
        <v>80</v>
      </c>
    </row>
    <row r="74" customFormat="false" ht="14.25" hidden="false" customHeight="true" outlineLevel="0" collapsed="false">
      <c r="B74" s="18" t="s">
        <v>81</v>
      </c>
      <c r="C74" s="10" t="s">
        <v>82</v>
      </c>
    </row>
    <row r="75" customFormat="false" ht="14.25" hidden="false" customHeight="true" outlineLevel="0" collapsed="false">
      <c r="B75" s="18" t="s">
        <v>83</v>
      </c>
      <c r="C75" s="10" t="s">
        <v>84</v>
      </c>
    </row>
    <row r="76" customFormat="false" ht="14.25" hidden="false" customHeight="true" outlineLevel="0" collapsed="false">
      <c r="B76" s="18" t="s">
        <v>85</v>
      </c>
      <c r="C76" s="10" t="s">
        <v>86</v>
      </c>
    </row>
    <row r="77" customFormat="false" ht="14.25" hidden="false" customHeight="true" outlineLevel="0" collapsed="false">
      <c r="B77" s="18" t="s">
        <v>87</v>
      </c>
      <c r="C77" s="10" t="s">
        <v>88</v>
      </c>
    </row>
    <row r="78" customFormat="false" ht="14.25" hidden="false" customHeight="true" outlineLevel="0" collapsed="false">
      <c r="B78" s="18" t="s">
        <v>89</v>
      </c>
      <c r="C78" s="10" t="s">
        <v>90</v>
      </c>
    </row>
    <row r="79" customFormat="false" ht="14.25" hidden="false" customHeight="true" outlineLevel="0" collapsed="false">
      <c r="B79" s="18" t="s">
        <v>91</v>
      </c>
      <c r="C79" s="10" t="s">
        <v>92</v>
      </c>
    </row>
    <row r="80" customFormat="false" ht="14.25" hidden="false" customHeight="true" outlineLevel="0" collapsed="false">
      <c r="B80" s="18" t="s">
        <v>47</v>
      </c>
      <c r="C80" s="10" t="s">
        <v>93</v>
      </c>
    </row>
    <row r="81" customFormat="false" ht="14.25" hidden="false" customHeight="true" outlineLevel="0" collapsed="false">
      <c r="B81" s="18" t="s">
        <v>94</v>
      </c>
      <c r="C81" s="10" t="s">
        <v>95</v>
      </c>
    </row>
    <row r="82" customFormat="false" ht="14.25" hidden="false" customHeight="true" outlineLevel="0" collapsed="false">
      <c r="B82" s="3" t="s">
        <v>96</v>
      </c>
    </row>
    <row r="84" customFormat="false" ht="14.25" hidden="false" customHeight="true" outlineLevel="0" collapsed="false">
      <c r="B84" s="1" t="s">
        <v>97</v>
      </c>
      <c r="C84" s="1" t="s">
        <v>98</v>
      </c>
    </row>
  </sheetData>
  <hyperlinks>
    <hyperlink ref="B61" location="'Levers'!A1" display="Levers"/>
    <hyperlink ref="B62" location="'Events'!A1" display="Events"/>
    <hyperlink ref="B63" location="'Paths'!A1" display="Paths"/>
    <hyperlink ref="B64" location="'People'!A1" display="People"/>
    <hyperlink ref="B65" location="'Economy'!A1" display="Economy"/>
    <hyperlink ref="B66" location="'Resources'!A1" display="Resources"/>
    <hyperlink ref="B67" location="'Budget'!A1" display="Budget"/>
    <hyperlink ref="B68" location="'Debt &amp; cash'!A1" display="Debt &amp; cash"/>
    <hyperlink ref="B69" location="'Loans'!A1" display="Loans"/>
    <hyperlink ref="B70" location="'Gold &amp; money'!A1" display="Gold &amp; money"/>
    <hyperlink ref="B71" location="'Navy plan'!A1" display="Navy plan"/>
    <hyperlink ref="B72" location="'Navy'!A1" display="Navy"/>
    <hyperlink ref="B73" location="'Japan'!A1" display="Japan"/>
    <hyperlink ref="B74" location="'Partners'!A1" display="Partners"/>
    <hyperlink ref="B75" location="'Abroad'!A1" display="Abroad"/>
    <hyperlink ref="B76" location="'Labour'!A1" display="Labour"/>
    <hyperlink ref="B77" location="'Champions'!A1" display="Champions"/>
    <hyperlink ref="B78" location="'Gulf'!A1" display="Gulf"/>
    <hyperlink ref="B79" location="'World'!A1" display="World"/>
    <hyperlink ref="B80" location="'Checks'!A1" display="Checks"/>
    <hyperlink ref="B81" location="'Changes'!A1" display="Chang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6B"/>
    <pageSetUpPr fitToPage="fals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8671875" defaultRowHeight="14.2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8"/>
    <col collapsed="false" customWidth="true" hidden="false" outlineLevel="0" max="5" min="4" style="1" width="14"/>
    <col collapsed="false" customWidth="true" hidden="false" outlineLevel="0" max="6" min="6" style="1" width="10"/>
    <col collapsed="false" customWidth="true" hidden="false" outlineLevel="0" max="7" min="7" style="1" width="90"/>
  </cols>
  <sheetData>
    <row r="1" customFormat="false" ht="18" hidden="false" customHeight="true" outlineLevel="0" collapsed="false">
      <c r="A1" s="19" t="s">
        <v>99</v>
      </c>
    </row>
    <row r="2" customFormat="false" ht="14.25" hidden="false" customHeight="true" outlineLevel="0" collapsed="false">
      <c r="A2" s="3" t="s">
        <v>100</v>
      </c>
    </row>
    <row r="3" customFormat="false" ht="14.25" hidden="false" customHeight="true" outlineLevel="0" collapsed="false">
      <c r="A3" s="20" t="s">
        <v>101</v>
      </c>
    </row>
    <row r="5" customFormat="false" ht="14.25" hidden="false" customHeight="true" outlineLevel="0" collapsed="false">
      <c r="B5" s="7" t="s">
        <v>102</v>
      </c>
      <c r="C5" s="7" t="s">
        <v>103</v>
      </c>
      <c r="D5" s="7" t="s">
        <v>104</v>
      </c>
      <c r="E5" s="7" t="s">
        <v>105</v>
      </c>
      <c r="F5" s="7" t="s">
        <v>106</v>
      </c>
      <c r="G5" s="7" t="s">
        <v>107</v>
      </c>
    </row>
    <row r="6" customFormat="false" ht="14.25" hidden="false" customHeight="true" outlineLevel="0" collapsed="false">
      <c r="B6" s="10" t="s">
        <v>108</v>
      </c>
      <c r="C6" s="10" t="n">
        <v>1895</v>
      </c>
      <c r="D6" s="21" t="n">
        <v>6.01</v>
      </c>
      <c r="E6" s="22" t="n">
        <f aca="false">INDEX(People!$L$6:$L$92,MATCH(C6,People!$A$6:$A$92,0))/1000000</f>
        <v>8.3296699113983</v>
      </c>
      <c r="F6" s="23" t="n">
        <f aca="false">IF(D6&lt;&gt;0,E6/D6,0)</f>
        <v>1.38596837128092</v>
      </c>
      <c r="G6" s="24" t="s">
        <v>109</v>
      </c>
    </row>
    <row r="7" customFormat="false" ht="14.25" hidden="false" customHeight="true" outlineLevel="0" collapsed="false">
      <c r="B7" s="10" t="s">
        <v>108</v>
      </c>
      <c r="C7" s="10" t="n">
        <v>1913</v>
      </c>
      <c r="D7" s="21" t="n">
        <v>9.44</v>
      </c>
      <c r="E7" s="22" t="n">
        <f aca="false">INDEX(People!$L$6:$L$92,MATCH(C7,People!$A$6:$A$92,0))/1000000</f>
        <v>19.2276637359441</v>
      </c>
      <c r="F7" s="23" t="n">
        <f aca="false">IF(D7&lt;&gt;0,E7/D7,0)</f>
        <v>2.03682878558729</v>
      </c>
      <c r="G7" s="24" t="s">
        <v>110</v>
      </c>
    </row>
    <row r="8" customFormat="false" ht="21.75" hidden="false" customHeight="true" outlineLevel="0" collapsed="false">
      <c r="B8" s="10" t="s">
        <v>108</v>
      </c>
      <c r="C8" s="10" t="n">
        <v>1929</v>
      </c>
      <c r="D8" s="21" t="n">
        <v>12.92</v>
      </c>
      <c r="E8" s="22" t="n">
        <f aca="false">INDEX(People!$L$6:$L$92,MATCH(C8,People!$A$6:$A$92,0))/1000000</f>
        <v>33.396639032833</v>
      </c>
      <c r="F8" s="23" t="n">
        <f aca="false">IF(D8&lt;&gt;0,E8/D8,0)</f>
        <v>2.58487918210781</v>
      </c>
      <c r="G8" s="24" t="s">
        <v>111</v>
      </c>
    </row>
    <row r="9" customFormat="false" ht="14.25" hidden="false" customHeight="true" outlineLevel="0" collapsed="false">
      <c r="B9" s="10" t="s">
        <v>11</v>
      </c>
      <c r="C9" s="10" t="n">
        <v>1895</v>
      </c>
      <c r="D9" s="21" t="n">
        <v>2.24</v>
      </c>
      <c r="E9" s="22" t="n">
        <f aca="false">INDEX(Economy!$O$6:$O$92,MATCH(C9,Economy!$A$6:$A$92,0))/1000</f>
        <v>3.48567864014666</v>
      </c>
      <c r="F9" s="23" t="n">
        <f aca="false">IF(D9&lt;&gt;0,E9/D9,0)</f>
        <v>1.55610653577976</v>
      </c>
      <c r="G9" s="24" t="s">
        <v>112</v>
      </c>
    </row>
    <row r="10" customFormat="false" ht="14.25" hidden="false" customHeight="true" outlineLevel="0" collapsed="false">
      <c r="B10" s="10" t="s">
        <v>11</v>
      </c>
      <c r="C10" s="10" t="n">
        <v>1913</v>
      </c>
      <c r="D10" s="21" t="n">
        <v>5.62</v>
      </c>
      <c r="E10" s="22" t="n">
        <f aca="false">INDEX(Economy!$O$6:$O$92,MATCH(C10,Economy!$A$6:$A$92,0))/1000</f>
        <v>17.7848315903381</v>
      </c>
      <c r="F10" s="23" t="n">
        <f aca="false">IF(D10&lt;&gt;0,E10/D10,0)</f>
        <v>3.16456078119894</v>
      </c>
      <c r="G10" s="24"/>
    </row>
    <row r="11" customFormat="false" ht="32.25" hidden="false" customHeight="true" outlineLevel="0" collapsed="false">
      <c r="B11" s="10" t="s">
        <v>11</v>
      </c>
      <c r="C11" s="10" t="n">
        <v>1929</v>
      </c>
      <c r="D11" s="21" t="n">
        <v>12.15</v>
      </c>
      <c r="E11" s="22" t="n">
        <f aca="false">INDEX(Economy!$O$6:$O$92,MATCH(C11,Economy!$A$6:$A$92,0))/1000</f>
        <v>69.4723418191507</v>
      </c>
      <c r="F11" s="23" t="n">
        <f aca="false">IF(D11&lt;&gt;0,E11/D11,0)</f>
        <v>5.71788821556796</v>
      </c>
      <c r="G11" s="24" t="s">
        <v>113</v>
      </c>
    </row>
    <row r="12" customFormat="false" ht="21.75" hidden="false" customHeight="true" outlineLevel="0" collapsed="false">
      <c r="B12" s="10" t="s">
        <v>11</v>
      </c>
      <c r="C12" s="10" t="n">
        <v>1932</v>
      </c>
      <c r="D12" s="21" t="n">
        <v>7.11</v>
      </c>
      <c r="E12" s="22" t="n">
        <f aca="false">INDEX(Economy!$O$6:$O$92,MATCH(C12,Economy!$A$6:$A$92,0))/1000</f>
        <v>54.8461190116299</v>
      </c>
      <c r="F12" s="23" t="n">
        <f aca="false">IF(D12&lt;&gt;0,E12/D12,0)</f>
        <v>7.71394078925877</v>
      </c>
      <c r="G12" s="24" t="s">
        <v>114</v>
      </c>
    </row>
    <row r="13" customFormat="false" ht="14.25" hidden="false" customHeight="true" outlineLevel="0" collapsed="false">
      <c r="B13" s="10" t="s">
        <v>115</v>
      </c>
      <c r="C13" s="10" t="n">
        <v>1929</v>
      </c>
      <c r="D13" s="25" t="n">
        <v>1255</v>
      </c>
      <c r="E13" s="26" t="n">
        <f aca="false">INDEX(Budget!$M$6:$M$92,MATCH(C13,Budget!$A$6:$A$92,0))</f>
        <v>7577.41890193333</v>
      </c>
      <c r="F13" s="23" t="n">
        <f aca="false">IF(D13&lt;&gt;0,E13/D13,0)</f>
        <v>6.03778398560425</v>
      </c>
      <c r="G13" s="24"/>
    </row>
    <row r="14" customFormat="false" ht="14.25" hidden="false" customHeight="true" outlineLevel="0" collapsed="false">
      <c r="B14" s="10" t="s">
        <v>116</v>
      </c>
      <c r="C14" s="10" t="n">
        <v>1913</v>
      </c>
      <c r="D14" s="25" t="n">
        <v>114.5</v>
      </c>
      <c r="E14" s="26" t="n">
        <f aca="false">INDEX(Navy!$Y$6:$Y$92,MATCH(C14,Navy!$A$6:$A$92,0))</f>
        <v>74.37585</v>
      </c>
      <c r="F14" s="23" t="n">
        <f aca="false">IF(D14&lt;&gt;0,E14/D14,0)</f>
        <v>0.649570742358079</v>
      </c>
      <c r="G14" s="24" t="s">
        <v>117</v>
      </c>
    </row>
    <row r="15" customFormat="false" ht="14.25" hidden="false" customHeight="true" outlineLevel="0" collapsed="false">
      <c r="B15" s="10" t="s">
        <v>116</v>
      </c>
      <c r="C15" s="10" t="n">
        <v>1929</v>
      </c>
      <c r="D15" s="25" t="n">
        <v>195</v>
      </c>
      <c r="E15" s="26" t="n">
        <f aca="false">INDEX(Navy!$Y$6:$Y$92,MATCH(C15,Navy!$A$6:$A$92,0))</f>
        <v>183.352537875</v>
      </c>
      <c r="F15" s="23" t="n">
        <f aca="false">IF(D15&lt;&gt;0,E15/D15,0)</f>
        <v>0.940269425</v>
      </c>
      <c r="G15" s="24" t="s">
        <v>118</v>
      </c>
    </row>
    <row r="16" customFormat="false" ht="21.75" hidden="false" customHeight="true" outlineLevel="0" collapsed="false">
      <c r="B16" s="10" t="s">
        <v>30</v>
      </c>
      <c r="C16" s="10" t="n">
        <v>1932</v>
      </c>
      <c r="D16" s="25" t="n">
        <v>119.8</v>
      </c>
      <c r="E16" s="26" t="n">
        <f aca="false">INDEX('Debt &amp; cash'!$R$6:$R$92,MATCH(C16,'Debt &amp; cash'!$A$6:$A$92,0))</f>
        <v>2920.49044457466</v>
      </c>
      <c r="F16" s="23" t="n">
        <f aca="false">IF(D16&lt;&gt;0,E16/D16,0)</f>
        <v>24.3780504555481</v>
      </c>
      <c r="G16" s="24" t="s">
        <v>119</v>
      </c>
    </row>
    <row r="17" customFormat="false" ht="14.25" hidden="false" customHeight="true" outlineLevel="0" collapsed="false">
      <c r="B17" s="10" t="s">
        <v>120</v>
      </c>
      <c r="C17" s="10" t="n">
        <v>1929</v>
      </c>
      <c r="D17" s="25" t="n">
        <v>2326.7</v>
      </c>
      <c r="E17" s="26" t="n">
        <f aca="false">INDEX('Debt &amp; cash'!$M$6:$M$92,MATCH(C17,'Debt &amp; cash'!$A$6:$A$92,0))</f>
        <v>1894.35472548333</v>
      </c>
      <c r="F17" s="23" t="n">
        <f aca="false">IF(D17&lt;&gt;0,E17/D17,0)</f>
        <v>0.814180910939671</v>
      </c>
      <c r="G17" s="24" t="s">
        <v>121</v>
      </c>
    </row>
    <row r="18" customFormat="false" ht="14.25" hidden="false" customHeight="true" outlineLevel="0" collapsed="false">
      <c r="B18" s="10" t="s">
        <v>34</v>
      </c>
      <c r="C18" s="10" t="n">
        <v>1932</v>
      </c>
      <c r="D18" s="25" t="n">
        <v>1355.5</v>
      </c>
      <c r="E18" s="26" t="n">
        <f aca="false">INDEX('Gold &amp; money'!$F$6:$F$92,MATCH(C18,'Gold &amp; money'!$A$6:$A$92,0))</f>
        <v>2363.09079651146</v>
      </c>
      <c r="F18" s="23" t="n">
        <f aca="false">IF(D18&lt;&gt;0,E18/D18,0)</f>
        <v>1.74333515050643</v>
      </c>
      <c r="G18" s="24"/>
    </row>
    <row r="20" customFormat="false" ht="14.25" hidden="false" customHeight="true" outlineLevel="0" collapsed="false">
      <c r="B20" s="8" t="s">
        <v>122</v>
      </c>
      <c r="C20" s="9"/>
      <c r="D20" s="9"/>
      <c r="E20" s="9"/>
      <c r="F20" s="9"/>
      <c r="G20" s="9"/>
    </row>
    <row r="21" customFormat="false" ht="30" hidden="false" customHeight="true" outlineLevel="0" collapsed="false">
      <c r="B21" s="4" t="s">
        <v>123</v>
      </c>
      <c r="C21" s="27" t="s">
        <v>124</v>
      </c>
      <c r="D21" s="27"/>
      <c r="E21" s="27"/>
      <c r="F21" s="27"/>
      <c r="G21" s="27"/>
    </row>
    <row r="22" customFormat="false" ht="30" hidden="false" customHeight="true" outlineLevel="0" collapsed="false">
      <c r="B22" s="4" t="s">
        <v>125</v>
      </c>
      <c r="C22" s="27" t="s">
        <v>126</v>
      </c>
      <c r="D22" s="27"/>
      <c r="E22" s="27"/>
      <c r="F22" s="27"/>
      <c r="G22" s="27"/>
    </row>
    <row r="23" customFormat="false" ht="30" hidden="false" customHeight="true" outlineLevel="0" collapsed="false">
      <c r="B23" s="4" t="s">
        <v>127</v>
      </c>
      <c r="C23" s="27" t="s">
        <v>128</v>
      </c>
      <c r="D23" s="27"/>
      <c r="E23" s="27"/>
      <c r="F23" s="27"/>
      <c r="G23" s="27"/>
    </row>
    <row r="24" customFormat="false" ht="30" hidden="false" customHeight="true" outlineLevel="0" collapsed="false">
      <c r="B24" s="4" t="s">
        <v>41</v>
      </c>
      <c r="C24" s="27" t="s">
        <v>129</v>
      </c>
      <c r="D24" s="27"/>
      <c r="E24" s="27"/>
      <c r="F24" s="27"/>
      <c r="G24" s="27"/>
    </row>
    <row r="25" customFormat="false" ht="30" hidden="false" customHeight="true" outlineLevel="0" collapsed="false">
      <c r="B25" s="4" t="s">
        <v>59</v>
      </c>
      <c r="C25" s="27" t="s">
        <v>130</v>
      </c>
      <c r="D25" s="27"/>
      <c r="E25" s="27"/>
      <c r="F25" s="27"/>
      <c r="G25" s="27"/>
    </row>
    <row r="26" customFormat="false" ht="30" hidden="false" customHeight="true" outlineLevel="0" collapsed="false">
      <c r="B26" s="4" t="s">
        <v>131</v>
      </c>
      <c r="C26" s="27" t="s">
        <v>132</v>
      </c>
      <c r="D26" s="27"/>
      <c r="E26" s="27"/>
      <c r="F26" s="27"/>
      <c r="G26" s="27"/>
    </row>
    <row r="27" customFormat="false" ht="30" hidden="false" customHeight="true" outlineLevel="0" collapsed="false">
      <c r="B27" s="4" t="s">
        <v>91</v>
      </c>
      <c r="C27" s="27" t="s">
        <v>133</v>
      </c>
      <c r="D27" s="27"/>
      <c r="E27" s="27"/>
      <c r="F27" s="27"/>
      <c r="G27" s="27"/>
    </row>
    <row r="28" customFormat="false" ht="30" hidden="false" customHeight="true" outlineLevel="0" collapsed="false">
      <c r="B28" s="4" t="s">
        <v>134</v>
      </c>
      <c r="C28" s="27" t="s">
        <v>135</v>
      </c>
      <c r="D28" s="27"/>
      <c r="E28" s="27"/>
      <c r="F28" s="27"/>
      <c r="G28" s="27"/>
    </row>
    <row r="29" customFormat="false" ht="30" hidden="false" customHeight="true" outlineLevel="0" collapsed="false">
      <c r="B29" s="4" t="s">
        <v>136</v>
      </c>
      <c r="C29" s="27" t="s">
        <v>137</v>
      </c>
      <c r="D29" s="27"/>
      <c r="E29" s="27"/>
      <c r="F29" s="27"/>
      <c r="G29" s="27"/>
    </row>
    <row r="30" customFormat="false" ht="30" hidden="false" customHeight="true" outlineLevel="0" collapsed="false">
      <c r="B30" s="4" t="s">
        <v>87</v>
      </c>
      <c r="C30" s="27" t="s">
        <v>138</v>
      </c>
      <c r="D30" s="27"/>
      <c r="E30" s="27"/>
      <c r="F30" s="27"/>
      <c r="G30" s="27"/>
    </row>
    <row r="31" customFormat="false" ht="30" hidden="false" customHeight="true" outlineLevel="0" collapsed="false">
      <c r="B31" s="4" t="s">
        <v>85</v>
      </c>
      <c r="C31" s="27" t="s">
        <v>139</v>
      </c>
      <c r="D31" s="27"/>
      <c r="E31" s="27"/>
      <c r="F31" s="27"/>
      <c r="G31" s="27"/>
    </row>
    <row r="32" customFormat="false" ht="30" hidden="false" customHeight="true" outlineLevel="0" collapsed="false">
      <c r="B32" s="4" t="s">
        <v>53</v>
      </c>
      <c r="C32" s="27" t="s">
        <v>140</v>
      </c>
      <c r="D32" s="27"/>
      <c r="E32" s="27"/>
      <c r="F32" s="27"/>
      <c r="G32" s="27"/>
    </row>
    <row r="33" customFormat="false" ht="30" hidden="false" customHeight="true" outlineLevel="0" collapsed="false">
      <c r="B33" s="4" t="s">
        <v>141</v>
      </c>
      <c r="C33" s="27" t="s">
        <v>142</v>
      </c>
      <c r="D33" s="27"/>
      <c r="E33" s="27"/>
      <c r="F33" s="27"/>
      <c r="G33" s="27"/>
    </row>
    <row r="34" customFormat="false" ht="30" hidden="false" customHeight="true" outlineLevel="0" collapsed="false">
      <c r="B34" s="4" t="s">
        <v>81</v>
      </c>
      <c r="C34" s="27" t="s">
        <v>143</v>
      </c>
      <c r="D34" s="27"/>
      <c r="E34" s="27"/>
      <c r="F34" s="27"/>
      <c r="G34" s="27"/>
    </row>
    <row r="35" customFormat="false" ht="30" hidden="false" customHeight="true" outlineLevel="0" collapsed="false">
      <c r="B35" s="4" t="s">
        <v>144</v>
      </c>
      <c r="C35" s="27" t="s">
        <v>145</v>
      </c>
      <c r="D35" s="27"/>
      <c r="E35" s="27"/>
      <c r="F35" s="27"/>
      <c r="G35" s="27"/>
    </row>
    <row r="36" customFormat="false" ht="30" hidden="false" customHeight="true" outlineLevel="0" collapsed="false">
      <c r="B36" s="4" t="s">
        <v>146</v>
      </c>
      <c r="C36" s="27" t="s">
        <v>147</v>
      </c>
      <c r="D36" s="27"/>
      <c r="E36" s="27"/>
      <c r="F36" s="27"/>
      <c r="G36" s="27"/>
    </row>
    <row r="37" customFormat="false" ht="30" hidden="false" customHeight="true" outlineLevel="0" collapsed="false">
      <c r="B37" s="4" t="s">
        <v>148</v>
      </c>
      <c r="C37" s="27" t="s">
        <v>149</v>
      </c>
      <c r="D37" s="27"/>
      <c r="E37" s="27"/>
      <c r="F37" s="27"/>
      <c r="G37" s="27"/>
    </row>
    <row r="38" customFormat="false" ht="30" hidden="false" customHeight="true" outlineLevel="0" collapsed="false">
      <c r="B38" s="4" t="s">
        <v>150</v>
      </c>
      <c r="C38" s="27" t="s">
        <v>151</v>
      </c>
      <c r="D38" s="27"/>
      <c r="E38" s="27"/>
      <c r="F38" s="27"/>
      <c r="G38" s="27"/>
    </row>
    <row r="40" customFormat="false" ht="14.25" hidden="false" customHeight="true" outlineLevel="0" collapsed="false">
      <c r="A40" s="1" t="s">
        <v>152</v>
      </c>
      <c r="B40" s="1" t="s">
        <v>153</v>
      </c>
      <c r="C40" s="1" t="s">
        <v>154</v>
      </c>
    </row>
    <row r="41" customFormat="false" ht="14.25" hidden="false" customHeight="true" outlineLevel="0" collapsed="false">
      <c r="A41" s="1" t="s">
        <v>155</v>
      </c>
      <c r="B41" s="1" t="s">
        <v>156</v>
      </c>
      <c r="C41" s="1" t="s">
        <v>157</v>
      </c>
    </row>
    <row r="42" customFormat="false" ht="14.25" hidden="false" customHeight="true" outlineLevel="0" collapsed="false">
      <c r="A42" s="1" t="s">
        <v>158</v>
      </c>
      <c r="B42" s="1" t="s">
        <v>159</v>
      </c>
      <c r="C42" s="1" t="s">
        <v>160</v>
      </c>
    </row>
    <row r="44" customFormat="false" ht="14.25" hidden="false" customHeight="true" outlineLevel="0" collapsed="false">
      <c r="A44" s="28" t="s">
        <v>161</v>
      </c>
      <c r="B44" s="1" t="s">
        <v>162</v>
      </c>
      <c r="C44" s="1" t="s">
        <v>163</v>
      </c>
    </row>
    <row r="45" customFormat="false" ht="14.25" hidden="false" customHeight="true" outlineLevel="0" collapsed="false">
      <c r="B45" s="1" t="s">
        <v>87</v>
      </c>
      <c r="C45" s="1" t="s">
        <v>164</v>
      </c>
    </row>
    <row r="46" customFormat="false" ht="14.25" hidden="false" customHeight="true" outlineLevel="0" collapsed="false">
      <c r="B46" s="1" t="s">
        <v>165</v>
      </c>
      <c r="C46" s="1" t="s">
        <v>166</v>
      </c>
    </row>
    <row r="47" customFormat="false" ht="14.25" hidden="false" customHeight="true" outlineLevel="0" collapsed="false">
      <c r="B47" s="1" t="s">
        <v>167</v>
      </c>
      <c r="C47" s="1" t="s">
        <v>168</v>
      </c>
    </row>
    <row r="48" customFormat="false" ht="14.25" hidden="false" customHeight="true" outlineLevel="0" collapsed="false">
      <c r="B48" s="1" t="s">
        <v>169</v>
      </c>
      <c r="C48" s="1" t="s">
        <v>170</v>
      </c>
    </row>
    <row r="49" customFormat="false" ht="14.25" hidden="false" customHeight="true" outlineLevel="0" collapsed="false">
      <c r="B49" s="1" t="s">
        <v>171</v>
      </c>
      <c r="C49" s="1" t="s">
        <v>172</v>
      </c>
    </row>
    <row r="51" customFormat="false" ht="14.25" hidden="false" customHeight="true" outlineLevel="0" collapsed="false">
      <c r="A51" s="1" t="s">
        <v>173</v>
      </c>
      <c r="B51" s="1" t="s">
        <v>174</v>
      </c>
      <c r="C51" s="1" t="s">
        <v>175</v>
      </c>
    </row>
    <row r="52" customFormat="false" ht="14.25" hidden="false" customHeight="true" outlineLevel="0" collapsed="false">
      <c r="B52" s="1" t="s">
        <v>176</v>
      </c>
      <c r="C52" s="1" t="s">
        <v>177</v>
      </c>
    </row>
    <row r="53" customFormat="false" ht="14.25" hidden="false" customHeight="true" outlineLevel="0" collapsed="false">
      <c r="A53" s="1" t="s">
        <v>178</v>
      </c>
      <c r="B53" s="1" t="s">
        <v>179</v>
      </c>
      <c r="C53" s="1" t="s">
        <v>180</v>
      </c>
    </row>
    <row r="54" customFormat="false" ht="14.25" hidden="false" customHeight="true" outlineLevel="0" collapsed="false">
      <c r="A54" s="1" t="s">
        <v>181</v>
      </c>
      <c r="B54" s="1" t="s">
        <v>182</v>
      </c>
      <c r="C54" s="1" t="s">
        <v>183</v>
      </c>
    </row>
    <row r="55" customFormat="false" ht="14.25" hidden="false" customHeight="true" outlineLevel="0" collapsed="false">
      <c r="A55" s="1" t="s">
        <v>184</v>
      </c>
      <c r="B55" s="1" t="s">
        <v>185</v>
      </c>
      <c r="C55" s="1" t="s">
        <v>186</v>
      </c>
    </row>
    <row r="56" customFormat="false" ht="14.25" hidden="false" customHeight="true" outlineLevel="0" collapsed="false">
      <c r="A56" s="1" t="s">
        <v>187</v>
      </c>
      <c r="B56" s="1" t="s">
        <v>188</v>
      </c>
      <c r="C56" s="1" t="s">
        <v>189</v>
      </c>
    </row>
    <row r="57" customFormat="false" ht="14.25" hidden="false" customHeight="true" outlineLevel="0" collapsed="false">
      <c r="A57" s="1" t="s">
        <v>190</v>
      </c>
      <c r="B57" s="1" t="s">
        <v>191</v>
      </c>
      <c r="C57" s="1" t="s">
        <v>192</v>
      </c>
    </row>
    <row r="58" customFormat="false" ht="14.25" hidden="false" customHeight="false" outlineLevel="0" collapsed="false">
      <c r="A58" s="1" t="s">
        <v>193</v>
      </c>
      <c r="B58" s="1" t="s">
        <v>194</v>
      </c>
      <c r="C58" s="1" t="s">
        <v>195</v>
      </c>
    </row>
  </sheetData>
  <mergeCells count="18">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3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C7" activeCellId="0" sqref="C7"/>
    </sheetView>
  </sheetViews>
  <sheetFormatPr defaultColWidth="8.88671875" defaultRowHeight="14.2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7" min="3" style="1" width="13"/>
    <col collapsed="false" customWidth="true" hidden="false" outlineLevel="0" max="8" min="8" style="1" width="30"/>
    <col collapsed="false" customWidth="true" hidden="false" outlineLevel="0" max="11" min="9" style="1" width="13"/>
  </cols>
  <sheetData>
    <row r="1" customFormat="false" ht="18" hidden="false" customHeight="true" outlineLevel="0" collapsed="false">
      <c r="A1" s="19" t="s">
        <v>196</v>
      </c>
    </row>
    <row r="2" customFormat="false" ht="14.25" hidden="false" customHeight="true" outlineLevel="0" collapsed="false">
      <c r="A2" s="3" t="s">
        <v>197</v>
      </c>
    </row>
    <row r="3" customFormat="false" ht="14.25" hidden="false" customHeight="true" outlineLevel="0" collapsed="false">
      <c r="A3" s="20" t="s">
        <v>198</v>
      </c>
    </row>
    <row r="4" customFormat="false" ht="15" hidden="false" customHeight="true" outlineLevel="0" collapsed="false">
      <c r="B4" s="4" t="s">
        <v>199</v>
      </c>
      <c r="E4" s="29" t="n">
        <v>1</v>
      </c>
      <c r="F4" s="4" t="str">
        <f aca="false">IF(E4=1,"Story case","Stress case")</f>
        <v>Story case</v>
      </c>
    </row>
    <row r="6" customFormat="false" ht="14.25" hidden="false" customHeight="true" outlineLevel="0" collapsed="false">
      <c r="B6" s="30" t="s">
        <v>200</v>
      </c>
      <c r="C6" s="30" t="s">
        <v>201</v>
      </c>
      <c r="D6" s="30" t="s">
        <v>202</v>
      </c>
      <c r="E6" s="30" t="s">
        <v>203</v>
      </c>
      <c r="F6" s="30" t="s">
        <v>204</v>
      </c>
      <c r="G6" s="30" t="s">
        <v>205</v>
      </c>
      <c r="H6" s="30" t="s">
        <v>206</v>
      </c>
    </row>
    <row r="7" customFormat="false" ht="14.25" hidden="false" customHeight="true" outlineLevel="0" collapsed="false">
      <c r="B7" s="8" t="s">
        <v>207</v>
      </c>
      <c r="C7" s="9"/>
      <c r="D7" s="9"/>
      <c r="E7" s="9"/>
      <c r="F7" s="9"/>
      <c r="G7" s="9"/>
      <c r="H7" s="9"/>
    </row>
    <row r="8" customFormat="false" ht="32.25" hidden="false" customHeight="true" outlineLevel="0" collapsed="false">
      <c r="B8" s="10" t="s">
        <v>208</v>
      </c>
      <c r="C8" s="31" t="n">
        <v>170000</v>
      </c>
      <c r="D8" s="31" t="n">
        <v>170000</v>
      </c>
      <c r="E8" s="32" t="n">
        <f aca="false">IF(case_sel=1,C8,D8)</f>
        <v>170000</v>
      </c>
      <c r="F8" s="10" t="s">
        <v>209</v>
      </c>
      <c r="G8" s="10" t="s">
        <v>210</v>
      </c>
      <c r="H8" s="24" t="s">
        <v>211</v>
      </c>
    </row>
    <row r="9" customFormat="false" ht="32.25" hidden="false" customHeight="true" outlineLevel="0" collapsed="false">
      <c r="B9" s="10" t="s">
        <v>212</v>
      </c>
      <c r="C9" s="31" t="n">
        <v>150</v>
      </c>
      <c r="D9" s="31" t="n">
        <v>150</v>
      </c>
      <c r="E9" s="32" t="n">
        <f aca="false">IF(case_sel=1,C9,D9)</f>
        <v>150</v>
      </c>
      <c r="F9" s="10" t="s">
        <v>213</v>
      </c>
      <c r="G9" s="10" t="s">
        <v>210</v>
      </c>
      <c r="H9" s="24" t="s">
        <v>214</v>
      </c>
    </row>
    <row r="10" customFormat="false" ht="32.25" hidden="false" customHeight="true" outlineLevel="0" collapsed="false">
      <c r="B10" s="10" t="s">
        <v>215</v>
      </c>
      <c r="C10" s="33" t="n">
        <v>1</v>
      </c>
      <c r="D10" s="33" t="n">
        <v>0.75</v>
      </c>
      <c r="E10" s="34" t="n">
        <f aca="false">IF(case_sel=1,C10,D10)</f>
        <v>1</v>
      </c>
      <c r="F10" s="10" t="s">
        <v>216</v>
      </c>
      <c r="G10" s="10" t="s">
        <v>210</v>
      </c>
      <c r="H10" s="24" t="s">
        <v>217</v>
      </c>
    </row>
    <row r="11" customFormat="false" ht="21.75" hidden="false" customHeight="true" outlineLevel="0" collapsed="false">
      <c r="B11" s="10" t="s">
        <v>218</v>
      </c>
      <c r="C11" s="33" t="n">
        <v>1</v>
      </c>
      <c r="D11" s="33" t="n">
        <v>0.8</v>
      </c>
      <c r="E11" s="34" t="n">
        <f aca="false">IF(case_sel=1,C11,D11)</f>
        <v>1</v>
      </c>
      <c r="F11" s="10" t="s">
        <v>216</v>
      </c>
      <c r="G11" s="10" t="s">
        <v>210</v>
      </c>
      <c r="H11" s="24" t="s">
        <v>219</v>
      </c>
    </row>
    <row r="12" customFormat="false" ht="21.75" hidden="false" customHeight="true" outlineLevel="0" collapsed="false">
      <c r="B12" s="10" t="s">
        <v>220</v>
      </c>
      <c r="C12" s="33" t="n">
        <v>1</v>
      </c>
      <c r="D12" s="33" t="n">
        <v>1.6</v>
      </c>
      <c r="E12" s="34" t="n">
        <f aca="false">IF(case_sel=1,C12,D12)</f>
        <v>1</v>
      </c>
      <c r="F12" s="10" t="s">
        <v>216</v>
      </c>
      <c r="G12" s="10" t="s">
        <v>210</v>
      </c>
      <c r="H12" s="24" t="s">
        <v>221</v>
      </c>
    </row>
    <row r="13" customFormat="false" ht="42.75" hidden="false" customHeight="true" outlineLevel="0" collapsed="false">
      <c r="B13" s="10" t="s">
        <v>222</v>
      </c>
      <c r="C13" s="35" t="n">
        <v>0.28</v>
      </c>
      <c r="D13" s="35" t="n">
        <v>0.28</v>
      </c>
      <c r="E13" s="36" t="n">
        <f aca="false">IF(case_sel=1,C13,D13)</f>
        <v>0.28</v>
      </c>
      <c r="F13" s="10" t="s">
        <v>223</v>
      </c>
      <c r="G13" s="10" t="s">
        <v>210</v>
      </c>
      <c r="H13" s="24" t="s">
        <v>224</v>
      </c>
    </row>
    <row r="14" customFormat="false" ht="32.25" hidden="false" customHeight="true" outlineLevel="0" collapsed="false">
      <c r="B14" s="10" t="s">
        <v>225</v>
      </c>
      <c r="C14" s="31" t="n">
        <v>60</v>
      </c>
      <c r="D14" s="31" t="n">
        <v>60</v>
      </c>
      <c r="E14" s="32" t="n">
        <f aca="false">IF(case_sel=1,C14,D14)</f>
        <v>60</v>
      </c>
      <c r="F14" s="10" t="s">
        <v>213</v>
      </c>
      <c r="G14" s="10" t="s">
        <v>210</v>
      </c>
      <c r="H14" s="24" t="s">
        <v>226</v>
      </c>
    </row>
    <row r="15" customFormat="false" ht="14.25" hidden="false" customHeight="true" outlineLevel="0" collapsed="false">
      <c r="B15" s="10" t="s">
        <v>227</v>
      </c>
      <c r="C15" s="35" t="n">
        <v>0.7</v>
      </c>
      <c r="D15" s="35" t="n">
        <v>0.7</v>
      </c>
      <c r="E15" s="36" t="n">
        <f aca="false">IF(case_sel=1,C15,D15)</f>
        <v>0.7</v>
      </c>
      <c r="F15" s="10" t="s">
        <v>223</v>
      </c>
      <c r="G15" s="10" t="s">
        <v>210</v>
      </c>
      <c r="H15" s="24" t="s">
        <v>228</v>
      </c>
    </row>
    <row r="16" customFormat="false" ht="14.25" hidden="false" customHeight="true" outlineLevel="0" collapsed="false">
      <c r="B16" s="8" t="s">
        <v>229</v>
      </c>
      <c r="C16" s="9"/>
      <c r="D16" s="9"/>
      <c r="E16" s="9"/>
      <c r="F16" s="9"/>
      <c r="G16" s="9"/>
      <c r="H16" s="9"/>
    </row>
    <row r="17" customFormat="false" ht="14.25" hidden="false" customHeight="true" outlineLevel="0" collapsed="false">
      <c r="B17" s="10" t="s">
        <v>230</v>
      </c>
      <c r="C17" s="35" t="n">
        <v>0.9</v>
      </c>
      <c r="D17" s="35" t="n">
        <v>0.9</v>
      </c>
      <c r="E17" s="36" t="n">
        <f aca="false">IF(case_sel=1,C17,D17)</f>
        <v>0.9</v>
      </c>
      <c r="F17" s="10" t="s">
        <v>223</v>
      </c>
      <c r="G17" s="10" t="s">
        <v>210</v>
      </c>
      <c r="H17" s="24" t="s">
        <v>231</v>
      </c>
    </row>
    <row r="18" customFormat="false" ht="32.25" hidden="false" customHeight="true" outlineLevel="0" collapsed="false">
      <c r="B18" s="10" t="s">
        <v>232</v>
      </c>
      <c r="C18" s="35" t="n">
        <v>0.05</v>
      </c>
      <c r="D18" s="35" t="n">
        <v>0.05</v>
      </c>
      <c r="E18" s="36" t="n">
        <f aca="false">IF(case_sel=1,C18,D18)</f>
        <v>0.05</v>
      </c>
      <c r="F18" s="10" t="s">
        <v>223</v>
      </c>
      <c r="G18" s="10" t="s">
        <v>233</v>
      </c>
      <c r="H18" s="24" t="s">
        <v>234</v>
      </c>
    </row>
    <row r="19" customFormat="false" ht="32.25" hidden="false" customHeight="true" outlineLevel="0" collapsed="false">
      <c r="B19" s="10" t="s">
        <v>235</v>
      </c>
      <c r="C19" s="35" t="n">
        <v>0.125</v>
      </c>
      <c r="D19" s="35" t="n">
        <v>0.125</v>
      </c>
      <c r="E19" s="36" t="n">
        <f aca="false">IF(case_sel=1,C19,D19)</f>
        <v>0.125</v>
      </c>
      <c r="F19" s="10" t="s">
        <v>223</v>
      </c>
      <c r="G19" s="10" t="s">
        <v>210</v>
      </c>
      <c r="H19" s="24" t="s">
        <v>236</v>
      </c>
    </row>
    <row r="20" customFormat="false" ht="32.25" hidden="false" customHeight="true" outlineLevel="0" collapsed="false">
      <c r="B20" s="10" t="s">
        <v>237</v>
      </c>
      <c r="C20" s="35" t="n">
        <v>1</v>
      </c>
      <c r="D20" s="35" t="n">
        <v>1</v>
      </c>
      <c r="E20" s="36" t="n">
        <f aca="false">IF(case_sel=1,C20,D20)</f>
        <v>1</v>
      </c>
      <c r="F20" s="10" t="s">
        <v>223</v>
      </c>
      <c r="G20" s="10" t="s">
        <v>210</v>
      </c>
      <c r="H20" s="24" t="s">
        <v>238</v>
      </c>
    </row>
    <row r="21" customFormat="false" ht="21.75" hidden="false" customHeight="true" outlineLevel="0" collapsed="false">
      <c r="B21" s="10" t="s">
        <v>239</v>
      </c>
      <c r="C21" s="35" t="n">
        <v>0.4</v>
      </c>
      <c r="D21" s="35" t="n">
        <v>0.4</v>
      </c>
      <c r="E21" s="36" t="n">
        <f aca="false">IF(case_sel=1,C21,D21)</f>
        <v>0.4</v>
      </c>
      <c r="F21" s="10" t="s">
        <v>223</v>
      </c>
      <c r="G21" s="10" t="s">
        <v>210</v>
      </c>
      <c r="H21" s="24" t="s">
        <v>240</v>
      </c>
    </row>
    <row r="22" customFormat="false" ht="21.75" hidden="false" customHeight="true" outlineLevel="0" collapsed="false">
      <c r="B22" s="10" t="s">
        <v>241</v>
      </c>
      <c r="C22" s="35" t="n">
        <v>0.04</v>
      </c>
      <c r="D22" s="35" t="n">
        <v>0.04</v>
      </c>
      <c r="E22" s="36" t="n">
        <f aca="false">IF(case_sel=1,C22,D22)</f>
        <v>0.04</v>
      </c>
      <c r="F22" s="10" t="s">
        <v>223</v>
      </c>
      <c r="G22" s="10" t="s">
        <v>210</v>
      </c>
      <c r="H22" s="24" t="s">
        <v>242</v>
      </c>
    </row>
    <row r="23" customFormat="false" ht="14.25" hidden="false" customHeight="true" outlineLevel="0" collapsed="false">
      <c r="B23" s="8" t="s">
        <v>243</v>
      </c>
      <c r="C23" s="9"/>
      <c r="D23" s="9"/>
      <c r="E23" s="9"/>
      <c r="F23" s="9"/>
      <c r="G23" s="9"/>
      <c r="H23" s="9"/>
    </row>
    <row r="24" customFormat="false" ht="32.25" hidden="false" customHeight="true" outlineLevel="0" collapsed="false">
      <c r="B24" s="10" t="s">
        <v>244</v>
      </c>
      <c r="C24" s="31" t="n">
        <v>700</v>
      </c>
      <c r="D24" s="31" t="n">
        <v>700</v>
      </c>
      <c r="E24" s="32" t="n">
        <f aca="false">IF(case_sel=1,C24,D24)</f>
        <v>700</v>
      </c>
      <c r="F24" s="10" t="s">
        <v>213</v>
      </c>
      <c r="G24" s="10" t="s">
        <v>210</v>
      </c>
      <c r="H24" s="24" t="s">
        <v>245</v>
      </c>
    </row>
    <row r="25" customFormat="false" ht="21.75" hidden="false" customHeight="true" outlineLevel="0" collapsed="false">
      <c r="B25" s="10" t="s">
        <v>246</v>
      </c>
      <c r="C25" s="31" t="n">
        <v>15</v>
      </c>
      <c r="D25" s="31" t="n">
        <v>15</v>
      </c>
      <c r="E25" s="32" t="n">
        <f aca="false">IF(case_sel=1,C25,D25)</f>
        <v>15</v>
      </c>
      <c r="F25" s="10" t="s">
        <v>213</v>
      </c>
      <c r="G25" s="10" t="s">
        <v>210</v>
      </c>
      <c r="H25" s="24" t="s">
        <v>247</v>
      </c>
    </row>
    <row r="26" customFormat="false" ht="14.25" hidden="false" customHeight="true" outlineLevel="0" collapsed="false">
      <c r="B26" s="10" t="s">
        <v>248</v>
      </c>
      <c r="C26" s="31" t="n">
        <v>900</v>
      </c>
      <c r="D26" s="31" t="n">
        <v>900</v>
      </c>
      <c r="E26" s="32" t="n">
        <f aca="false">IF(case_sel=1,C26,D26)</f>
        <v>900</v>
      </c>
      <c r="F26" s="10" t="s">
        <v>213</v>
      </c>
      <c r="G26" s="10" t="s">
        <v>210</v>
      </c>
      <c r="H26" s="24" t="s">
        <v>249</v>
      </c>
    </row>
    <row r="27" customFormat="false" ht="14.25" hidden="false" customHeight="true" outlineLevel="0" collapsed="false">
      <c r="B27" s="10" t="s">
        <v>250</v>
      </c>
      <c r="C27" s="35" t="n">
        <v>0.05</v>
      </c>
      <c r="D27" s="35" t="n">
        <v>0.05</v>
      </c>
      <c r="E27" s="36" t="n">
        <f aca="false">IF(case_sel=1,C27,D27)</f>
        <v>0.05</v>
      </c>
      <c r="F27" s="10" t="s">
        <v>223</v>
      </c>
      <c r="G27" s="10" t="s">
        <v>210</v>
      </c>
      <c r="H27" s="24"/>
    </row>
    <row r="28" customFormat="false" ht="14.25" hidden="false" customHeight="true" outlineLevel="0" collapsed="false">
      <c r="B28" s="10" t="s">
        <v>251</v>
      </c>
      <c r="C28" s="35" t="n">
        <v>0.15</v>
      </c>
      <c r="D28" s="35" t="n">
        <v>0.15</v>
      </c>
      <c r="E28" s="36" t="n">
        <f aca="false">IF(case_sel=1,C28,D28)</f>
        <v>0.15</v>
      </c>
      <c r="F28" s="10" t="s">
        <v>223</v>
      </c>
      <c r="G28" s="10" t="s">
        <v>210</v>
      </c>
      <c r="H28" s="24"/>
    </row>
    <row r="29" customFormat="false" ht="32.25" hidden="false" customHeight="true" outlineLevel="0" collapsed="false">
      <c r="B29" s="10" t="s">
        <v>252</v>
      </c>
      <c r="C29" s="37" t="n">
        <v>0.78</v>
      </c>
      <c r="D29" s="37" t="n">
        <v>0.78</v>
      </c>
      <c r="E29" s="34" t="n">
        <f aca="false">IF(case_sel=1,C29,D29)</f>
        <v>0.78</v>
      </c>
      <c r="F29" s="10" t="s">
        <v>216</v>
      </c>
      <c r="G29" s="10" t="s">
        <v>210</v>
      </c>
      <c r="H29" s="24" t="s">
        <v>253</v>
      </c>
    </row>
    <row r="30" customFormat="false" ht="21.75" hidden="false" customHeight="true" outlineLevel="0" collapsed="false">
      <c r="B30" s="10" t="s">
        <v>254</v>
      </c>
      <c r="C30" s="37" t="n">
        <v>0.7</v>
      </c>
      <c r="D30" s="37" t="n">
        <v>0.7</v>
      </c>
      <c r="E30" s="34" t="n">
        <f aca="false">IF(case_sel=1,C30,D30)</f>
        <v>0.7</v>
      </c>
      <c r="F30" s="10" t="s">
        <v>216</v>
      </c>
      <c r="G30" s="10" t="s">
        <v>210</v>
      </c>
      <c r="H30" s="24" t="s">
        <v>255</v>
      </c>
    </row>
    <row r="31" customFormat="false" ht="21.75" hidden="false" customHeight="true" outlineLevel="0" collapsed="false">
      <c r="B31" s="10" t="s">
        <v>256</v>
      </c>
      <c r="C31" s="35" t="n">
        <v>0.65</v>
      </c>
      <c r="D31" s="35" t="n">
        <v>0.65</v>
      </c>
      <c r="E31" s="36" t="n">
        <f aca="false">IF(case_sel=1,C31,D31)</f>
        <v>0.65</v>
      </c>
      <c r="F31" s="10" t="s">
        <v>223</v>
      </c>
      <c r="G31" s="10" t="s">
        <v>257</v>
      </c>
      <c r="H31" s="24" t="s">
        <v>258</v>
      </c>
    </row>
    <row r="32" customFormat="false" ht="14.25" hidden="false" customHeight="true" outlineLevel="0" collapsed="false">
      <c r="B32" s="8" t="s">
        <v>259</v>
      </c>
      <c r="C32" s="9"/>
      <c r="D32" s="9"/>
      <c r="E32" s="9"/>
      <c r="F32" s="9"/>
      <c r="G32" s="9"/>
      <c r="H32" s="9"/>
    </row>
    <row r="33" customFormat="false" ht="14.25" hidden="false" customHeight="true" outlineLevel="0" collapsed="false">
      <c r="B33" s="10" t="s">
        <v>260</v>
      </c>
      <c r="C33" s="31" t="n">
        <v>0.05</v>
      </c>
      <c r="D33" s="31" t="n">
        <v>0.05</v>
      </c>
      <c r="E33" s="32" t="n">
        <f aca="false">IF(case_sel=1,C33,D33)</f>
        <v>0.05</v>
      </c>
      <c r="F33" s="10" t="s">
        <v>261</v>
      </c>
      <c r="G33" s="10" t="s">
        <v>210</v>
      </c>
      <c r="H33" s="24" t="s">
        <v>231</v>
      </c>
    </row>
    <row r="34" customFormat="false" ht="14.25" hidden="false" customHeight="true" outlineLevel="0" collapsed="false">
      <c r="B34" s="10" t="s">
        <v>262</v>
      </c>
      <c r="C34" s="35" t="n">
        <v>0.25</v>
      </c>
      <c r="D34" s="35" t="n">
        <v>0.25</v>
      </c>
      <c r="E34" s="36" t="n">
        <f aca="false">IF(case_sel=1,C34,D34)</f>
        <v>0.25</v>
      </c>
      <c r="F34" s="10" t="s">
        <v>223</v>
      </c>
      <c r="G34" s="10" t="s">
        <v>210</v>
      </c>
      <c r="H34" s="24" t="s">
        <v>231</v>
      </c>
    </row>
    <row r="35" customFormat="false" ht="14.25" hidden="false" customHeight="true" outlineLevel="0" collapsed="false">
      <c r="B35" s="10" t="s">
        <v>263</v>
      </c>
      <c r="C35" s="35" t="n">
        <v>0.97</v>
      </c>
      <c r="D35" s="35" t="n">
        <v>0.97</v>
      </c>
      <c r="E35" s="36" t="n">
        <f aca="false">IF(case_sel=1,C35,D35)</f>
        <v>0.97</v>
      </c>
      <c r="F35" s="10" t="s">
        <v>223</v>
      </c>
      <c r="G35" s="10" t="s">
        <v>210</v>
      </c>
      <c r="H35" s="24"/>
    </row>
    <row r="36" customFormat="false" ht="14.25" hidden="false" customHeight="true" outlineLevel="0" collapsed="false">
      <c r="B36" s="10" t="s">
        <v>264</v>
      </c>
      <c r="C36" s="35" t="n">
        <v>0.02</v>
      </c>
      <c r="D36" s="35" t="n">
        <v>0.02</v>
      </c>
      <c r="E36" s="36" t="n">
        <f aca="false">IF(case_sel=1,C36,D36)</f>
        <v>0.02</v>
      </c>
      <c r="F36" s="10" t="s">
        <v>223</v>
      </c>
      <c r="G36" s="10" t="s">
        <v>210</v>
      </c>
      <c r="H36" s="24"/>
    </row>
    <row r="37" customFormat="false" ht="21.75" hidden="false" customHeight="true" outlineLevel="0" collapsed="false">
      <c r="B37" s="10" t="s">
        <v>265</v>
      </c>
      <c r="C37" s="35" t="n">
        <v>0.8</v>
      </c>
      <c r="D37" s="35" t="n">
        <v>0.8</v>
      </c>
      <c r="E37" s="36" t="n">
        <f aca="false">IF(case_sel=1,C37,D37)</f>
        <v>0.8</v>
      </c>
      <c r="F37" s="10" t="s">
        <v>223</v>
      </c>
      <c r="G37" s="10" t="s">
        <v>210</v>
      </c>
      <c r="H37" s="24" t="s">
        <v>266</v>
      </c>
    </row>
    <row r="38" customFormat="false" ht="21.75" hidden="false" customHeight="true" outlineLevel="0" collapsed="false">
      <c r="B38" s="10" t="s">
        <v>267</v>
      </c>
      <c r="C38" s="35" t="n">
        <v>0.06</v>
      </c>
      <c r="D38" s="35" t="n">
        <v>0.06</v>
      </c>
      <c r="E38" s="36" t="n">
        <f aca="false">IF(case_sel=1,C38,D38)</f>
        <v>0.06</v>
      </c>
      <c r="F38" s="10" t="s">
        <v>223</v>
      </c>
      <c r="G38" s="10" t="s">
        <v>210</v>
      </c>
      <c r="H38" s="24" t="s">
        <v>268</v>
      </c>
    </row>
    <row r="39" customFormat="false" ht="21.75" hidden="false" customHeight="true" outlineLevel="0" collapsed="false">
      <c r="B39" s="10" t="s">
        <v>269</v>
      </c>
      <c r="C39" s="31" t="n">
        <v>10</v>
      </c>
      <c r="D39" s="31" t="n">
        <v>10</v>
      </c>
      <c r="E39" s="32" t="n">
        <f aca="false">IF(case_sel=1,C39,D39)</f>
        <v>10</v>
      </c>
      <c r="F39" s="10" t="s">
        <v>261</v>
      </c>
      <c r="G39" s="10" t="s">
        <v>210</v>
      </c>
      <c r="H39" s="24" t="s">
        <v>270</v>
      </c>
    </row>
    <row r="40" customFormat="false" ht="14.25" hidden="false" customHeight="true" outlineLevel="0" collapsed="false">
      <c r="B40" s="8" t="s">
        <v>271</v>
      </c>
      <c r="C40" s="9"/>
      <c r="D40" s="9"/>
      <c r="E40" s="9"/>
      <c r="F40" s="9"/>
      <c r="G40" s="9"/>
      <c r="H40" s="9"/>
    </row>
    <row r="41" customFormat="false" ht="14.25" hidden="false" customHeight="true" outlineLevel="0" collapsed="false">
      <c r="B41" s="10" t="s">
        <v>272</v>
      </c>
      <c r="C41" s="35" t="n">
        <v>0.05</v>
      </c>
      <c r="D41" s="35" t="n">
        <v>0.05</v>
      </c>
      <c r="E41" s="36" t="n">
        <f aca="false">IF(case_sel=1,C41,D41)</f>
        <v>0.05</v>
      </c>
      <c r="F41" s="10" t="s">
        <v>223</v>
      </c>
      <c r="G41" s="10" t="s">
        <v>210</v>
      </c>
      <c r="H41" s="24"/>
    </row>
    <row r="42" customFormat="false" ht="14.25" hidden="false" customHeight="true" outlineLevel="0" collapsed="false">
      <c r="B42" s="10" t="s">
        <v>273</v>
      </c>
      <c r="C42" s="35" t="n">
        <v>0.04</v>
      </c>
      <c r="D42" s="35" t="n">
        <v>0.04</v>
      </c>
      <c r="E42" s="36" t="n">
        <f aca="false">IF(case_sel=1,C42,D42)</f>
        <v>0.04</v>
      </c>
      <c r="F42" s="10" t="s">
        <v>223</v>
      </c>
      <c r="G42" s="10" t="s">
        <v>210</v>
      </c>
      <c r="H42" s="24"/>
    </row>
    <row r="43" customFormat="false" ht="14.25" hidden="false" customHeight="true" outlineLevel="0" collapsed="false">
      <c r="B43" s="10" t="s">
        <v>274</v>
      </c>
      <c r="C43" s="35" t="n">
        <v>0.055</v>
      </c>
      <c r="D43" s="35" t="n">
        <v>0.055</v>
      </c>
      <c r="E43" s="36" t="n">
        <f aca="false">IF(case_sel=1,C43,D43)</f>
        <v>0.055</v>
      </c>
      <c r="F43" s="10" t="s">
        <v>223</v>
      </c>
      <c r="G43" s="10" t="s">
        <v>210</v>
      </c>
      <c r="H43" s="24"/>
    </row>
    <row r="44" customFormat="false" ht="14.25" hidden="false" customHeight="true" outlineLevel="0" collapsed="false">
      <c r="B44" s="10" t="s">
        <v>275</v>
      </c>
      <c r="C44" s="35" t="n">
        <v>0.04</v>
      </c>
      <c r="D44" s="35" t="n">
        <v>0.04</v>
      </c>
      <c r="E44" s="36" t="n">
        <f aca="false">IF(case_sel=1,C44,D44)</f>
        <v>0.04</v>
      </c>
      <c r="F44" s="10" t="s">
        <v>223</v>
      </c>
      <c r="G44" s="10" t="s">
        <v>210</v>
      </c>
      <c r="H44" s="24"/>
    </row>
    <row r="45" customFormat="false" ht="14.25" hidden="false" customHeight="true" outlineLevel="0" collapsed="false">
      <c r="B45" s="10" t="s">
        <v>276</v>
      </c>
      <c r="C45" s="35" t="n">
        <v>0.04</v>
      </c>
      <c r="D45" s="35" t="n">
        <v>0.04</v>
      </c>
      <c r="E45" s="36" t="n">
        <f aca="false">IF(case_sel=1,C45,D45)</f>
        <v>0.04</v>
      </c>
      <c r="F45" s="10" t="s">
        <v>223</v>
      </c>
      <c r="G45" s="10" t="s">
        <v>210</v>
      </c>
      <c r="H45" s="24" t="s">
        <v>277</v>
      </c>
    </row>
    <row r="46" customFormat="false" ht="32.25" hidden="false" customHeight="true" outlineLevel="0" collapsed="false">
      <c r="B46" s="10" t="s">
        <v>278</v>
      </c>
      <c r="C46" s="38" t="n">
        <v>8500</v>
      </c>
      <c r="D46" s="38" t="n">
        <v>8500</v>
      </c>
      <c r="E46" s="32" t="n">
        <f aca="false">IF(case_sel=1,C46,D46)</f>
        <v>8500</v>
      </c>
      <c r="F46" s="10" t="s">
        <v>261</v>
      </c>
      <c r="G46" s="10" t="s">
        <v>257</v>
      </c>
      <c r="H46" s="24" t="s">
        <v>279</v>
      </c>
    </row>
    <row r="47" customFormat="false" ht="32.25" hidden="false" customHeight="true" outlineLevel="0" collapsed="false">
      <c r="B47" s="10" t="s">
        <v>280</v>
      </c>
      <c r="C47" s="39" t="n">
        <v>0.2</v>
      </c>
      <c r="D47" s="39" t="n">
        <v>0.3</v>
      </c>
      <c r="E47" s="36" t="n">
        <f aca="false">IF(case_sel=1,C47,D47)</f>
        <v>0.2</v>
      </c>
      <c r="F47" s="10" t="s">
        <v>223</v>
      </c>
      <c r="G47" s="10" t="s">
        <v>210</v>
      </c>
      <c r="H47" s="24" t="s">
        <v>281</v>
      </c>
    </row>
    <row r="48" customFormat="false" ht="14.25" hidden="false" customHeight="true" outlineLevel="0" collapsed="false">
      <c r="B48" s="10" t="s">
        <v>282</v>
      </c>
      <c r="C48" s="35" t="n">
        <v>0.12</v>
      </c>
      <c r="D48" s="35" t="n">
        <v>0.15</v>
      </c>
      <c r="E48" s="36" t="n">
        <f aca="false">IF(case_sel=1,C48,D48)</f>
        <v>0.12</v>
      </c>
      <c r="F48" s="10" t="s">
        <v>223</v>
      </c>
      <c r="G48" s="10" t="s">
        <v>210</v>
      </c>
      <c r="H48" s="24"/>
    </row>
    <row r="49" customFormat="false" ht="21.75" hidden="false" customHeight="true" outlineLevel="0" collapsed="false">
      <c r="B49" s="10" t="s">
        <v>283</v>
      </c>
      <c r="C49" s="31" t="n">
        <v>40</v>
      </c>
      <c r="D49" s="31" t="n">
        <v>40</v>
      </c>
      <c r="E49" s="32" t="n">
        <f aca="false">IF(case_sel=1,C49,D49)</f>
        <v>40</v>
      </c>
      <c r="F49" s="10" t="s">
        <v>261</v>
      </c>
      <c r="G49" s="10" t="s">
        <v>257</v>
      </c>
      <c r="H49" s="24" t="s">
        <v>284</v>
      </c>
    </row>
    <row r="50" customFormat="false" ht="14.25" hidden="false" customHeight="true" outlineLevel="0" collapsed="false">
      <c r="B50" s="8" t="s">
        <v>285</v>
      </c>
      <c r="C50" s="9"/>
      <c r="D50" s="9"/>
      <c r="E50" s="9"/>
      <c r="F50" s="9"/>
      <c r="G50" s="9"/>
      <c r="H50" s="9"/>
    </row>
    <row r="51" customFormat="false" ht="21.75" hidden="false" customHeight="true" outlineLevel="0" collapsed="false">
      <c r="B51" s="10" t="s">
        <v>286</v>
      </c>
      <c r="C51" s="38" t="n">
        <v>808</v>
      </c>
      <c r="D51" s="38" t="n">
        <v>1212</v>
      </c>
      <c r="E51" s="32" t="n">
        <f aca="false">IF(case_sel=1,C51,D51)</f>
        <v>808</v>
      </c>
      <c r="F51" s="10" t="s">
        <v>261</v>
      </c>
      <c r="G51" s="10" t="s">
        <v>210</v>
      </c>
      <c r="H51" s="24" t="s">
        <v>287</v>
      </c>
    </row>
    <row r="52" customFormat="false" ht="14.25" hidden="false" customHeight="true" outlineLevel="0" collapsed="false">
      <c r="B52" s="10" t="s">
        <v>288</v>
      </c>
      <c r="C52" s="31" t="n">
        <v>80</v>
      </c>
      <c r="D52" s="31" t="n">
        <v>112</v>
      </c>
      <c r="E52" s="32" t="n">
        <f aca="false">IF(case_sel=1,C52,D52)</f>
        <v>80</v>
      </c>
      <c r="F52" s="10" t="s">
        <v>261</v>
      </c>
      <c r="G52" s="10" t="s">
        <v>210</v>
      </c>
      <c r="H52" s="24" t="s">
        <v>289</v>
      </c>
    </row>
    <row r="53" customFormat="false" ht="21.75" hidden="false" customHeight="true" outlineLevel="0" collapsed="false">
      <c r="B53" s="10" t="s">
        <v>290</v>
      </c>
      <c r="C53" s="38" t="n">
        <v>400</v>
      </c>
      <c r="D53" s="38" t="n">
        <v>700</v>
      </c>
      <c r="E53" s="32" t="n">
        <f aca="false">IF(case_sel=1,C53,D53)</f>
        <v>400</v>
      </c>
      <c r="F53" s="10" t="s">
        <v>261</v>
      </c>
      <c r="G53" s="10" t="s">
        <v>257</v>
      </c>
      <c r="H53" s="24" t="s">
        <v>291</v>
      </c>
    </row>
    <row r="54" customFormat="false" ht="14.25" hidden="false" customHeight="true" outlineLevel="0" collapsed="false">
      <c r="B54" s="10" t="s">
        <v>292</v>
      </c>
      <c r="C54" s="31" t="n">
        <v>150</v>
      </c>
      <c r="D54" s="31" t="n">
        <v>300</v>
      </c>
      <c r="E54" s="32" t="n">
        <f aca="false">IF(case_sel=1,C54,D54)</f>
        <v>150</v>
      </c>
      <c r="F54" s="10" t="s">
        <v>261</v>
      </c>
      <c r="G54" s="10" t="s">
        <v>210</v>
      </c>
      <c r="H54" s="24"/>
    </row>
    <row r="55" customFormat="false" ht="32.25" hidden="false" customHeight="true" outlineLevel="0" collapsed="false">
      <c r="B55" s="10" t="s">
        <v>293</v>
      </c>
      <c r="C55" s="38" t="n">
        <v>0</v>
      </c>
      <c r="D55" s="38" t="n">
        <v>400</v>
      </c>
      <c r="E55" s="32" t="n">
        <f aca="false">IF(case_sel=1,C55,D55)</f>
        <v>0</v>
      </c>
      <c r="F55" s="10" t="s">
        <v>261</v>
      </c>
      <c r="G55" s="10" t="s">
        <v>257</v>
      </c>
      <c r="H55" s="24" t="s">
        <v>294</v>
      </c>
    </row>
    <row r="56" customFormat="false" ht="14.25" hidden="false" customHeight="true" outlineLevel="0" collapsed="false">
      <c r="B56" s="8" t="s">
        <v>295</v>
      </c>
      <c r="C56" s="9"/>
      <c r="D56" s="9"/>
      <c r="E56" s="9"/>
      <c r="F56" s="9"/>
      <c r="G56" s="9"/>
      <c r="H56" s="9"/>
    </row>
    <row r="57" customFormat="false" ht="21.75" hidden="false" customHeight="true" outlineLevel="0" collapsed="false">
      <c r="B57" s="10" t="s">
        <v>296</v>
      </c>
      <c r="C57" s="35" t="n">
        <v>0.2</v>
      </c>
      <c r="D57" s="35" t="n">
        <v>0.2</v>
      </c>
      <c r="E57" s="36" t="n">
        <f aca="false">IF(case_sel=1,C57,D57)</f>
        <v>0.2</v>
      </c>
      <c r="F57" s="10" t="s">
        <v>223</v>
      </c>
      <c r="G57" s="10" t="s">
        <v>210</v>
      </c>
      <c r="H57" s="24" t="s">
        <v>297</v>
      </c>
    </row>
    <row r="58" customFormat="false" ht="32.25" hidden="false" customHeight="true" outlineLevel="0" collapsed="false">
      <c r="B58" s="10" t="s">
        <v>298</v>
      </c>
      <c r="C58" s="35" t="n">
        <v>0.6</v>
      </c>
      <c r="D58" s="35" t="n">
        <v>0.4</v>
      </c>
      <c r="E58" s="36" t="n">
        <f aca="false">IF(case_sel=1,C58,D58)</f>
        <v>0.6</v>
      </c>
      <c r="F58" s="10" t="s">
        <v>223</v>
      </c>
      <c r="G58" s="10" t="s">
        <v>257</v>
      </c>
      <c r="H58" s="24" t="s">
        <v>299</v>
      </c>
    </row>
    <row r="59" customFormat="false" ht="21.75" hidden="false" customHeight="true" outlineLevel="0" collapsed="false">
      <c r="B59" s="10" t="s">
        <v>300</v>
      </c>
      <c r="C59" s="40" t="n">
        <v>0.002</v>
      </c>
      <c r="D59" s="40" t="n">
        <v>0.0012</v>
      </c>
      <c r="E59" s="41" t="n">
        <f aca="false">IF(case_sel=1,C59,D59)</f>
        <v>0.002</v>
      </c>
      <c r="F59" s="10" t="s">
        <v>223</v>
      </c>
      <c r="G59" s="10" t="s">
        <v>210</v>
      </c>
      <c r="H59" s="24" t="s">
        <v>301</v>
      </c>
    </row>
    <row r="60" customFormat="false" ht="21.75" hidden="false" customHeight="true" outlineLevel="0" collapsed="false">
      <c r="B60" s="10" t="s">
        <v>302</v>
      </c>
      <c r="C60" s="35" t="n">
        <v>0.07</v>
      </c>
      <c r="D60" s="35" t="n">
        <v>0.07</v>
      </c>
      <c r="E60" s="36" t="n">
        <f aca="false">IF(case_sel=1,C60,D60)</f>
        <v>0.07</v>
      </c>
      <c r="F60" s="10" t="s">
        <v>223</v>
      </c>
      <c r="G60" s="10" t="s">
        <v>210</v>
      </c>
      <c r="H60" s="24" t="s">
        <v>303</v>
      </c>
    </row>
    <row r="61" customFormat="false" ht="14.25" hidden="false" customHeight="true" outlineLevel="0" collapsed="false">
      <c r="B61" s="10" t="s">
        <v>304</v>
      </c>
      <c r="C61" s="35" t="n">
        <v>0.4</v>
      </c>
      <c r="D61" s="35" t="n">
        <v>0.4</v>
      </c>
      <c r="E61" s="36" t="n">
        <f aca="false">IF(case_sel=1,C61,D61)</f>
        <v>0.4</v>
      </c>
      <c r="F61" s="10" t="s">
        <v>223</v>
      </c>
      <c r="G61" s="10" t="s">
        <v>257</v>
      </c>
      <c r="H61" s="24" t="s">
        <v>305</v>
      </c>
    </row>
    <row r="62" customFormat="false" ht="14.25" hidden="false" customHeight="true" outlineLevel="0" collapsed="false">
      <c r="B62" s="8" t="s">
        <v>306</v>
      </c>
      <c r="C62" s="9"/>
      <c r="D62" s="9"/>
      <c r="E62" s="9"/>
      <c r="F62" s="9"/>
      <c r="G62" s="9"/>
      <c r="H62" s="9"/>
    </row>
    <row r="63" customFormat="false" ht="32.25" hidden="false" customHeight="true" outlineLevel="0" collapsed="false">
      <c r="B63" s="10" t="s">
        <v>307</v>
      </c>
      <c r="C63" s="42" t="n">
        <v>0</v>
      </c>
      <c r="D63" s="42" t="n">
        <v>0</v>
      </c>
      <c r="E63" s="43" t="n">
        <f aca="false">IF(case_sel=1,C63,D63)</f>
        <v>0</v>
      </c>
      <c r="F63" s="10" t="s">
        <v>308</v>
      </c>
      <c r="G63" s="10" t="s">
        <v>257</v>
      </c>
      <c r="H63" s="24" t="s">
        <v>309</v>
      </c>
    </row>
    <row r="64" customFormat="false" ht="32.25" hidden="false" customHeight="true" outlineLevel="0" collapsed="false">
      <c r="B64" s="10" t="s">
        <v>310</v>
      </c>
      <c r="C64" s="38" t="n">
        <v>25</v>
      </c>
      <c r="D64" s="38" t="n">
        <v>25</v>
      </c>
      <c r="E64" s="32" t="n">
        <f aca="false">IF(case_sel=1,C64,D64)</f>
        <v>25</v>
      </c>
      <c r="F64" s="10" t="s">
        <v>311</v>
      </c>
      <c r="G64" s="10" t="s">
        <v>312</v>
      </c>
      <c r="H64" s="24" t="s">
        <v>313</v>
      </c>
    </row>
    <row r="65" customFormat="false" ht="53.25" hidden="false" customHeight="true" outlineLevel="0" collapsed="false">
      <c r="B65" s="10" t="s">
        <v>314</v>
      </c>
      <c r="C65" s="42" t="n">
        <v>1960</v>
      </c>
      <c r="D65" s="42" t="n">
        <v>1960</v>
      </c>
      <c r="E65" s="43" t="n">
        <f aca="false">IF(case_sel=1,C65,D65)</f>
        <v>1960</v>
      </c>
      <c r="F65" s="10" t="s">
        <v>315</v>
      </c>
      <c r="G65" s="10" t="s">
        <v>312</v>
      </c>
      <c r="H65" s="24" t="s">
        <v>316</v>
      </c>
    </row>
    <row r="66" customFormat="false" ht="14.25" hidden="false" customHeight="true" outlineLevel="0" collapsed="false">
      <c r="B66" s="8" t="s">
        <v>317</v>
      </c>
      <c r="C66" s="9"/>
      <c r="D66" s="9"/>
      <c r="E66" s="9"/>
      <c r="F66" s="9"/>
      <c r="G66" s="9"/>
      <c r="H66" s="9"/>
    </row>
    <row r="67" customFormat="false" ht="32.25" hidden="false" customHeight="true" outlineLevel="0" collapsed="false">
      <c r="B67" s="10" t="s">
        <v>318</v>
      </c>
      <c r="C67" s="33" t="n">
        <v>0.6</v>
      </c>
      <c r="D67" s="33" t="n">
        <v>1</v>
      </c>
      <c r="E67" s="34" t="n">
        <f aca="false">IF(case_sel=1,C67,D67)</f>
        <v>0.6</v>
      </c>
      <c r="F67" s="10" t="s">
        <v>216</v>
      </c>
      <c r="G67" s="10" t="s">
        <v>257</v>
      </c>
      <c r="H67" s="24" t="s">
        <v>319</v>
      </c>
    </row>
    <row r="68" customFormat="false" ht="42.75" hidden="false" customHeight="true" outlineLevel="0" collapsed="false">
      <c r="B68" s="10" t="s">
        <v>320</v>
      </c>
      <c r="C68" s="42" t="n">
        <v>1</v>
      </c>
      <c r="D68" s="42" t="n">
        <v>0</v>
      </c>
      <c r="E68" s="43" t="n">
        <f aca="false">IF(case_sel=1,C68,D68)</f>
        <v>1</v>
      </c>
      <c r="F68" s="10" t="s">
        <v>308</v>
      </c>
      <c r="G68" s="10" t="s">
        <v>257</v>
      </c>
      <c r="H68" s="24" t="s">
        <v>321</v>
      </c>
    </row>
    <row r="69" customFormat="false" ht="21.75" hidden="false" customHeight="true" outlineLevel="0" collapsed="false">
      <c r="B69" s="10" t="s">
        <v>322</v>
      </c>
      <c r="C69" s="31" t="n">
        <v>0.95</v>
      </c>
      <c r="D69" s="31" t="n">
        <v>0.95</v>
      </c>
      <c r="E69" s="32" t="n">
        <f aca="false">IF(case_sel=1,C69,D69)</f>
        <v>0.95</v>
      </c>
      <c r="F69" s="10" t="s">
        <v>323</v>
      </c>
      <c r="G69" s="10" t="s">
        <v>257</v>
      </c>
      <c r="H69" s="24" t="s">
        <v>324</v>
      </c>
    </row>
    <row r="70" customFormat="false" ht="14.25" hidden="false" customHeight="true" outlineLevel="0" collapsed="false">
      <c r="B70" s="10" t="s">
        <v>325</v>
      </c>
      <c r="C70" s="35" t="n">
        <v>0.15</v>
      </c>
      <c r="D70" s="35" t="n">
        <v>0.15</v>
      </c>
      <c r="E70" s="36" t="n">
        <f aca="false">IF(case_sel=1,C70,D70)</f>
        <v>0.15</v>
      </c>
      <c r="F70" s="10" t="s">
        <v>223</v>
      </c>
      <c r="G70" s="10" t="s">
        <v>257</v>
      </c>
      <c r="H70" s="24"/>
    </row>
    <row r="71" customFormat="false" ht="42.75" hidden="false" customHeight="true" outlineLevel="0" collapsed="false">
      <c r="B71" s="10" t="s">
        <v>326</v>
      </c>
      <c r="C71" s="44" t="n">
        <v>1932</v>
      </c>
      <c r="D71" s="44" t="n">
        <v>1932</v>
      </c>
      <c r="E71" s="43" t="n">
        <f aca="false">IF(case_sel=1,C71,D71)</f>
        <v>1932</v>
      </c>
      <c r="F71" s="10" t="s">
        <v>315</v>
      </c>
      <c r="G71" s="10" t="s">
        <v>257</v>
      </c>
      <c r="H71" s="24" t="s">
        <v>327</v>
      </c>
    </row>
    <row r="72" customFormat="false" ht="21.75" hidden="false" customHeight="true" outlineLevel="0" collapsed="false">
      <c r="B72" s="10" t="s">
        <v>328</v>
      </c>
      <c r="C72" s="35" t="n">
        <v>0.09</v>
      </c>
      <c r="D72" s="35" t="n">
        <v>0.12</v>
      </c>
      <c r="E72" s="36" t="n">
        <f aca="false">IF(case_sel=1,C72,D72)</f>
        <v>0.09</v>
      </c>
      <c r="F72" s="10" t="s">
        <v>223</v>
      </c>
      <c r="G72" s="10" t="s">
        <v>210</v>
      </c>
      <c r="H72" s="24" t="s">
        <v>329</v>
      </c>
    </row>
    <row r="73" customFormat="false" ht="14.25" hidden="false" customHeight="true" outlineLevel="0" collapsed="false">
      <c r="B73" s="10" t="s">
        <v>330</v>
      </c>
      <c r="C73" s="35" t="n">
        <v>0.05</v>
      </c>
      <c r="D73" s="35" t="n">
        <v>0.05</v>
      </c>
      <c r="E73" s="36" t="n">
        <f aca="false">IF(case_sel=1,C73,D73)</f>
        <v>0.05</v>
      </c>
      <c r="F73" s="10" t="s">
        <v>223</v>
      </c>
      <c r="G73" s="10" t="s">
        <v>210</v>
      </c>
      <c r="H73" s="24"/>
    </row>
    <row r="74" customFormat="false" ht="42.75" hidden="false" customHeight="true" outlineLevel="0" collapsed="false">
      <c r="B74" s="10" t="s">
        <v>331</v>
      </c>
      <c r="C74" s="39" t="n">
        <v>0.05</v>
      </c>
      <c r="D74" s="39" t="n">
        <v>0.05</v>
      </c>
      <c r="E74" s="36" t="n">
        <f aca="false">IF(case_sel=1,C74,D74)</f>
        <v>0.05</v>
      </c>
      <c r="F74" s="10" t="s">
        <v>223</v>
      </c>
      <c r="G74" s="10" t="s">
        <v>257</v>
      </c>
      <c r="H74" s="24" t="s">
        <v>332</v>
      </c>
    </row>
    <row r="75" customFormat="false" ht="14.25" hidden="false" customHeight="true" outlineLevel="0" collapsed="false">
      <c r="B75" s="10" t="s">
        <v>333</v>
      </c>
      <c r="C75" s="35" t="n">
        <v>0.3</v>
      </c>
      <c r="D75" s="35" t="n">
        <v>0.2</v>
      </c>
      <c r="E75" s="36" t="n">
        <f aca="false">IF(case_sel=1,C75,D75)</f>
        <v>0.3</v>
      </c>
      <c r="F75" s="10" t="s">
        <v>223</v>
      </c>
      <c r="G75" s="10" t="s">
        <v>257</v>
      </c>
      <c r="H75" s="24" t="s">
        <v>334</v>
      </c>
    </row>
    <row r="76" customFormat="false" ht="21.75" hidden="false" customHeight="true" outlineLevel="0" collapsed="false">
      <c r="B76" s="10" t="s">
        <v>335</v>
      </c>
      <c r="C76" s="35" t="n">
        <v>0.06</v>
      </c>
      <c r="D76" s="35" t="n">
        <v>0.05</v>
      </c>
      <c r="E76" s="36" t="n">
        <f aca="false">IF(case_sel=1,C76,D76)</f>
        <v>0.06</v>
      </c>
      <c r="F76" s="10" t="s">
        <v>223</v>
      </c>
      <c r="G76" s="10" t="s">
        <v>210</v>
      </c>
      <c r="H76" s="24" t="s">
        <v>336</v>
      </c>
    </row>
    <row r="77" customFormat="false" ht="14.25" hidden="false" customHeight="true" outlineLevel="0" collapsed="false">
      <c r="B77" s="10" t="s">
        <v>337</v>
      </c>
      <c r="C77" s="35" t="n">
        <v>0.03</v>
      </c>
      <c r="D77" s="35" t="n">
        <v>0.03</v>
      </c>
      <c r="E77" s="36" t="n">
        <f aca="false">IF(case_sel=1,C77,D77)</f>
        <v>0.03</v>
      </c>
      <c r="F77" s="10" t="s">
        <v>223</v>
      </c>
      <c r="G77" s="10" t="s">
        <v>210</v>
      </c>
      <c r="H77" s="24"/>
    </row>
    <row r="78" customFormat="false" ht="14.25" hidden="false" customHeight="true" outlineLevel="0" collapsed="false">
      <c r="B78" s="10" t="s">
        <v>338</v>
      </c>
      <c r="C78" s="35" t="n">
        <v>0.08</v>
      </c>
      <c r="D78" s="35" t="n">
        <v>0.15</v>
      </c>
      <c r="E78" s="36" t="n">
        <f aca="false">IF(case_sel=1,C78,D78)</f>
        <v>0.08</v>
      </c>
      <c r="F78" s="10" t="s">
        <v>223</v>
      </c>
      <c r="G78" s="10" t="s">
        <v>210</v>
      </c>
      <c r="H78" s="24" t="s">
        <v>339</v>
      </c>
    </row>
    <row r="79" customFormat="false" ht="14.25" hidden="false" customHeight="true" outlineLevel="0" collapsed="false">
      <c r="B79" s="10" t="s">
        <v>340</v>
      </c>
      <c r="C79" s="37" t="n">
        <v>0.7</v>
      </c>
      <c r="D79" s="37" t="n">
        <v>0.6</v>
      </c>
      <c r="E79" s="34" t="n">
        <f aca="false">IF(case_sel=1,C79,D79)</f>
        <v>0.7</v>
      </c>
      <c r="F79" s="10" t="s">
        <v>216</v>
      </c>
      <c r="G79" s="10" t="s">
        <v>210</v>
      </c>
      <c r="H79" s="24" t="s">
        <v>341</v>
      </c>
    </row>
    <row r="80" customFormat="false" ht="14.25" hidden="false" customHeight="true" outlineLevel="0" collapsed="false">
      <c r="B80" s="10" t="s">
        <v>342</v>
      </c>
      <c r="C80" s="35" t="n">
        <v>0.1</v>
      </c>
      <c r="D80" s="35" t="n">
        <v>0.1</v>
      </c>
      <c r="E80" s="36" t="n">
        <f aca="false">IF(case_sel=1,C80,D80)</f>
        <v>0.1</v>
      </c>
      <c r="F80" s="10" t="s">
        <v>223</v>
      </c>
      <c r="G80" s="10" t="s">
        <v>210</v>
      </c>
      <c r="H80" s="24"/>
    </row>
    <row r="81" customFormat="false" ht="14.25" hidden="false" customHeight="true" outlineLevel="0" collapsed="false">
      <c r="B81" s="8" t="s">
        <v>343</v>
      </c>
      <c r="C81" s="9"/>
      <c r="D81" s="9"/>
      <c r="E81" s="9"/>
      <c r="F81" s="9"/>
      <c r="G81" s="9"/>
      <c r="H81" s="9"/>
    </row>
    <row r="82" customFormat="false" ht="63.75" hidden="false" customHeight="true" outlineLevel="0" collapsed="false">
      <c r="B82" s="10" t="s">
        <v>344</v>
      </c>
      <c r="C82" s="39" t="n">
        <v>0.7</v>
      </c>
      <c r="D82" s="39" t="n">
        <v>0.7</v>
      </c>
      <c r="E82" s="36" t="n">
        <f aca="false">IF(case_sel=1,C82,D82)</f>
        <v>0.7</v>
      </c>
      <c r="F82" s="10" t="s">
        <v>223</v>
      </c>
      <c r="G82" s="10" t="s">
        <v>257</v>
      </c>
      <c r="H82" s="24" t="s">
        <v>345</v>
      </c>
    </row>
    <row r="83" customFormat="false" ht="53.25" hidden="false" customHeight="true" outlineLevel="0" collapsed="false">
      <c r="B83" s="10" t="s">
        <v>346</v>
      </c>
      <c r="C83" s="39" t="n">
        <v>0.3</v>
      </c>
      <c r="D83" s="39" t="n">
        <v>0.15</v>
      </c>
      <c r="E83" s="36" t="n">
        <f aca="false">IF(case_sel=1,C83,D83)</f>
        <v>0.3</v>
      </c>
      <c r="F83" s="10" t="s">
        <v>223</v>
      </c>
      <c r="G83" s="10" t="s">
        <v>210</v>
      </c>
      <c r="H83" s="24" t="s">
        <v>347</v>
      </c>
    </row>
    <row r="84" customFormat="false" ht="21.75" hidden="false" customHeight="true" outlineLevel="0" collapsed="false">
      <c r="B84" s="10" t="s">
        <v>348</v>
      </c>
      <c r="C84" s="44" t="n">
        <v>1880</v>
      </c>
      <c r="D84" s="44" t="n">
        <v>1880</v>
      </c>
      <c r="E84" s="43" t="n">
        <f aca="false">IF(case_sel=1,C84,D84)</f>
        <v>1880</v>
      </c>
      <c r="F84" s="10" t="s">
        <v>315</v>
      </c>
      <c r="G84" s="10" t="s">
        <v>257</v>
      </c>
      <c r="H84" s="24" t="s">
        <v>349</v>
      </c>
    </row>
    <row r="85" customFormat="false" ht="53.25" hidden="false" customHeight="true" outlineLevel="0" collapsed="false">
      <c r="B85" s="10" t="s">
        <v>350</v>
      </c>
      <c r="C85" s="42" t="n">
        <v>1</v>
      </c>
      <c r="D85" s="42" t="n">
        <v>1</v>
      </c>
      <c r="E85" s="43" t="n">
        <f aca="false">IF(case_sel=1,C85,D85)</f>
        <v>1</v>
      </c>
      <c r="F85" s="10" t="s">
        <v>308</v>
      </c>
      <c r="G85" s="10" t="s">
        <v>257</v>
      </c>
      <c r="H85" s="24" t="s">
        <v>351</v>
      </c>
    </row>
    <row r="86" customFormat="false" ht="21.75" hidden="false" customHeight="true" outlineLevel="0" collapsed="false">
      <c r="B86" s="10" t="s">
        <v>352</v>
      </c>
      <c r="C86" s="39" t="n">
        <v>0.03</v>
      </c>
      <c r="D86" s="39" t="n">
        <v>0.03</v>
      </c>
      <c r="E86" s="36" t="n">
        <f aca="false">IF(case_sel=1,C86,D86)</f>
        <v>0.03</v>
      </c>
      <c r="F86" s="10" t="s">
        <v>223</v>
      </c>
      <c r="G86" s="10" t="s">
        <v>257</v>
      </c>
      <c r="H86" s="24" t="s">
        <v>353</v>
      </c>
    </row>
    <row r="87" customFormat="false" ht="42.75" hidden="false" customHeight="true" outlineLevel="0" collapsed="false">
      <c r="B87" s="10" t="s">
        <v>354</v>
      </c>
      <c r="C87" s="35" t="n">
        <v>0.012</v>
      </c>
      <c r="D87" s="35" t="n">
        <v>0.012</v>
      </c>
      <c r="E87" s="36" t="n">
        <f aca="false">IF(case_sel=1,C87,D87)</f>
        <v>0.012</v>
      </c>
      <c r="F87" s="10" t="s">
        <v>223</v>
      </c>
      <c r="G87" s="10" t="s">
        <v>210</v>
      </c>
      <c r="H87" s="24" t="s">
        <v>355</v>
      </c>
    </row>
    <row r="88" customFormat="false" ht="14.25" hidden="false" customHeight="true" outlineLevel="0" collapsed="false">
      <c r="B88" s="10" t="s">
        <v>356</v>
      </c>
      <c r="C88" s="35" t="n">
        <v>0.03</v>
      </c>
      <c r="D88" s="35" t="n">
        <v>0.03</v>
      </c>
      <c r="E88" s="36" t="n">
        <f aca="false">IF(case_sel=1,C88,D88)</f>
        <v>0.03</v>
      </c>
      <c r="F88" s="10" t="s">
        <v>223</v>
      </c>
      <c r="G88" s="10" t="s">
        <v>210</v>
      </c>
      <c r="H88" s="24" t="s">
        <v>357</v>
      </c>
    </row>
    <row r="89" customFormat="false" ht="14.25" hidden="false" customHeight="true" outlineLevel="0" collapsed="false">
      <c r="B89" s="8" t="s">
        <v>358</v>
      </c>
      <c r="C89" s="9"/>
      <c r="D89" s="9"/>
      <c r="E89" s="9"/>
      <c r="F89" s="9"/>
      <c r="G89" s="9"/>
      <c r="H89" s="9"/>
    </row>
    <row r="90" customFormat="false" ht="53.25" hidden="false" customHeight="true" outlineLevel="0" collapsed="false">
      <c r="B90" s="10" t="s">
        <v>359</v>
      </c>
      <c r="C90" s="33" t="n">
        <v>1</v>
      </c>
      <c r="D90" s="33" t="n">
        <v>0.6</v>
      </c>
      <c r="E90" s="34" t="n">
        <f aca="false">IF(case_sel=1,C90,D90)</f>
        <v>1</v>
      </c>
      <c r="F90" s="10" t="s">
        <v>216</v>
      </c>
      <c r="G90" s="10" t="s">
        <v>257</v>
      </c>
      <c r="H90" s="24" t="s">
        <v>360</v>
      </c>
    </row>
    <row r="91" customFormat="false" ht="42.75" hidden="false" customHeight="true" outlineLevel="0" collapsed="false">
      <c r="B91" s="10" t="s">
        <v>361</v>
      </c>
      <c r="C91" s="37" t="n">
        <v>1.8</v>
      </c>
      <c r="D91" s="37" t="n">
        <v>1.6</v>
      </c>
      <c r="E91" s="34" t="n">
        <f aca="false">IF(case_sel=1,C91,D91)</f>
        <v>1.8</v>
      </c>
      <c r="F91" s="10" t="s">
        <v>216</v>
      </c>
      <c r="G91" s="10" t="s">
        <v>210</v>
      </c>
      <c r="H91" s="24" t="s">
        <v>362</v>
      </c>
    </row>
    <row r="92" customFormat="false" ht="32.25" hidden="false" customHeight="true" outlineLevel="0" collapsed="false">
      <c r="B92" s="10" t="s">
        <v>363</v>
      </c>
      <c r="C92" s="37" t="n">
        <v>0.25</v>
      </c>
      <c r="D92" s="37" t="n">
        <v>0.1</v>
      </c>
      <c r="E92" s="34" t="n">
        <f aca="false">IF(case_sel=1,C92,D92)</f>
        <v>0.25</v>
      </c>
      <c r="F92" s="10" t="s">
        <v>216</v>
      </c>
      <c r="G92" s="10" t="s">
        <v>210</v>
      </c>
      <c r="H92" s="24" t="s">
        <v>364</v>
      </c>
    </row>
    <row r="93" customFormat="false" ht="14.25" hidden="false" customHeight="true" outlineLevel="0" collapsed="false">
      <c r="B93" s="10" t="s">
        <v>365</v>
      </c>
      <c r="C93" s="35" t="n">
        <v>0.45</v>
      </c>
      <c r="D93" s="35" t="n">
        <v>0.45</v>
      </c>
      <c r="E93" s="36" t="n">
        <f aca="false">IF(case_sel=1,C93,D93)</f>
        <v>0.45</v>
      </c>
      <c r="F93" s="10" t="s">
        <v>223</v>
      </c>
      <c r="G93" s="10" t="s">
        <v>210</v>
      </c>
      <c r="H93" s="24"/>
    </row>
    <row r="94" customFormat="false" ht="14.25" hidden="false" customHeight="true" outlineLevel="0" collapsed="false">
      <c r="B94" s="10" t="s">
        <v>366</v>
      </c>
      <c r="C94" s="35" t="n">
        <v>0.45</v>
      </c>
      <c r="D94" s="35" t="n">
        <v>0.45</v>
      </c>
      <c r="E94" s="36" t="n">
        <f aca="false">IF(case_sel=1,C94,D94)</f>
        <v>0.45</v>
      </c>
      <c r="F94" s="10" t="s">
        <v>223</v>
      </c>
      <c r="G94" s="10" t="s">
        <v>210</v>
      </c>
      <c r="H94" s="24"/>
    </row>
    <row r="95" customFormat="false" ht="21.75" hidden="false" customHeight="true" outlineLevel="0" collapsed="false">
      <c r="B95" s="10" t="s">
        <v>367</v>
      </c>
      <c r="C95" s="35" t="n">
        <v>0.03</v>
      </c>
      <c r="D95" s="35" t="n">
        <v>0.02</v>
      </c>
      <c r="E95" s="36" t="n">
        <f aca="false">IF(case_sel=1,C95,D95)</f>
        <v>0.03</v>
      </c>
      <c r="F95" s="10" t="s">
        <v>223</v>
      </c>
      <c r="G95" s="10" t="s">
        <v>210</v>
      </c>
      <c r="H95" s="24" t="s">
        <v>368</v>
      </c>
    </row>
    <row r="96" customFormat="false" ht="14.25" hidden="false" customHeight="true" outlineLevel="0" collapsed="false">
      <c r="B96" s="10" t="s">
        <v>369</v>
      </c>
      <c r="C96" s="35" t="n">
        <v>0.025</v>
      </c>
      <c r="D96" s="35" t="n">
        <v>0.02</v>
      </c>
      <c r="E96" s="36" t="n">
        <f aca="false">IF(case_sel=1,C96,D96)</f>
        <v>0.025</v>
      </c>
      <c r="F96" s="10" t="s">
        <v>223</v>
      </c>
      <c r="G96" s="10" t="s">
        <v>210</v>
      </c>
      <c r="H96" s="24"/>
    </row>
    <row r="97" customFormat="false" ht="14.25" hidden="false" customHeight="true" outlineLevel="0" collapsed="false">
      <c r="B97" s="10" t="s">
        <v>370</v>
      </c>
      <c r="C97" s="31" t="n">
        <v>7</v>
      </c>
      <c r="D97" s="31" t="n">
        <v>7</v>
      </c>
      <c r="E97" s="32" t="n">
        <f aca="false">IF(case_sel=1,C97,D97)</f>
        <v>7</v>
      </c>
      <c r="F97" s="10" t="s">
        <v>311</v>
      </c>
      <c r="G97" s="10" t="s">
        <v>210</v>
      </c>
      <c r="H97" s="24"/>
    </row>
    <row r="98" customFormat="false" ht="14.25" hidden="false" customHeight="true" outlineLevel="0" collapsed="false">
      <c r="B98" s="10" t="s">
        <v>371</v>
      </c>
      <c r="C98" s="35" t="n">
        <v>0.05</v>
      </c>
      <c r="D98" s="35" t="n">
        <v>0.04</v>
      </c>
      <c r="E98" s="36" t="n">
        <f aca="false">IF(case_sel=1,C98,D98)</f>
        <v>0.05</v>
      </c>
      <c r="F98" s="10" t="s">
        <v>223</v>
      </c>
      <c r="G98" s="10" t="s">
        <v>210</v>
      </c>
      <c r="H98" s="24" t="s">
        <v>372</v>
      </c>
    </row>
    <row r="99" customFormat="false" ht="21.75" hidden="false" customHeight="true" outlineLevel="0" collapsed="false">
      <c r="B99" s="10" t="s">
        <v>373</v>
      </c>
      <c r="C99" s="35" t="n">
        <v>0.1</v>
      </c>
      <c r="D99" s="35" t="n">
        <v>0.08</v>
      </c>
      <c r="E99" s="36" t="n">
        <f aca="false">IF(case_sel=1,C99,D99)</f>
        <v>0.1</v>
      </c>
      <c r="F99" s="10" t="s">
        <v>223</v>
      </c>
      <c r="G99" s="10" t="s">
        <v>210</v>
      </c>
      <c r="H99" s="24" t="s">
        <v>374</v>
      </c>
    </row>
    <row r="100" customFormat="false" ht="14.25" hidden="false" customHeight="true" outlineLevel="0" collapsed="false">
      <c r="B100" s="10" t="s">
        <v>375</v>
      </c>
      <c r="C100" s="35" t="n">
        <v>0.07</v>
      </c>
      <c r="D100" s="35" t="n">
        <v>0.06</v>
      </c>
      <c r="E100" s="36" t="n">
        <f aca="false">IF(case_sel=1,C100,D100)</f>
        <v>0.07</v>
      </c>
      <c r="F100" s="10" t="s">
        <v>223</v>
      </c>
      <c r="G100" s="10" t="s">
        <v>210</v>
      </c>
      <c r="H100" s="24"/>
    </row>
    <row r="101" customFormat="false" ht="14.25" hidden="false" customHeight="true" outlineLevel="0" collapsed="false">
      <c r="B101" s="10" t="s">
        <v>376</v>
      </c>
      <c r="C101" s="35" t="n">
        <v>0.12</v>
      </c>
      <c r="D101" s="35" t="n">
        <v>0.08</v>
      </c>
      <c r="E101" s="36" t="n">
        <f aca="false">IF(case_sel=1,C101,D101)</f>
        <v>0.12</v>
      </c>
      <c r="F101" s="10" t="s">
        <v>223</v>
      </c>
      <c r="G101" s="10" t="s">
        <v>210</v>
      </c>
      <c r="H101" s="24"/>
    </row>
    <row r="102" customFormat="false" ht="14.25" hidden="false" customHeight="true" outlineLevel="0" collapsed="false">
      <c r="B102" s="10" t="s">
        <v>377</v>
      </c>
      <c r="C102" s="35" t="n">
        <v>0.12</v>
      </c>
      <c r="D102" s="35" t="n">
        <v>0.08</v>
      </c>
      <c r="E102" s="36" t="n">
        <f aca="false">IF(case_sel=1,C102,D102)</f>
        <v>0.12</v>
      </c>
      <c r="F102" s="10" t="s">
        <v>223</v>
      </c>
      <c r="G102" s="10" t="s">
        <v>210</v>
      </c>
      <c r="H102" s="24"/>
    </row>
    <row r="103" customFormat="false" ht="14.25" hidden="false" customHeight="true" outlineLevel="0" collapsed="false">
      <c r="B103" s="10" t="s">
        <v>378</v>
      </c>
      <c r="C103" s="35" t="n">
        <v>0.06</v>
      </c>
      <c r="D103" s="35" t="n">
        <v>0.05</v>
      </c>
      <c r="E103" s="36" t="n">
        <f aca="false">IF(case_sel=1,C103,D103)</f>
        <v>0.06</v>
      </c>
      <c r="F103" s="10" t="s">
        <v>223</v>
      </c>
      <c r="G103" s="10" t="s">
        <v>210</v>
      </c>
      <c r="H103" s="24"/>
    </row>
    <row r="104" customFormat="false" ht="14.25" hidden="false" customHeight="true" outlineLevel="0" collapsed="false">
      <c r="B104" s="10" t="s">
        <v>379</v>
      </c>
      <c r="C104" s="35" t="n">
        <v>0.2</v>
      </c>
      <c r="D104" s="35" t="n">
        <v>0.15</v>
      </c>
      <c r="E104" s="36" t="n">
        <f aca="false">IF(case_sel=1,C104,D104)</f>
        <v>0.2</v>
      </c>
      <c r="F104" s="10" t="s">
        <v>223</v>
      </c>
      <c r="G104" s="10" t="s">
        <v>210</v>
      </c>
      <c r="H104" s="24"/>
    </row>
    <row r="105" customFormat="false" ht="63.75" hidden="false" customHeight="true" outlineLevel="0" collapsed="false">
      <c r="B105" s="10" t="s">
        <v>380</v>
      </c>
      <c r="C105" s="39" t="n">
        <v>0.25</v>
      </c>
      <c r="D105" s="39" t="n">
        <v>0.25</v>
      </c>
      <c r="E105" s="36" t="n">
        <f aca="false">IF(case_sel=1,C105,D105)</f>
        <v>0.25</v>
      </c>
      <c r="F105" s="10" t="s">
        <v>223</v>
      </c>
      <c r="G105" s="10" t="s">
        <v>312</v>
      </c>
      <c r="H105" s="24" t="s">
        <v>381</v>
      </c>
    </row>
    <row r="106" customFormat="false" ht="42.75" hidden="false" customHeight="true" outlineLevel="0" collapsed="false">
      <c r="B106" s="10" t="s">
        <v>382</v>
      </c>
      <c r="C106" s="39" t="n">
        <v>0.08</v>
      </c>
      <c r="D106" s="39" t="n">
        <v>0.08</v>
      </c>
      <c r="E106" s="36" t="n">
        <f aca="false">IF(case_sel=1,C106,D106)</f>
        <v>0.08</v>
      </c>
      <c r="F106" s="10" t="s">
        <v>223</v>
      </c>
      <c r="G106" s="10" t="s">
        <v>312</v>
      </c>
      <c r="H106" s="24" t="s">
        <v>383</v>
      </c>
    </row>
    <row r="107" customFormat="false" ht="14.25" hidden="false" customHeight="true" outlineLevel="0" collapsed="false">
      <c r="B107" s="10" t="s">
        <v>384</v>
      </c>
      <c r="C107" s="35" t="n">
        <v>0.5</v>
      </c>
      <c r="D107" s="35" t="n">
        <v>0.5</v>
      </c>
      <c r="E107" s="36" t="n">
        <f aca="false">IF(case_sel=1,C107,D107)</f>
        <v>0.5</v>
      </c>
      <c r="F107" s="10" t="s">
        <v>223</v>
      </c>
      <c r="G107" s="10" t="s">
        <v>210</v>
      </c>
      <c r="H107" s="24"/>
    </row>
    <row r="108" customFormat="false" ht="14.25" hidden="false" customHeight="true" outlineLevel="0" collapsed="false">
      <c r="B108" s="10" t="s">
        <v>385</v>
      </c>
      <c r="C108" s="44" t="n">
        <v>1880</v>
      </c>
      <c r="D108" s="44" t="n">
        <v>1880</v>
      </c>
      <c r="E108" s="43" t="n">
        <f aca="false">IF(case_sel=1,C108,D108)</f>
        <v>1880</v>
      </c>
      <c r="F108" s="10" t="s">
        <v>315</v>
      </c>
      <c r="G108" s="10" t="s">
        <v>257</v>
      </c>
      <c r="H108" s="24"/>
    </row>
    <row r="109" customFormat="false" ht="14.25" hidden="false" customHeight="true" outlineLevel="0" collapsed="false">
      <c r="B109" s="8" t="s">
        <v>386</v>
      </c>
      <c r="C109" s="9"/>
      <c r="D109" s="9"/>
      <c r="E109" s="9"/>
      <c r="F109" s="9"/>
      <c r="G109" s="9"/>
      <c r="H109" s="9"/>
    </row>
    <row r="110" customFormat="false" ht="32.25" hidden="false" customHeight="true" outlineLevel="0" collapsed="false">
      <c r="B110" s="10" t="s">
        <v>387</v>
      </c>
      <c r="C110" s="42" t="n">
        <v>1</v>
      </c>
      <c r="D110" s="42" t="n">
        <v>1</v>
      </c>
      <c r="E110" s="43" t="n">
        <f aca="false">IF(case_sel=1,C110,D110)</f>
        <v>1</v>
      </c>
      <c r="F110" s="10" t="s">
        <v>308</v>
      </c>
      <c r="G110" s="10" t="s">
        <v>257</v>
      </c>
      <c r="H110" s="24" t="s">
        <v>388</v>
      </c>
    </row>
    <row r="111" customFormat="false" ht="14.25" hidden="false" customHeight="true" outlineLevel="0" collapsed="false">
      <c r="B111" s="10" t="s">
        <v>389</v>
      </c>
      <c r="C111" s="44" t="n">
        <v>1856</v>
      </c>
      <c r="D111" s="44" t="n">
        <v>1856</v>
      </c>
      <c r="E111" s="43" t="n">
        <f aca="false">IF(case_sel=1,C111,D111)</f>
        <v>1856</v>
      </c>
      <c r="F111" s="10" t="s">
        <v>315</v>
      </c>
      <c r="G111" s="10" t="s">
        <v>257</v>
      </c>
      <c r="H111" s="24"/>
    </row>
    <row r="112" customFormat="false" ht="14.25" hidden="false" customHeight="true" outlineLevel="0" collapsed="false">
      <c r="B112" s="10" t="s">
        <v>390</v>
      </c>
      <c r="C112" s="37" t="n">
        <v>1.5</v>
      </c>
      <c r="D112" s="37" t="n">
        <v>1.5</v>
      </c>
      <c r="E112" s="34" t="n">
        <f aca="false">IF(case_sel=1,C112,D112)</f>
        <v>1.5</v>
      </c>
      <c r="F112" s="10" t="s">
        <v>216</v>
      </c>
      <c r="G112" s="10" t="s">
        <v>210</v>
      </c>
      <c r="H112" s="24"/>
    </row>
    <row r="113" customFormat="false" ht="21.75" hidden="false" customHeight="true" outlineLevel="0" collapsed="false">
      <c r="B113" s="10" t="s">
        <v>391</v>
      </c>
      <c r="C113" s="35" t="n">
        <v>0.12</v>
      </c>
      <c r="D113" s="35" t="n">
        <v>0.12</v>
      </c>
      <c r="E113" s="36" t="n">
        <f aca="false">IF(case_sel=1,C113,D113)</f>
        <v>0.12</v>
      </c>
      <c r="F113" s="10" t="s">
        <v>223</v>
      </c>
      <c r="G113" s="10" t="s">
        <v>210</v>
      </c>
      <c r="H113" s="24" t="s">
        <v>392</v>
      </c>
    </row>
    <row r="114" customFormat="false" ht="53.25" hidden="false" customHeight="true" outlineLevel="0" collapsed="false">
      <c r="B114" s="10" t="s">
        <v>393</v>
      </c>
      <c r="C114" s="39" t="n">
        <v>0.01</v>
      </c>
      <c r="D114" s="39" t="n">
        <v>0.006</v>
      </c>
      <c r="E114" s="36" t="n">
        <f aca="false">IF(case_sel=1,C114,D114)</f>
        <v>0.01</v>
      </c>
      <c r="F114" s="10" t="s">
        <v>223</v>
      </c>
      <c r="G114" s="10" t="s">
        <v>210</v>
      </c>
      <c r="H114" s="24" t="s">
        <v>394</v>
      </c>
    </row>
    <row r="115" customFormat="false" ht="14.25" hidden="false" customHeight="true" outlineLevel="0" collapsed="false">
      <c r="B115" s="10" t="s">
        <v>395</v>
      </c>
      <c r="C115" s="35" t="n">
        <v>0.27</v>
      </c>
      <c r="D115" s="35" t="n">
        <v>0.15</v>
      </c>
      <c r="E115" s="36" t="n">
        <f aca="false">IF(case_sel=1,C115,D115)</f>
        <v>0.27</v>
      </c>
      <c r="F115" s="10" t="s">
        <v>223</v>
      </c>
      <c r="G115" s="10" t="s">
        <v>210</v>
      </c>
      <c r="H115" s="24"/>
    </row>
    <row r="116" customFormat="false" ht="42.75" hidden="false" customHeight="true" outlineLevel="0" collapsed="false">
      <c r="B116" s="10" t="s">
        <v>396</v>
      </c>
      <c r="C116" s="45" t="n">
        <v>0.003</v>
      </c>
      <c r="D116" s="45" t="n">
        <v>0.0015</v>
      </c>
      <c r="E116" s="41" t="n">
        <f aca="false">IF(case_sel=1,C116,D116)</f>
        <v>0.003</v>
      </c>
      <c r="F116" s="10" t="s">
        <v>223</v>
      </c>
      <c r="G116" s="10" t="s">
        <v>257</v>
      </c>
      <c r="H116" s="24" t="s">
        <v>397</v>
      </c>
    </row>
    <row r="117" customFormat="false" ht="14.25" hidden="false" customHeight="true" outlineLevel="0" collapsed="false">
      <c r="B117" s="10" t="s">
        <v>398</v>
      </c>
      <c r="C117" s="37" t="n">
        <v>2.2</v>
      </c>
      <c r="D117" s="37" t="n">
        <v>2.2</v>
      </c>
      <c r="E117" s="34" t="n">
        <f aca="false">IF(case_sel=1,C117,D117)</f>
        <v>2.2</v>
      </c>
      <c r="F117" s="10" t="s">
        <v>216</v>
      </c>
      <c r="G117" s="10" t="s">
        <v>210</v>
      </c>
      <c r="H117" s="24"/>
    </row>
    <row r="118" customFormat="false" ht="14.25" hidden="false" customHeight="true" outlineLevel="0" collapsed="false">
      <c r="B118" s="10" t="s">
        <v>399</v>
      </c>
      <c r="C118" s="35" t="n">
        <v>0.015</v>
      </c>
      <c r="D118" s="35" t="n">
        <v>0.008</v>
      </c>
      <c r="E118" s="36" t="n">
        <f aca="false">IF(case_sel=1,C118,D118)</f>
        <v>0.015</v>
      </c>
      <c r="F118" s="10" t="s">
        <v>223</v>
      </c>
      <c r="G118" s="10" t="s">
        <v>210</v>
      </c>
      <c r="H118" s="24"/>
    </row>
    <row r="119" customFormat="false" ht="21.75" hidden="false" customHeight="true" outlineLevel="0" collapsed="false">
      <c r="B119" s="10" t="s">
        <v>400</v>
      </c>
      <c r="C119" s="37" t="n">
        <v>2</v>
      </c>
      <c r="D119" s="37" t="n">
        <v>1.7</v>
      </c>
      <c r="E119" s="34" t="n">
        <f aca="false">IF(case_sel=1,C119,D119)</f>
        <v>2</v>
      </c>
      <c r="F119" s="10" t="s">
        <v>216</v>
      </c>
      <c r="G119" s="10" t="s">
        <v>210</v>
      </c>
      <c r="H119" s="24" t="s">
        <v>401</v>
      </c>
    </row>
    <row r="120" customFormat="false" ht="21.75" hidden="false" customHeight="true" outlineLevel="0" collapsed="false">
      <c r="B120" s="10" t="s">
        <v>402</v>
      </c>
      <c r="C120" s="37" t="n">
        <v>0.3</v>
      </c>
      <c r="D120" s="37" t="n">
        <v>0.15</v>
      </c>
      <c r="E120" s="34" t="n">
        <f aca="false">IF(case_sel=1,C120,D120)</f>
        <v>0.3</v>
      </c>
      <c r="F120" s="10" t="s">
        <v>216</v>
      </c>
      <c r="G120" s="10" t="s">
        <v>210</v>
      </c>
      <c r="H120" s="24" t="s">
        <v>403</v>
      </c>
    </row>
    <row r="121" customFormat="false" ht="14.25" hidden="false" customHeight="true" outlineLevel="0" collapsed="false">
      <c r="B121" s="10" t="s">
        <v>404</v>
      </c>
      <c r="C121" s="35" t="n">
        <v>0.025</v>
      </c>
      <c r="D121" s="35" t="n">
        <v>0.025</v>
      </c>
      <c r="E121" s="36" t="n">
        <f aca="false">IF(case_sel=1,C121,D121)</f>
        <v>0.025</v>
      </c>
      <c r="F121" s="10" t="s">
        <v>223</v>
      </c>
      <c r="G121" s="10" t="s">
        <v>210</v>
      </c>
      <c r="H121" s="24"/>
    </row>
    <row r="122" customFormat="false" ht="14.25" hidden="false" customHeight="true" outlineLevel="0" collapsed="false">
      <c r="B122" s="10" t="s">
        <v>405</v>
      </c>
      <c r="C122" s="35" t="n">
        <v>0.15</v>
      </c>
      <c r="D122" s="35" t="n">
        <v>0.15</v>
      </c>
      <c r="E122" s="36" t="n">
        <f aca="false">IF(case_sel=1,C122,D122)</f>
        <v>0.15</v>
      </c>
      <c r="F122" s="10" t="s">
        <v>223</v>
      </c>
      <c r="G122" s="10" t="s">
        <v>210</v>
      </c>
      <c r="H122" s="24"/>
    </row>
    <row r="123" customFormat="false" ht="14.25" hidden="false" customHeight="true" outlineLevel="0" collapsed="false">
      <c r="B123" s="10" t="s">
        <v>406</v>
      </c>
      <c r="C123" s="37" t="n">
        <v>0.3</v>
      </c>
      <c r="D123" s="37" t="n">
        <v>0.15</v>
      </c>
      <c r="E123" s="34" t="n">
        <f aca="false">IF(case_sel=1,C123,D123)</f>
        <v>0.3</v>
      </c>
      <c r="F123" s="10" t="s">
        <v>216</v>
      </c>
      <c r="G123" s="10" t="s">
        <v>210</v>
      </c>
      <c r="H123" s="24"/>
    </row>
    <row r="124" customFormat="false" ht="14.25" hidden="false" customHeight="true" outlineLevel="0" collapsed="false">
      <c r="B124" s="10" t="s">
        <v>407</v>
      </c>
      <c r="C124" s="35" t="n">
        <v>0.42</v>
      </c>
      <c r="D124" s="35" t="n">
        <v>0.42</v>
      </c>
      <c r="E124" s="36" t="n">
        <f aca="false">IF(case_sel=1,C124,D124)</f>
        <v>0.42</v>
      </c>
      <c r="F124" s="10" t="s">
        <v>223</v>
      </c>
      <c r="G124" s="10" t="s">
        <v>210</v>
      </c>
      <c r="H124" s="24"/>
    </row>
    <row r="125" customFormat="false" ht="14.25" hidden="false" customHeight="true" outlineLevel="0" collapsed="false">
      <c r="B125" s="10" t="s">
        <v>408</v>
      </c>
      <c r="C125" s="37" t="n">
        <v>0.7</v>
      </c>
      <c r="D125" s="37" t="n">
        <v>0.5</v>
      </c>
      <c r="E125" s="34" t="n">
        <f aca="false">IF(case_sel=1,C125,D125)</f>
        <v>0.7</v>
      </c>
      <c r="F125" s="10" t="s">
        <v>216</v>
      </c>
      <c r="G125" s="10" t="s">
        <v>210</v>
      </c>
      <c r="H125" s="24" t="s">
        <v>409</v>
      </c>
    </row>
    <row r="126" customFormat="false" ht="14.25" hidden="false" customHeight="true" outlineLevel="0" collapsed="false">
      <c r="B126" s="10" t="s">
        <v>410</v>
      </c>
      <c r="C126" s="35" t="n">
        <v>0.35</v>
      </c>
      <c r="D126" s="35" t="n">
        <v>0.25</v>
      </c>
      <c r="E126" s="36" t="n">
        <f aca="false">IF(case_sel=1,C126,D126)</f>
        <v>0.35</v>
      </c>
      <c r="F126" s="10" t="s">
        <v>223</v>
      </c>
      <c r="G126" s="10" t="s">
        <v>210</v>
      </c>
      <c r="H126" s="24"/>
    </row>
    <row r="127" customFormat="false" ht="14.25" hidden="false" customHeight="true" outlineLevel="0" collapsed="false">
      <c r="B127" s="10" t="s">
        <v>411</v>
      </c>
      <c r="C127" s="35" t="n">
        <v>0.3</v>
      </c>
      <c r="D127" s="35" t="n">
        <v>0.3</v>
      </c>
      <c r="E127" s="36" t="n">
        <f aca="false">IF(case_sel=1,C127,D127)</f>
        <v>0.3</v>
      </c>
      <c r="F127" s="10" t="s">
        <v>223</v>
      </c>
      <c r="G127" s="10" t="s">
        <v>210</v>
      </c>
      <c r="H127" s="24"/>
    </row>
    <row r="128" customFormat="false" ht="14.25" hidden="false" customHeight="true" outlineLevel="0" collapsed="false">
      <c r="B128" s="10" t="s">
        <v>412</v>
      </c>
      <c r="C128" s="37" t="n">
        <v>1.8</v>
      </c>
      <c r="D128" s="37" t="n">
        <v>1.8</v>
      </c>
      <c r="E128" s="34" t="n">
        <f aca="false">IF(case_sel=1,C128,D128)</f>
        <v>1.8</v>
      </c>
      <c r="F128" s="10" t="s">
        <v>216</v>
      </c>
      <c r="G128" s="10" t="s">
        <v>210</v>
      </c>
      <c r="H128" s="24"/>
    </row>
    <row r="129" customFormat="false" ht="14.25" hidden="false" customHeight="true" outlineLevel="0" collapsed="false">
      <c r="B129" s="10" t="s">
        <v>413</v>
      </c>
      <c r="C129" s="35" t="n">
        <v>0.3</v>
      </c>
      <c r="D129" s="35" t="n">
        <v>0.2</v>
      </c>
      <c r="E129" s="36" t="n">
        <f aca="false">IF(case_sel=1,C129,D129)</f>
        <v>0.3</v>
      </c>
      <c r="F129" s="10" t="s">
        <v>223</v>
      </c>
      <c r="G129" s="10" t="s">
        <v>210</v>
      </c>
      <c r="H129" s="24"/>
    </row>
    <row r="130" customFormat="false" ht="14.25" hidden="false" customHeight="true" outlineLevel="0" collapsed="false">
      <c r="B130" s="10" t="s">
        <v>414</v>
      </c>
      <c r="C130" s="35" t="n">
        <v>0.25</v>
      </c>
      <c r="D130" s="35" t="n">
        <v>0.25</v>
      </c>
      <c r="E130" s="36" t="n">
        <f aca="false">IF(case_sel=1,C130,D130)</f>
        <v>0.25</v>
      </c>
      <c r="F130" s="10" t="s">
        <v>223</v>
      </c>
      <c r="G130" s="10" t="s">
        <v>210</v>
      </c>
      <c r="H130" s="24"/>
    </row>
    <row r="131" customFormat="false" ht="53.25" hidden="false" customHeight="true" outlineLevel="0" collapsed="false">
      <c r="B131" s="10" t="s">
        <v>415</v>
      </c>
      <c r="C131" s="35" t="n">
        <v>0.015</v>
      </c>
      <c r="D131" s="35" t="n">
        <v>0.025</v>
      </c>
      <c r="E131" s="36" t="n">
        <f aca="false">IF(case_sel=1,C131,D131)</f>
        <v>0.015</v>
      </c>
      <c r="F131" s="10" t="s">
        <v>223</v>
      </c>
      <c r="G131" s="10" t="s">
        <v>210</v>
      </c>
      <c r="H131" s="24" t="s">
        <v>416</v>
      </c>
    </row>
    <row r="132" customFormat="false" ht="21.75" hidden="false" customHeight="true" outlineLevel="0" collapsed="false">
      <c r="B132" s="10" t="s">
        <v>417</v>
      </c>
      <c r="C132" s="37" t="n">
        <v>0.6</v>
      </c>
      <c r="D132" s="37" t="n">
        <v>0.6</v>
      </c>
      <c r="E132" s="34" t="n">
        <f aca="false">IF(case_sel=1,C132,D132)</f>
        <v>0.6</v>
      </c>
      <c r="F132" s="10" t="s">
        <v>216</v>
      </c>
      <c r="G132" s="10" t="s">
        <v>210</v>
      </c>
      <c r="H132" s="24" t="s">
        <v>418</v>
      </c>
    </row>
    <row r="133" customFormat="false" ht="14.25" hidden="false" customHeight="true" outlineLevel="0" collapsed="false">
      <c r="B133" s="10" t="s">
        <v>419</v>
      </c>
      <c r="C133" s="37" t="n">
        <v>0.5</v>
      </c>
      <c r="D133" s="37" t="n">
        <v>0.5</v>
      </c>
      <c r="E133" s="34" t="n">
        <f aca="false">IF(case_sel=1,C133,D133)</f>
        <v>0.5</v>
      </c>
      <c r="F133" s="10" t="s">
        <v>216</v>
      </c>
      <c r="G133" s="10" t="s">
        <v>210</v>
      </c>
      <c r="H133" s="24" t="s">
        <v>420</v>
      </c>
    </row>
    <row r="134" customFormat="false" ht="21.75" hidden="false" customHeight="true" outlineLevel="0" collapsed="false">
      <c r="B134" s="10" t="s">
        <v>421</v>
      </c>
      <c r="C134" s="31" t="n">
        <v>400</v>
      </c>
      <c r="D134" s="31" t="n">
        <v>400</v>
      </c>
      <c r="E134" s="32" t="n">
        <f aca="false">IF(case_sel=1,C134,D134)</f>
        <v>400</v>
      </c>
      <c r="F134" s="10" t="s">
        <v>323</v>
      </c>
      <c r="G134" s="10" t="s">
        <v>210</v>
      </c>
      <c r="H134" s="24" t="s">
        <v>422</v>
      </c>
    </row>
    <row r="135" customFormat="false" ht="14.25" hidden="false" customHeight="true" outlineLevel="0" collapsed="false">
      <c r="B135" s="8" t="s">
        <v>423</v>
      </c>
      <c r="C135" s="9"/>
      <c r="D135" s="9"/>
      <c r="E135" s="9"/>
      <c r="F135" s="9"/>
      <c r="G135" s="9"/>
      <c r="H135" s="9"/>
    </row>
    <row r="136" customFormat="false" ht="32.25" hidden="false" customHeight="true" outlineLevel="0" collapsed="false">
      <c r="B136" s="10" t="s">
        <v>424</v>
      </c>
      <c r="C136" s="42" t="n">
        <v>1</v>
      </c>
      <c r="D136" s="42" t="n">
        <v>1</v>
      </c>
      <c r="E136" s="43" t="n">
        <f aca="false">IF(case_sel=1,C136,D136)</f>
        <v>1</v>
      </c>
      <c r="F136" s="10" t="s">
        <v>308</v>
      </c>
      <c r="G136" s="10" t="s">
        <v>257</v>
      </c>
      <c r="H136" s="24" t="s">
        <v>425</v>
      </c>
    </row>
    <row r="137" customFormat="false" ht="32.25" hidden="false" customHeight="true" outlineLevel="0" collapsed="false">
      <c r="B137" s="10" t="s">
        <v>426</v>
      </c>
      <c r="C137" s="44" t="n">
        <v>1880</v>
      </c>
      <c r="D137" s="44" t="n">
        <v>1880</v>
      </c>
      <c r="E137" s="43" t="n">
        <f aca="false">IF(case_sel=1,C137,D137)</f>
        <v>1880</v>
      </c>
      <c r="F137" s="10" t="s">
        <v>315</v>
      </c>
      <c r="G137" s="10" t="s">
        <v>210</v>
      </c>
      <c r="H137" s="24" t="s">
        <v>427</v>
      </c>
    </row>
    <row r="138" customFormat="false" ht="14.25" hidden="false" customHeight="true" outlineLevel="0" collapsed="false">
      <c r="B138" s="10" t="s">
        <v>428</v>
      </c>
      <c r="C138" s="35" t="n">
        <v>0.25</v>
      </c>
      <c r="D138" s="35" t="n">
        <v>0.15</v>
      </c>
      <c r="E138" s="36" t="n">
        <f aca="false">IF(case_sel=1,C138,D138)</f>
        <v>0.25</v>
      </c>
      <c r="F138" s="10" t="s">
        <v>223</v>
      </c>
      <c r="G138" s="10" t="s">
        <v>210</v>
      </c>
      <c r="H138" s="24"/>
    </row>
    <row r="139" customFormat="false" ht="32.25" hidden="false" customHeight="true" outlineLevel="0" collapsed="false">
      <c r="B139" s="10" t="s">
        <v>429</v>
      </c>
      <c r="C139" s="39" t="n">
        <v>0.2</v>
      </c>
      <c r="D139" s="39" t="n">
        <v>0.12</v>
      </c>
      <c r="E139" s="36" t="n">
        <f aca="false">IF(case_sel=1,C139,D139)</f>
        <v>0.2</v>
      </c>
      <c r="F139" s="10" t="s">
        <v>223</v>
      </c>
      <c r="G139" s="10" t="s">
        <v>210</v>
      </c>
      <c r="H139" s="24" t="s">
        <v>430</v>
      </c>
    </row>
    <row r="140" customFormat="false" ht="14.25" hidden="false" customHeight="true" outlineLevel="0" collapsed="false">
      <c r="B140" s="10" t="s">
        <v>431</v>
      </c>
      <c r="C140" s="37" t="n">
        <v>0.75</v>
      </c>
      <c r="D140" s="37" t="n">
        <v>0.7</v>
      </c>
      <c r="E140" s="34" t="n">
        <f aca="false">IF(case_sel=1,C140,D140)</f>
        <v>0.75</v>
      </c>
      <c r="F140" s="10" t="s">
        <v>216</v>
      </c>
      <c r="G140" s="10" t="s">
        <v>210</v>
      </c>
      <c r="H140" s="24"/>
    </row>
    <row r="141" customFormat="false" ht="14.25" hidden="false" customHeight="true" outlineLevel="0" collapsed="false">
      <c r="B141" s="10" t="s">
        <v>432</v>
      </c>
      <c r="C141" s="35" t="n">
        <v>0.05</v>
      </c>
      <c r="D141" s="35" t="n">
        <v>0.04</v>
      </c>
      <c r="E141" s="36" t="n">
        <f aca="false">IF(case_sel=1,C141,D141)</f>
        <v>0.05</v>
      </c>
      <c r="F141" s="10" t="s">
        <v>223</v>
      </c>
      <c r="G141" s="10" t="s">
        <v>210</v>
      </c>
      <c r="H141" s="24"/>
    </row>
    <row r="142" customFormat="false" ht="21.75" hidden="false" customHeight="true" outlineLevel="0" collapsed="false">
      <c r="B142" s="10" t="s">
        <v>433</v>
      </c>
      <c r="C142" s="35" t="n">
        <v>0.013</v>
      </c>
      <c r="D142" s="35" t="n">
        <v>0.013</v>
      </c>
      <c r="E142" s="36" t="n">
        <f aca="false">IF(case_sel=1,C142,D142)</f>
        <v>0.013</v>
      </c>
      <c r="F142" s="10" t="s">
        <v>223</v>
      </c>
      <c r="G142" s="10" t="s">
        <v>210</v>
      </c>
      <c r="H142" s="24" t="s">
        <v>434</v>
      </c>
    </row>
    <row r="143" customFormat="false" ht="32.25" hidden="false" customHeight="true" outlineLevel="0" collapsed="false">
      <c r="B143" s="10" t="s">
        <v>435</v>
      </c>
      <c r="C143" s="33" t="n">
        <v>0.03</v>
      </c>
      <c r="D143" s="33" t="n">
        <v>0.015</v>
      </c>
      <c r="E143" s="34" t="n">
        <f aca="false">IF(case_sel=1,C143,D143)</f>
        <v>0.03</v>
      </c>
      <c r="F143" s="10" t="s">
        <v>216</v>
      </c>
      <c r="G143" s="10" t="s">
        <v>210</v>
      </c>
      <c r="H143" s="24" t="s">
        <v>436</v>
      </c>
    </row>
    <row r="144" customFormat="false" ht="32.25" hidden="false" customHeight="true" outlineLevel="0" collapsed="false">
      <c r="B144" s="10" t="s">
        <v>437</v>
      </c>
      <c r="C144" s="45" t="n">
        <v>0.003</v>
      </c>
      <c r="D144" s="45" t="n">
        <v>0.002</v>
      </c>
      <c r="E144" s="41" t="n">
        <f aca="false">IF(case_sel=1,C144,D144)</f>
        <v>0.003</v>
      </c>
      <c r="F144" s="10" t="s">
        <v>223</v>
      </c>
      <c r="G144" s="10" t="s">
        <v>210</v>
      </c>
      <c r="H144" s="24" t="s">
        <v>438</v>
      </c>
    </row>
    <row r="145" customFormat="false" ht="14.25" hidden="false" customHeight="true" outlineLevel="0" collapsed="false">
      <c r="B145" s="10" t="s">
        <v>439</v>
      </c>
      <c r="C145" s="35" t="n">
        <v>0.2</v>
      </c>
      <c r="D145" s="35" t="n">
        <v>0.2</v>
      </c>
      <c r="E145" s="36" t="n">
        <f aca="false">IF(case_sel=1,C145,D145)</f>
        <v>0.2</v>
      </c>
      <c r="F145" s="10" t="s">
        <v>223</v>
      </c>
      <c r="G145" s="10" t="s">
        <v>210</v>
      </c>
      <c r="H145" s="24"/>
    </row>
    <row r="146" customFormat="false" ht="14.25" hidden="false" customHeight="true" outlineLevel="0" collapsed="false">
      <c r="B146" s="8" t="s">
        <v>440</v>
      </c>
      <c r="C146" s="9"/>
      <c r="D146" s="9"/>
      <c r="E146" s="9"/>
      <c r="F146" s="9"/>
      <c r="G146" s="9"/>
      <c r="H146" s="9"/>
    </row>
    <row r="147" customFormat="false" ht="53.25" hidden="false" customHeight="true" outlineLevel="0" collapsed="false">
      <c r="B147" s="10" t="s">
        <v>441</v>
      </c>
      <c r="C147" s="39" t="n">
        <v>0.01</v>
      </c>
      <c r="D147" s="39" t="n">
        <v>0.006</v>
      </c>
      <c r="E147" s="36" t="n">
        <f aca="false">IF(case_sel=1,C147,D147)</f>
        <v>0.01</v>
      </c>
      <c r="F147" s="10" t="s">
        <v>223</v>
      </c>
      <c r="G147" s="10" t="s">
        <v>210</v>
      </c>
      <c r="H147" s="24" t="s">
        <v>442</v>
      </c>
    </row>
    <row r="148" customFormat="false" ht="21.75" hidden="false" customHeight="true" outlineLevel="0" collapsed="false">
      <c r="B148" s="10" t="s">
        <v>443</v>
      </c>
      <c r="C148" s="35" t="n">
        <v>0.03</v>
      </c>
      <c r="D148" s="35" t="n">
        <v>0.02</v>
      </c>
      <c r="E148" s="36" t="n">
        <f aca="false">IF(case_sel=1,C148,D148)</f>
        <v>0.03</v>
      </c>
      <c r="F148" s="10" t="s">
        <v>223</v>
      </c>
      <c r="G148" s="10" t="s">
        <v>210</v>
      </c>
      <c r="H148" s="24" t="s">
        <v>444</v>
      </c>
    </row>
    <row r="149" customFormat="false" ht="32.25" hidden="false" customHeight="true" outlineLevel="0" collapsed="false">
      <c r="B149" s="10" t="s">
        <v>445</v>
      </c>
      <c r="C149" s="33" t="n">
        <v>0.5</v>
      </c>
      <c r="D149" s="33" t="n">
        <v>0.3</v>
      </c>
      <c r="E149" s="34" t="n">
        <f aca="false">IF(case_sel=1,C149,D149)</f>
        <v>0.5</v>
      </c>
      <c r="F149" s="10" t="s">
        <v>216</v>
      </c>
      <c r="G149" s="10" t="s">
        <v>210</v>
      </c>
      <c r="H149" s="24" t="s">
        <v>446</v>
      </c>
    </row>
    <row r="150" customFormat="false" ht="14.25" hidden="false" customHeight="true" outlineLevel="0" collapsed="false">
      <c r="B150" s="10" t="s">
        <v>447</v>
      </c>
      <c r="C150" s="35" t="n">
        <v>0.5</v>
      </c>
      <c r="D150" s="35" t="n">
        <v>0.3</v>
      </c>
      <c r="E150" s="36" t="n">
        <f aca="false">IF(case_sel=1,C150,D150)</f>
        <v>0.5</v>
      </c>
      <c r="F150" s="10" t="s">
        <v>223</v>
      </c>
      <c r="G150" s="10" t="s">
        <v>210</v>
      </c>
      <c r="H150" s="24"/>
    </row>
    <row r="151" customFormat="false" ht="14.25" hidden="false" customHeight="true" outlineLevel="0" collapsed="false">
      <c r="B151" s="8" t="s">
        <v>448</v>
      </c>
      <c r="C151" s="9"/>
      <c r="D151" s="9"/>
      <c r="E151" s="9"/>
      <c r="F151" s="9"/>
      <c r="G151" s="9"/>
      <c r="H151" s="9"/>
    </row>
    <row r="152" customFormat="false" ht="21.75" hidden="false" customHeight="true" outlineLevel="0" collapsed="false">
      <c r="B152" s="10" t="s">
        <v>449</v>
      </c>
      <c r="C152" s="42" t="n">
        <v>2</v>
      </c>
      <c r="D152" s="42" t="n">
        <v>2</v>
      </c>
      <c r="E152" s="43" t="n">
        <f aca="false">IF(case_sel=1,C152,D152)</f>
        <v>2</v>
      </c>
      <c r="F152" s="10" t="s">
        <v>308</v>
      </c>
      <c r="G152" s="10" t="s">
        <v>257</v>
      </c>
      <c r="H152" s="24" t="s">
        <v>450</v>
      </c>
    </row>
    <row r="153" customFormat="false" ht="32.25" hidden="false" customHeight="true" outlineLevel="0" collapsed="false">
      <c r="B153" s="10" t="s">
        <v>451</v>
      </c>
      <c r="C153" s="42" t="n">
        <v>1903</v>
      </c>
      <c r="D153" s="42" t="n">
        <v>1903</v>
      </c>
      <c r="E153" s="43" t="n">
        <f aca="false">IF(case_sel=1,C153,D153)</f>
        <v>1903</v>
      </c>
      <c r="F153" s="10" t="s">
        <v>315</v>
      </c>
      <c r="G153" s="10" t="s">
        <v>257</v>
      </c>
      <c r="H153" s="24" t="s">
        <v>452</v>
      </c>
    </row>
    <row r="154" customFormat="false" ht="14.25" hidden="false" customHeight="true" outlineLevel="0" collapsed="false">
      <c r="B154" s="10" t="s">
        <v>453</v>
      </c>
      <c r="C154" s="44" t="n">
        <v>1910</v>
      </c>
      <c r="D154" s="44" t="n">
        <v>1910</v>
      </c>
      <c r="E154" s="43" t="n">
        <f aca="false">IF(case_sel=1,C154,D154)</f>
        <v>1910</v>
      </c>
      <c r="F154" s="10" t="s">
        <v>315</v>
      </c>
      <c r="G154" s="10" t="s">
        <v>257</v>
      </c>
      <c r="H154" s="24"/>
    </row>
    <row r="155" customFormat="false" ht="14.25" hidden="false" customHeight="true" outlineLevel="0" collapsed="false">
      <c r="B155" s="10" t="s">
        <v>454</v>
      </c>
      <c r="C155" s="33" t="n">
        <v>0.333</v>
      </c>
      <c r="D155" s="33" t="n">
        <v>0.333</v>
      </c>
      <c r="E155" s="34" t="n">
        <f aca="false">IF(case_sel=1,C155,D155)</f>
        <v>0.333</v>
      </c>
      <c r="F155" s="10" t="s">
        <v>216</v>
      </c>
      <c r="G155" s="10" t="s">
        <v>257</v>
      </c>
      <c r="H155" s="24" t="s">
        <v>455</v>
      </c>
    </row>
    <row r="156" customFormat="false" ht="14.25" hidden="false" customHeight="true" outlineLevel="0" collapsed="false">
      <c r="B156" s="10" t="s">
        <v>456</v>
      </c>
      <c r="C156" s="35" t="n">
        <v>0.3</v>
      </c>
      <c r="D156" s="35" t="n">
        <v>0.4</v>
      </c>
      <c r="E156" s="36" t="n">
        <f aca="false">IF(case_sel=1,C156,D156)</f>
        <v>0.3</v>
      </c>
      <c r="F156" s="10" t="s">
        <v>223</v>
      </c>
      <c r="G156" s="10" t="s">
        <v>210</v>
      </c>
      <c r="H156" s="24"/>
    </row>
    <row r="157" customFormat="false" ht="14.25" hidden="false" customHeight="true" outlineLevel="0" collapsed="false">
      <c r="B157" s="10" t="s">
        <v>457</v>
      </c>
      <c r="C157" s="35" t="n">
        <v>0.3</v>
      </c>
      <c r="D157" s="35" t="n">
        <v>0.4</v>
      </c>
      <c r="E157" s="36" t="n">
        <f aca="false">IF(case_sel=1,C157,D157)</f>
        <v>0.3</v>
      </c>
      <c r="F157" s="10" t="s">
        <v>223</v>
      </c>
      <c r="G157" s="10" t="s">
        <v>210</v>
      </c>
      <c r="H157" s="24"/>
    </row>
    <row r="158" customFormat="false" ht="14.25" hidden="false" customHeight="true" outlineLevel="0" collapsed="false">
      <c r="B158" s="10" t="s">
        <v>458</v>
      </c>
      <c r="C158" s="40" t="n">
        <v>0.0015</v>
      </c>
      <c r="D158" s="40" t="n">
        <v>0.0025</v>
      </c>
      <c r="E158" s="41" t="n">
        <f aca="false">IF(case_sel=1,C158,D158)</f>
        <v>0.0015</v>
      </c>
      <c r="F158" s="10" t="s">
        <v>223</v>
      </c>
      <c r="G158" s="10" t="s">
        <v>210</v>
      </c>
      <c r="H158" s="24"/>
    </row>
    <row r="159" customFormat="false" ht="14.25" hidden="false" customHeight="true" outlineLevel="0" collapsed="false">
      <c r="B159" s="10" t="s">
        <v>459</v>
      </c>
      <c r="C159" s="35" t="n">
        <v>0.3</v>
      </c>
      <c r="D159" s="35" t="n">
        <v>0.3</v>
      </c>
      <c r="E159" s="36" t="n">
        <f aca="false">IF(case_sel=1,C159,D159)</f>
        <v>0.3</v>
      </c>
      <c r="F159" s="10" t="s">
        <v>223</v>
      </c>
      <c r="G159" s="10" t="s">
        <v>210</v>
      </c>
      <c r="H159" s="24"/>
    </row>
    <row r="160" customFormat="false" ht="14.25" hidden="false" customHeight="true" outlineLevel="0" collapsed="false">
      <c r="B160" s="10" t="s">
        <v>460</v>
      </c>
      <c r="C160" s="35" t="n">
        <v>0.3</v>
      </c>
      <c r="D160" s="35" t="n">
        <v>0.3</v>
      </c>
      <c r="E160" s="36" t="n">
        <f aca="false">IF(case_sel=1,C160,D160)</f>
        <v>0.3</v>
      </c>
      <c r="F160" s="10" t="s">
        <v>223</v>
      </c>
      <c r="G160" s="10" t="s">
        <v>210</v>
      </c>
      <c r="H160" s="24"/>
    </row>
    <row r="161" customFormat="false" ht="14.25" hidden="false" customHeight="true" outlineLevel="0" collapsed="false">
      <c r="B161" s="10" t="s">
        <v>461</v>
      </c>
      <c r="C161" s="35" t="n">
        <v>0.04</v>
      </c>
      <c r="D161" s="35" t="n">
        <v>0.05</v>
      </c>
      <c r="E161" s="36" t="n">
        <f aca="false">IF(case_sel=1,C161,D161)</f>
        <v>0.04</v>
      </c>
      <c r="F161" s="10" t="s">
        <v>223</v>
      </c>
      <c r="G161" s="10" t="s">
        <v>210</v>
      </c>
      <c r="H161" s="24"/>
    </row>
    <row r="162" customFormat="false" ht="21.75" hidden="false" customHeight="true" outlineLevel="0" collapsed="false">
      <c r="B162" s="10" t="s">
        <v>462</v>
      </c>
      <c r="C162" s="39" t="n">
        <v>0.2</v>
      </c>
      <c r="D162" s="39" t="n">
        <v>0.12</v>
      </c>
      <c r="E162" s="36" t="n">
        <f aca="false">IF(case_sel=1,C162,D162)</f>
        <v>0.2</v>
      </c>
      <c r="F162" s="10" t="s">
        <v>223</v>
      </c>
      <c r="G162" s="10" t="s">
        <v>257</v>
      </c>
      <c r="H162" s="24" t="s">
        <v>463</v>
      </c>
    </row>
    <row r="163" customFormat="false" ht="14.25" hidden="false" customHeight="true" outlineLevel="0" collapsed="false">
      <c r="B163" s="8" t="s">
        <v>464</v>
      </c>
      <c r="C163" s="9"/>
      <c r="D163" s="9"/>
      <c r="E163" s="9"/>
      <c r="F163" s="9"/>
      <c r="G163" s="9"/>
      <c r="H163" s="9"/>
    </row>
    <row r="164" customFormat="false" ht="53.25" hidden="false" customHeight="true" outlineLevel="0" collapsed="false">
      <c r="B164" s="10" t="s">
        <v>465</v>
      </c>
      <c r="C164" s="42" t="n">
        <v>1</v>
      </c>
      <c r="D164" s="42" t="n">
        <v>1</v>
      </c>
      <c r="E164" s="43" t="n">
        <f aca="false">IF(case_sel=1,C164,D164)</f>
        <v>1</v>
      </c>
      <c r="F164" s="10" t="s">
        <v>308</v>
      </c>
      <c r="G164" s="10" t="s">
        <v>257</v>
      </c>
      <c r="H164" s="24" t="s">
        <v>466</v>
      </c>
    </row>
    <row r="165" customFormat="false" ht="14.25" hidden="false" customHeight="true" outlineLevel="0" collapsed="false">
      <c r="B165" s="10" t="s">
        <v>467</v>
      </c>
      <c r="C165" s="44" t="n">
        <v>1890</v>
      </c>
      <c r="D165" s="44" t="n">
        <v>1890</v>
      </c>
      <c r="E165" s="43" t="n">
        <f aca="false">IF(case_sel=1,C165,D165)</f>
        <v>1890</v>
      </c>
      <c r="F165" s="10" t="s">
        <v>315</v>
      </c>
      <c r="G165" s="10" t="s">
        <v>257</v>
      </c>
      <c r="H165" s="24" t="s">
        <v>468</v>
      </c>
    </row>
    <row r="166" customFormat="false" ht="14.25" hidden="false" customHeight="true" outlineLevel="0" collapsed="false">
      <c r="B166" s="10" t="s">
        <v>469</v>
      </c>
      <c r="C166" s="37" t="n">
        <v>0.6</v>
      </c>
      <c r="D166" s="37" t="n">
        <v>0.4</v>
      </c>
      <c r="E166" s="34" t="n">
        <f aca="false">IF(case_sel=1,C166,D166)</f>
        <v>0.6</v>
      </c>
      <c r="F166" s="10" t="s">
        <v>216</v>
      </c>
      <c r="G166" s="10" t="s">
        <v>210</v>
      </c>
      <c r="H166" s="24"/>
    </row>
    <row r="167" customFormat="false" ht="14.25" hidden="false" customHeight="true" outlineLevel="0" collapsed="false">
      <c r="B167" s="10" t="s">
        <v>470</v>
      </c>
      <c r="C167" s="35" t="n">
        <v>0.08</v>
      </c>
      <c r="D167" s="35" t="n">
        <v>0.05</v>
      </c>
      <c r="E167" s="36" t="n">
        <f aca="false">IF(case_sel=1,C167,D167)</f>
        <v>0.08</v>
      </c>
      <c r="F167" s="10" t="s">
        <v>223</v>
      </c>
      <c r="G167" s="10" t="s">
        <v>210</v>
      </c>
      <c r="H167" s="24"/>
    </row>
    <row r="168" customFormat="false" ht="42.75" hidden="false" customHeight="true" outlineLevel="0" collapsed="false">
      <c r="B168" s="10" t="s">
        <v>471</v>
      </c>
      <c r="C168" s="39" t="n">
        <v>0.2</v>
      </c>
      <c r="D168" s="39" t="n">
        <v>0.15</v>
      </c>
      <c r="E168" s="36" t="n">
        <f aca="false">IF(case_sel=1,C168,D168)</f>
        <v>0.2</v>
      </c>
      <c r="F168" s="10" t="s">
        <v>223</v>
      </c>
      <c r="G168" s="10" t="s">
        <v>257</v>
      </c>
      <c r="H168" s="24" t="s">
        <v>472</v>
      </c>
    </row>
    <row r="169" customFormat="false" ht="14.25" hidden="false" customHeight="true" outlineLevel="0" collapsed="false">
      <c r="B169" s="10" t="s">
        <v>473</v>
      </c>
      <c r="C169" s="35" t="n">
        <v>0.4</v>
      </c>
      <c r="D169" s="35" t="n">
        <v>0.3</v>
      </c>
      <c r="E169" s="36" t="n">
        <f aca="false">IF(case_sel=1,C169,D169)</f>
        <v>0.4</v>
      </c>
      <c r="F169" s="10" t="s">
        <v>223</v>
      </c>
      <c r="G169" s="10" t="s">
        <v>210</v>
      </c>
      <c r="H169" s="24"/>
    </row>
    <row r="170" customFormat="false" ht="14.25" hidden="false" customHeight="true" outlineLevel="0" collapsed="false">
      <c r="B170" s="10" t="s">
        <v>474</v>
      </c>
      <c r="C170" s="31" t="n">
        <v>3</v>
      </c>
      <c r="D170" s="31" t="n">
        <v>3</v>
      </c>
      <c r="E170" s="32" t="n">
        <f aca="false">IF(case_sel=1,C170,D170)</f>
        <v>3</v>
      </c>
      <c r="F170" s="10" t="s">
        <v>311</v>
      </c>
      <c r="G170" s="10" t="s">
        <v>257</v>
      </c>
      <c r="H170" s="24"/>
    </row>
    <row r="171" customFormat="false" ht="21.75" hidden="false" customHeight="true" outlineLevel="0" collapsed="false">
      <c r="B171" s="10" t="s">
        <v>475</v>
      </c>
      <c r="C171" s="37" t="n">
        <v>1.6</v>
      </c>
      <c r="D171" s="37" t="n">
        <v>1.6</v>
      </c>
      <c r="E171" s="34" t="n">
        <f aca="false">IF(case_sel=1,C171,D171)</f>
        <v>1.6</v>
      </c>
      <c r="F171" s="10" t="s">
        <v>216</v>
      </c>
      <c r="G171" s="10" t="s">
        <v>210</v>
      </c>
      <c r="H171" s="24" t="s">
        <v>476</v>
      </c>
    </row>
    <row r="172" customFormat="false" ht="14.25" hidden="false" customHeight="true" outlineLevel="0" collapsed="false">
      <c r="B172" s="10" t="s">
        <v>477</v>
      </c>
      <c r="C172" s="35" t="n">
        <v>0.03</v>
      </c>
      <c r="D172" s="35" t="n">
        <v>0.02</v>
      </c>
      <c r="E172" s="36" t="n">
        <f aca="false">IF(case_sel=1,C172,D172)</f>
        <v>0.03</v>
      </c>
      <c r="F172" s="10" t="s">
        <v>223</v>
      </c>
      <c r="G172" s="10" t="s">
        <v>257</v>
      </c>
      <c r="H172" s="24" t="s">
        <v>478</v>
      </c>
    </row>
    <row r="173" customFormat="false" ht="14.25" hidden="false" customHeight="true" outlineLevel="0" collapsed="false">
      <c r="B173" s="10" t="s">
        <v>479</v>
      </c>
      <c r="C173" s="37" t="n">
        <v>1.8</v>
      </c>
      <c r="D173" s="37" t="n">
        <v>1.8</v>
      </c>
      <c r="E173" s="34" t="n">
        <f aca="false">IF(case_sel=1,C173,D173)</f>
        <v>1.8</v>
      </c>
      <c r="F173" s="10" t="s">
        <v>216</v>
      </c>
      <c r="G173" s="10" t="s">
        <v>210</v>
      </c>
      <c r="H173" s="24"/>
    </row>
    <row r="174" customFormat="false" ht="42.75" hidden="false" customHeight="true" outlineLevel="0" collapsed="false">
      <c r="B174" s="10" t="s">
        <v>480</v>
      </c>
      <c r="C174" s="35" t="n">
        <v>0.6</v>
      </c>
      <c r="D174" s="35" t="n">
        <v>0.6</v>
      </c>
      <c r="E174" s="36" t="n">
        <f aca="false">IF(case_sel=1,C174,D174)</f>
        <v>0.6</v>
      </c>
      <c r="F174" s="10" t="s">
        <v>223</v>
      </c>
      <c r="G174" s="10" t="s">
        <v>210</v>
      </c>
      <c r="H174" s="24" t="s">
        <v>481</v>
      </c>
    </row>
    <row r="175" customFormat="false" ht="14.25" hidden="false" customHeight="true" outlineLevel="0" collapsed="false">
      <c r="B175" s="10" t="s">
        <v>482</v>
      </c>
      <c r="C175" s="37" t="n">
        <v>0.6</v>
      </c>
      <c r="D175" s="37" t="n">
        <v>0.55</v>
      </c>
      <c r="E175" s="34" t="n">
        <f aca="false">IF(case_sel=1,C175,D175)</f>
        <v>0.6</v>
      </c>
      <c r="F175" s="10" t="s">
        <v>216</v>
      </c>
      <c r="G175" s="10" t="s">
        <v>210</v>
      </c>
      <c r="H175" s="24"/>
    </row>
    <row r="176" customFormat="false" ht="14.25" hidden="false" customHeight="true" outlineLevel="0" collapsed="false">
      <c r="B176" s="10" t="s">
        <v>483</v>
      </c>
      <c r="C176" s="35" t="n">
        <v>0.65</v>
      </c>
      <c r="D176" s="35" t="n">
        <v>0.65</v>
      </c>
      <c r="E176" s="36" t="n">
        <f aca="false">IF(case_sel=1,C176,D176)</f>
        <v>0.65</v>
      </c>
      <c r="F176" s="10" t="s">
        <v>223</v>
      </c>
      <c r="G176" s="10" t="s">
        <v>210</v>
      </c>
      <c r="H176" s="24"/>
    </row>
    <row r="177" customFormat="false" ht="42.75" hidden="false" customHeight="true" outlineLevel="0" collapsed="false">
      <c r="B177" s="10" t="s">
        <v>484</v>
      </c>
      <c r="C177" s="39" t="n">
        <v>0.25</v>
      </c>
      <c r="D177" s="39" t="n">
        <v>0.15</v>
      </c>
      <c r="E177" s="36" t="n">
        <f aca="false">IF(case_sel=1,C177,D177)</f>
        <v>0.25</v>
      </c>
      <c r="F177" s="10" t="s">
        <v>223</v>
      </c>
      <c r="G177" s="10" t="s">
        <v>257</v>
      </c>
      <c r="H177" s="24" t="s">
        <v>485</v>
      </c>
    </row>
    <row r="178" customFormat="false" ht="14.25" hidden="false" customHeight="true" outlineLevel="0" collapsed="false">
      <c r="B178" s="10" t="s">
        <v>486</v>
      </c>
      <c r="C178" s="35" t="n">
        <v>0.25</v>
      </c>
      <c r="D178" s="35" t="n">
        <v>0.3</v>
      </c>
      <c r="E178" s="36" t="n">
        <f aca="false">IF(case_sel=1,C178,D178)</f>
        <v>0.25</v>
      </c>
      <c r="F178" s="10" t="s">
        <v>223</v>
      </c>
      <c r="G178" s="10" t="s">
        <v>210</v>
      </c>
      <c r="H178" s="24"/>
    </row>
    <row r="179" customFormat="false" ht="14.25" hidden="false" customHeight="true" outlineLevel="0" collapsed="false">
      <c r="B179" s="10" t="s">
        <v>487</v>
      </c>
      <c r="C179" s="31" t="n">
        <v>25</v>
      </c>
      <c r="D179" s="31" t="n">
        <v>25</v>
      </c>
      <c r="E179" s="32" t="n">
        <f aca="false">IF(case_sel=1,C179,D179)</f>
        <v>25</v>
      </c>
      <c r="F179" s="10" t="s">
        <v>323</v>
      </c>
      <c r="G179" s="10" t="s">
        <v>210</v>
      </c>
      <c r="H179" s="24"/>
    </row>
    <row r="180" customFormat="false" ht="14.25" hidden="false" customHeight="true" outlineLevel="0" collapsed="false">
      <c r="B180" s="8" t="s">
        <v>488</v>
      </c>
      <c r="C180" s="9"/>
      <c r="D180" s="9"/>
      <c r="E180" s="9"/>
      <c r="F180" s="9"/>
      <c r="G180" s="9"/>
      <c r="H180" s="9"/>
    </row>
    <row r="181" customFormat="false" ht="21.75" hidden="false" customHeight="true" outlineLevel="0" collapsed="false">
      <c r="B181" s="10" t="s">
        <v>489</v>
      </c>
      <c r="C181" s="33" t="n">
        <v>1</v>
      </c>
      <c r="D181" s="33" t="n">
        <v>0.6</v>
      </c>
      <c r="E181" s="34" t="n">
        <f aca="false">IF(case_sel=1,C181,D181)</f>
        <v>1</v>
      </c>
      <c r="F181" s="10" t="s">
        <v>216</v>
      </c>
      <c r="G181" s="10" t="s">
        <v>210</v>
      </c>
      <c r="H181" s="24" t="s">
        <v>490</v>
      </c>
    </row>
    <row r="182" customFormat="false" ht="32.25" hidden="false" customHeight="true" outlineLevel="0" collapsed="false">
      <c r="B182" s="10" t="s">
        <v>491</v>
      </c>
      <c r="C182" s="35" t="n">
        <v>0.05</v>
      </c>
      <c r="D182" s="35" t="n">
        <v>0.05</v>
      </c>
      <c r="E182" s="36" t="n">
        <f aca="false">IF(case_sel=1,C182,D182)</f>
        <v>0.05</v>
      </c>
      <c r="F182" s="10" t="s">
        <v>223</v>
      </c>
      <c r="G182" s="10" t="s">
        <v>210</v>
      </c>
      <c r="H182" s="24" t="s">
        <v>492</v>
      </c>
    </row>
    <row r="183" customFormat="false" ht="32.25" hidden="false" customHeight="true" outlineLevel="0" collapsed="false">
      <c r="B183" s="10" t="s">
        <v>493</v>
      </c>
      <c r="C183" s="35" t="n">
        <v>0.03</v>
      </c>
      <c r="D183" s="35" t="n">
        <v>0.03</v>
      </c>
      <c r="E183" s="36" t="n">
        <f aca="false">IF(case_sel=1,C183,D183)</f>
        <v>0.03</v>
      </c>
      <c r="F183" s="10" t="s">
        <v>223</v>
      </c>
      <c r="G183" s="10" t="s">
        <v>210</v>
      </c>
      <c r="H183" s="24" t="s">
        <v>494</v>
      </c>
    </row>
    <row r="184" customFormat="false" ht="14.25" hidden="false" customHeight="true" outlineLevel="0" collapsed="false">
      <c r="B184" s="8" t="s">
        <v>495</v>
      </c>
      <c r="C184" s="9"/>
      <c r="D184" s="9"/>
      <c r="E184" s="9"/>
      <c r="F184" s="9"/>
      <c r="G184" s="9"/>
      <c r="H184" s="9"/>
    </row>
    <row r="185" customFormat="false" ht="14.25" hidden="false" customHeight="true" outlineLevel="0" collapsed="false">
      <c r="B185" s="10" t="s">
        <v>496</v>
      </c>
      <c r="C185" s="35" t="n">
        <v>0.04</v>
      </c>
      <c r="D185" s="35" t="n">
        <v>0.04</v>
      </c>
      <c r="E185" s="36" t="n">
        <f aca="false">IF(case_sel=1,C185,D185)</f>
        <v>0.04</v>
      </c>
      <c r="F185" s="10" t="s">
        <v>223</v>
      </c>
      <c r="G185" s="10" t="s">
        <v>233</v>
      </c>
      <c r="H185" s="24" t="s">
        <v>497</v>
      </c>
    </row>
    <row r="186" customFormat="false" ht="14.25" hidden="false" customHeight="true" outlineLevel="0" collapsed="false">
      <c r="B186" s="10" t="s">
        <v>498</v>
      </c>
      <c r="C186" s="35" t="n">
        <v>0.15</v>
      </c>
      <c r="D186" s="35" t="n">
        <v>0.15</v>
      </c>
      <c r="E186" s="36" t="n">
        <f aca="false">IF(case_sel=1,C186,D186)</f>
        <v>0.15</v>
      </c>
      <c r="F186" s="10" t="s">
        <v>223</v>
      </c>
      <c r="G186" s="10" t="s">
        <v>233</v>
      </c>
      <c r="H186" s="24" t="s">
        <v>499</v>
      </c>
    </row>
    <row r="187" customFormat="false" ht="14.25" hidden="false" customHeight="true" outlineLevel="0" collapsed="false">
      <c r="B187" s="10" t="s">
        <v>500</v>
      </c>
      <c r="C187" s="35" t="n">
        <v>0.3</v>
      </c>
      <c r="D187" s="35" t="n">
        <v>0.3</v>
      </c>
      <c r="E187" s="36" t="n">
        <f aca="false">IF(case_sel=1,C187,D187)</f>
        <v>0.3</v>
      </c>
      <c r="F187" s="10" t="s">
        <v>223</v>
      </c>
      <c r="G187" s="10" t="s">
        <v>233</v>
      </c>
      <c r="H187" s="24" t="s">
        <v>501</v>
      </c>
    </row>
    <row r="189" customFormat="false" ht="14.25" hidden="false" customHeight="true" outlineLevel="0" collapsed="false">
      <c r="B189" s="8" t="s">
        <v>502</v>
      </c>
      <c r="C189" s="9"/>
      <c r="D189" s="9"/>
      <c r="E189" s="9"/>
      <c r="F189" s="9"/>
      <c r="G189" s="9"/>
      <c r="H189" s="9"/>
      <c r="I189" s="9"/>
      <c r="J189" s="9"/>
      <c r="K189" s="9"/>
    </row>
    <row r="190" customFormat="false" ht="42" hidden="false" customHeight="true" outlineLevel="0" collapsed="false">
      <c r="B190" s="46" t="s">
        <v>503</v>
      </c>
      <c r="C190" s="30" t="s">
        <v>504</v>
      </c>
      <c r="D190" s="30" t="s">
        <v>505</v>
      </c>
      <c r="E190" s="30" t="s">
        <v>506</v>
      </c>
      <c r="F190" s="30" t="s">
        <v>507</v>
      </c>
      <c r="G190" s="30" t="s">
        <v>508</v>
      </c>
      <c r="H190" s="30" t="s">
        <v>509</v>
      </c>
      <c r="I190" s="30" t="s">
        <v>510</v>
      </c>
      <c r="J190" s="30" t="s">
        <v>511</v>
      </c>
      <c r="K190" s="30" t="s">
        <v>512</v>
      </c>
    </row>
    <row r="191" customFormat="false" ht="14.25" hidden="false" customHeight="true" outlineLevel="0" collapsed="false">
      <c r="B191" s="10" t="s">
        <v>513</v>
      </c>
      <c r="C191" s="47" t="n">
        <v>25</v>
      </c>
      <c r="D191" s="47" t="n">
        <v>20</v>
      </c>
      <c r="E191" s="47" t="n">
        <v>15</v>
      </c>
      <c r="F191" s="47" t="n">
        <v>22</v>
      </c>
      <c r="G191" s="47" t="n">
        <v>18</v>
      </c>
      <c r="H191" s="47" t="n">
        <v>22</v>
      </c>
      <c r="I191" s="47" t="n">
        <v>22</v>
      </c>
      <c r="J191" s="47" t="n">
        <v>15</v>
      </c>
      <c r="K191" s="47" t="n">
        <v>25</v>
      </c>
    </row>
    <row r="192" customFormat="false" ht="14.25" hidden="false" customHeight="true" outlineLevel="0" collapsed="false">
      <c r="B192" s="10" t="s">
        <v>514</v>
      </c>
      <c r="C192" s="47" t="n">
        <v>120</v>
      </c>
      <c r="D192" s="47" t="n">
        <v>250</v>
      </c>
      <c r="E192" s="47" t="n">
        <v>20</v>
      </c>
      <c r="F192" s="47" t="n">
        <v>280</v>
      </c>
      <c r="G192" s="47" t="n">
        <v>90</v>
      </c>
      <c r="H192" s="47" t="n">
        <v>400</v>
      </c>
      <c r="I192" s="47" t="n">
        <v>1000</v>
      </c>
      <c r="J192" s="47" t="n">
        <v>30</v>
      </c>
      <c r="K192" s="47" t="n">
        <v>1500</v>
      </c>
    </row>
    <row r="193" customFormat="false" ht="14.25" hidden="false" customHeight="true" outlineLevel="0" collapsed="false">
      <c r="B193" s="10" t="s">
        <v>515</v>
      </c>
      <c r="C193" s="48" t="n">
        <v>0.02</v>
      </c>
      <c r="D193" s="48" t="n">
        <v>0.05</v>
      </c>
      <c r="E193" s="48" t="n">
        <v>0.005</v>
      </c>
      <c r="F193" s="48" t="n">
        <v>0.05</v>
      </c>
      <c r="G193" s="48" t="n">
        <v>0.03</v>
      </c>
      <c r="H193" s="48" t="n">
        <v>0.08</v>
      </c>
      <c r="I193" s="48" t="n">
        <v>0.2</v>
      </c>
      <c r="J193" s="48" t="n">
        <v>0.01</v>
      </c>
      <c r="K193" s="48" t="n">
        <v>0.25</v>
      </c>
    </row>
    <row r="194" customFormat="false" ht="14.25" hidden="false" customHeight="true" outlineLevel="0" collapsed="false">
      <c r="B194" s="10" t="s">
        <v>516</v>
      </c>
      <c r="C194" s="47" t="n">
        <v>0</v>
      </c>
      <c r="D194" s="47" t="n">
        <v>0</v>
      </c>
      <c r="E194" s="47" t="n">
        <v>1</v>
      </c>
      <c r="F194" s="47" t="n">
        <v>1</v>
      </c>
      <c r="G194" s="47" t="n">
        <v>1</v>
      </c>
      <c r="H194" s="47" t="n">
        <v>1</v>
      </c>
      <c r="I194" s="47" t="n">
        <v>1</v>
      </c>
      <c r="J194" s="47" t="n">
        <v>1</v>
      </c>
      <c r="K194" s="47" t="n">
        <v>1</v>
      </c>
    </row>
    <row r="195" customFormat="false" ht="14.25" hidden="false" customHeight="true" outlineLevel="0" collapsed="false">
      <c r="B195" s="10" t="s">
        <v>517</v>
      </c>
      <c r="C195" s="49" t="n">
        <f aca="false">C192/IF(C194=1,oil_crew,1)</f>
        <v>120</v>
      </c>
      <c r="D195" s="49" t="n">
        <f aca="false">D192/IF(D194=1,oil_crew,1)</f>
        <v>250</v>
      </c>
      <c r="E195" s="49" t="n">
        <f aca="false">E192/IF(E194=1,oil_crew,1)</f>
        <v>25.6410256410256</v>
      </c>
      <c r="F195" s="49" t="n">
        <f aca="false">F192/IF(F194=1,oil_crew,1)</f>
        <v>358.974358974359</v>
      </c>
      <c r="G195" s="49" t="n">
        <f aca="false">G192/IF(G194=1,oil_crew,1)</f>
        <v>115.384615384615</v>
      </c>
      <c r="H195" s="49" t="n">
        <f aca="false">H192/IF(H194=1,oil_crew,1)</f>
        <v>512.820512820513</v>
      </c>
      <c r="I195" s="49" t="n">
        <f aca="false">I192/IF(I194=1,oil_crew,1)</f>
        <v>1282.05128205128</v>
      </c>
      <c r="J195" s="49" t="n">
        <f aca="false">J192/IF(J194=1,oil_crew,1)</f>
        <v>38.4615384615385</v>
      </c>
      <c r="K195" s="49" t="n">
        <f aca="false">K192/IF(K194=1,oil_crew,1)</f>
        <v>1923.07692307692</v>
      </c>
    </row>
    <row r="196" customFormat="false" ht="14.25" hidden="false" customHeight="true" outlineLevel="0" collapsed="false">
      <c r="B196" s="10" t="s">
        <v>518</v>
      </c>
      <c r="C196" s="50" t="s">
        <v>233</v>
      </c>
      <c r="D196" s="50" t="s">
        <v>233</v>
      </c>
      <c r="E196" s="50" t="s">
        <v>312</v>
      </c>
      <c r="F196" s="50" t="s">
        <v>312</v>
      </c>
      <c r="G196" s="50" t="s">
        <v>312</v>
      </c>
      <c r="H196" s="50" t="s">
        <v>312</v>
      </c>
      <c r="I196" s="50" t="s">
        <v>257</v>
      </c>
      <c r="J196" s="50" t="s">
        <v>257</v>
      </c>
      <c r="K196" s="50" t="s">
        <v>257</v>
      </c>
    </row>
    <row r="197" customFormat="false" ht="63.75" hidden="false" customHeight="true" outlineLevel="0" collapsed="false">
      <c r="B197" s="10" t="s">
        <v>519</v>
      </c>
      <c r="C197" s="51" t="s">
        <v>520</v>
      </c>
      <c r="D197" s="51" t="s">
        <v>521</v>
      </c>
      <c r="E197" s="51" t="s">
        <v>522</v>
      </c>
      <c r="F197" s="51" t="s">
        <v>523</v>
      </c>
      <c r="G197" s="51" t="s">
        <v>524</v>
      </c>
      <c r="H197" s="51" t="s">
        <v>525</v>
      </c>
      <c r="I197" s="51" t="s">
        <v>526</v>
      </c>
      <c r="J197" s="51" t="s">
        <v>527</v>
      </c>
      <c r="K197" s="51" t="s">
        <v>528</v>
      </c>
    </row>
    <row r="199" customFormat="false" ht="14.25" hidden="false" customHeight="true" outlineLevel="0" collapsed="false">
      <c r="B199" s="28" t="s">
        <v>529</v>
      </c>
      <c r="C199" s="1" t="n">
        <v>0.9</v>
      </c>
      <c r="D199" s="1" t="n">
        <v>0.9</v>
      </c>
      <c r="E199" s="1" t="n">
        <f aca="false">IF(case_sel=1,C199,D199)</f>
        <v>0.9</v>
      </c>
      <c r="F199" s="1" t="s">
        <v>223</v>
      </c>
      <c r="G199" s="1" t="s">
        <v>210</v>
      </c>
    </row>
    <row r="200" customFormat="false" ht="14.25" hidden="false" customHeight="true" outlineLevel="0" collapsed="false">
      <c r="B200" s="1" t="s">
        <v>530</v>
      </c>
      <c r="C200" s="1" t="n">
        <v>0.3</v>
      </c>
      <c r="D200" s="1" t="n">
        <v>0.3</v>
      </c>
      <c r="E200" s="1" t="n">
        <f aca="false">IF(case_sel=1,C200,D200)</f>
        <v>0.3</v>
      </c>
      <c r="F200" s="1" t="s">
        <v>223</v>
      </c>
      <c r="G200" s="1" t="s">
        <v>257</v>
      </c>
    </row>
    <row r="201" customFormat="false" ht="14.25" hidden="false" customHeight="true" outlineLevel="0" collapsed="false">
      <c r="B201" s="1" t="s">
        <v>531</v>
      </c>
      <c r="C201" s="1" t="n">
        <v>0.08</v>
      </c>
      <c r="D201" s="1" t="n">
        <v>0.12</v>
      </c>
      <c r="E201" s="1" t="n">
        <f aca="false">IF(case_sel=1,C201,D201)</f>
        <v>0.08</v>
      </c>
      <c r="F201" s="1" t="s">
        <v>223</v>
      </c>
      <c r="G201" s="1" t="s">
        <v>210</v>
      </c>
    </row>
    <row r="202" customFormat="false" ht="14.25" hidden="false" customHeight="true" outlineLevel="0" collapsed="false">
      <c r="B202" s="1" t="s">
        <v>532</v>
      </c>
      <c r="C202" s="1" t="n">
        <v>2</v>
      </c>
      <c r="D202" s="1" t="n">
        <v>2</v>
      </c>
      <c r="E202" s="1" t="n">
        <f aca="false">IF(case_sel=1,C202,D202)</f>
        <v>2</v>
      </c>
      <c r="F202" s="1" t="s">
        <v>533</v>
      </c>
      <c r="G202" s="1" t="s">
        <v>210</v>
      </c>
    </row>
    <row r="203" customFormat="false" ht="14.25" hidden="false" customHeight="true" outlineLevel="0" collapsed="false">
      <c r="B203" s="1" t="s">
        <v>534</v>
      </c>
      <c r="C203" s="1" t="n">
        <v>1</v>
      </c>
      <c r="D203" s="1" t="n">
        <v>0.6</v>
      </c>
      <c r="E203" s="1" t="n">
        <f aca="false">IF(case_sel=1,C203,D203)</f>
        <v>1</v>
      </c>
      <c r="F203" s="1" t="s">
        <v>223</v>
      </c>
      <c r="G203" s="1" t="s">
        <v>210</v>
      </c>
    </row>
    <row r="204" customFormat="false" ht="14.25" hidden="false" customHeight="true" outlineLevel="0" collapsed="false">
      <c r="B204" s="1" t="s">
        <v>535</v>
      </c>
      <c r="C204" s="1" t="n">
        <v>1</v>
      </c>
      <c r="D204" s="1" t="n">
        <v>1.3</v>
      </c>
      <c r="E204" s="1" t="n">
        <f aca="false">IF(case_sel=1,C204,D204)</f>
        <v>1</v>
      </c>
      <c r="F204" s="1" t="s">
        <v>216</v>
      </c>
      <c r="G204" s="1" t="s">
        <v>210</v>
      </c>
    </row>
    <row r="205" customFormat="false" ht="14.25" hidden="false" customHeight="true" outlineLevel="0" collapsed="false">
      <c r="B205" s="1" t="s">
        <v>536</v>
      </c>
      <c r="C205" s="1" t="n">
        <v>1</v>
      </c>
      <c r="D205" s="1" t="n">
        <v>1.25</v>
      </c>
      <c r="E205" s="1" t="n">
        <f aca="false">IF(case_sel=1,C205,D205)</f>
        <v>1</v>
      </c>
      <c r="F205" s="1" t="s">
        <v>216</v>
      </c>
      <c r="G205" s="1" t="s">
        <v>210</v>
      </c>
    </row>
    <row r="206" customFormat="false" ht="14.25" hidden="false" customHeight="true" outlineLevel="0" collapsed="false">
      <c r="B206" s="1" t="s">
        <v>537</v>
      </c>
      <c r="C206" s="1" t="n">
        <v>1</v>
      </c>
      <c r="D206" s="1" t="n">
        <v>0.8</v>
      </c>
      <c r="E206" s="1" t="n">
        <f aca="false">IF(case_sel=1,C206,D206)</f>
        <v>1</v>
      </c>
      <c r="F206" s="1" t="s">
        <v>216</v>
      </c>
      <c r="G206" s="1" t="s">
        <v>210</v>
      </c>
    </row>
    <row r="207" customFormat="false" ht="14.25" hidden="false" customHeight="true" outlineLevel="0" collapsed="false">
      <c r="B207" s="1" t="s">
        <v>538</v>
      </c>
      <c r="C207" s="1" t="n">
        <v>1</v>
      </c>
      <c r="D207" s="1" t="n">
        <v>1.2</v>
      </c>
      <c r="E207" s="1" t="n">
        <f aca="false">IF(case_sel=1,C207,D207)</f>
        <v>1</v>
      </c>
      <c r="F207" s="1" t="s">
        <v>216</v>
      </c>
      <c r="G207" s="1" t="s">
        <v>210</v>
      </c>
    </row>
    <row r="208" customFormat="false" ht="14.25" hidden="false" customHeight="true" outlineLevel="0" collapsed="false">
      <c r="B208" s="1" t="s">
        <v>539</v>
      </c>
      <c r="C208" s="1" t="n">
        <v>1</v>
      </c>
      <c r="D208" s="1" t="n">
        <v>1.25</v>
      </c>
      <c r="E208" s="1" t="n">
        <f aca="false">IF(case_sel=1,C208,D208)</f>
        <v>1</v>
      </c>
      <c r="F208" s="1" t="s">
        <v>216</v>
      </c>
      <c r="G208" s="1" t="s">
        <v>210</v>
      </c>
    </row>
    <row r="209" customFormat="false" ht="14.25" hidden="false" customHeight="true" outlineLevel="0" collapsed="false">
      <c r="B209" s="1" t="s">
        <v>540</v>
      </c>
      <c r="C209" s="1" t="n">
        <v>160</v>
      </c>
      <c r="D209" s="1" t="n">
        <v>130</v>
      </c>
      <c r="E209" s="1" t="n">
        <f aca="false">IF(case_sel=1,C209,D209)</f>
        <v>160</v>
      </c>
      <c r="F209" s="1" t="s">
        <v>541</v>
      </c>
      <c r="G209" s="1" t="s">
        <v>210</v>
      </c>
    </row>
    <row r="210" customFormat="false" ht="14.25" hidden="false" customHeight="true" outlineLevel="0" collapsed="false">
      <c r="B210" s="1" t="s">
        <v>542</v>
      </c>
      <c r="C210" s="1" t="n">
        <v>150</v>
      </c>
      <c r="D210" s="1" t="n">
        <v>120</v>
      </c>
      <c r="E210" s="1" t="n">
        <f aca="false">IF(case_sel=1,C210,D210)</f>
        <v>150</v>
      </c>
      <c r="F210" s="1" t="s">
        <v>541</v>
      </c>
      <c r="G210" s="1" t="s">
        <v>210</v>
      </c>
    </row>
    <row r="211" customFormat="false" ht="14.25" hidden="false" customHeight="true" outlineLevel="0" collapsed="false">
      <c r="B211" s="1" t="s">
        <v>543</v>
      </c>
      <c r="C211" s="1" t="n">
        <v>6.5</v>
      </c>
      <c r="D211" s="1" t="n">
        <v>5.5</v>
      </c>
      <c r="E211" s="1" t="n">
        <f aca="false">IF(case_sel=1,C211,D211)</f>
        <v>6.5</v>
      </c>
      <c r="F211" s="1" t="s">
        <v>544</v>
      </c>
      <c r="G211" s="1" t="s">
        <v>210</v>
      </c>
    </row>
    <row r="212" customFormat="false" ht="14.25" hidden="false" customHeight="true" outlineLevel="0" collapsed="false">
      <c r="B212" s="1" t="s">
        <v>545</v>
      </c>
      <c r="C212" s="1" t="n">
        <v>40</v>
      </c>
      <c r="D212" s="1" t="n">
        <v>40</v>
      </c>
      <c r="E212" s="1" t="n">
        <f aca="false">IF(case_sel=1,C212,D212)</f>
        <v>40</v>
      </c>
      <c r="F212" s="1" t="s">
        <v>546</v>
      </c>
      <c r="G212" s="1" t="s">
        <v>257</v>
      </c>
    </row>
    <row r="213" customFormat="false" ht="14.25" hidden="false" customHeight="true" outlineLevel="0" collapsed="false">
      <c r="B213" s="1" t="s">
        <v>547</v>
      </c>
      <c r="C213" s="1" t="n">
        <v>1</v>
      </c>
      <c r="D213" s="1" t="n">
        <v>0.5</v>
      </c>
      <c r="E213" s="1" t="n">
        <f aca="false">IF(case_sel=1,C213,D213)</f>
        <v>1</v>
      </c>
      <c r="F213" s="1" t="s">
        <v>216</v>
      </c>
      <c r="G213" s="1" t="s">
        <v>257</v>
      </c>
    </row>
    <row r="214" customFormat="false" ht="14.25" hidden="false" customHeight="true" outlineLevel="0" collapsed="false">
      <c r="B214" s="1" t="s">
        <v>548</v>
      </c>
      <c r="C214" s="1" t="n">
        <v>0</v>
      </c>
      <c r="D214" s="1" t="n">
        <v>0.13</v>
      </c>
      <c r="E214" s="1" t="n">
        <f aca="false">IF(case_sel=1,C214,D214)</f>
        <v>0</v>
      </c>
      <c r="F214" s="1" t="s">
        <v>223</v>
      </c>
      <c r="G214" s="1" t="s">
        <v>210</v>
      </c>
    </row>
    <row r="216" customFormat="false" ht="14.25" hidden="false" customHeight="true" outlineLevel="0" collapsed="false">
      <c r="B216" s="28" t="s">
        <v>549</v>
      </c>
    </row>
    <row r="217" customFormat="false" ht="14.25" hidden="false" customHeight="true" outlineLevel="0" collapsed="false">
      <c r="B217" s="1" t="s">
        <v>550</v>
      </c>
      <c r="C217" s="1" t="n">
        <v>780</v>
      </c>
      <c r="D217" s="1" t="n">
        <v>780</v>
      </c>
      <c r="E217" s="1" t="n">
        <f aca="false">IF(case_sel=1,C217,D217)</f>
        <v>780</v>
      </c>
      <c r="F217" s="1" t="s">
        <v>541</v>
      </c>
      <c r="G217" s="1" t="s">
        <v>210</v>
      </c>
    </row>
    <row r="218" customFormat="false" ht="14.25" hidden="false" customHeight="true" outlineLevel="0" collapsed="false">
      <c r="B218" s="1" t="s">
        <v>551</v>
      </c>
      <c r="C218" s="1" t="n">
        <v>935</v>
      </c>
      <c r="D218" s="1" t="n">
        <v>935</v>
      </c>
      <c r="E218" s="1" t="n">
        <f aca="false">IF(case_sel=1,C218,D218)</f>
        <v>935</v>
      </c>
      <c r="F218" s="1" t="s">
        <v>541</v>
      </c>
      <c r="G218" s="1" t="s">
        <v>210</v>
      </c>
    </row>
    <row r="219" customFormat="false" ht="14.25" hidden="false" customHeight="true" outlineLevel="0" collapsed="false">
      <c r="B219" s="1" t="s">
        <v>552</v>
      </c>
      <c r="C219" s="1" t="n">
        <v>346</v>
      </c>
      <c r="D219" s="1" t="n">
        <v>346</v>
      </c>
      <c r="E219" s="1" t="n">
        <f aca="false">IF(case_sel=1,C219,D219)</f>
        <v>346</v>
      </c>
      <c r="F219" s="1" t="s">
        <v>541</v>
      </c>
      <c r="G219" s="1" t="s">
        <v>210</v>
      </c>
    </row>
    <row r="220" customFormat="false" ht="14.25" hidden="false" customHeight="true" outlineLevel="0" collapsed="false">
      <c r="B220" s="1" t="s">
        <v>553</v>
      </c>
      <c r="C220" s="1" t="n">
        <v>964</v>
      </c>
      <c r="D220" s="1" t="n">
        <v>964</v>
      </c>
      <c r="E220" s="1" t="n">
        <f aca="false">IF(case_sel=1,C220,D220)</f>
        <v>964</v>
      </c>
      <c r="F220" s="1" t="s">
        <v>541</v>
      </c>
      <c r="G220" s="1" t="s">
        <v>210</v>
      </c>
    </row>
    <row r="221" customFormat="false" ht="14.25" hidden="false" customHeight="true" outlineLevel="0" collapsed="false">
      <c r="B221" s="1" t="s">
        <v>554</v>
      </c>
      <c r="C221" s="1" t="n">
        <v>1830</v>
      </c>
      <c r="D221" s="1" t="n">
        <v>1830</v>
      </c>
      <c r="E221" s="1" t="n">
        <f aca="false">IF(case_sel=1,C221,D221)</f>
        <v>1830</v>
      </c>
      <c r="F221" s="1" t="s">
        <v>541</v>
      </c>
      <c r="G221" s="1" t="s">
        <v>210</v>
      </c>
    </row>
    <row r="222" customFormat="false" ht="14.25" hidden="false" customHeight="true" outlineLevel="0" collapsed="false">
      <c r="B222" s="1" t="s">
        <v>555</v>
      </c>
      <c r="C222" s="1" t="n">
        <v>520</v>
      </c>
      <c r="D222" s="1" t="n">
        <v>520</v>
      </c>
      <c r="E222" s="1" t="n">
        <f aca="false">IF(case_sel=1,C222,D222)</f>
        <v>520</v>
      </c>
      <c r="F222" s="1" t="s">
        <v>556</v>
      </c>
      <c r="G222" s="1" t="s">
        <v>210</v>
      </c>
    </row>
    <row r="223" customFormat="false" ht="14.25" hidden="false" customHeight="true" outlineLevel="0" collapsed="false">
      <c r="B223" s="1" t="s">
        <v>557</v>
      </c>
      <c r="C223" s="1" t="n">
        <v>420</v>
      </c>
      <c r="D223" s="1" t="n">
        <v>420</v>
      </c>
      <c r="E223" s="1" t="n">
        <f aca="false">IF(case_sel=1,C223,D223)</f>
        <v>420</v>
      </c>
      <c r="F223" s="1" t="s">
        <v>556</v>
      </c>
      <c r="G223" s="1" t="s">
        <v>210</v>
      </c>
    </row>
    <row r="224" customFormat="false" ht="14.25" hidden="false" customHeight="true" outlineLevel="0" collapsed="false">
      <c r="B224" s="1" t="s">
        <v>558</v>
      </c>
      <c r="C224" s="1" t="n">
        <v>450</v>
      </c>
      <c r="D224" s="1" t="n">
        <v>450</v>
      </c>
      <c r="E224" s="1" t="n">
        <f aca="false">IF(case_sel=1,C224,D224)</f>
        <v>450</v>
      </c>
      <c r="F224" s="1" t="s">
        <v>556</v>
      </c>
      <c r="G224" s="1" t="s">
        <v>210</v>
      </c>
    </row>
    <row r="225" customFormat="false" ht="14.25" hidden="false" customHeight="true" outlineLevel="0" collapsed="false">
      <c r="B225" s="1" t="s">
        <v>559</v>
      </c>
      <c r="C225" s="1" t="n">
        <v>380</v>
      </c>
      <c r="D225" s="1" t="n">
        <v>380</v>
      </c>
      <c r="E225" s="1" t="n">
        <f aca="false">IF(case_sel=1,C225,D225)</f>
        <v>380</v>
      </c>
      <c r="F225" s="1" t="s">
        <v>556</v>
      </c>
      <c r="G225" s="1" t="s">
        <v>210</v>
      </c>
    </row>
    <row r="226" customFormat="false" ht="14.25" hidden="false" customHeight="true" outlineLevel="0" collapsed="false">
      <c r="B226" s="1" t="s">
        <v>560</v>
      </c>
      <c r="C226" s="1" t="n">
        <v>480</v>
      </c>
      <c r="D226" s="1" t="n">
        <v>480</v>
      </c>
      <c r="E226" s="1" t="n">
        <f aca="false">IF(case_sel=1,C226,D226)</f>
        <v>480</v>
      </c>
      <c r="F226" s="1" t="s">
        <v>556</v>
      </c>
      <c r="G226" s="1" t="s">
        <v>210</v>
      </c>
    </row>
    <row r="227" customFormat="false" ht="14.25" hidden="false" customHeight="true" outlineLevel="0" collapsed="false">
      <c r="B227" s="1" t="s">
        <v>561</v>
      </c>
      <c r="C227" s="1" t="n">
        <v>1.5</v>
      </c>
      <c r="D227" s="1" t="n">
        <v>1.5</v>
      </c>
      <c r="E227" s="1" t="n">
        <f aca="false">IF(case_sel=1,C227,D227)</f>
        <v>1.5</v>
      </c>
      <c r="F227" s="1" t="s">
        <v>562</v>
      </c>
      <c r="G227" s="1" t="s">
        <v>210</v>
      </c>
    </row>
    <row r="228" customFormat="false" ht="14.25" hidden="false" customHeight="true" outlineLevel="0" collapsed="false">
      <c r="B228" s="1" t="s">
        <v>563</v>
      </c>
      <c r="C228" s="1" t="n">
        <v>0.9</v>
      </c>
      <c r="D228" s="1" t="n">
        <v>0.9</v>
      </c>
      <c r="E228" s="1" t="n">
        <f aca="false">IF(case_sel=1,C228,D228)</f>
        <v>0.9</v>
      </c>
      <c r="F228" s="1" t="s">
        <v>562</v>
      </c>
      <c r="G228" s="1" t="s">
        <v>210</v>
      </c>
    </row>
    <row r="229" customFormat="false" ht="14.25" hidden="false" customHeight="true" outlineLevel="0" collapsed="false">
      <c r="B229" s="1" t="s">
        <v>564</v>
      </c>
      <c r="C229" s="1" t="n">
        <v>0.8</v>
      </c>
      <c r="D229" s="1" t="n">
        <v>0.8</v>
      </c>
      <c r="E229" s="1" t="n">
        <f aca="false">IF(case_sel=1,C229,D229)</f>
        <v>0.8</v>
      </c>
      <c r="F229" s="1" t="s">
        <v>562</v>
      </c>
      <c r="G229" s="1" t="s">
        <v>210</v>
      </c>
    </row>
    <row r="230" customFormat="false" ht="14.25" hidden="false" customHeight="true" outlineLevel="0" collapsed="false">
      <c r="B230" s="1" t="s">
        <v>565</v>
      </c>
      <c r="C230" s="1" t="n">
        <v>0.9</v>
      </c>
      <c r="D230" s="1" t="n">
        <v>0.9</v>
      </c>
      <c r="E230" s="1" t="n">
        <f aca="false">IF(case_sel=1,C230,D230)</f>
        <v>0.9</v>
      </c>
      <c r="F230" s="1" t="s">
        <v>562</v>
      </c>
      <c r="G230" s="1" t="s">
        <v>210</v>
      </c>
    </row>
    <row r="231" customFormat="false" ht="14.25" hidden="false" customHeight="true" outlineLevel="0" collapsed="false">
      <c r="B231" s="1" t="s">
        <v>566</v>
      </c>
      <c r="C231" s="1" t="n">
        <v>0.25</v>
      </c>
      <c r="D231" s="1" t="n">
        <v>0.25</v>
      </c>
      <c r="E231" s="1" t="n">
        <f aca="false">IF(case_sel=1,C231,D231)</f>
        <v>0.25</v>
      </c>
      <c r="F231" s="1" t="s">
        <v>567</v>
      </c>
      <c r="G231" s="1" t="s">
        <v>210</v>
      </c>
    </row>
    <row r="232" customFormat="false" ht="14.25" hidden="false" customHeight="true" outlineLevel="0" collapsed="false">
      <c r="B232" s="1" t="s">
        <v>568</v>
      </c>
      <c r="C232" s="1" t="n">
        <v>4.5</v>
      </c>
      <c r="D232" s="1" t="n">
        <v>4.5</v>
      </c>
      <c r="E232" s="1" t="n">
        <f aca="false">IF(case_sel=1,C232,D232)</f>
        <v>4.5</v>
      </c>
      <c r="F232" s="1" t="s">
        <v>562</v>
      </c>
      <c r="G232" s="1" t="s">
        <v>210</v>
      </c>
    </row>
    <row r="233" customFormat="false" ht="14.25" hidden="false" customHeight="true" outlineLevel="0" collapsed="false">
      <c r="B233" s="1" t="s">
        <v>569</v>
      </c>
      <c r="C233" s="1" t="n">
        <v>0.4</v>
      </c>
      <c r="D233" s="1" t="n">
        <v>0.4</v>
      </c>
      <c r="E233" s="1" t="n">
        <f aca="false">IF(case_sel=1,C233,D233)</f>
        <v>0.4</v>
      </c>
      <c r="F233" s="1" t="s">
        <v>570</v>
      </c>
      <c r="G233" s="1" t="s">
        <v>210</v>
      </c>
    </row>
    <row r="234" customFormat="false" ht="14.25" hidden="false" customHeight="true" outlineLevel="0" collapsed="false">
      <c r="B234" s="1" t="s">
        <v>571</v>
      </c>
      <c r="C234" s="1" t="n">
        <v>0.75</v>
      </c>
      <c r="D234" s="1" t="n">
        <v>0.75</v>
      </c>
      <c r="E234" s="1" t="n">
        <f aca="false">IF(case_sel=1,C234,D234)</f>
        <v>0.75</v>
      </c>
      <c r="F234" s="1" t="s">
        <v>223</v>
      </c>
      <c r="G234" s="1" t="s">
        <v>210</v>
      </c>
    </row>
    <row r="235" customFormat="false" ht="14.25" hidden="false" customHeight="true" outlineLevel="0" collapsed="false">
      <c r="B235" s="1" t="s">
        <v>572</v>
      </c>
      <c r="C235" s="1" t="n">
        <v>0.5</v>
      </c>
      <c r="D235" s="1" t="n">
        <v>0.5</v>
      </c>
      <c r="E235" s="1" t="n">
        <f aca="false">IF(case_sel=1,C235,D235)</f>
        <v>0.5</v>
      </c>
      <c r="F235" s="1" t="s">
        <v>562</v>
      </c>
      <c r="G235" s="1" t="s">
        <v>210</v>
      </c>
    </row>
    <row r="236" customFormat="false" ht="14.25" hidden="false" customHeight="true" outlineLevel="0" collapsed="false">
      <c r="B236" s="1" t="s">
        <v>573</v>
      </c>
      <c r="C236" s="1" t="n">
        <v>0.95</v>
      </c>
      <c r="D236" s="1" t="n">
        <v>0.95</v>
      </c>
      <c r="E236" s="1" t="n">
        <f aca="false">IF(case_sel=1,C236,D236)</f>
        <v>0.95</v>
      </c>
      <c r="F236" s="1" t="s">
        <v>223</v>
      </c>
      <c r="G236" s="1" t="s">
        <v>210</v>
      </c>
    </row>
    <row r="237" customFormat="false" ht="14.25" hidden="false" customHeight="true" outlineLevel="0" collapsed="false">
      <c r="B237" s="1" t="s">
        <v>574</v>
      </c>
      <c r="C237" s="1" t="n">
        <v>0.9</v>
      </c>
      <c r="D237" s="1" t="n">
        <v>0.9</v>
      </c>
      <c r="E237" s="1" t="n">
        <f aca="false">IF(case_sel=1,C237,D237)</f>
        <v>0.9</v>
      </c>
      <c r="F237" s="1" t="s">
        <v>223</v>
      </c>
      <c r="G237" s="1" t="s">
        <v>210</v>
      </c>
    </row>
    <row r="238" customFormat="false" ht="14.25" hidden="false" customHeight="true" outlineLevel="0" collapsed="false">
      <c r="B238" s="1" t="s">
        <v>575</v>
      </c>
      <c r="C238" s="1" t="n">
        <v>0.6</v>
      </c>
      <c r="D238" s="1" t="n">
        <v>0.6</v>
      </c>
      <c r="E238" s="1" t="n">
        <f aca="false">IF(case_sel=1,C238,D238)</f>
        <v>0.6</v>
      </c>
      <c r="F238" s="1" t="s">
        <v>223</v>
      </c>
      <c r="G238" s="1" t="s">
        <v>210</v>
      </c>
    </row>
    <row r="239" customFormat="false" ht="14.25" hidden="false" customHeight="true" outlineLevel="0" collapsed="false">
      <c r="B239" s="1" t="s">
        <v>576</v>
      </c>
      <c r="C239" s="1" t="n">
        <v>0.3</v>
      </c>
      <c r="D239" s="1" t="n">
        <v>0.3</v>
      </c>
      <c r="E239" s="1" t="n">
        <f aca="false">IF(case_sel=1,C239,D239)</f>
        <v>0.3</v>
      </c>
      <c r="F239" s="1" t="s">
        <v>223</v>
      </c>
      <c r="G239" s="1" t="s">
        <v>210</v>
      </c>
    </row>
    <row r="240" customFormat="false" ht="14.25" hidden="false" customHeight="true" outlineLevel="0" collapsed="false">
      <c r="B240" s="1" t="s">
        <v>577</v>
      </c>
      <c r="C240" s="1" t="n">
        <v>0.15</v>
      </c>
      <c r="D240" s="1" t="n">
        <v>0.15</v>
      </c>
      <c r="E240" s="1" t="n">
        <f aca="false">IF(case_sel=1,C240,D240)</f>
        <v>0.15</v>
      </c>
      <c r="F240" s="1" t="s">
        <v>223</v>
      </c>
      <c r="G240" s="1" t="s">
        <v>210</v>
      </c>
    </row>
    <row r="241" customFormat="false" ht="14.25" hidden="false" customHeight="true" outlineLevel="0" collapsed="false">
      <c r="B241" s="1" t="s">
        <v>578</v>
      </c>
      <c r="C241" s="1" t="n">
        <v>900</v>
      </c>
      <c r="D241" s="1" t="n">
        <v>900</v>
      </c>
      <c r="E241" s="1" t="n">
        <f aca="false">IF(case_sel=1,C241,D241)</f>
        <v>900</v>
      </c>
      <c r="F241" s="1" t="s">
        <v>579</v>
      </c>
      <c r="G241" s="1" t="s">
        <v>210</v>
      </c>
    </row>
    <row r="242" customFormat="false" ht="14.25" hidden="false" customHeight="true" outlineLevel="0" collapsed="false">
      <c r="B242" s="1" t="s">
        <v>580</v>
      </c>
      <c r="C242" s="1" t="n">
        <v>15</v>
      </c>
      <c r="D242" s="1" t="n">
        <v>15</v>
      </c>
      <c r="E242" s="1" t="n">
        <f aca="false">IF(case_sel=1,C242,D242)</f>
        <v>15</v>
      </c>
      <c r="F242" s="1" t="s">
        <v>556</v>
      </c>
      <c r="G242" s="1" t="s">
        <v>210</v>
      </c>
    </row>
    <row r="243" customFormat="false" ht="14.25" hidden="false" customHeight="true" outlineLevel="0" collapsed="false">
      <c r="B243" s="1" t="s">
        <v>581</v>
      </c>
      <c r="C243" s="1" t="n">
        <v>8</v>
      </c>
      <c r="D243" s="1" t="n">
        <v>8</v>
      </c>
      <c r="E243" s="1" t="n">
        <f aca="false">IF(case_sel=1,C243,D243)</f>
        <v>8</v>
      </c>
      <c r="F243" s="1" t="s">
        <v>582</v>
      </c>
      <c r="G243" s="1" t="s">
        <v>210</v>
      </c>
    </row>
    <row r="244" customFormat="false" ht="14.25" hidden="false" customHeight="true" outlineLevel="0" collapsed="false">
      <c r="B244" s="1" t="s">
        <v>583</v>
      </c>
      <c r="C244" s="1" t="n">
        <v>25</v>
      </c>
      <c r="D244" s="1" t="n">
        <v>25</v>
      </c>
      <c r="E244" s="1" t="n">
        <f aca="false">IF(case_sel=1,C244,D244)</f>
        <v>25</v>
      </c>
      <c r="F244" s="1" t="s">
        <v>579</v>
      </c>
      <c r="G244" s="1" t="s">
        <v>210</v>
      </c>
    </row>
    <row r="245" customFormat="false" ht="14.25" hidden="false" customHeight="true" outlineLevel="0" collapsed="false">
      <c r="B245" s="1" t="s">
        <v>584</v>
      </c>
      <c r="C245" s="1" t="n">
        <v>1300</v>
      </c>
      <c r="D245" s="1" t="n">
        <v>1300</v>
      </c>
      <c r="E245" s="1" t="n">
        <f aca="false">IF(case_sel=1,C245,D245)</f>
        <v>1300</v>
      </c>
      <c r="F245" s="1" t="s">
        <v>585</v>
      </c>
      <c r="G245" s="1" t="s">
        <v>210</v>
      </c>
    </row>
    <row r="246" customFormat="false" ht="14.25" hidden="false" customHeight="true" outlineLevel="0" collapsed="false">
      <c r="B246" s="1" t="s">
        <v>586</v>
      </c>
      <c r="C246" s="1" t="n">
        <v>32000</v>
      </c>
      <c r="D246" s="1" t="n">
        <v>32000</v>
      </c>
      <c r="E246" s="1" t="n">
        <f aca="false">IF(case_sel=1,C246,D246)</f>
        <v>32000</v>
      </c>
      <c r="F246" s="1" t="s">
        <v>587</v>
      </c>
      <c r="G246" s="1" t="s">
        <v>210</v>
      </c>
    </row>
    <row r="247" customFormat="false" ht="14.25" hidden="false" customHeight="true" outlineLevel="0" collapsed="false">
      <c r="B247" s="1" t="s">
        <v>588</v>
      </c>
      <c r="C247" s="1" t="n">
        <v>0.85</v>
      </c>
      <c r="D247" s="1" t="n">
        <v>0.85</v>
      </c>
      <c r="E247" s="1" t="n">
        <f aca="false">IF(case_sel=1,C247,D247)</f>
        <v>0.85</v>
      </c>
      <c r="F247" s="1" t="s">
        <v>223</v>
      </c>
      <c r="G247" s="1" t="s">
        <v>210</v>
      </c>
    </row>
    <row r="248" customFormat="false" ht="14.25" hidden="false" customHeight="true" outlineLevel="0" collapsed="false">
      <c r="B248" s="1" t="s">
        <v>589</v>
      </c>
      <c r="C248" s="1" t="n">
        <v>1.25</v>
      </c>
      <c r="D248" s="1" t="n">
        <v>1.25</v>
      </c>
      <c r="E248" s="1" t="n">
        <f aca="false">IF(case_sel=1,C248,D248)</f>
        <v>1.25</v>
      </c>
      <c r="F248" s="1" t="s">
        <v>216</v>
      </c>
      <c r="G248" s="1" t="s">
        <v>210</v>
      </c>
    </row>
    <row r="249" customFormat="false" ht="14.25" hidden="false" customHeight="true" outlineLevel="0" collapsed="false">
      <c r="B249" s="1" t="s">
        <v>590</v>
      </c>
      <c r="C249" s="1" t="n">
        <v>0.7</v>
      </c>
      <c r="D249" s="1" t="n">
        <v>0.7</v>
      </c>
      <c r="E249" s="1" t="n">
        <f aca="false">IF(case_sel=1,C249,D249)</f>
        <v>0.7</v>
      </c>
      <c r="F249" s="1" t="s">
        <v>223</v>
      </c>
      <c r="G249" s="1" t="s">
        <v>210</v>
      </c>
    </row>
    <row r="250" customFormat="false" ht="14.25" hidden="false" customHeight="true" outlineLevel="0" collapsed="false">
      <c r="B250" s="1" t="s">
        <v>591</v>
      </c>
      <c r="C250" s="1" t="n">
        <v>0.85</v>
      </c>
      <c r="D250" s="1" t="n">
        <v>0.85</v>
      </c>
      <c r="E250" s="1" t="n">
        <f aca="false">IF(case_sel=1,C250,D250)</f>
        <v>0.85</v>
      </c>
      <c r="F250" s="1" t="s">
        <v>216</v>
      </c>
      <c r="G250" s="1" t="s">
        <v>210</v>
      </c>
    </row>
    <row r="251" customFormat="false" ht="14.25" hidden="false" customHeight="true" outlineLevel="0" collapsed="false">
      <c r="B251" s="1" t="s">
        <v>592</v>
      </c>
      <c r="C251" s="1" t="n">
        <v>0.8</v>
      </c>
      <c r="D251" s="1" t="n">
        <v>0.8</v>
      </c>
      <c r="E251" s="1" t="n">
        <f aca="false">IF(case_sel=1,C251,D251)</f>
        <v>0.8</v>
      </c>
      <c r="F251" s="1" t="s">
        <v>570</v>
      </c>
      <c r="G251" s="1" t="s">
        <v>210</v>
      </c>
    </row>
    <row r="252" customFormat="false" ht="14.25" hidden="false" customHeight="true" outlineLevel="0" collapsed="false">
      <c r="B252" s="1" t="s">
        <v>593</v>
      </c>
      <c r="C252" s="1" t="n">
        <v>0.55</v>
      </c>
      <c r="D252" s="1" t="n">
        <v>0.55</v>
      </c>
      <c r="E252" s="1" t="n">
        <f aca="false">IF(case_sel=1,C252,D252)</f>
        <v>0.55</v>
      </c>
      <c r="F252" s="1" t="s">
        <v>223</v>
      </c>
      <c r="G252" s="1" t="s">
        <v>210</v>
      </c>
    </row>
    <row r="253" customFormat="false" ht="14.25" hidden="false" customHeight="true" outlineLevel="0" collapsed="false">
      <c r="B253" s="1" t="s">
        <v>594</v>
      </c>
      <c r="C253" s="1" t="n">
        <v>7500</v>
      </c>
      <c r="D253" s="1" t="n">
        <v>7500</v>
      </c>
      <c r="E253" s="1" t="n">
        <f aca="false">IF(case_sel=1,C253,D253)</f>
        <v>7500</v>
      </c>
      <c r="F253" s="1" t="s">
        <v>556</v>
      </c>
      <c r="G253" s="1" t="s">
        <v>210</v>
      </c>
    </row>
    <row r="254" customFormat="false" ht="14.25" hidden="false" customHeight="true" outlineLevel="0" collapsed="false">
      <c r="B254" s="1" t="s">
        <v>595</v>
      </c>
      <c r="C254" s="1" t="n">
        <v>1300</v>
      </c>
      <c r="D254" s="1" t="n">
        <v>1300</v>
      </c>
      <c r="E254" s="1" t="n">
        <f aca="false">IF(case_sel=1,C254,D254)</f>
        <v>1300</v>
      </c>
      <c r="F254" s="1" t="s">
        <v>596</v>
      </c>
      <c r="G254" s="1" t="s">
        <v>210</v>
      </c>
    </row>
    <row r="255" customFormat="false" ht="14.25" hidden="false" customHeight="true" outlineLevel="0" collapsed="false">
      <c r="B255" s="1" t="s">
        <v>597</v>
      </c>
      <c r="C255" s="1" t="n">
        <v>600</v>
      </c>
      <c r="D255" s="1" t="n">
        <v>600</v>
      </c>
      <c r="E255" s="1" t="n">
        <f aca="false">IF(case_sel=1,C255,D255)</f>
        <v>600</v>
      </c>
      <c r="F255" s="1" t="s">
        <v>596</v>
      </c>
      <c r="G255" s="1" t="s">
        <v>210</v>
      </c>
    </row>
    <row r="256" customFormat="false" ht="14.25" hidden="false" customHeight="true" outlineLevel="0" collapsed="false">
      <c r="B256" s="1" t="s">
        <v>598</v>
      </c>
      <c r="C256" s="1" t="n">
        <v>100</v>
      </c>
      <c r="D256" s="1" t="n">
        <v>100</v>
      </c>
      <c r="E256" s="1" t="n">
        <f aca="false">IF(case_sel=1,C256,D256)</f>
        <v>100</v>
      </c>
      <c r="F256" s="1" t="s">
        <v>596</v>
      </c>
      <c r="G256" s="1" t="s">
        <v>210</v>
      </c>
    </row>
    <row r="257" customFormat="false" ht="14.25" hidden="false" customHeight="true" outlineLevel="0" collapsed="false">
      <c r="B257" s="1" t="s">
        <v>599</v>
      </c>
      <c r="C257" s="1" t="n">
        <v>350</v>
      </c>
      <c r="D257" s="1" t="n">
        <v>350</v>
      </c>
      <c r="E257" s="1" t="n">
        <f aca="false">IF(case_sel=1,C257,D257)</f>
        <v>350</v>
      </c>
      <c r="F257" s="1" t="s">
        <v>600</v>
      </c>
      <c r="G257" s="1" t="s">
        <v>210</v>
      </c>
    </row>
    <row r="258" customFormat="false" ht="14.25" hidden="false" customHeight="true" outlineLevel="0" collapsed="false">
      <c r="B258" s="1" t="s">
        <v>601</v>
      </c>
      <c r="C258" s="1" t="n">
        <v>0.6</v>
      </c>
      <c r="D258" s="1" t="n">
        <v>0.6</v>
      </c>
      <c r="E258" s="1" t="n">
        <f aca="false">IF(case_sel=1,C258,D258)</f>
        <v>0.6</v>
      </c>
      <c r="F258" s="1" t="s">
        <v>223</v>
      </c>
      <c r="G258" s="1" t="s">
        <v>210</v>
      </c>
    </row>
    <row r="259" customFormat="false" ht="14.25" hidden="false" customHeight="true" outlineLevel="0" collapsed="false">
      <c r="B259" s="1" t="s">
        <v>602</v>
      </c>
      <c r="C259" s="1" t="n">
        <v>0.1</v>
      </c>
      <c r="D259" s="1" t="n">
        <v>0.1</v>
      </c>
      <c r="E259" s="1" t="n">
        <f aca="false">IF(case_sel=1,C259,D259)</f>
        <v>0.1</v>
      </c>
      <c r="F259" s="1" t="s">
        <v>223</v>
      </c>
      <c r="G259" s="1" t="s">
        <v>210</v>
      </c>
    </row>
    <row r="260" customFormat="false" ht="14.25" hidden="false" customHeight="true" outlineLevel="0" collapsed="false">
      <c r="B260" s="1" t="s">
        <v>603</v>
      </c>
      <c r="C260" s="1" t="n">
        <v>1.6</v>
      </c>
      <c r="D260" s="1" t="n">
        <v>1.6</v>
      </c>
      <c r="E260" s="1" t="n">
        <f aca="false">IF(case_sel=1,C260,D260)</f>
        <v>1.6</v>
      </c>
      <c r="F260" s="52" t="s">
        <v>604</v>
      </c>
      <c r="G260" s="1" t="s">
        <v>210</v>
      </c>
    </row>
    <row r="261" customFormat="false" ht="14.25" hidden="false" customHeight="true" outlineLevel="0" collapsed="false">
      <c r="B261" s="1" t="s">
        <v>605</v>
      </c>
      <c r="C261" s="1" t="n">
        <v>0.65</v>
      </c>
      <c r="D261" s="1" t="n">
        <v>0.65</v>
      </c>
      <c r="E261" s="1" t="n">
        <f aca="false">IF(case_sel=1,C261,D261)</f>
        <v>0.65</v>
      </c>
      <c r="F261" s="1" t="s">
        <v>223</v>
      </c>
      <c r="G261" s="1" t="s">
        <v>210</v>
      </c>
    </row>
    <row r="262" customFormat="false" ht="14.25" hidden="false" customHeight="true" outlineLevel="0" collapsed="false">
      <c r="B262" s="1" t="s">
        <v>606</v>
      </c>
      <c r="C262" s="1" t="n">
        <v>38000</v>
      </c>
      <c r="D262" s="1" t="n">
        <v>38000</v>
      </c>
      <c r="E262" s="1" t="n">
        <f aca="false">IF(case_sel=1,C262,D262)</f>
        <v>38000</v>
      </c>
      <c r="F262" s="52" t="s">
        <v>604</v>
      </c>
      <c r="G262" s="1" t="s">
        <v>210</v>
      </c>
    </row>
    <row r="263" customFormat="false" ht="14.25" hidden="false" customHeight="true" outlineLevel="0" collapsed="false">
      <c r="B263" s="1" t="s">
        <v>607</v>
      </c>
      <c r="C263" s="1" t="n">
        <v>1000</v>
      </c>
      <c r="D263" s="1" t="n">
        <v>1000</v>
      </c>
      <c r="E263" s="1" t="n">
        <f aca="false">IF(case_sel=1,C263,D263)</f>
        <v>1000</v>
      </c>
      <c r="F263" s="52" t="s">
        <v>604</v>
      </c>
      <c r="G263" s="1" t="s">
        <v>210</v>
      </c>
    </row>
    <row r="264" customFormat="false" ht="14.25" hidden="false" customHeight="true" outlineLevel="0" collapsed="false">
      <c r="B264" s="1" t="s">
        <v>608</v>
      </c>
      <c r="C264" s="1" t="n">
        <v>6000</v>
      </c>
      <c r="D264" s="1" t="n">
        <v>6000</v>
      </c>
      <c r="E264" s="1" t="n">
        <f aca="false">IF(case_sel=1,C264,D264)</f>
        <v>6000</v>
      </c>
      <c r="F264" s="52" t="s">
        <v>604</v>
      </c>
      <c r="G264" s="1" t="s">
        <v>210</v>
      </c>
    </row>
    <row r="265" customFormat="false" ht="14.25" hidden="false" customHeight="true" outlineLevel="0" collapsed="false">
      <c r="B265" s="1" t="s">
        <v>609</v>
      </c>
      <c r="C265" s="1" t="n">
        <v>300000</v>
      </c>
      <c r="D265" s="1" t="n">
        <v>300000</v>
      </c>
      <c r="E265" s="1" t="n">
        <f aca="false">IF(case_sel=1,C265,D265)</f>
        <v>300000</v>
      </c>
      <c r="F265" s="52" t="s">
        <v>604</v>
      </c>
      <c r="G265" s="1" t="s">
        <v>210</v>
      </c>
    </row>
    <row r="266" customFormat="false" ht="14.25" hidden="false" customHeight="true" outlineLevel="0" collapsed="false">
      <c r="B266" s="1" t="s">
        <v>610</v>
      </c>
      <c r="C266" s="1" t="n">
        <v>0.45</v>
      </c>
      <c r="D266" s="1" t="n">
        <v>0.45</v>
      </c>
      <c r="E266" s="1" t="n">
        <f aca="false">IF(case_sel=1,C266,D266)</f>
        <v>0.45</v>
      </c>
      <c r="F266" s="1" t="s">
        <v>611</v>
      </c>
      <c r="G266" s="1" t="s">
        <v>210</v>
      </c>
    </row>
    <row r="267" customFormat="false" ht="14.25" hidden="false" customHeight="true" outlineLevel="0" collapsed="false">
      <c r="B267" s="1" t="s">
        <v>612</v>
      </c>
      <c r="C267" s="1" t="n">
        <v>20</v>
      </c>
      <c r="D267" s="1" t="n">
        <v>20</v>
      </c>
      <c r="E267" s="1" t="n">
        <f aca="false">IF(case_sel=1,C267,D267)</f>
        <v>20</v>
      </c>
      <c r="F267" s="1" t="s">
        <v>596</v>
      </c>
      <c r="G267" s="1" t="s">
        <v>210</v>
      </c>
    </row>
    <row r="268" customFormat="false" ht="14.25" hidden="false" customHeight="true" outlineLevel="0" collapsed="false">
      <c r="B268" s="1" t="s">
        <v>613</v>
      </c>
      <c r="C268" s="1" t="n">
        <v>15</v>
      </c>
      <c r="D268" s="1" t="n">
        <v>15</v>
      </c>
      <c r="E268" s="1" t="n">
        <f aca="false">IF(case_sel=1,C268,D268)</f>
        <v>15</v>
      </c>
      <c r="F268" s="1" t="s">
        <v>600</v>
      </c>
      <c r="G268" s="1" t="s">
        <v>210</v>
      </c>
    </row>
    <row r="269" customFormat="false" ht="14.25" hidden="false" customHeight="true" outlineLevel="0" collapsed="false">
      <c r="B269" s="1" t="s">
        <v>614</v>
      </c>
      <c r="C269" s="1" t="n">
        <v>50000</v>
      </c>
      <c r="D269" s="1" t="n">
        <v>50000</v>
      </c>
      <c r="E269" s="1" t="n">
        <f aca="false">IF(case_sel=1,C269,D269)</f>
        <v>50000</v>
      </c>
      <c r="F269" s="1" t="s">
        <v>579</v>
      </c>
      <c r="G269" s="1" t="s">
        <v>210</v>
      </c>
    </row>
    <row r="270" customFormat="false" ht="14.25" hidden="false" customHeight="true" outlineLevel="0" collapsed="false">
      <c r="B270" s="1" t="s">
        <v>615</v>
      </c>
      <c r="C270" s="1" t="n">
        <v>30</v>
      </c>
      <c r="D270" s="1" t="n">
        <v>30</v>
      </c>
      <c r="E270" s="1" t="n">
        <f aca="false">IF(case_sel=1,C270,D270)</f>
        <v>30</v>
      </c>
      <c r="F270" s="1" t="s">
        <v>582</v>
      </c>
      <c r="G270" s="1" t="s">
        <v>210</v>
      </c>
    </row>
    <row r="271" customFormat="false" ht="14.25" hidden="false" customHeight="true" outlineLevel="0" collapsed="false">
      <c r="B271" s="1" t="s">
        <v>616</v>
      </c>
      <c r="C271" s="1" t="n">
        <v>6</v>
      </c>
      <c r="D271" s="1" t="n">
        <v>6</v>
      </c>
      <c r="E271" s="1" t="n">
        <f aca="false">IF(case_sel=1,C271,D271)</f>
        <v>6</v>
      </c>
      <c r="F271" s="1" t="s">
        <v>600</v>
      </c>
      <c r="G271" s="1" t="s">
        <v>210</v>
      </c>
    </row>
    <row r="272" customFormat="false" ht="14.25" hidden="false" customHeight="true" outlineLevel="0" collapsed="false">
      <c r="B272" s="1" t="s">
        <v>617</v>
      </c>
      <c r="C272" s="1" t="n">
        <v>0.35</v>
      </c>
      <c r="D272" s="1" t="n">
        <v>0.35</v>
      </c>
      <c r="E272" s="1" t="n">
        <f aca="false">IF(case_sel=1,C272,D272)</f>
        <v>0.35</v>
      </c>
      <c r="F272" s="1" t="s">
        <v>223</v>
      </c>
      <c r="G272" s="1" t="s">
        <v>210</v>
      </c>
    </row>
    <row r="273" customFormat="false" ht="14.25" hidden="false" customHeight="true" outlineLevel="0" collapsed="false">
      <c r="B273" s="1" t="s">
        <v>618</v>
      </c>
      <c r="C273" s="1" t="n">
        <v>12</v>
      </c>
      <c r="D273" s="1" t="n">
        <v>12</v>
      </c>
      <c r="E273" s="1" t="n">
        <f aca="false">IF(case_sel=1,C273,D273)</f>
        <v>12</v>
      </c>
      <c r="F273" s="1" t="s">
        <v>600</v>
      </c>
      <c r="G273" s="1" t="s">
        <v>210</v>
      </c>
    </row>
    <row r="274" customFormat="false" ht="14.25" hidden="false" customHeight="true" outlineLevel="0" collapsed="false">
      <c r="B274" s="1" t="s">
        <v>619</v>
      </c>
      <c r="C274" s="1" t="n">
        <v>75000</v>
      </c>
      <c r="D274" s="1" t="n">
        <v>75000</v>
      </c>
      <c r="E274" s="1" t="n">
        <f aca="false">IF(case_sel=1,C274,D274)</f>
        <v>75000</v>
      </c>
      <c r="F274" s="1" t="s">
        <v>620</v>
      </c>
      <c r="G274" s="1" t="s">
        <v>210</v>
      </c>
    </row>
    <row r="275" customFormat="false" ht="14.25" hidden="false" customHeight="true" outlineLevel="0" collapsed="false">
      <c r="B275" s="1" t="s">
        <v>621</v>
      </c>
      <c r="C275" s="1" t="n">
        <v>20</v>
      </c>
      <c r="D275" s="1" t="n">
        <v>20</v>
      </c>
      <c r="E275" s="1" t="n">
        <f aca="false">IF(case_sel=1,C275,D275)</f>
        <v>20</v>
      </c>
      <c r="F275" s="1" t="s">
        <v>596</v>
      </c>
      <c r="G275" s="1" t="s">
        <v>210</v>
      </c>
    </row>
    <row r="276" customFormat="false" ht="14.25" hidden="false" customHeight="true" outlineLevel="0" collapsed="false">
      <c r="B276" s="8" t="s">
        <v>622</v>
      </c>
      <c r="C276" s="9"/>
      <c r="D276" s="9"/>
      <c r="E276" s="9"/>
      <c r="F276" s="9"/>
      <c r="G276" s="9"/>
      <c r="H276" s="9"/>
    </row>
    <row r="277" customFormat="false" ht="14.25" hidden="false" customHeight="true" outlineLevel="0" collapsed="false">
      <c r="B277" s="1" t="s">
        <v>623</v>
      </c>
      <c r="C277" s="1" t="n">
        <v>2.1</v>
      </c>
      <c r="D277" s="1" t="n">
        <v>2.1</v>
      </c>
      <c r="E277" s="1" t="n">
        <f aca="false">IF(case_sel=1,C277,D277)</f>
        <v>2.1</v>
      </c>
      <c r="F277" s="1" t="s">
        <v>216</v>
      </c>
      <c r="G277" s="1" t="s">
        <v>312</v>
      </c>
    </row>
    <row r="278" customFormat="false" ht="14.25" hidden="false" customHeight="true" outlineLevel="0" collapsed="false">
      <c r="B278" s="1" t="s">
        <v>624</v>
      </c>
      <c r="C278" s="1" t="n">
        <v>1200000</v>
      </c>
      <c r="D278" s="1" t="n">
        <v>1200000</v>
      </c>
      <c r="E278" s="1" t="n">
        <f aca="false">IF(case_sel=1,C278,D278)</f>
        <v>1200000</v>
      </c>
      <c r="F278" s="1" t="s">
        <v>209</v>
      </c>
      <c r="G278" s="1" t="s">
        <v>312</v>
      </c>
    </row>
    <row r="279" customFormat="false" ht="14.25" hidden="false" customHeight="true" outlineLevel="0" collapsed="false">
      <c r="B279" s="1" t="s">
        <v>625</v>
      </c>
      <c r="C279" s="1" t="n">
        <v>1914</v>
      </c>
      <c r="D279" s="1" t="n">
        <v>1914</v>
      </c>
      <c r="E279" s="1" t="n">
        <f aca="false">IF(case_sel=1,C279,D279)</f>
        <v>1914</v>
      </c>
      <c r="F279" s="1" t="s">
        <v>315</v>
      </c>
      <c r="G279" s="1" t="s">
        <v>312</v>
      </c>
    </row>
    <row r="280" customFormat="false" ht="14.25" hidden="false" customHeight="true" outlineLevel="0" collapsed="false">
      <c r="B280" s="1" t="s">
        <v>626</v>
      </c>
      <c r="C280" s="1" t="n">
        <v>0.2</v>
      </c>
      <c r="D280" s="1" t="n">
        <v>0.2</v>
      </c>
      <c r="E280" s="1" t="n">
        <f aca="false">IF(case_sel=1,C280,D280)</f>
        <v>0.2</v>
      </c>
      <c r="F280" s="1" t="s">
        <v>223</v>
      </c>
      <c r="G280" s="1" t="s">
        <v>312</v>
      </c>
    </row>
    <row r="281" customFormat="false" ht="14.25" hidden="false" customHeight="true" outlineLevel="0" collapsed="false">
      <c r="B281" s="1" t="s">
        <v>627</v>
      </c>
      <c r="C281" s="1" t="n">
        <v>0.1</v>
      </c>
      <c r="D281" s="1" t="n">
        <v>0.1</v>
      </c>
      <c r="E281" s="1" t="n">
        <f aca="false">IF(case_sel=1,C281,D281)</f>
        <v>0.1</v>
      </c>
      <c r="F281" s="1" t="s">
        <v>223</v>
      </c>
      <c r="G281" s="1" t="s">
        <v>312</v>
      </c>
    </row>
    <row r="282" customFormat="false" ht="14.25" hidden="false" customHeight="true" outlineLevel="0" collapsed="false">
      <c r="B282" s="1" t="s">
        <v>628</v>
      </c>
      <c r="C282" s="1" t="n">
        <v>0</v>
      </c>
      <c r="D282" s="1" t="n">
        <v>0</v>
      </c>
      <c r="E282" s="1" t="n">
        <f aca="false">IF(case_sel=1,C282,D282)</f>
        <v>0</v>
      </c>
      <c r="F282" s="1" t="s">
        <v>223</v>
      </c>
      <c r="G282" s="1" t="s">
        <v>312</v>
      </c>
    </row>
    <row r="283" customFormat="false" ht="14.25" hidden="false" customHeight="true" outlineLevel="0" collapsed="false">
      <c r="B283" s="1" t="s">
        <v>629</v>
      </c>
      <c r="C283" s="1" t="n">
        <v>0.32</v>
      </c>
      <c r="D283" s="1" t="n">
        <v>0.32</v>
      </c>
      <c r="E283" s="1" t="n">
        <f aca="false">IF(case_sel=1,C283,D283)</f>
        <v>0.32</v>
      </c>
      <c r="F283" s="1" t="s">
        <v>223</v>
      </c>
      <c r="G283" s="1" t="s">
        <v>312</v>
      </c>
    </row>
    <row r="284" customFormat="false" ht="14.25" hidden="false" customHeight="true" outlineLevel="0" collapsed="false">
      <c r="B284" s="1" t="s">
        <v>630</v>
      </c>
      <c r="C284" s="1" t="n">
        <v>0.13</v>
      </c>
      <c r="D284" s="1" t="n">
        <v>0.13</v>
      </c>
      <c r="E284" s="1" t="n">
        <f aca="false">IF(case_sel=1,C284,D284)</f>
        <v>0.13</v>
      </c>
      <c r="F284" s="1" t="s">
        <v>223</v>
      </c>
      <c r="G284" s="1" t="s">
        <v>312</v>
      </c>
    </row>
    <row r="285" customFormat="false" ht="14.25" hidden="false" customHeight="true" outlineLevel="0" collapsed="false">
      <c r="B285" s="1" t="s">
        <v>631</v>
      </c>
      <c r="C285" s="1" t="n">
        <v>0.05</v>
      </c>
      <c r="D285" s="1" t="n">
        <v>0.05</v>
      </c>
      <c r="E285" s="1" t="n">
        <f aca="false">IF(case_sel=1,C285,D285)</f>
        <v>0.05</v>
      </c>
      <c r="F285" s="1" t="s">
        <v>223</v>
      </c>
      <c r="G285" s="1" t="s">
        <v>312</v>
      </c>
    </row>
    <row r="286" customFormat="false" ht="14.25" hidden="false" customHeight="true" outlineLevel="0" collapsed="false">
      <c r="B286" s="8" t="s">
        <v>632</v>
      </c>
      <c r="C286" s="9"/>
      <c r="D286" s="9"/>
      <c r="E286" s="9"/>
      <c r="F286" s="9"/>
      <c r="G286" s="9"/>
      <c r="H286" s="9"/>
    </row>
    <row r="287" customFormat="false" ht="14.25" hidden="false" customHeight="true" outlineLevel="0" collapsed="false">
      <c r="B287" s="1" t="s">
        <v>633</v>
      </c>
      <c r="C287" s="1" t="n">
        <v>1</v>
      </c>
      <c r="D287" s="1" t="n">
        <v>1</v>
      </c>
      <c r="E287" s="1" t="n">
        <f aca="false">IF(case_sel=1,C287,D287)</f>
        <v>1</v>
      </c>
      <c r="F287" s="1" t="s">
        <v>308</v>
      </c>
      <c r="G287" s="1" t="s">
        <v>257</v>
      </c>
    </row>
    <row r="288" customFormat="false" ht="14.25" hidden="false" customHeight="true" outlineLevel="0" collapsed="false">
      <c r="B288" s="1" t="s">
        <v>634</v>
      </c>
      <c r="C288" s="1" t="n">
        <v>1851</v>
      </c>
      <c r="D288" s="1" t="n">
        <v>1851</v>
      </c>
      <c r="E288" s="1" t="n">
        <f aca="false">IF(case_sel=1,C288,D288)</f>
        <v>1851</v>
      </c>
      <c r="F288" s="1" t="s">
        <v>315</v>
      </c>
      <c r="G288" s="1" t="s">
        <v>257</v>
      </c>
    </row>
    <row r="289" customFormat="false" ht="14.25" hidden="false" customHeight="true" outlineLevel="0" collapsed="false">
      <c r="B289" s="1" t="s">
        <v>635</v>
      </c>
      <c r="C289" s="1" t="n">
        <v>100000000</v>
      </c>
      <c r="D289" s="1" t="n">
        <v>100000000</v>
      </c>
      <c r="E289" s="1" t="n">
        <f aca="false">IF(case_sel=1,C289,D289)</f>
        <v>100000000</v>
      </c>
      <c r="F289" s="1" t="s">
        <v>636</v>
      </c>
      <c r="G289" s="1" t="s">
        <v>210</v>
      </c>
    </row>
    <row r="290" customFormat="false" ht="14.25" hidden="false" customHeight="true" outlineLevel="0" collapsed="false">
      <c r="B290" s="1" t="s">
        <v>637</v>
      </c>
      <c r="C290" s="1" t="n">
        <v>7400000</v>
      </c>
      <c r="D290" s="1" t="n">
        <v>7400000</v>
      </c>
      <c r="E290" s="1" t="n">
        <f aca="false">IF(case_sel=1,C290,D290)</f>
        <v>7400000</v>
      </c>
      <c r="F290" s="1" t="s">
        <v>636</v>
      </c>
      <c r="G290" s="1" t="s">
        <v>210</v>
      </c>
    </row>
    <row r="291" customFormat="false" ht="14.25" hidden="false" customHeight="true" outlineLevel="0" collapsed="false">
      <c r="B291" s="1" t="s">
        <v>638</v>
      </c>
      <c r="C291" s="1" t="n">
        <v>8800000</v>
      </c>
      <c r="D291" s="1" t="n">
        <v>8800000</v>
      </c>
      <c r="E291" s="1" t="n">
        <f aca="false">IF(case_sel=1,C291,D291)</f>
        <v>8800000</v>
      </c>
      <c r="F291" s="1" t="s">
        <v>636</v>
      </c>
      <c r="G291" s="1" t="s">
        <v>210</v>
      </c>
    </row>
    <row r="292" customFormat="false" ht="14.25" hidden="false" customHeight="true" outlineLevel="0" collapsed="false">
      <c r="B292" s="1" t="s">
        <v>639</v>
      </c>
      <c r="C292" s="1" t="n">
        <v>1</v>
      </c>
      <c r="D292" s="1" t="n">
        <v>1</v>
      </c>
      <c r="E292" s="1" t="n">
        <f aca="false">IF(case_sel=1,C292,D292)</f>
        <v>1</v>
      </c>
      <c r="F292" s="1" t="s">
        <v>216</v>
      </c>
      <c r="G292" s="1" t="s">
        <v>210</v>
      </c>
    </row>
    <row r="293" customFormat="false" ht="14.25" hidden="false" customHeight="true" outlineLevel="0" collapsed="false">
      <c r="B293" s="1" t="s">
        <v>640</v>
      </c>
      <c r="C293" s="1" t="n">
        <v>5</v>
      </c>
      <c r="D293" s="1" t="n">
        <v>5</v>
      </c>
      <c r="E293" s="1" t="n">
        <f aca="false">IF(case_sel=1,C293,D293)</f>
        <v>5</v>
      </c>
      <c r="F293" s="1" t="s">
        <v>311</v>
      </c>
      <c r="G293" s="1" t="s">
        <v>210</v>
      </c>
    </row>
    <row r="294" customFormat="false" ht="14.25" hidden="false" customHeight="true" outlineLevel="0" collapsed="false">
      <c r="B294" s="1" t="s">
        <v>641</v>
      </c>
      <c r="C294" s="1" t="n">
        <v>0.1</v>
      </c>
      <c r="D294" s="1" t="n">
        <v>0.25</v>
      </c>
      <c r="E294" s="1" t="n">
        <f aca="false">IF(case_sel=1,C294,D294)</f>
        <v>0.1</v>
      </c>
      <c r="F294" s="1" t="s">
        <v>642</v>
      </c>
      <c r="G294" s="1" t="s">
        <v>210</v>
      </c>
    </row>
    <row r="295" customFormat="false" ht="14.25" hidden="false" customHeight="true" outlineLevel="0" collapsed="false">
      <c r="B295" s="1" t="s">
        <v>643</v>
      </c>
      <c r="C295" s="1" t="n">
        <v>20</v>
      </c>
      <c r="D295" s="1" t="n">
        <v>20</v>
      </c>
      <c r="E295" s="1" t="n">
        <f aca="false">IF(case_sel=1,C295,D295)</f>
        <v>20</v>
      </c>
      <c r="F295" s="1" t="s">
        <v>311</v>
      </c>
      <c r="G295" s="1" t="s">
        <v>210</v>
      </c>
    </row>
    <row r="296" customFormat="false" ht="14.25" hidden="false" customHeight="true" outlineLevel="0" collapsed="false">
      <c r="B296" s="1" t="s">
        <v>644</v>
      </c>
      <c r="C296" s="1" t="n">
        <v>1.25</v>
      </c>
      <c r="D296" s="1" t="n">
        <v>1</v>
      </c>
      <c r="E296" s="1" t="n">
        <f aca="false">IF(case_sel=1,C296,D296)</f>
        <v>1.25</v>
      </c>
      <c r="F296" s="1" t="s">
        <v>642</v>
      </c>
      <c r="G296" s="1" t="s">
        <v>210</v>
      </c>
    </row>
    <row r="297" customFormat="false" ht="14.25" hidden="false" customHeight="true" outlineLevel="0" collapsed="false">
      <c r="B297" s="1" t="s">
        <v>645</v>
      </c>
      <c r="C297" s="1" t="n">
        <v>0.2</v>
      </c>
      <c r="D297" s="1" t="n">
        <v>0.1</v>
      </c>
      <c r="E297" s="1" t="n">
        <f aca="false">IF(case_sel=1,C297,D297)</f>
        <v>0.2</v>
      </c>
      <c r="F297" s="1" t="s">
        <v>223</v>
      </c>
      <c r="G297" s="1" t="s">
        <v>210</v>
      </c>
    </row>
    <row r="298" customFormat="false" ht="14.25" hidden="false" customHeight="true" outlineLevel="0" collapsed="false">
      <c r="B298" s="1" t="s">
        <v>646</v>
      </c>
      <c r="C298" s="1" t="n">
        <v>5</v>
      </c>
      <c r="D298" s="1" t="n">
        <v>5</v>
      </c>
      <c r="E298" s="1" t="n">
        <f aca="false">IF(case_sel=1,C298,D298)</f>
        <v>5</v>
      </c>
      <c r="F298" s="1" t="s">
        <v>311</v>
      </c>
      <c r="G298" s="1" t="s">
        <v>210</v>
      </c>
    </row>
    <row r="299" customFormat="false" ht="14.25" hidden="false" customHeight="true" outlineLevel="0" collapsed="false">
      <c r="B299" s="1" t="s">
        <v>647</v>
      </c>
      <c r="C299" s="1" t="n">
        <v>0.1</v>
      </c>
      <c r="D299" s="1" t="n">
        <v>0.2</v>
      </c>
      <c r="E299" s="1" t="n">
        <f aca="false">IF(case_sel=1,C299,D299)</f>
        <v>0.1</v>
      </c>
      <c r="F299" s="1" t="s">
        <v>223</v>
      </c>
      <c r="G299" s="1" t="s">
        <v>210</v>
      </c>
    </row>
    <row r="300" customFormat="false" ht="14.25" hidden="false" customHeight="true" outlineLevel="0" collapsed="false">
      <c r="B300" s="1" t="s">
        <v>648</v>
      </c>
      <c r="C300" s="1" t="n">
        <v>0.03</v>
      </c>
      <c r="D300" s="1" t="n">
        <v>0.05</v>
      </c>
      <c r="E300" s="1" t="n">
        <f aca="false">IF(case_sel=1,C300,D300)</f>
        <v>0.03</v>
      </c>
      <c r="F300" s="1" t="s">
        <v>642</v>
      </c>
      <c r="G300" s="1" t="s">
        <v>210</v>
      </c>
    </row>
    <row r="301" customFormat="false" ht="14.25" hidden="false" customHeight="true" outlineLevel="0" collapsed="false">
      <c r="B301" s="1" t="s">
        <v>649</v>
      </c>
      <c r="C301" s="1" t="n">
        <v>0.05</v>
      </c>
      <c r="D301" s="1" t="n">
        <v>0.05</v>
      </c>
      <c r="E301" s="1" t="n">
        <f aca="false">IF(case_sel=1,C301,D301)</f>
        <v>0.05</v>
      </c>
      <c r="F301" s="1" t="s">
        <v>223</v>
      </c>
      <c r="G301" s="1" t="s">
        <v>210</v>
      </c>
    </row>
    <row r="302" customFormat="false" ht="14.25" hidden="false" customHeight="true" outlineLevel="0" collapsed="false">
      <c r="B302" s="1" t="s">
        <v>650</v>
      </c>
      <c r="C302" s="1" t="n">
        <v>6</v>
      </c>
      <c r="D302" s="1" t="n">
        <v>8</v>
      </c>
      <c r="E302" s="1" t="n">
        <f aca="false">IF(case_sel=1,C302,D302)</f>
        <v>6</v>
      </c>
      <c r="F302" s="1" t="s">
        <v>311</v>
      </c>
      <c r="G302" s="1" t="s">
        <v>210</v>
      </c>
    </row>
    <row r="303" customFormat="false" ht="14.25" hidden="false" customHeight="true" outlineLevel="0" collapsed="false">
      <c r="B303" s="1" t="s">
        <v>651</v>
      </c>
      <c r="C303" s="1" t="n">
        <v>0.05</v>
      </c>
      <c r="D303" s="1" t="n">
        <v>0.05</v>
      </c>
      <c r="E303" s="1" t="n">
        <f aca="false">IF(case_sel=1,C303,D303)</f>
        <v>0.05</v>
      </c>
      <c r="F303" s="1" t="s">
        <v>652</v>
      </c>
      <c r="G303" s="1" t="s">
        <v>210</v>
      </c>
    </row>
    <row r="304" customFormat="false" ht="14.25" hidden="false" customHeight="true" outlineLevel="0" collapsed="false">
      <c r="B304" s="1" t="s">
        <v>653</v>
      </c>
      <c r="C304" s="1" t="n">
        <v>0.3</v>
      </c>
      <c r="D304" s="1" t="n">
        <v>0.3</v>
      </c>
      <c r="E304" s="1" t="n">
        <f aca="false">IF(case_sel=1,C304,D304)</f>
        <v>0.3</v>
      </c>
      <c r="F304" s="1" t="s">
        <v>223</v>
      </c>
      <c r="G304" s="1" t="s">
        <v>210</v>
      </c>
    </row>
    <row r="305" customFormat="false" ht="14.25" hidden="false" customHeight="true" outlineLevel="0" collapsed="false">
      <c r="B305" s="1" t="s">
        <v>654</v>
      </c>
      <c r="C305" s="1" t="n">
        <v>0.1</v>
      </c>
      <c r="D305" s="1" t="n">
        <v>0.1</v>
      </c>
      <c r="E305" s="1" t="n">
        <f aca="false">IF(case_sel=1,C305,D305)</f>
        <v>0.1</v>
      </c>
      <c r="F305" s="1" t="s">
        <v>223</v>
      </c>
      <c r="G305" s="1" t="s">
        <v>210</v>
      </c>
    </row>
    <row r="306" customFormat="false" ht="14.25" hidden="false" customHeight="true" outlineLevel="0" collapsed="false">
      <c r="B306" s="1" t="s">
        <v>655</v>
      </c>
      <c r="C306" s="1" t="n">
        <v>300</v>
      </c>
      <c r="D306" s="1" t="n">
        <v>300</v>
      </c>
      <c r="E306" s="1" t="n">
        <f aca="false">IF(case_sel=1,C306,D306)</f>
        <v>300</v>
      </c>
      <c r="F306" s="1" t="s">
        <v>579</v>
      </c>
      <c r="G306" s="1" t="s">
        <v>210</v>
      </c>
    </row>
    <row r="307" customFormat="false" ht="14.25" hidden="false" customHeight="true" outlineLevel="0" collapsed="false">
      <c r="B307" s="1" t="s">
        <v>656</v>
      </c>
      <c r="C307" s="1" t="n">
        <v>150</v>
      </c>
      <c r="D307" s="1" t="n">
        <v>150</v>
      </c>
      <c r="E307" s="1" t="n">
        <f aca="false">IF(case_sel=1,C307,D307)</f>
        <v>150</v>
      </c>
      <c r="F307" s="1" t="s">
        <v>579</v>
      </c>
      <c r="G307" s="1" t="s">
        <v>210</v>
      </c>
    </row>
    <row r="308" customFormat="false" ht="14.25" hidden="false" customHeight="true" outlineLevel="0" collapsed="false">
      <c r="B308" s="1" t="s">
        <v>657</v>
      </c>
      <c r="C308" s="1" t="n">
        <v>1150</v>
      </c>
      <c r="D308" s="1" t="n">
        <v>1400</v>
      </c>
      <c r="E308" s="1" t="n">
        <f aca="false">IF(case_sel=1,C308,D308)</f>
        <v>1150</v>
      </c>
      <c r="F308" s="1" t="s">
        <v>323</v>
      </c>
      <c r="G308" s="1" t="s">
        <v>210</v>
      </c>
    </row>
    <row r="309" customFormat="false" ht="14.25" hidden="false" customHeight="true" outlineLevel="0" collapsed="false">
      <c r="B309" s="1" t="s">
        <v>658</v>
      </c>
      <c r="C309" s="1" t="n">
        <v>0.05</v>
      </c>
      <c r="D309" s="1" t="n">
        <v>0.06</v>
      </c>
      <c r="E309" s="1" t="n">
        <f aca="false">IF(case_sel=1,C309,D309)</f>
        <v>0.05</v>
      </c>
      <c r="F309" s="1" t="s">
        <v>659</v>
      </c>
      <c r="G309" s="1" t="s">
        <v>210</v>
      </c>
    </row>
    <row r="310" customFormat="false" ht="14.25" hidden="false" customHeight="false" outlineLevel="0" collapsed="false">
      <c r="B310" s="8" t="s">
        <v>660</v>
      </c>
      <c r="C310" s="9"/>
      <c r="D310" s="9"/>
      <c r="E310" s="9"/>
      <c r="F310" s="9"/>
      <c r="G310" s="9"/>
      <c r="H310" s="9"/>
    </row>
    <row r="311" customFormat="false" ht="14.25" hidden="false" customHeight="false" outlineLevel="0" collapsed="false">
      <c r="B311" s="1" t="s">
        <v>661</v>
      </c>
      <c r="C311" s="1" t="n">
        <v>1425</v>
      </c>
      <c r="D311" s="1" t="n">
        <v>1425</v>
      </c>
      <c r="E311" s="1" t="n">
        <f aca="false">IF(case_sel=1,C311,D311)</f>
        <v>1425</v>
      </c>
      <c r="F311" s="1" t="s">
        <v>541</v>
      </c>
      <c r="G311" s="1" t="s">
        <v>210</v>
      </c>
    </row>
    <row r="312" customFormat="false" ht="14.25" hidden="false" customHeight="false" outlineLevel="0" collapsed="false">
      <c r="B312" s="1" t="s">
        <v>662</v>
      </c>
      <c r="C312" s="1" t="n">
        <v>480</v>
      </c>
      <c r="D312" s="1" t="n">
        <v>450</v>
      </c>
      <c r="E312" s="1" t="n">
        <f aca="false">IF(case_sel=1,C312,D312)</f>
        <v>480</v>
      </c>
      <c r="F312" s="1" t="s">
        <v>556</v>
      </c>
      <c r="G312" s="1" t="s">
        <v>210</v>
      </c>
    </row>
    <row r="313" customFormat="false" ht="14.25" hidden="false" customHeight="false" outlineLevel="0" collapsed="false">
      <c r="B313" s="1" t="s">
        <v>663</v>
      </c>
      <c r="C313" s="1" t="n">
        <v>3</v>
      </c>
      <c r="D313" s="1" t="n">
        <v>3</v>
      </c>
      <c r="E313" s="1" t="n">
        <f aca="false">IF(case_sel=1,C313,D313)</f>
        <v>3</v>
      </c>
      <c r="F313" s="1" t="s">
        <v>664</v>
      </c>
      <c r="G313" s="1" t="s">
        <v>257</v>
      </c>
    </row>
    <row r="314" customFormat="false" ht="14.25" hidden="false" customHeight="false" outlineLevel="0" collapsed="false">
      <c r="B314" s="1" t="s">
        <v>665</v>
      </c>
      <c r="C314" s="1" t="n">
        <v>6</v>
      </c>
      <c r="D314" s="1" t="n">
        <v>8</v>
      </c>
      <c r="E314" s="1" t="n">
        <f aca="false">IF(case_sel=1,C314,D314)</f>
        <v>6</v>
      </c>
      <c r="F314" s="1" t="s">
        <v>664</v>
      </c>
      <c r="G314" s="1" t="s">
        <v>210</v>
      </c>
    </row>
    <row r="315" customFormat="false" ht="14.25" hidden="false" customHeight="false" outlineLevel="0" collapsed="false">
      <c r="B315" s="1" t="s">
        <v>666</v>
      </c>
      <c r="C315" s="1" t="n">
        <v>55000</v>
      </c>
      <c r="D315" s="1" t="n">
        <v>60000</v>
      </c>
      <c r="E315" s="1" t="n">
        <f aca="false">IF(case_sel=1,C315,D315)</f>
        <v>55000</v>
      </c>
      <c r="F315" s="1" t="s">
        <v>556</v>
      </c>
      <c r="G315" s="1" t="s">
        <v>257</v>
      </c>
    </row>
    <row r="316" customFormat="false" ht="14.25" hidden="false" customHeight="false" outlineLevel="0" collapsed="false">
      <c r="B316" s="1" t="s">
        <v>667</v>
      </c>
      <c r="C316" s="1" t="n">
        <v>0.6</v>
      </c>
      <c r="D316" s="1" t="n">
        <v>0.65</v>
      </c>
      <c r="E316" s="1" t="n">
        <f aca="false">IF(case_sel=1,C316,D316)</f>
        <v>0.6</v>
      </c>
      <c r="F316" s="1" t="s">
        <v>223</v>
      </c>
      <c r="G316" s="1" t="s">
        <v>210</v>
      </c>
    </row>
    <row r="317" customFormat="false" ht="14.25" hidden="false" customHeight="false" outlineLevel="0" collapsed="false">
      <c r="B317" s="1" t="s">
        <v>668</v>
      </c>
      <c r="C317" s="1" t="n">
        <v>350</v>
      </c>
      <c r="D317" s="1" t="n">
        <v>400</v>
      </c>
      <c r="E317" s="1" t="n">
        <f aca="false">IF(case_sel=1,C317,D317)</f>
        <v>350</v>
      </c>
      <c r="F317" s="1" t="s">
        <v>600</v>
      </c>
      <c r="G317" s="1" t="s">
        <v>210</v>
      </c>
    </row>
    <row r="318" customFormat="false" ht="14.25" hidden="false" customHeight="false" outlineLevel="0" collapsed="false">
      <c r="B318" s="1" t="s">
        <v>669</v>
      </c>
      <c r="C318" s="1" t="n">
        <v>20</v>
      </c>
      <c r="D318" s="1" t="n">
        <v>25</v>
      </c>
      <c r="E318" s="1" t="n">
        <f aca="false">IF(case_sel=1,C318,D318)</f>
        <v>20</v>
      </c>
      <c r="F318" s="1" t="s">
        <v>600</v>
      </c>
      <c r="G318" s="1" t="s">
        <v>210</v>
      </c>
    </row>
    <row r="319" customFormat="false" ht="14.25" hidden="false" customHeight="false" outlineLevel="0" collapsed="false">
      <c r="B319" s="1" t="s">
        <v>670</v>
      </c>
      <c r="C319" s="1" t="n">
        <v>1</v>
      </c>
      <c r="D319" s="1" t="n">
        <v>1.3</v>
      </c>
      <c r="E319" s="1" t="n">
        <f aca="false">IF(case_sel=1,C319,D319)</f>
        <v>1</v>
      </c>
      <c r="F319" s="1" t="s">
        <v>671</v>
      </c>
      <c r="G319" s="1" t="s">
        <v>210</v>
      </c>
    </row>
    <row r="320" customFormat="false" ht="14.25" hidden="false" customHeight="false" outlineLevel="0" collapsed="false">
      <c r="B320" s="1" t="s">
        <v>672</v>
      </c>
      <c r="C320" s="1" t="n">
        <v>20000</v>
      </c>
      <c r="D320" s="1" t="n">
        <v>20000</v>
      </c>
      <c r="E320" s="1" t="n">
        <f aca="false">IF(case_sel=1,C320,D320)</f>
        <v>20000</v>
      </c>
      <c r="F320" s="1" t="s">
        <v>556</v>
      </c>
      <c r="G320" s="1" t="s">
        <v>257</v>
      </c>
    </row>
    <row r="321" customFormat="false" ht="14.25" hidden="false" customHeight="false" outlineLevel="0" collapsed="false">
      <c r="B321" s="1" t="s">
        <v>673</v>
      </c>
      <c r="C321" s="1" t="n">
        <v>40</v>
      </c>
      <c r="D321" s="1" t="n">
        <v>55</v>
      </c>
      <c r="E321" s="1" t="n">
        <f aca="false">IF(case_sel=1,C321,D321)</f>
        <v>40</v>
      </c>
      <c r="F321" s="1" t="s">
        <v>600</v>
      </c>
      <c r="G321" s="1" t="s">
        <v>210</v>
      </c>
    </row>
    <row r="322" customFormat="false" ht="14.25" hidden="false" customHeight="false" outlineLevel="0" collapsed="false">
      <c r="B322" s="1" t="s">
        <v>674</v>
      </c>
      <c r="C322" s="1" t="n">
        <v>15</v>
      </c>
      <c r="D322" s="1" t="n">
        <v>20</v>
      </c>
      <c r="E322" s="1" t="n">
        <f aca="false">IF(case_sel=1,C322,D322)</f>
        <v>15</v>
      </c>
      <c r="F322" s="1" t="s">
        <v>611</v>
      </c>
      <c r="G322" s="1" t="s">
        <v>210</v>
      </c>
    </row>
    <row r="323" customFormat="false" ht="14.25" hidden="false" customHeight="false" outlineLevel="0" collapsed="false">
      <c r="B323" s="1" t="s">
        <v>675</v>
      </c>
      <c r="C323" s="1" t="n">
        <v>12</v>
      </c>
      <c r="D323" s="1" t="n">
        <v>15</v>
      </c>
      <c r="E323" s="1" t="n">
        <f aca="false">IF(case_sel=1,C323,D323)</f>
        <v>12</v>
      </c>
      <c r="F323" s="1" t="s">
        <v>671</v>
      </c>
      <c r="G323" s="1" t="s">
        <v>257</v>
      </c>
    </row>
    <row r="324" customFormat="false" ht="14.25" hidden="false" customHeight="false" outlineLevel="0" collapsed="false">
      <c r="B324" s="1" t="s">
        <v>676</v>
      </c>
      <c r="C324" s="1" t="n">
        <v>6</v>
      </c>
      <c r="D324" s="1" t="n">
        <v>8</v>
      </c>
      <c r="E324" s="1" t="n">
        <f aca="false">IF(case_sel=1,C324,D324)</f>
        <v>6</v>
      </c>
      <c r="F324" s="1" t="s">
        <v>671</v>
      </c>
      <c r="G324" s="1" t="s">
        <v>210</v>
      </c>
    </row>
    <row r="325" customFormat="false" ht="14.25" hidden="false" customHeight="false" outlineLevel="0" collapsed="false">
      <c r="B325" s="1" t="s">
        <v>677</v>
      </c>
      <c r="C325" s="1" t="n">
        <v>335</v>
      </c>
      <c r="D325" s="1" t="n">
        <v>335</v>
      </c>
      <c r="E325" s="1" t="n">
        <f aca="false">IF(case_sel=1,C325,D325)</f>
        <v>335</v>
      </c>
      <c r="F325" s="1" t="s">
        <v>261</v>
      </c>
      <c r="G325" s="1" t="s">
        <v>312</v>
      </c>
    </row>
    <row r="326" customFormat="false" ht="14.25" hidden="false" customHeight="false" outlineLevel="0" collapsed="false">
      <c r="B326" s="1" t="s">
        <v>678</v>
      </c>
      <c r="C326" s="1" t="n">
        <v>0.6</v>
      </c>
      <c r="D326" s="1" t="n">
        <v>0.4</v>
      </c>
      <c r="E326" s="1" t="n">
        <f aca="false">IF(case_sel=1,C326,D326)</f>
        <v>0.6</v>
      </c>
      <c r="F326" s="1" t="s">
        <v>223</v>
      </c>
      <c r="G326" s="1" t="s">
        <v>210</v>
      </c>
    </row>
    <row r="327" customFormat="false" ht="14.25" hidden="false" customHeight="false" outlineLevel="0" collapsed="false">
      <c r="B327" s="1" t="s">
        <v>679</v>
      </c>
      <c r="C327" s="1" t="n">
        <v>30</v>
      </c>
      <c r="D327" s="1" t="n">
        <v>40</v>
      </c>
      <c r="E327" s="1" t="n">
        <f aca="false">IF(case_sel=1,C327,D327)</f>
        <v>30</v>
      </c>
      <c r="F327" s="1" t="s">
        <v>261</v>
      </c>
      <c r="G327" s="1" t="s">
        <v>312</v>
      </c>
    </row>
    <row r="328" customFormat="false" ht="14.25" hidden="false" customHeight="false" outlineLevel="0" collapsed="false">
      <c r="B328" s="1" t="s">
        <v>680</v>
      </c>
      <c r="C328" s="1" t="n">
        <v>50</v>
      </c>
      <c r="D328" s="1" t="n">
        <v>70</v>
      </c>
      <c r="E328" s="1" t="n">
        <f aca="false">IF(case_sel=1,C328,D328)</f>
        <v>50</v>
      </c>
      <c r="F328" s="1" t="s">
        <v>261</v>
      </c>
      <c r="G328" s="1" t="s">
        <v>210</v>
      </c>
    </row>
    <row r="329" customFormat="false" ht="14.25" hidden="false" customHeight="false" outlineLevel="0" collapsed="false">
      <c r="B329" s="1" t="s">
        <v>681</v>
      </c>
      <c r="C329" s="1" t="n">
        <v>20000</v>
      </c>
      <c r="D329" s="1" t="n">
        <v>25000</v>
      </c>
      <c r="E329" s="1" t="n">
        <f aca="false">IF(case_sel=1,C329,D329)</f>
        <v>20000</v>
      </c>
      <c r="F329" s="1" t="s">
        <v>579</v>
      </c>
      <c r="G329" s="1" t="s">
        <v>257</v>
      </c>
    </row>
    <row r="330" customFormat="false" ht="14.25" hidden="false" customHeight="false" outlineLevel="0" collapsed="false">
      <c r="B330" s="1" t="s">
        <v>682</v>
      </c>
      <c r="C330" s="1" t="n">
        <v>150</v>
      </c>
      <c r="D330" s="1" t="n">
        <v>200</v>
      </c>
      <c r="E330" s="1" t="n">
        <f aca="false">IF(case_sel=1,C330,D330)</f>
        <v>150</v>
      </c>
      <c r="F330" s="1" t="s">
        <v>604</v>
      </c>
      <c r="G330" s="1" t="s">
        <v>210</v>
      </c>
    </row>
    <row r="331" customFormat="false" ht="14.25" hidden="false" customHeight="false" outlineLevel="0" collapsed="false">
      <c r="B331" s="1" t="s">
        <v>683</v>
      </c>
      <c r="C331" s="1" t="n">
        <v>1000</v>
      </c>
      <c r="D331" s="1" t="n">
        <v>1500</v>
      </c>
      <c r="E331" s="1" t="n">
        <f aca="false">IF(case_sel=1,C331,D331)</f>
        <v>1000</v>
      </c>
      <c r="F331" s="1" t="s">
        <v>261</v>
      </c>
      <c r="G331" s="1" t="s">
        <v>257</v>
      </c>
    </row>
    <row r="332" customFormat="false" ht="14.25" hidden="false" customHeight="false" outlineLevel="0" collapsed="false">
      <c r="B332" s="1" t="s">
        <v>684</v>
      </c>
      <c r="C332" s="1" t="n">
        <v>0.4</v>
      </c>
      <c r="D332" s="1" t="n">
        <v>0.5</v>
      </c>
      <c r="E332" s="1" t="n">
        <f aca="false">IF(case_sel=1,C332,D332)</f>
        <v>0.4</v>
      </c>
      <c r="F332" s="1" t="s">
        <v>223</v>
      </c>
      <c r="G332" s="1" t="s">
        <v>210</v>
      </c>
    </row>
    <row r="333" customFormat="false" ht="14.25" hidden="false" customHeight="false" outlineLevel="0" collapsed="false">
      <c r="B333" s="1" t="s">
        <v>685</v>
      </c>
      <c r="C333" s="1" t="n">
        <v>5</v>
      </c>
      <c r="D333" s="1" t="n">
        <v>5</v>
      </c>
      <c r="E333" s="1" t="n">
        <f aca="false">IF(case_sel=1,C333,D333)</f>
        <v>5</v>
      </c>
      <c r="F333" s="1" t="s">
        <v>311</v>
      </c>
      <c r="G333" s="1" t="s">
        <v>210</v>
      </c>
    </row>
    <row r="334" customFormat="false" ht="14.25" hidden="false" customHeight="false" outlineLevel="0" collapsed="false">
      <c r="B334" s="1" t="s">
        <v>686</v>
      </c>
      <c r="C334" s="1" t="n">
        <v>0.75</v>
      </c>
      <c r="D334" s="1" t="n">
        <v>0.5</v>
      </c>
      <c r="E334" s="1" t="n">
        <f aca="false">IF(case_sel=1,C334,D334)</f>
        <v>0.75</v>
      </c>
      <c r="F334" s="1" t="s">
        <v>223</v>
      </c>
      <c r="G334" s="1" t="s">
        <v>257</v>
      </c>
    </row>
    <row r="335" customFormat="false" ht="14.25" hidden="false" customHeight="false" outlineLevel="0" collapsed="false">
      <c r="B335" s="1" t="s">
        <v>687</v>
      </c>
      <c r="C335" s="1" t="n">
        <v>1922</v>
      </c>
      <c r="D335" s="1" t="n">
        <v>1924</v>
      </c>
      <c r="E335" s="1" t="n">
        <f aca="false">IF(case_sel=1,C335,D335)</f>
        <v>1922</v>
      </c>
      <c r="F335" s="1" t="s">
        <v>315</v>
      </c>
      <c r="G335" s="1" t="s">
        <v>210</v>
      </c>
    </row>
    <row r="336" customFormat="false" ht="14.25" hidden="false" customHeight="false" outlineLevel="0" collapsed="false">
      <c r="B336" s="1" t="s">
        <v>688</v>
      </c>
      <c r="C336" s="1" t="n">
        <v>0.25</v>
      </c>
      <c r="D336" s="1" t="n">
        <v>0.1</v>
      </c>
      <c r="E336" s="1" t="n">
        <f aca="false">IF(case_sel=1,C336,D336)</f>
        <v>0.25</v>
      </c>
      <c r="F336" s="1" t="s">
        <v>689</v>
      </c>
      <c r="G336" s="1" t="s">
        <v>312</v>
      </c>
    </row>
    <row r="337" customFormat="false" ht="14.25" hidden="false" customHeight="false" outlineLevel="0" collapsed="false">
      <c r="B337" s="1" t="s">
        <v>690</v>
      </c>
      <c r="C337" s="1" t="n">
        <v>1</v>
      </c>
      <c r="D337" s="1" t="n">
        <v>0.5</v>
      </c>
      <c r="E337" s="1" t="n">
        <f aca="false">IF(case_sel=1,C337,D337)</f>
        <v>1</v>
      </c>
      <c r="F337" s="1" t="s">
        <v>689</v>
      </c>
      <c r="G337" s="1" t="s">
        <v>210</v>
      </c>
    </row>
    <row r="338" customFormat="false" ht="14.25" hidden="false" customHeight="false" outlineLevel="0" collapsed="false">
      <c r="B338" s="1" t="s">
        <v>691</v>
      </c>
      <c r="C338" s="1" t="n">
        <v>2</v>
      </c>
      <c r="D338" s="1" t="n">
        <v>1</v>
      </c>
      <c r="E338" s="1" t="n">
        <f aca="false">IF(case_sel=1,C338,D338)</f>
        <v>2</v>
      </c>
      <c r="F338" s="1" t="s">
        <v>689</v>
      </c>
      <c r="G338" s="1" t="s">
        <v>312</v>
      </c>
    </row>
    <row r="339" customFormat="false" ht="14.25" hidden="false" customHeight="false" outlineLevel="0" collapsed="false">
      <c r="B339" s="1" t="s">
        <v>692</v>
      </c>
      <c r="C339" s="1" t="n">
        <v>3</v>
      </c>
      <c r="D339" s="1" t="n">
        <v>1.5</v>
      </c>
      <c r="E339" s="1" t="n">
        <f aca="false">IF(case_sel=1,C339,D339)</f>
        <v>3</v>
      </c>
      <c r="F339" s="1" t="s">
        <v>689</v>
      </c>
      <c r="G339" s="1" t="s">
        <v>312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M4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E6" activeCellId="0" sqref="E6"/>
    </sheetView>
  </sheetViews>
  <sheetFormatPr defaultColWidth="8.88671875" defaultRowHeight="14.25" zeroHeight="false" outlineLevelRow="0" outlineLevelCol="0"/>
  <cols>
    <col collapsed="false" customWidth="true" hidden="false" outlineLevel="0" max="1" min="1" style="1" width="6"/>
    <col collapsed="false" customWidth="true" hidden="false" outlineLevel="0" max="3" min="2" style="1" width="7"/>
    <col collapsed="false" customWidth="true" hidden="false" outlineLevel="0" max="4" min="4" style="1" width="52"/>
    <col collapsed="false" customWidth="true" hidden="false" outlineLevel="0" max="5" min="5" style="1" width="19"/>
    <col collapsed="false" customWidth="true" hidden="false" outlineLevel="0" max="6" min="6" style="1" width="12"/>
    <col collapsed="false" customWidth="true" hidden="false" outlineLevel="0" max="7" min="7" style="1" width="14"/>
    <col collapsed="false" customWidth="true" hidden="false" outlineLevel="0" max="9" min="8" style="1" width="11"/>
    <col collapsed="false" customWidth="true" hidden="false" outlineLevel="0" max="10" min="10" style="1" width="8"/>
    <col collapsed="false" customWidth="true" hidden="false" outlineLevel="0" max="11" min="11" style="1" width="14"/>
    <col collapsed="false" customWidth="true" hidden="false" outlineLevel="0" max="12" min="12" style="1" width="9"/>
    <col collapsed="false" customWidth="true" hidden="false" outlineLevel="0" max="13" min="13" style="1" width="70"/>
  </cols>
  <sheetData>
    <row r="1" customFormat="false" ht="18" hidden="false" customHeight="true" outlineLevel="0" collapsed="false">
      <c r="A1" s="19" t="s">
        <v>693</v>
      </c>
    </row>
    <row r="2" customFormat="false" ht="14.25" hidden="false" customHeight="true" outlineLevel="0" collapsed="false">
      <c r="A2" s="3" t="s">
        <v>694</v>
      </c>
    </row>
    <row r="3" customFormat="false" ht="14.25" hidden="false" customHeight="true" outlineLevel="0" collapsed="false">
      <c r="A3" s="20" t="s">
        <v>695</v>
      </c>
    </row>
    <row r="4" customFormat="false" ht="14.25" hidden="false" customHeight="true" outlineLevel="0" collapsed="false">
      <c r="A4" s="53" t="s">
        <v>696</v>
      </c>
    </row>
    <row r="5" customFormat="false" ht="21.75" hidden="false" customHeight="true" outlineLevel="0" collapsed="false">
      <c r="A5" s="30" t="s">
        <v>697</v>
      </c>
      <c r="B5" s="30" t="s">
        <v>698</v>
      </c>
      <c r="C5" s="30" t="s">
        <v>699</v>
      </c>
      <c r="D5" s="30" t="s">
        <v>700</v>
      </c>
      <c r="E5" s="30" t="s">
        <v>701</v>
      </c>
      <c r="F5" s="30" t="s">
        <v>702</v>
      </c>
      <c r="G5" s="30" t="s">
        <v>703</v>
      </c>
      <c r="H5" s="30" t="s">
        <v>704</v>
      </c>
      <c r="I5" s="30" t="s">
        <v>705</v>
      </c>
      <c r="J5" s="30" t="s">
        <v>706</v>
      </c>
      <c r="K5" s="30" t="s">
        <v>518</v>
      </c>
      <c r="L5" s="30" t="s">
        <v>707</v>
      </c>
      <c r="M5" s="30" t="s">
        <v>708</v>
      </c>
    </row>
    <row r="6" customFormat="false" ht="14.25" hidden="false" customHeight="true" outlineLevel="0" collapsed="false">
      <c r="A6" s="10" t="s">
        <v>709</v>
      </c>
      <c r="B6" s="54" t="n">
        <v>1848</v>
      </c>
      <c r="C6" s="54" t="n">
        <v>1848</v>
      </c>
      <c r="D6" s="10" t="s">
        <v>710</v>
      </c>
      <c r="E6" s="10" t="s">
        <v>711</v>
      </c>
      <c r="F6" s="10"/>
      <c r="G6" s="10" t="s">
        <v>54</v>
      </c>
      <c r="H6" s="55" t="n">
        <v>14.6</v>
      </c>
      <c r="I6" s="56" t="n">
        <f aca="false">IF(H6="","",H6*(C6-B6+1))</f>
        <v>14.6</v>
      </c>
      <c r="J6" s="10" t="s">
        <v>712</v>
      </c>
      <c r="K6" s="10" t="s">
        <v>233</v>
      </c>
      <c r="L6" s="10" t="s">
        <v>713</v>
      </c>
      <c r="M6" s="57" t="s">
        <v>714</v>
      </c>
    </row>
    <row r="7" customFormat="false" ht="14.25" hidden="false" customHeight="true" outlineLevel="0" collapsed="false">
      <c r="A7" s="10" t="s">
        <v>715</v>
      </c>
      <c r="B7" s="54" t="n">
        <v>1850</v>
      </c>
      <c r="C7" s="54" t="n">
        <v>1851</v>
      </c>
      <c r="D7" s="10" t="s">
        <v>716</v>
      </c>
      <c r="E7" s="10" t="s">
        <v>717</v>
      </c>
      <c r="F7" s="10"/>
      <c r="G7" s="10"/>
      <c r="H7" s="55" t="n">
        <v>0.5</v>
      </c>
      <c r="I7" s="56" t="n">
        <f aca="false">IF(H7="","",H7*(C7-B7+1))</f>
        <v>1</v>
      </c>
      <c r="J7" s="10" t="s">
        <v>712</v>
      </c>
      <c r="K7" s="10" t="s">
        <v>233</v>
      </c>
      <c r="L7" s="10" t="s">
        <v>718</v>
      </c>
      <c r="M7" s="57" t="s">
        <v>210</v>
      </c>
    </row>
    <row r="8" customFormat="false" ht="14.25" hidden="false" customHeight="true" outlineLevel="0" collapsed="false">
      <c r="A8" s="10" t="s">
        <v>719</v>
      </c>
      <c r="B8" s="54" t="n">
        <v>1853</v>
      </c>
      <c r="C8" s="54" t="n">
        <v>1854</v>
      </c>
      <c r="D8" s="10" t="s">
        <v>720</v>
      </c>
      <c r="E8" s="10" t="s">
        <v>721</v>
      </c>
      <c r="F8" s="10"/>
      <c r="G8" s="10"/>
      <c r="H8" s="55" t="n">
        <v>0.3</v>
      </c>
      <c r="I8" s="56" t="n">
        <f aca="false">IF(H8="","",H8*(C8-B8+1))</f>
        <v>0.6</v>
      </c>
      <c r="J8" s="10" t="s">
        <v>712</v>
      </c>
      <c r="K8" s="10" t="s">
        <v>233</v>
      </c>
      <c r="L8" s="10" t="s">
        <v>722</v>
      </c>
      <c r="M8" s="57" t="s">
        <v>210</v>
      </c>
    </row>
    <row r="9" customFormat="false" ht="14.25" hidden="false" customHeight="true" outlineLevel="0" collapsed="false">
      <c r="A9" s="10" t="s">
        <v>723</v>
      </c>
      <c r="B9" s="54" t="n">
        <v>1855</v>
      </c>
      <c r="C9" s="54" t="n">
        <v>1861</v>
      </c>
      <c r="D9" s="10" t="s">
        <v>724</v>
      </c>
      <c r="E9" s="10" t="s">
        <v>717</v>
      </c>
      <c r="F9" s="10"/>
      <c r="G9" s="10"/>
      <c r="H9" s="55" t="n">
        <v>0.4</v>
      </c>
      <c r="I9" s="56" t="n">
        <f aca="false">IF(H9="","",H9*(C9-B9+1))</f>
        <v>2.8</v>
      </c>
      <c r="J9" s="10" t="s">
        <v>712</v>
      </c>
      <c r="K9" s="10" t="s">
        <v>233</v>
      </c>
      <c r="L9" s="10" t="s">
        <v>725</v>
      </c>
      <c r="M9" s="57" t="s">
        <v>726</v>
      </c>
    </row>
    <row r="10" customFormat="false" ht="14.25" hidden="false" customHeight="true" outlineLevel="0" collapsed="false">
      <c r="A10" s="10" t="s">
        <v>727</v>
      </c>
      <c r="B10" s="54" t="n">
        <v>1857</v>
      </c>
      <c r="C10" s="54" t="n">
        <v>1858</v>
      </c>
      <c r="D10" s="10" t="s">
        <v>728</v>
      </c>
      <c r="E10" s="10" t="s">
        <v>721</v>
      </c>
      <c r="F10" s="10"/>
      <c r="G10" s="10"/>
      <c r="H10" s="55" t="n">
        <v>0.3</v>
      </c>
      <c r="I10" s="56" t="n">
        <f aca="false">IF(H10="","",H10*(C10-B10+1))</f>
        <v>0.6</v>
      </c>
      <c r="J10" s="10" t="s">
        <v>712</v>
      </c>
      <c r="K10" s="10" t="s">
        <v>233</v>
      </c>
      <c r="L10" s="10" t="s">
        <v>725</v>
      </c>
      <c r="M10" s="57" t="s">
        <v>210</v>
      </c>
    </row>
    <row r="11" customFormat="false" ht="14.25" hidden="false" customHeight="true" outlineLevel="0" collapsed="false">
      <c r="A11" s="10" t="s">
        <v>729</v>
      </c>
      <c r="B11" s="54" t="n">
        <v>1860</v>
      </c>
      <c r="C11" s="54" t="n">
        <v>1860</v>
      </c>
      <c r="D11" s="10" t="s">
        <v>730</v>
      </c>
      <c r="E11" s="10" t="s">
        <v>721</v>
      </c>
      <c r="F11" s="10"/>
      <c r="G11" s="10"/>
      <c r="H11" s="55" t="n">
        <v>1</v>
      </c>
      <c r="I11" s="56" t="n">
        <f aca="false">IF(H11="","",H11*(C11-B11+1))</f>
        <v>1</v>
      </c>
      <c r="J11" s="10" t="s">
        <v>712</v>
      </c>
      <c r="K11" s="10" t="s">
        <v>233</v>
      </c>
      <c r="L11" s="10" t="s">
        <v>725</v>
      </c>
      <c r="M11" s="57" t="s">
        <v>210</v>
      </c>
    </row>
    <row r="12" customFormat="false" ht="14.25" hidden="false" customHeight="true" outlineLevel="0" collapsed="false">
      <c r="A12" s="10" t="s">
        <v>731</v>
      </c>
      <c r="B12" s="54" t="n">
        <v>1861</v>
      </c>
      <c r="C12" s="54" t="n">
        <v>1861</v>
      </c>
      <c r="D12" s="10" t="s">
        <v>732</v>
      </c>
      <c r="E12" s="10" t="s">
        <v>721</v>
      </c>
      <c r="F12" s="10"/>
      <c r="G12" s="10"/>
      <c r="H12" s="55" t="n">
        <v>6</v>
      </c>
      <c r="I12" s="56" t="n">
        <f aca="false">IF(H12="","",H12*(C12-B12+1))</f>
        <v>6</v>
      </c>
      <c r="J12" s="10" t="s">
        <v>712</v>
      </c>
      <c r="K12" s="10" t="s">
        <v>233</v>
      </c>
      <c r="L12" s="10" t="s">
        <v>733</v>
      </c>
      <c r="M12" s="57" t="s">
        <v>734</v>
      </c>
    </row>
    <row r="13" customFormat="false" ht="14.25" hidden="false" customHeight="true" outlineLevel="0" collapsed="false">
      <c r="A13" s="10" t="s">
        <v>735</v>
      </c>
      <c r="B13" s="54" t="n">
        <v>1862</v>
      </c>
      <c r="C13" s="54" t="n">
        <v>1864</v>
      </c>
      <c r="D13" s="10" t="s">
        <v>736</v>
      </c>
      <c r="E13" s="10" t="s">
        <v>721</v>
      </c>
      <c r="F13" s="10"/>
      <c r="G13" s="10"/>
      <c r="H13" s="55" t="n">
        <v>5</v>
      </c>
      <c r="I13" s="56" t="n">
        <f aca="false">IF(H13="","",H13*(C13-B13+1))</f>
        <v>15</v>
      </c>
      <c r="J13" s="10" t="s">
        <v>712</v>
      </c>
      <c r="K13" s="10" t="s">
        <v>233</v>
      </c>
      <c r="L13" s="10" t="s">
        <v>737</v>
      </c>
      <c r="M13" s="57" t="s">
        <v>210</v>
      </c>
    </row>
    <row r="14" customFormat="false" ht="14.25" hidden="false" customHeight="true" outlineLevel="0" collapsed="false">
      <c r="A14" s="10" t="s">
        <v>738</v>
      </c>
      <c r="B14" s="54" t="n">
        <v>1862</v>
      </c>
      <c r="C14" s="54" t="n">
        <v>1864</v>
      </c>
      <c r="D14" s="10" t="s">
        <v>739</v>
      </c>
      <c r="E14" s="10" t="s">
        <v>740</v>
      </c>
      <c r="F14" s="10"/>
      <c r="G14" s="10" t="s">
        <v>741</v>
      </c>
      <c r="H14" s="55" t="n">
        <v>0.8</v>
      </c>
      <c r="I14" s="56" t="n">
        <f aca="false">IF(H14="","",H14*(C14-B14+1))</f>
        <v>2.4</v>
      </c>
      <c r="J14" s="10" t="s">
        <v>712</v>
      </c>
      <c r="K14" s="10" t="s">
        <v>233</v>
      </c>
      <c r="L14" s="10" t="s">
        <v>742</v>
      </c>
      <c r="M14" s="57" t="s">
        <v>743</v>
      </c>
    </row>
    <row r="15" customFormat="false" ht="14.25" hidden="false" customHeight="true" outlineLevel="0" collapsed="false">
      <c r="A15" s="10" t="s">
        <v>744</v>
      </c>
      <c r="B15" s="54" t="n">
        <v>1865</v>
      </c>
      <c r="C15" s="54" t="n">
        <v>1865</v>
      </c>
      <c r="D15" s="10" t="s">
        <v>745</v>
      </c>
      <c r="E15" s="10" t="s">
        <v>740</v>
      </c>
      <c r="F15" s="10"/>
      <c r="G15" s="10"/>
      <c r="H15" s="55" t="n">
        <v>2</v>
      </c>
      <c r="I15" s="56" t="n">
        <f aca="false">IF(H15="","",H15*(C15-B15+1))</f>
        <v>2</v>
      </c>
      <c r="J15" s="10" t="s">
        <v>712</v>
      </c>
      <c r="K15" s="10" t="s">
        <v>257</v>
      </c>
      <c r="L15" s="10" t="s">
        <v>733</v>
      </c>
      <c r="M15" s="57" t="s">
        <v>210</v>
      </c>
    </row>
    <row r="16" customFormat="false" ht="14.25" hidden="false" customHeight="true" outlineLevel="0" collapsed="false">
      <c r="A16" s="10" t="s">
        <v>746</v>
      </c>
      <c r="B16" s="54" t="n">
        <v>1866</v>
      </c>
      <c r="C16" s="54" t="n">
        <v>1872</v>
      </c>
      <c r="D16" s="10" t="s">
        <v>747</v>
      </c>
      <c r="E16" s="10" t="s">
        <v>748</v>
      </c>
      <c r="F16" s="10"/>
      <c r="G16" s="10" t="s">
        <v>749</v>
      </c>
      <c r="H16" s="55" t="n">
        <f aca="false">union_vendor/7</f>
        <v>5.71428571428571</v>
      </c>
      <c r="I16" s="56" t="n">
        <f aca="false">IF(H16="","",H16*(C16-B16+1))</f>
        <v>40</v>
      </c>
      <c r="J16" s="10" t="s">
        <v>750</v>
      </c>
      <c r="K16" s="10" t="s">
        <v>257</v>
      </c>
      <c r="L16" s="10" t="s">
        <v>751</v>
      </c>
      <c r="M16" s="57" t="s">
        <v>752</v>
      </c>
    </row>
    <row r="17" customFormat="false" ht="14.25" hidden="false" customHeight="true" outlineLevel="0" collapsed="false">
      <c r="A17" s="10" t="s">
        <v>753</v>
      </c>
      <c r="B17" s="54" t="n">
        <v>1867</v>
      </c>
      <c r="C17" s="54" t="n">
        <v>1867</v>
      </c>
      <c r="D17" s="10" t="s">
        <v>754</v>
      </c>
      <c r="E17" s="10" t="s">
        <v>748</v>
      </c>
      <c r="F17" s="10"/>
      <c r="G17" s="10" t="s">
        <v>755</v>
      </c>
      <c r="H17" s="55" t="n">
        <v>7.2</v>
      </c>
      <c r="I17" s="56" t="n">
        <f aca="false">IF(H17="","",H17*(C17-B17+1))</f>
        <v>7.2</v>
      </c>
      <c r="J17" s="10" t="s">
        <v>750</v>
      </c>
      <c r="K17" s="10" t="s">
        <v>233</v>
      </c>
      <c r="L17" s="10" t="s">
        <v>756</v>
      </c>
      <c r="M17" s="57" t="s">
        <v>757</v>
      </c>
    </row>
    <row r="18" customFormat="false" ht="14.25" hidden="false" customHeight="true" outlineLevel="0" collapsed="false">
      <c r="A18" s="10" t="s">
        <v>758</v>
      </c>
      <c r="B18" s="54" t="n">
        <v>1867</v>
      </c>
      <c r="C18" s="54" t="n">
        <v>1871</v>
      </c>
      <c r="D18" s="10" t="s">
        <v>759</v>
      </c>
      <c r="E18" s="10" t="s">
        <v>748</v>
      </c>
      <c r="F18" s="10"/>
      <c r="G18" s="10" t="s">
        <v>760</v>
      </c>
      <c r="H18" s="55" t="n">
        <v>1</v>
      </c>
      <c r="I18" s="56" t="n">
        <f aca="false">IF(H18="","",H18*(C18-B18+1))</f>
        <v>5</v>
      </c>
      <c r="J18" s="10" t="s">
        <v>750</v>
      </c>
      <c r="K18" s="10" t="s">
        <v>257</v>
      </c>
      <c r="L18" s="10" t="s">
        <v>761</v>
      </c>
      <c r="M18" s="57" t="s">
        <v>762</v>
      </c>
    </row>
    <row r="19" customFormat="false" ht="14.25" hidden="false" customHeight="true" outlineLevel="0" collapsed="false">
      <c r="A19" s="10" t="s">
        <v>763</v>
      </c>
      <c r="B19" s="54" t="n">
        <v>1867</v>
      </c>
      <c r="C19" s="54" t="n">
        <v>1867</v>
      </c>
      <c r="D19" s="10" t="s">
        <v>764</v>
      </c>
      <c r="E19" s="10" t="s">
        <v>765</v>
      </c>
      <c r="F19" s="10" t="s">
        <v>766</v>
      </c>
      <c r="G19" s="10" t="s">
        <v>749</v>
      </c>
      <c r="H19" s="55" t="n">
        <v>10</v>
      </c>
      <c r="I19" s="56" t="n">
        <f aca="false">IF(H19="","",H19*(C19-B19+1))</f>
        <v>10</v>
      </c>
      <c r="J19" s="10" t="s">
        <v>750</v>
      </c>
      <c r="K19" s="10" t="s">
        <v>257</v>
      </c>
      <c r="L19" s="10" t="s">
        <v>751</v>
      </c>
      <c r="M19" s="57" t="s">
        <v>767</v>
      </c>
    </row>
    <row r="20" customFormat="false" ht="14.25" hidden="false" customHeight="true" outlineLevel="0" collapsed="false">
      <c r="A20" s="10" t="s">
        <v>768</v>
      </c>
      <c r="B20" s="54" t="n">
        <v>1867</v>
      </c>
      <c r="C20" s="54" t="n">
        <v>1900</v>
      </c>
      <c r="D20" s="10" t="s">
        <v>769</v>
      </c>
      <c r="E20" s="10" t="s">
        <v>740</v>
      </c>
      <c r="F20" s="10"/>
      <c r="G20" s="10"/>
      <c r="H20" s="55" t="n">
        <v>1</v>
      </c>
      <c r="I20" s="56" t="n">
        <f aca="false">IF(H20="","",H20*(C20-B20+1))</f>
        <v>34</v>
      </c>
      <c r="J20" s="10" t="s">
        <v>712</v>
      </c>
      <c r="K20" s="10" t="s">
        <v>257</v>
      </c>
      <c r="L20" s="10" t="s">
        <v>756</v>
      </c>
      <c r="M20" s="57" t="s">
        <v>210</v>
      </c>
    </row>
    <row r="21" customFormat="false" ht="14.25" hidden="false" customHeight="true" outlineLevel="0" collapsed="false">
      <c r="A21" s="10" t="s">
        <v>770</v>
      </c>
      <c r="B21" s="54" t="n">
        <v>1868</v>
      </c>
      <c r="C21" s="54" t="n">
        <v>1869</v>
      </c>
      <c r="D21" s="10" t="s">
        <v>771</v>
      </c>
      <c r="E21" s="10" t="s">
        <v>721</v>
      </c>
      <c r="F21" s="10"/>
      <c r="G21" s="10" t="s">
        <v>41</v>
      </c>
      <c r="H21" s="55" t="n">
        <v>0.5</v>
      </c>
      <c r="I21" s="56" t="n">
        <f aca="false">IF(H21="","",H21*(C21-B21+1))</f>
        <v>1</v>
      </c>
      <c r="J21" s="10" t="s">
        <v>712</v>
      </c>
      <c r="K21" s="10" t="s">
        <v>257</v>
      </c>
      <c r="L21" s="10" t="s">
        <v>756</v>
      </c>
      <c r="M21" s="57" t="s">
        <v>210</v>
      </c>
    </row>
    <row r="22" customFormat="false" ht="14.25" hidden="false" customHeight="true" outlineLevel="0" collapsed="false">
      <c r="A22" s="10" t="s">
        <v>772</v>
      </c>
      <c r="B22" s="54" t="n">
        <v>1870</v>
      </c>
      <c r="C22" s="54" t="n">
        <v>1871</v>
      </c>
      <c r="D22" s="10" t="s">
        <v>773</v>
      </c>
      <c r="E22" s="10" t="s">
        <v>721</v>
      </c>
      <c r="F22" s="10"/>
      <c r="G22" s="10" t="s">
        <v>741</v>
      </c>
      <c r="H22" s="55" t="n">
        <v>6</v>
      </c>
      <c r="I22" s="56" t="n">
        <f aca="false">IF(H22="","",H22*(C22-B22+1))</f>
        <v>12</v>
      </c>
      <c r="J22" s="10" t="s">
        <v>712</v>
      </c>
      <c r="K22" s="10" t="s">
        <v>233</v>
      </c>
      <c r="L22" s="10" t="s">
        <v>761</v>
      </c>
      <c r="M22" s="57" t="s">
        <v>774</v>
      </c>
    </row>
    <row r="23" customFormat="false" ht="14.25" hidden="false" customHeight="true" outlineLevel="0" collapsed="false">
      <c r="A23" s="10" t="s">
        <v>775</v>
      </c>
      <c r="B23" s="54" t="n">
        <v>1870</v>
      </c>
      <c r="C23" s="54" t="n">
        <v>1870</v>
      </c>
      <c r="D23" s="10" t="s">
        <v>776</v>
      </c>
      <c r="E23" s="10" t="s">
        <v>765</v>
      </c>
      <c r="F23" s="10" t="s">
        <v>777</v>
      </c>
      <c r="G23" s="10" t="s">
        <v>41</v>
      </c>
      <c r="H23" s="55" t="n">
        <v>5</v>
      </c>
      <c r="I23" s="56" t="n">
        <f aca="false">IF(H23="","",H23*(C23-B23+1))</f>
        <v>5</v>
      </c>
      <c r="J23" s="10" t="s">
        <v>712</v>
      </c>
      <c r="K23" s="10" t="s">
        <v>233</v>
      </c>
      <c r="L23" s="10" t="s">
        <v>756</v>
      </c>
      <c r="M23" s="57" t="s">
        <v>778</v>
      </c>
    </row>
    <row r="24" customFormat="false" ht="14.25" hidden="false" customHeight="true" outlineLevel="0" collapsed="false">
      <c r="A24" s="10" t="s">
        <v>779</v>
      </c>
      <c r="B24" s="54" t="n">
        <v>1871</v>
      </c>
      <c r="C24" s="54" t="n">
        <v>1872</v>
      </c>
      <c r="D24" s="10" t="s">
        <v>780</v>
      </c>
      <c r="E24" s="10" t="s">
        <v>765</v>
      </c>
      <c r="F24" s="10" t="s">
        <v>766</v>
      </c>
      <c r="G24" s="10" t="s">
        <v>741</v>
      </c>
      <c r="H24" s="55" t="n">
        <v>12.5</v>
      </c>
      <c r="I24" s="56" t="n">
        <f aca="false">IF(H24="","",H24*(C24-B24+1))</f>
        <v>25</v>
      </c>
      <c r="J24" s="10" t="s">
        <v>712</v>
      </c>
      <c r="K24" s="10" t="s">
        <v>233</v>
      </c>
      <c r="L24" s="10" t="s">
        <v>761</v>
      </c>
      <c r="M24" s="57" t="s">
        <v>781</v>
      </c>
    </row>
    <row r="25" customFormat="false" ht="14.25" hidden="false" customHeight="true" outlineLevel="0" collapsed="false">
      <c r="A25" s="10" t="s">
        <v>782</v>
      </c>
      <c r="B25" s="54" t="n">
        <v>1871</v>
      </c>
      <c r="C25" s="54" t="n">
        <v>1888</v>
      </c>
      <c r="D25" s="10" t="s">
        <v>783</v>
      </c>
      <c r="E25" s="10" t="s">
        <v>740</v>
      </c>
      <c r="F25" s="10"/>
      <c r="G25" s="10" t="s">
        <v>741</v>
      </c>
      <c r="H25" s="55" t="n">
        <v>1</v>
      </c>
      <c r="I25" s="56" t="n">
        <f aca="false">IF(H25="","",H25*(C25-B25+1))</f>
        <v>18</v>
      </c>
      <c r="J25" s="10" t="s">
        <v>712</v>
      </c>
      <c r="K25" s="10" t="s">
        <v>233</v>
      </c>
      <c r="L25" s="10" t="s">
        <v>761</v>
      </c>
      <c r="M25" s="57" t="s">
        <v>210</v>
      </c>
    </row>
    <row r="26" customFormat="false" ht="14.25" hidden="false" customHeight="true" outlineLevel="0" collapsed="false">
      <c r="A26" s="10" t="s">
        <v>784</v>
      </c>
      <c r="B26" s="54" t="n">
        <v>1872</v>
      </c>
      <c r="C26" s="54" t="n">
        <v>1872</v>
      </c>
      <c r="D26" s="10" t="s">
        <v>785</v>
      </c>
      <c r="E26" s="10" t="s">
        <v>765</v>
      </c>
      <c r="F26" s="10" t="s">
        <v>777</v>
      </c>
      <c r="G26" s="10" t="s">
        <v>786</v>
      </c>
      <c r="H26" s="55" t="n">
        <v>4</v>
      </c>
      <c r="I26" s="56" t="n">
        <f aca="false">IF(H26="","",H26*(C26-B26+1))</f>
        <v>4</v>
      </c>
      <c r="J26" s="10" t="s">
        <v>712</v>
      </c>
      <c r="K26" s="10" t="s">
        <v>257</v>
      </c>
      <c r="L26" s="10" t="s">
        <v>756</v>
      </c>
      <c r="M26" s="57" t="s">
        <v>787</v>
      </c>
    </row>
    <row r="27" customFormat="false" ht="14.25" hidden="false" customHeight="true" outlineLevel="0" collapsed="false">
      <c r="A27" s="10" t="s">
        <v>788</v>
      </c>
      <c r="B27" s="54" t="n">
        <v>1873</v>
      </c>
      <c r="C27" s="54" t="n">
        <v>1873</v>
      </c>
      <c r="D27" s="10" t="s">
        <v>789</v>
      </c>
      <c r="E27" s="10" t="s">
        <v>721</v>
      </c>
      <c r="F27" s="10"/>
      <c r="G27" s="10" t="s">
        <v>790</v>
      </c>
      <c r="H27" s="55" t="n">
        <v>1.5</v>
      </c>
      <c r="I27" s="56" t="n">
        <f aca="false">IF(H27="","",H27*(C27-B27+1))</f>
        <v>1.5</v>
      </c>
      <c r="J27" s="10" t="s">
        <v>712</v>
      </c>
      <c r="K27" s="10" t="s">
        <v>233</v>
      </c>
      <c r="L27" s="10" t="s">
        <v>791</v>
      </c>
      <c r="M27" s="57" t="s">
        <v>210</v>
      </c>
    </row>
    <row r="28" customFormat="false" ht="14.25" hidden="false" customHeight="true" outlineLevel="0" collapsed="false">
      <c r="A28" s="10" t="s">
        <v>792</v>
      </c>
      <c r="B28" s="54" t="n">
        <v>1874</v>
      </c>
      <c r="C28" s="54" t="n">
        <v>1874</v>
      </c>
      <c r="D28" s="10" t="s">
        <v>793</v>
      </c>
      <c r="E28" s="10" t="s">
        <v>721</v>
      </c>
      <c r="F28" s="10"/>
      <c r="G28" s="10" t="s">
        <v>794</v>
      </c>
      <c r="H28" s="55" t="n">
        <v>1</v>
      </c>
      <c r="I28" s="56" t="n">
        <f aca="false">IF(H28="","",H28*(C28-B28+1))</f>
        <v>1</v>
      </c>
      <c r="J28" s="10" t="s">
        <v>712</v>
      </c>
      <c r="K28" s="10" t="s">
        <v>233</v>
      </c>
      <c r="L28" s="10" t="s">
        <v>795</v>
      </c>
      <c r="M28" s="57" t="s">
        <v>210</v>
      </c>
    </row>
    <row r="29" customFormat="false" ht="14.25" hidden="false" customHeight="true" outlineLevel="0" collapsed="false">
      <c r="A29" s="10" t="s">
        <v>796</v>
      </c>
      <c r="B29" s="54" t="n">
        <v>1874</v>
      </c>
      <c r="C29" s="54" t="n">
        <v>1874</v>
      </c>
      <c r="D29" s="10" t="s">
        <v>797</v>
      </c>
      <c r="E29" s="10" t="s">
        <v>721</v>
      </c>
      <c r="F29" s="10"/>
      <c r="G29" s="10" t="s">
        <v>41</v>
      </c>
      <c r="H29" s="55" t="n">
        <v>0.5</v>
      </c>
      <c r="I29" s="56" t="n">
        <f aca="false">IF(H29="","",H29*(C29-B29+1))</f>
        <v>0.5</v>
      </c>
      <c r="J29" s="10" t="s">
        <v>712</v>
      </c>
      <c r="K29" s="10" t="s">
        <v>257</v>
      </c>
      <c r="L29" s="10" t="s">
        <v>791</v>
      </c>
      <c r="M29" s="57" t="s">
        <v>210</v>
      </c>
    </row>
    <row r="30" customFormat="false" ht="14.25" hidden="false" customHeight="true" outlineLevel="0" collapsed="false">
      <c r="A30" s="10" t="s">
        <v>798</v>
      </c>
      <c r="B30" s="54" t="n">
        <v>1874</v>
      </c>
      <c r="C30" s="54" t="n">
        <v>1875</v>
      </c>
      <c r="D30" s="10" t="s">
        <v>799</v>
      </c>
      <c r="E30" s="10" t="s">
        <v>765</v>
      </c>
      <c r="F30" s="10" t="s">
        <v>800</v>
      </c>
      <c r="G30" s="10" t="s">
        <v>790</v>
      </c>
      <c r="H30" s="55" t="n">
        <v>3</v>
      </c>
      <c r="I30" s="56" t="n">
        <f aca="false">IF(H30="","",H30*(C30-B30+1))</f>
        <v>6</v>
      </c>
      <c r="J30" s="10" t="s">
        <v>712</v>
      </c>
      <c r="K30" s="10" t="s">
        <v>312</v>
      </c>
      <c r="L30" s="10" t="s">
        <v>801</v>
      </c>
      <c r="M30" s="57" t="s">
        <v>802</v>
      </c>
    </row>
    <row r="31" customFormat="false" ht="14.25" hidden="false" customHeight="true" outlineLevel="0" collapsed="false">
      <c r="A31" s="10" t="s">
        <v>803</v>
      </c>
      <c r="B31" s="54" t="n">
        <v>1876</v>
      </c>
      <c r="C31" s="54" t="n">
        <v>1876</v>
      </c>
      <c r="D31" s="10" t="s">
        <v>804</v>
      </c>
      <c r="E31" s="10" t="s">
        <v>748</v>
      </c>
      <c r="F31" s="10"/>
      <c r="G31" s="10" t="s">
        <v>790</v>
      </c>
      <c r="H31" s="55" t="n">
        <v>0</v>
      </c>
      <c r="I31" s="56" t="n">
        <f aca="false">IF(H31="","",H31*(C31-B31+1))</f>
        <v>0</v>
      </c>
      <c r="J31" s="10" t="s">
        <v>750</v>
      </c>
      <c r="K31" s="10" t="s">
        <v>233</v>
      </c>
      <c r="L31" s="10" t="s">
        <v>805</v>
      </c>
      <c r="M31" s="57" t="s">
        <v>806</v>
      </c>
    </row>
    <row r="32" customFormat="false" ht="14.25" hidden="false" customHeight="true" outlineLevel="0" collapsed="false">
      <c r="A32" s="10" t="s">
        <v>807</v>
      </c>
      <c r="B32" s="54" t="n">
        <v>1876</v>
      </c>
      <c r="C32" s="54" t="n">
        <v>1890</v>
      </c>
      <c r="D32" s="10" t="s">
        <v>808</v>
      </c>
      <c r="E32" s="10" t="s">
        <v>717</v>
      </c>
      <c r="F32" s="10"/>
      <c r="G32" s="10"/>
      <c r="H32" s="55" t="n">
        <v>0.3</v>
      </c>
      <c r="I32" s="56" t="n">
        <f aca="false">IF(H32="","",H32*(C32-B32+1))</f>
        <v>4.5</v>
      </c>
      <c r="J32" s="10" t="s">
        <v>712</v>
      </c>
      <c r="K32" s="10" t="s">
        <v>312</v>
      </c>
      <c r="L32" s="10" t="s">
        <v>809</v>
      </c>
      <c r="M32" s="57" t="s">
        <v>810</v>
      </c>
    </row>
    <row r="33" customFormat="false" ht="14.25" hidden="false" customHeight="true" outlineLevel="0" collapsed="false">
      <c r="A33" s="10" t="s">
        <v>811</v>
      </c>
      <c r="B33" s="54" t="n">
        <v>1876</v>
      </c>
      <c r="C33" s="54" t="n">
        <v>1879</v>
      </c>
      <c r="D33" s="10" t="s">
        <v>812</v>
      </c>
      <c r="E33" s="10" t="s">
        <v>813</v>
      </c>
      <c r="F33" s="10"/>
      <c r="G33" s="10" t="s">
        <v>786</v>
      </c>
      <c r="H33" s="55" t="n">
        <v>0.5</v>
      </c>
      <c r="I33" s="56" t="n">
        <f aca="false">IF(H33="","",H33*(C33-B33+1))</f>
        <v>2</v>
      </c>
      <c r="J33" s="10" t="s">
        <v>712</v>
      </c>
      <c r="K33" s="10" t="s">
        <v>257</v>
      </c>
      <c r="L33" s="10" t="s">
        <v>756</v>
      </c>
      <c r="M33" s="57" t="s">
        <v>210</v>
      </c>
    </row>
    <row r="34" customFormat="false" ht="14.25" hidden="false" customHeight="true" outlineLevel="0" collapsed="false">
      <c r="A34" s="10" t="s">
        <v>814</v>
      </c>
      <c r="B34" s="54" t="n">
        <v>1877</v>
      </c>
      <c r="C34" s="54" t="n">
        <v>1914</v>
      </c>
      <c r="D34" s="10" t="s">
        <v>815</v>
      </c>
      <c r="E34" s="10" t="s">
        <v>740</v>
      </c>
      <c r="F34" s="10"/>
      <c r="G34" s="10" t="s">
        <v>174</v>
      </c>
      <c r="H34" s="55" t="n">
        <v>0.5</v>
      </c>
      <c r="I34" s="56" t="n">
        <f aca="false">IF(H34="","",H34*(C34-B34+1))</f>
        <v>19</v>
      </c>
      <c r="J34" s="10" t="s">
        <v>712</v>
      </c>
      <c r="K34" s="10" t="s">
        <v>257</v>
      </c>
      <c r="L34" s="10" t="s">
        <v>816</v>
      </c>
      <c r="M34" s="57" t="s">
        <v>817</v>
      </c>
    </row>
    <row r="35" customFormat="false" ht="14.25" hidden="false" customHeight="true" outlineLevel="0" collapsed="false">
      <c r="A35" s="10" t="s">
        <v>818</v>
      </c>
      <c r="B35" s="54" t="n">
        <v>1877</v>
      </c>
      <c r="C35" s="54" t="n">
        <v>1877</v>
      </c>
      <c r="D35" s="10" t="s">
        <v>819</v>
      </c>
      <c r="E35" s="10" t="s">
        <v>721</v>
      </c>
      <c r="F35" s="10"/>
      <c r="G35" s="10" t="s">
        <v>41</v>
      </c>
      <c r="H35" s="55" t="n">
        <v>0.5</v>
      </c>
      <c r="I35" s="56" t="n">
        <f aca="false">IF(H35="","",H35*(C35-B35+1))</f>
        <v>0.5</v>
      </c>
      <c r="J35" s="10" t="s">
        <v>712</v>
      </c>
      <c r="K35" s="10" t="s">
        <v>257</v>
      </c>
      <c r="L35" s="10" t="s">
        <v>791</v>
      </c>
      <c r="M35" s="57" t="s">
        <v>210</v>
      </c>
    </row>
    <row r="36" customFormat="false" ht="14.25" hidden="false" customHeight="true" outlineLevel="0" collapsed="false">
      <c r="A36" s="10" t="s">
        <v>820</v>
      </c>
      <c r="B36" s="54" t="n">
        <v>1878</v>
      </c>
      <c r="C36" s="54" t="n">
        <v>1878</v>
      </c>
      <c r="D36" s="10" t="s">
        <v>821</v>
      </c>
      <c r="E36" s="10" t="s">
        <v>721</v>
      </c>
      <c r="F36" s="10"/>
      <c r="G36" s="10" t="s">
        <v>755</v>
      </c>
      <c r="H36" s="55" t="n">
        <v>6</v>
      </c>
      <c r="I36" s="56" t="n">
        <f aca="false">IF(H36="","",H36*(C36-B36+1))</f>
        <v>6</v>
      </c>
      <c r="J36" s="10" t="s">
        <v>712</v>
      </c>
      <c r="K36" s="10" t="s">
        <v>233</v>
      </c>
      <c r="L36" s="10" t="s">
        <v>822</v>
      </c>
      <c r="M36" s="57" t="s">
        <v>210</v>
      </c>
    </row>
    <row r="37" customFormat="false" ht="14.25" hidden="false" customHeight="true" outlineLevel="0" collapsed="false">
      <c r="A37" s="10" t="s">
        <v>823</v>
      </c>
      <c r="B37" s="54" t="n">
        <v>1880</v>
      </c>
      <c r="C37" s="54" t="n">
        <v>1880</v>
      </c>
      <c r="D37" s="10" t="s">
        <v>824</v>
      </c>
      <c r="E37" s="10" t="s">
        <v>748</v>
      </c>
      <c r="F37" s="10"/>
      <c r="G37" s="10" t="s">
        <v>825</v>
      </c>
      <c r="H37" s="55" t="n">
        <v>10</v>
      </c>
      <c r="I37" s="56" t="n">
        <f aca="false">IF(H37="","",H37*(C37-B37+1))</f>
        <v>10</v>
      </c>
      <c r="J37" s="10" t="s">
        <v>750</v>
      </c>
      <c r="K37" s="10" t="s">
        <v>233</v>
      </c>
      <c r="L37" s="10" t="s">
        <v>826</v>
      </c>
      <c r="M37" s="57" t="s">
        <v>827</v>
      </c>
    </row>
    <row r="38" customFormat="false" ht="14.25" hidden="false" customHeight="true" outlineLevel="0" collapsed="false">
      <c r="A38" s="10" t="s">
        <v>828</v>
      </c>
      <c r="B38" s="54" t="n">
        <v>1880</v>
      </c>
      <c r="C38" s="54" t="n">
        <v>1887</v>
      </c>
      <c r="D38" s="10" t="s">
        <v>829</v>
      </c>
      <c r="E38" s="10" t="s">
        <v>717</v>
      </c>
      <c r="F38" s="10"/>
      <c r="G38" s="10" t="s">
        <v>830</v>
      </c>
      <c r="H38" s="55" t="n">
        <v>0.2</v>
      </c>
      <c r="I38" s="56" t="n">
        <f aca="false">IF(H38="","",H38*(C38-B38+1))</f>
        <v>1.6</v>
      </c>
      <c r="J38" s="10" t="s">
        <v>712</v>
      </c>
      <c r="K38" s="10" t="s">
        <v>257</v>
      </c>
      <c r="L38" s="10" t="s">
        <v>756</v>
      </c>
      <c r="M38" s="57" t="s">
        <v>210</v>
      </c>
    </row>
    <row r="39" customFormat="false" ht="14.25" hidden="false" customHeight="true" outlineLevel="0" collapsed="false">
      <c r="A39" s="10" t="s">
        <v>831</v>
      </c>
      <c r="B39" s="54" t="n">
        <v>1884</v>
      </c>
      <c r="C39" s="54" t="n">
        <v>1885</v>
      </c>
      <c r="D39" s="10" t="s">
        <v>832</v>
      </c>
      <c r="E39" s="10" t="s">
        <v>721</v>
      </c>
      <c r="F39" s="10"/>
      <c r="G39" s="10" t="s">
        <v>786</v>
      </c>
      <c r="H39" s="55" t="n">
        <v>1</v>
      </c>
      <c r="I39" s="56" t="n">
        <f aca="false">IF(H39="","",H39*(C39-B39+1))</f>
        <v>2</v>
      </c>
      <c r="J39" s="10" t="s">
        <v>712</v>
      </c>
      <c r="K39" s="10" t="s">
        <v>257</v>
      </c>
      <c r="L39" s="10" t="s">
        <v>822</v>
      </c>
      <c r="M39" s="57" t="s">
        <v>210</v>
      </c>
    </row>
    <row r="40" customFormat="false" ht="14.25" hidden="false" customHeight="true" outlineLevel="0" collapsed="false">
      <c r="A40" s="10" t="s">
        <v>833</v>
      </c>
      <c r="B40" s="54" t="n">
        <v>1885</v>
      </c>
      <c r="C40" s="54" t="n">
        <v>1885</v>
      </c>
      <c r="D40" s="10" t="s">
        <v>834</v>
      </c>
      <c r="E40" s="10" t="s">
        <v>765</v>
      </c>
      <c r="F40" s="10" t="s">
        <v>777</v>
      </c>
      <c r="G40" s="10" t="s">
        <v>786</v>
      </c>
      <c r="H40" s="55" t="n">
        <v>0.6</v>
      </c>
      <c r="I40" s="56" t="n">
        <f aca="false">IF(H40="","",H40*(C40-B40+1))</f>
        <v>0.6</v>
      </c>
      <c r="J40" s="10" t="s">
        <v>712</v>
      </c>
      <c r="K40" s="10" t="s">
        <v>257</v>
      </c>
      <c r="L40" s="10" t="s">
        <v>822</v>
      </c>
      <c r="M40" s="57" t="s">
        <v>835</v>
      </c>
    </row>
    <row r="41" customFormat="false" ht="14.25" hidden="false" customHeight="true" outlineLevel="0" collapsed="false">
      <c r="A41" s="10" t="s">
        <v>836</v>
      </c>
      <c r="B41" s="54" t="n">
        <v>1885</v>
      </c>
      <c r="C41" s="54" t="n">
        <v>1900</v>
      </c>
      <c r="D41" s="10" t="s">
        <v>837</v>
      </c>
      <c r="E41" s="10" t="s">
        <v>717</v>
      </c>
      <c r="F41" s="10"/>
      <c r="G41" s="10"/>
      <c r="H41" s="55" t="n">
        <v>0.6</v>
      </c>
      <c r="I41" s="56" t="n">
        <f aca="false">IF(H41="","",H41*(C41-B41+1))</f>
        <v>9.6</v>
      </c>
      <c r="J41" s="10" t="s">
        <v>712</v>
      </c>
      <c r="K41" s="10" t="s">
        <v>312</v>
      </c>
      <c r="L41" s="10" t="s">
        <v>809</v>
      </c>
      <c r="M41" s="57" t="s">
        <v>838</v>
      </c>
    </row>
    <row r="42" customFormat="false" ht="14.25" hidden="false" customHeight="true" outlineLevel="0" collapsed="false">
      <c r="A42" s="10" t="s">
        <v>839</v>
      </c>
      <c r="B42" s="54" t="n">
        <v>1886</v>
      </c>
      <c r="C42" s="54" t="n">
        <v>1900</v>
      </c>
      <c r="D42" s="10" t="s">
        <v>840</v>
      </c>
      <c r="E42" s="10" t="s">
        <v>717</v>
      </c>
      <c r="F42" s="10"/>
      <c r="G42" s="10"/>
      <c r="H42" s="55" t="n">
        <v>0.5</v>
      </c>
      <c r="I42" s="56" t="n">
        <f aca="false">IF(H42="","",H42*(C42-B42+1))</f>
        <v>7.5</v>
      </c>
      <c r="J42" s="10" t="s">
        <v>712</v>
      </c>
      <c r="K42" s="10" t="s">
        <v>257</v>
      </c>
      <c r="L42" s="10" t="s">
        <v>809</v>
      </c>
      <c r="M42" s="57" t="s">
        <v>210</v>
      </c>
    </row>
    <row r="43" customFormat="false" ht="14.25" hidden="false" customHeight="true" outlineLevel="0" collapsed="false">
      <c r="A43" s="10" t="s">
        <v>841</v>
      </c>
      <c r="B43" s="54" t="n">
        <v>1885</v>
      </c>
      <c r="C43" s="54" t="n">
        <v>1887</v>
      </c>
      <c r="D43" s="10" t="s">
        <v>842</v>
      </c>
      <c r="E43" s="10" t="s">
        <v>721</v>
      </c>
      <c r="F43" s="10"/>
      <c r="G43" s="10" t="s">
        <v>54</v>
      </c>
      <c r="H43" s="55" t="n">
        <v>1</v>
      </c>
      <c r="I43" s="56" t="n">
        <f aca="false">IF(H43="","",H43*(C43-B43+1))</f>
        <v>3</v>
      </c>
      <c r="J43" s="10" t="s">
        <v>712</v>
      </c>
      <c r="K43" s="10" t="s">
        <v>257</v>
      </c>
      <c r="L43" s="10" t="s">
        <v>822</v>
      </c>
      <c r="M43" s="57" t="s">
        <v>210</v>
      </c>
    </row>
    <row r="44" customFormat="false" ht="14.25" hidden="false" customHeight="true" outlineLevel="0" collapsed="false">
      <c r="A44" s="10" t="s">
        <v>843</v>
      </c>
      <c r="B44" s="54" t="n">
        <v>1887</v>
      </c>
      <c r="C44" s="54" t="n">
        <v>1889</v>
      </c>
      <c r="D44" s="10" t="s">
        <v>844</v>
      </c>
      <c r="E44" s="10" t="s">
        <v>721</v>
      </c>
      <c r="F44" s="10"/>
      <c r="G44" s="10"/>
      <c r="H44" s="55" t="n">
        <v>0.5</v>
      </c>
      <c r="I44" s="56" t="n">
        <f aca="false">IF(H44="","",H44*(C44-B44+1))</f>
        <v>1.5</v>
      </c>
      <c r="J44" s="10" t="s">
        <v>712</v>
      </c>
      <c r="K44" s="10" t="s">
        <v>233</v>
      </c>
      <c r="L44" s="10" t="s">
        <v>845</v>
      </c>
      <c r="M44" s="57" t="s">
        <v>846</v>
      </c>
    </row>
    <row r="45" customFormat="false" ht="14.25" hidden="false" customHeight="true" outlineLevel="0" collapsed="false">
      <c r="A45" s="10" t="s">
        <v>847</v>
      </c>
      <c r="B45" s="54" t="n">
        <v>1888</v>
      </c>
      <c r="C45" s="54" t="n">
        <v>1932</v>
      </c>
      <c r="D45" s="10" t="s">
        <v>848</v>
      </c>
      <c r="E45" s="10" t="s">
        <v>717</v>
      </c>
      <c r="F45" s="10"/>
      <c r="G45" s="10"/>
      <c r="H45" s="55" t="n">
        <v>0.4</v>
      </c>
      <c r="I45" s="56" t="n">
        <f aca="false">IF(H45="","",H45*(C45-B45+1))</f>
        <v>18</v>
      </c>
      <c r="J45" s="10" t="s">
        <v>712</v>
      </c>
      <c r="K45" s="10" t="s">
        <v>233</v>
      </c>
      <c r="L45" s="10" t="s">
        <v>849</v>
      </c>
      <c r="M45" s="57" t="s">
        <v>850</v>
      </c>
    </row>
    <row r="46" customFormat="false" ht="14.25" hidden="false" customHeight="true" outlineLevel="0" collapsed="false">
      <c r="A46" s="10" t="s">
        <v>851</v>
      </c>
      <c r="B46" s="54" t="n">
        <v>1888</v>
      </c>
      <c r="C46" s="54" t="n">
        <v>1889</v>
      </c>
      <c r="D46" s="10" t="s">
        <v>852</v>
      </c>
      <c r="E46" s="10" t="s">
        <v>765</v>
      </c>
      <c r="F46" s="10" t="s">
        <v>766</v>
      </c>
      <c r="G46" s="10" t="s">
        <v>741</v>
      </c>
      <c r="H46" s="55" t="n">
        <v>3</v>
      </c>
      <c r="I46" s="56" t="n">
        <f aca="false">IF(H46="","",H46*(C46-B46+1))</f>
        <v>6</v>
      </c>
      <c r="J46" s="10" t="s">
        <v>712</v>
      </c>
      <c r="K46" s="10" t="s">
        <v>233</v>
      </c>
      <c r="L46" s="10" t="s">
        <v>849</v>
      </c>
      <c r="M46" s="57" t="s">
        <v>853</v>
      </c>
    </row>
    <row r="47" customFormat="false" ht="14.25" hidden="false" customHeight="true" outlineLevel="0" collapsed="false">
      <c r="A47" s="10" t="s">
        <v>854</v>
      </c>
      <c r="B47" s="54" t="n">
        <v>1889</v>
      </c>
      <c r="C47" s="54" t="n">
        <v>1889</v>
      </c>
      <c r="D47" s="10" t="s">
        <v>855</v>
      </c>
      <c r="E47" s="10" t="s">
        <v>748</v>
      </c>
      <c r="F47" s="10"/>
      <c r="G47" s="10" t="s">
        <v>856</v>
      </c>
      <c r="H47" s="55" t="n">
        <f aca="false">30*canal_share</f>
        <v>30</v>
      </c>
      <c r="I47" s="56" t="n">
        <f aca="false">IF(H47="","",H47*(C47-B47+1))</f>
        <v>30</v>
      </c>
      <c r="J47" s="10" t="s">
        <v>750</v>
      </c>
      <c r="K47" s="10" t="s">
        <v>233</v>
      </c>
      <c r="L47" s="10" t="s">
        <v>857</v>
      </c>
      <c r="M47" s="57" t="s">
        <v>858</v>
      </c>
    </row>
    <row r="48" customFormat="false" ht="14.25" hidden="false" customHeight="true" outlineLevel="0" collapsed="false">
      <c r="A48" s="10" t="s">
        <v>859</v>
      </c>
      <c r="B48" s="54" t="n">
        <v>1890</v>
      </c>
      <c r="C48" s="54" t="n">
        <v>1901</v>
      </c>
      <c r="D48" s="10" t="s">
        <v>860</v>
      </c>
      <c r="E48" s="10" t="s">
        <v>748</v>
      </c>
      <c r="F48" s="10"/>
      <c r="G48" s="10"/>
      <c r="H48" s="55" t="n">
        <f aca="false">225/12*canal_share</f>
        <v>18.75</v>
      </c>
      <c r="I48" s="56" t="n">
        <f aca="false">IF(H48="","",H48*(C48-B48+1))</f>
        <v>225</v>
      </c>
      <c r="J48" s="10" t="s">
        <v>712</v>
      </c>
      <c r="K48" s="10" t="s">
        <v>233</v>
      </c>
      <c r="L48" s="10" t="s">
        <v>849</v>
      </c>
      <c r="M48" s="57" t="s">
        <v>861</v>
      </c>
    </row>
    <row r="49" customFormat="false" ht="14.25" hidden="false" customHeight="true" outlineLevel="0" collapsed="false">
      <c r="A49" s="10" t="s">
        <v>862</v>
      </c>
      <c r="B49" s="54" t="n">
        <v>1890</v>
      </c>
      <c r="C49" s="54" t="n">
        <v>1891</v>
      </c>
      <c r="D49" s="10" t="s">
        <v>863</v>
      </c>
      <c r="E49" s="10" t="s">
        <v>765</v>
      </c>
      <c r="F49" s="10" t="s">
        <v>800</v>
      </c>
      <c r="G49" s="10" t="s">
        <v>54</v>
      </c>
      <c r="H49" s="55" t="n">
        <v>1.5</v>
      </c>
      <c r="I49" s="56" t="n">
        <f aca="false">IF(H49="","",H49*(C49-B49+1))</f>
        <v>3</v>
      </c>
      <c r="J49" s="10" t="s">
        <v>750</v>
      </c>
      <c r="K49" s="10" t="s">
        <v>257</v>
      </c>
      <c r="L49" s="10" t="s">
        <v>849</v>
      </c>
      <c r="M49" s="57" t="s">
        <v>864</v>
      </c>
    </row>
    <row r="50" customFormat="false" ht="14.25" hidden="false" customHeight="true" outlineLevel="0" collapsed="false">
      <c r="A50" s="10" t="s">
        <v>865</v>
      </c>
      <c r="B50" s="54" t="n">
        <v>1890</v>
      </c>
      <c r="C50" s="54" t="n">
        <v>1902</v>
      </c>
      <c r="D50" s="10" t="s">
        <v>866</v>
      </c>
      <c r="E50" s="10" t="s">
        <v>740</v>
      </c>
      <c r="F50" s="10"/>
      <c r="G50" s="10" t="s">
        <v>867</v>
      </c>
      <c r="H50" s="55" t="n">
        <v>0.2</v>
      </c>
      <c r="I50" s="56" t="n">
        <f aca="false">IF(H50="","",H50*(C50-B50+1))</f>
        <v>2.6</v>
      </c>
      <c r="J50" s="10" t="s">
        <v>712</v>
      </c>
      <c r="K50" s="10" t="s">
        <v>257</v>
      </c>
      <c r="L50" s="10" t="s">
        <v>849</v>
      </c>
      <c r="M50" s="57" t="s">
        <v>210</v>
      </c>
    </row>
    <row r="51" customFormat="false" ht="14.25" hidden="false" customHeight="true" outlineLevel="0" collapsed="false">
      <c r="A51" s="10" t="s">
        <v>868</v>
      </c>
      <c r="B51" s="54" t="n">
        <v>1893</v>
      </c>
      <c r="C51" s="54" t="n">
        <v>1895</v>
      </c>
      <c r="D51" s="10" t="s">
        <v>869</v>
      </c>
      <c r="E51" s="10" t="s">
        <v>740</v>
      </c>
      <c r="F51" s="10"/>
      <c r="G51" s="10" t="s">
        <v>741</v>
      </c>
      <c r="H51" s="55" t="n">
        <v>2</v>
      </c>
      <c r="I51" s="56" t="n">
        <f aca="false">IF(H51="","",H51*(C51-B51+1))</f>
        <v>6</v>
      </c>
      <c r="J51" s="10" t="s">
        <v>712</v>
      </c>
      <c r="K51" s="10" t="s">
        <v>233</v>
      </c>
      <c r="L51" s="10" t="s">
        <v>849</v>
      </c>
      <c r="M51" s="57" t="s">
        <v>210</v>
      </c>
    </row>
    <row r="52" customFormat="false" ht="14.25" hidden="false" customHeight="true" outlineLevel="0" collapsed="false">
      <c r="A52" s="10" t="s">
        <v>870</v>
      </c>
      <c r="B52" s="54" t="n">
        <v>1894</v>
      </c>
      <c r="C52" s="54" t="n">
        <v>1894</v>
      </c>
      <c r="D52" s="10" t="s">
        <v>871</v>
      </c>
      <c r="E52" s="10" t="s">
        <v>765</v>
      </c>
      <c r="F52" s="10" t="s">
        <v>777</v>
      </c>
      <c r="G52" s="10" t="s">
        <v>41</v>
      </c>
      <c r="H52" s="55" t="n">
        <v>10</v>
      </c>
      <c r="I52" s="56" t="n">
        <f aca="false">IF(H52="","",H52*(C52-B52+1))</f>
        <v>10</v>
      </c>
      <c r="J52" s="10" t="s">
        <v>712</v>
      </c>
      <c r="K52" s="10" t="s">
        <v>233</v>
      </c>
      <c r="L52" s="10" t="s">
        <v>849</v>
      </c>
      <c r="M52" s="57" t="s">
        <v>210</v>
      </c>
    </row>
    <row r="53" customFormat="false" ht="14.25" hidden="false" customHeight="true" outlineLevel="0" collapsed="false">
      <c r="A53" s="10" t="s">
        <v>872</v>
      </c>
      <c r="B53" s="54" t="n">
        <v>1894</v>
      </c>
      <c r="C53" s="54" t="n">
        <v>1895</v>
      </c>
      <c r="D53" s="10" t="s">
        <v>873</v>
      </c>
      <c r="E53" s="10" t="s">
        <v>721</v>
      </c>
      <c r="F53" s="10"/>
      <c r="G53" s="10"/>
      <c r="H53" s="55" t="n">
        <v>0.4</v>
      </c>
      <c r="I53" s="56" t="n">
        <f aca="false">IF(H53="","",H53*(C53-B53+1))</f>
        <v>0.8</v>
      </c>
      <c r="J53" s="10" t="s">
        <v>712</v>
      </c>
      <c r="K53" s="10" t="s">
        <v>233</v>
      </c>
      <c r="L53" s="10" t="s">
        <v>849</v>
      </c>
      <c r="M53" s="57" t="s">
        <v>210</v>
      </c>
    </row>
    <row r="54" customFormat="false" ht="14.25" hidden="false" customHeight="true" outlineLevel="0" collapsed="false">
      <c r="A54" s="10" t="s">
        <v>874</v>
      </c>
      <c r="B54" s="54" t="n">
        <v>1894</v>
      </c>
      <c r="C54" s="54" t="n">
        <v>1900</v>
      </c>
      <c r="D54" s="10" t="s">
        <v>875</v>
      </c>
      <c r="E54" s="10" t="s">
        <v>876</v>
      </c>
      <c r="F54" s="10"/>
      <c r="G54" s="10"/>
      <c r="H54" s="55" t="n">
        <v>3</v>
      </c>
      <c r="I54" s="56" t="n">
        <f aca="false">IF(H54="","",H54*(C54-B54+1))</f>
        <v>21</v>
      </c>
      <c r="J54" s="10" t="s">
        <v>712</v>
      </c>
      <c r="K54" s="10" t="s">
        <v>257</v>
      </c>
      <c r="L54" s="10" t="s">
        <v>849</v>
      </c>
      <c r="M54" s="57" t="s">
        <v>877</v>
      </c>
    </row>
    <row r="55" customFormat="false" ht="14.25" hidden="false" customHeight="true" outlineLevel="0" collapsed="false">
      <c r="A55" s="10" t="s">
        <v>878</v>
      </c>
      <c r="B55" s="54" t="n">
        <v>1895</v>
      </c>
      <c r="C55" s="54" t="n">
        <v>1895</v>
      </c>
      <c r="D55" s="10" t="s">
        <v>879</v>
      </c>
      <c r="E55" s="10" t="s">
        <v>765</v>
      </c>
      <c r="F55" s="10" t="s">
        <v>766</v>
      </c>
      <c r="G55" s="10" t="s">
        <v>749</v>
      </c>
      <c r="H55" s="55" t="n">
        <v>65</v>
      </c>
      <c r="I55" s="56" t="n">
        <f aca="false">IF(H55="","",H55*(C55-B55+1))</f>
        <v>65</v>
      </c>
      <c r="J55" s="10" t="s">
        <v>750</v>
      </c>
      <c r="K55" s="10" t="s">
        <v>233</v>
      </c>
      <c r="L55" s="10" t="s">
        <v>849</v>
      </c>
      <c r="M55" s="57" t="s">
        <v>880</v>
      </c>
    </row>
    <row r="56" customFormat="false" ht="14.25" hidden="false" customHeight="true" outlineLevel="0" collapsed="false">
      <c r="A56" s="10" t="s">
        <v>881</v>
      </c>
      <c r="B56" s="54" t="n">
        <v>1895</v>
      </c>
      <c r="C56" s="54" t="n">
        <v>1895</v>
      </c>
      <c r="D56" s="10" t="s">
        <v>882</v>
      </c>
      <c r="E56" s="10" t="s">
        <v>765</v>
      </c>
      <c r="F56" s="10" t="s">
        <v>777</v>
      </c>
      <c r="G56" s="10" t="s">
        <v>786</v>
      </c>
      <c r="H56" s="55" t="n">
        <v>15</v>
      </c>
      <c r="I56" s="56" t="n">
        <f aca="false">IF(H56="","",H56*(C56-B56+1))</f>
        <v>15</v>
      </c>
      <c r="J56" s="10" t="s">
        <v>712</v>
      </c>
      <c r="K56" s="10" t="s">
        <v>257</v>
      </c>
      <c r="L56" s="10" t="s">
        <v>849</v>
      </c>
      <c r="M56" s="57" t="s">
        <v>883</v>
      </c>
    </row>
    <row r="57" customFormat="false" ht="14.25" hidden="false" customHeight="true" outlineLevel="0" collapsed="false">
      <c r="A57" s="10" t="s">
        <v>884</v>
      </c>
      <c r="B57" s="54" t="n">
        <v>1895</v>
      </c>
      <c r="C57" s="54" t="n">
        <v>1895</v>
      </c>
      <c r="D57" s="10" t="s">
        <v>885</v>
      </c>
      <c r="E57" s="10" t="s">
        <v>717</v>
      </c>
      <c r="F57" s="10"/>
      <c r="G57" s="10" t="s">
        <v>786</v>
      </c>
      <c r="H57" s="55" t="n">
        <v>0.5</v>
      </c>
      <c r="I57" s="56" t="n">
        <f aca="false">IF(H57="","",H57*(C57-B57+1))</f>
        <v>0.5</v>
      </c>
      <c r="J57" s="10" t="s">
        <v>712</v>
      </c>
      <c r="K57" s="10" t="s">
        <v>233</v>
      </c>
      <c r="L57" s="10" t="s">
        <v>849</v>
      </c>
      <c r="M57" s="57" t="s">
        <v>886</v>
      </c>
    </row>
    <row r="58" customFormat="false" ht="14.25" hidden="false" customHeight="true" outlineLevel="0" collapsed="false">
      <c r="A58" s="10" t="s">
        <v>887</v>
      </c>
      <c r="B58" s="54" t="n">
        <v>1896</v>
      </c>
      <c r="C58" s="54" t="n">
        <v>1897</v>
      </c>
      <c r="D58" s="10" t="s">
        <v>888</v>
      </c>
      <c r="E58" s="10" t="s">
        <v>765</v>
      </c>
      <c r="F58" s="10" t="s">
        <v>777</v>
      </c>
      <c r="G58" s="10" t="s">
        <v>786</v>
      </c>
      <c r="H58" s="55" t="n">
        <v>3</v>
      </c>
      <c r="I58" s="56" t="n">
        <f aca="false">IF(H58="","",H58*(C58-B58+1))</f>
        <v>6</v>
      </c>
      <c r="J58" s="10" t="s">
        <v>712</v>
      </c>
      <c r="K58" s="10" t="s">
        <v>257</v>
      </c>
      <c r="L58" s="10" t="s">
        <v>849</v>
      </c>
      <c r="M58" s="57" t="s">
        <v>889</v>
      </c>
    </row>
    <row r="59" customFormat="false" ht="14.25" hidden="false" customHeight="true" outlineLevel="0" collapsed="false">
      <c r="A59" s="10" t="s">
        <v>890</v>
      </c>
      <c r="B59" s="54" t="n">
        <v>1897</v>
      </c>
      <c r="C59" s="54" t="n">
        <v>1897</v>
      </c>
      <c r="D59" s="10" t="s">
        <v>891</v>
      </c>
      <c r="E59" s="10" t="s">
        <v>765</v>
      </c>
      <c r="F59" s="10" t="s">
        <v>777</v>
      </c>
      <c r="G59" s="10" t="s">
        <v>41</v>
      </c>
      <c r="H59" s="55" t="n">
        <v>20</v>
      </c>
      <c r="I59" s="56" t="n">
        <f aca="false">IF(H59="","",H59*(C59-B59+1))</f>
        <v>20</v>
      </c>
      <c r="J59" s="10" t="s">
        <v>750</v>
      </c>
      <c r="K59" s="10" t="s">
        <v>257</v>
      </c>
      <c r="L59" s="10" t="s">
        <v>849</v>
      </c>
      <c r="M59" s="57" t="s">
        <v>892</v>
      </c>
    </row>
    <row r="60" customFormat="false" ht="14.25" hidden="false" customHeight="true" outlineLevel="0" collapsed="false">
      <c r="A60" s="10" t="s">
        <v>893</v>
      </c>
      <c r="B60" s="54" t="n">
        <v>1898</v>
      </c>
      <c r="C60" s="54" t="n">
        <v>1899</v>
      </c>
      <c r="D60" s="10" t="s">
        <v>894</v>
      </c>
      <c r="E60" s="10" t="s">
        <v>721</v>
      </c>
      <c r="F60" s="10"/>
      <c r="G60" s="10" t="s">
        <v>755</v>
      </c>
      <c r="H60" s="55" t="n">
        <v>6</v>
      </c>
      <c r="I60" s="56" t="n">
        <f aca="false">IF(H60="","",H60*(C60-B60+1))</f>
        <v>12</v>
      </c>
      <c r="J60" s="10" t="s">
        <v>712</v>
      </c>
      <c r="K60" s="10" t="s">
        <v>233</v>
      </c>
      <c r="L60" s="10" t="s">
        <v>849</v>
      </c>
      <c r="M60" s="57" t="s">
        <v>895</v>
      </c>
    </row>
    <row r="61" customFormat="false" ht="14.25" hidden="false" customHeight="true" outlineLevel="0" collapsed="false">
      <c r="A61" s="10" t="s">
        <v>896</v>
      </c>
      <c r="B61" s="54" t="n">
        <v>1898</v>
      </c>
      <c r="C61" s="54" t="n">
        <v>1899</v>
      </c>
      <c r="D61" s="10" t="s">
        <v>897</v>
      </c>
      <c r="E61" s="10" t="s">
        <v>765</v>
      </c>
      <c r="F61" s="10" t="s">
        <v>777</v>
      </c>
      <c r="G61" s="10" t="s">
        <v>41</v>
      </c>
      <c r="H61" s="55" t="n">
        <v>15</v>
      </c>
      <c r="I61" s="56" t="n">
        <f aca="false">IF(H61="","",H61*(C61-B61+1))</f>
        <v>30</v>
      </c>
      <c r="J61" s="10" t="s">
        <v>712</v>
      </c>
      <c r="K61" s="10" t="s">
        <v>233</v>
      </c>
      <c r="L61" s="10" t="s">
        <v>849</v>
      </c>
      <c r="M61" s="57" t="s">
        <v>898</v>
      </c>
    </row>
    <row r="62" customFormat="false" ht="14.25" hidden="false" customHeight="true" outlineLevel="0" collapsed="false">
      <c r="A62" s="10" t="s">
        <v>899</v>
      </c>
      <c r="B62" s="54" t="n">
        <v>1898</v>
      </c>
      <c r="C62" s="54" t="n">
        <v>1899</v>
      </c>
      <c r="D62" s="10" t="s">
        <v>900</v>
      </c>
      <c r="E62" s="10" t="s">
        <v>765</v>
      </c>
      <c r="F62" s="10" t="s">
        <v>766</v>
      </c>
      <c r="G62" s="10" t="s">
        <v>901</v>
      </c>
      <c r="H62" s="55" t="n">
        <v>9</v>
      </c>
      <c r="I62" s="56" t="n">
        <f aca="false">IF(H62="","",H62*(C62-B62+1))</f>
        <v>18</v>
      </c>
      <c r="J62" s="10" t="s">
        <v>712</v>
      </c>
      <c r="K62" s="10" t="s">
        <v>257</v>
      </c>
      <c r="L62" s="10" t="s">
        <v>849</v>
      </c>
      <c r="M62" s="57" t="s">
        <v>902</v>
      </c>
    </row>
    <row r="63" customFormat="false" ht="14.25" hidden="false" customHeight="true" outlineLevel="0" collapsed="false">
      <c r="A63" s="10" t="s">
        <v>903</v>
      </c>
      <c r="B63" s="54" t="n">
        <v>1899</v>
      </c>
      <c r="C63" s="54" t="n">
        <v>1899</v>
      </c>
      <c r="D63" s="10" t="s">
        <v>904</v>
      </c>
      <c r="E63" s="10" t="s">
        <v>748</v>
      </c>
      <c r="F63" s="10"/>
      <c r="G63" s="10" t="s">
        <v>905</v>
      </c>
      <c r="H63" s="55" t="n">
        <v>3</v>
      </c>
      <c r="I63" s="56" t="n">
        <f aca="false">IF(H63="","",H63*(C63-B63+1))</f>
        <v>3</v>
      </c>
      <c r="J63" s="10" t="s">
        <v>712</v>
      </c>
      <c r="K63" s="10" t="s">
        <v>257</v>
      </c>
      <c r="L63" s="10" t="s">
        <v>849</v>
      </c>
      <c r="M63" s="57" t="s">
        <v>886</v>
      </c>
    </row>
    <row r="64" customFormat="false" ht="14.25" hidden="false" customHeight="true" outlineLevel="0" collapsed="false">
      <c r="A64" s="10" t="s">
        <v>906</v>
      </c>
      <c r="B64" s="54" t="n">
        <v>1899</v>
      </c>
      <c r="C64" s="54" t="n">
        <v>1900</v>
      </c>
      <c r="D64" s="10" t="s">
        <v>907</v>
      </c>
      <c r="E64" s="10" t="s">
        <v>813</v>
      </c>
      <c r="F64" s="10"/>
      <c r="G64" s="10" t="s">
        <v>901</v>
      </c>
      <c r="H64" s="55" t="n">
        <v>0.1</v>
      </c>
      <c r="I64" s="56" t="n">
        <f aca="false">IF(H64="","",H64*(C64-B64+1))</f>
        <v>0.2</v>
      </c>
      <c r="J64" s="10" t="s">
        <v>712</v>
      </c>
      <c r="K64" s="10" t="s">
        <v>257</v>
      </c>
      <c r="L64" s="10" t="s">
        <v>849</v>
      </c>
      <c r="M64" s="57" t="s">
        <v>210</v>
      </c>
    </row>
    <row r="65" customFormat="false" ht="14.25" hidden="false" customHeight="true" outlineLevel="0" collapsed="false">
      <c r="A65" s="10" t="s">
        <v>908</v>
      </c>
      <c r="B65" s="54" t="n">
        <v>1898</v>
      </c>
      <c r="C65" s="54" t="n">
        <v>1902</v>
      </c>
      <c r="D65" s="10" t="s">
        <v>909</v>
      </c>
      <c r="E65" s="10" t="s">
        <v>717</v>
      </c>
      <c r="F65" s="10"/>
      <c r="G65" s="10"/>
      <c r="H65" s="55" t="n">
        <v>3</v>
      </c>
      <c r="I65" s="56" t="n">
        <f aca="false">IF(H65="","",H65*(C65-B65+1))</f>
        <v>15</v>
      </c>
      <c r="J65" s="10" t="s">
        <v>712</v>
      </c>
      <c r="K65" s="10" t="s">
        <v>257</v>
      </c>
      <c r="L65" s="10" t="s">
        <v>849</v>
      </c>
      <c r="M65" s="57" t="s">
        <v>910</v>
      </c>
    </row>
    <row r="66" customFormat="false" ht="14.25" hidden="false" customHeight="true" outlineLevel="0" collapsed="false">
      <c r="A66" s="10" t="s">
        <v>911</v>
      </c>
      <c r="B66" s="54" t="n">
        <v>1899</v>
      </c>
      <c r="C66" s="54" t="n">
        <v>1901</v>
      </c>
      <c r="D66" s="10" t="s">
        <v>912</v>
      </c>
      <c r="E66" s="10" t="s">
        <v>717</v>
      </c>
      <c r="F66" s="10"/>
      <c r="G66" s="10" t="s">
        <v>913</v>
      </c>
      <c r="H66" s="55" t="n">
        <v>1</v>
      </c>
      <c r="I66" s="56" t="n">
        <f aca="false">IF(H66="","",H66*(C66-B66+1))</f>
        <v>3</v>
      </c>
      <c r="J66" s="10" t="s">
        <v>712</v>
      </c>
      <c r="K66" s="10" t="s">
        <v>312</v>
      </c>
      <c r="L66" s="10" t="s">
        <v>849</v>
      </c>
      <c r="M66" s="57" t="s">
        <v>914</v>
      </c>
    </row>
    <row r="67" customFormat="false" ht="14.25" hidden="false" customHeight="true" outlineLevel="0" collapsed="false">
      <c r="A67" s="10" t="s">
        <v>915</v>
      </c>
      <c r="B67" s="54" t="n">
        <v>1900</v>
      </c>
      <c r="C67" s="54" t="n">
        <v>1900</v>
      </c>
      <c r="D67" s="10" t="s">
        <v>916</v>
      </c>
      <c r="E67" s="10" t="s">
        <v>721</v>
      </c>
      <c r="F67" s="10"/>
      <c r="G67" s="10" t="s">
        <v>786</v>
      </c>
      <c r="H67" s="55" t="n">
        <v>1</v>
      </c>
      <c r="I67" s="56" t="n">
        <f aca="false">IF(H67="","",H67*(C67-B67+1))</f>
        <v>1</v>
      </c>
      <c r="J67" s="10" t="s">
        <v>712</v>
      </c>
      <c r="K67" s="10" t="s">
        <v>257</v>
      </c>
      <c r="L67" s="10" t="s">
        <v>849</v>
      </c>
      <c r="M67" s="57" t="s">
        <v>917</v>
      </c>
    </row>
    <row r="68" customFormat="false" ht="14.25" hidden="false" customHeight="true" outlineLevel="0" collapsed="false">
      <c r="A68" s="10" t="s">
        <v>918</v>
      </c>
      <c r="B68" s="54" t="n">
        <v>1900</v>
      </c>
      <c r="C68" s="54" t="n">
        <v>1900</v>
      </c>
      <c r="D68" s="10" t="s">
        <v>919</v>
      </c>
      <c r="E68" s="10" t="s">
        <v>920</v>
      </c>
      <c r="F68" s="10"/>
      <c r="G68" s="10"/>
      <c r="H68" s="55" t="n">
        <v>10</v>
      </c>
      <c r="I68" s="56" t="n">
        <f aca="false">IF(H68="","",H68*(C68-B68+1))</f>
        <v>10</v>
      </c>
      <c r="J68" s="10" t="s">
        <v>712</v>
      </c>
      <c r="K68" s="10" t="s">
        <v>210</v>
      </c>
      <c r="L68" s="10" t="s">
        <v>921</v>
      </c>
      <c r="M68" s="57" t="s">
        <v>922</v>
      </c>
    </row>
    <row r="69" customFormat="false" ht="14.25" hidden="false" customHeight="true" outlineLevel="0" collapsed="false">
      <c r="A69" s="10" t="s">
        <v>923</v>
      </c>
      <c r="B69" s="54" t="n">
        <v>1904</v>
      </c>
      <c r="C69" s="54" t="n">
        <v>1905</v>
      </c>
      <c r="D69" s="10" t="s">
        <v>924</v>
      </c>
      <c r="E69" s="10" t="s">
        <v>765</v>
      </c>
      <c r="F69" s="10" t="s">
        <v>777</v>
      </c>
      <c r="G69" s="10" t="s">
        <v>41</v>
      </c>
      <c r="H69" s="55" t="n">
        <v>30</v>
      </c>
      <c r="I69" s="56" t="n">
        <f aca="false">IF(H69="","",H69*(C69-B69+1))</f>
        <v>60</v>
      </c>
      <c r="J69" s="10" t="s">
        <v>712</v>
      </c>
      <c r="K69" s="10" t="s">
        <v>233</v>
      </c>
      <c r="L69" s="10" t="s">
        <v>925</v>
      </c>
      <c r="M69" s="57" t="s">
        <v>926</v>
      </c>
    </row>
    <row r="70" customFormat="false" ht="14.25" hidden="false" customHeight="true" outlineLevel="0" collapsed="false">
      <c r="A70" s="10" t="s">
        <v>927</v>
      </c>
      <c r="B70" s="54" t="n">
        <v>1904</v>
      </c>
      <c r="C70" s="54" t="n">
        <v>1905</v>
      </c>
      <c r="D70" s="10" t="s">
        <v>928</v>
      </c>
      <c r="E70" s="10" t="s">
        <v>721</v>
      </c>
      <c r="F70" s="10"/>
      <c r="G70" s="10"/>
      <c r="H70" s="55" t="n">
        <v>3</v>
      </c>
      <c r="I70" s="56" t="n">
        <f aca="false">IF(H70="","",H70*(C70-B70+1))</f>
        <v>6</v>
      </c>
      <c r="J70" s="10" t="s">
        <v>712</v>
      </c>
      <c r="K70" s="10" t="s">
        <v>210</v>
      </c>
      <c r="L70" s="10" t="s">
        <v>925</v>
      </c>
      <c r="M70" s="57"/>
    </row>
    <row r="71" customFormat="false" ht="14.25" hidden="false" customHeight="true" outlineLevel="0" collapsed="false">
      <c r="A71" s="10" t="s">
        <v>929</v>
      </c>
      <c r="B71" s="54" t="n">
        <v>1911</v>
      </c>
      <c r="C71" s="54" t="n">
        <v>1913</v>
      </c>
      <c r="D71" s="10" t="s">
        <v>930</v>
      </c>
      <c r="E71" s="10" t="s">
        <v>740</v>
      </c>
      <c r="F71" s="10"/>
      <c r="G71" s="10" t="s">
        <v>786</v>
      </c>
      <c r="H71" s="55" t="n">
        <v>2</v>
      </c>
      <c r="I71" s="56" t="n">
        <f aca="false">IF(H71="","",H71*(C71-B71+1))</f>
        <v>6</v>
      </c>
      <c r="J71" s="10" t="s">
        <v>712</v>
      </c>
      <c r="K71" s="10" t="s">
        <v>257</v>
      </c>
      <c r="L71" s="10" t="s">
        <v>931</v>
      </c>
      <c r="M71" s="57" t="s">
        <v>210</v>
      </c>
    </row>
    <row r="72" customFormat="false" ht="14.25" hidden="false" customHeight="true" outlineLevel="0" collapsed="false">
      <c r="A72" s="10" t="s">
        <v>932</v>
      </c>
      <c r="B72" s="54" t="n">
        <v>1914</v>
      </c>
      <c r="C72" s="54" t="n">
        <v>1914</v>
      </c>
      <c r="D72" s="10" t="s">
        <v>933</v>
      </c>
      <c r="E72" s="10" t="s">
        <v>721</v>
      </c>
      <c r="F72" s="10"/>
      <c r="G72" s="10" t="s">
        <v>55</v>
      </c>
      <c r="H72" s="55" t="n">
        <v>25</v>
      </c>
      <c r="I72" s="56" t="n">
        <f aca="false">IF(H72="","",H72*(C72-B72+1))</f>
        <v>25</v>
      </c>
      <c r="J72" s="10" t="s">
        <v>712</v>
      </c>
      <c r="K72" s="10" t="s">
        <v>257</v>
      </c>
      <c r="L72" s="10" t="s">
        <v>934</v>
      </c>
      <c r="M72" s="57" t="s">
        <v>210</v>
      </c>
    </row>
    <row r="73" customFormat="false" ht="14.25" hidden="false" customHeight="true" outlineLevel="0" collapsed="false">
      <c r="A73" s="10" t="s">
        <v>935</v>
      </c>
      <c r="B73" s="54" t="n">
        <v>1915</v>
      </c>
      <c r="C73" s="54" t="n">
        <v>1918</v>
      </c>
      <c r="D73" s="10" t="s">
        <v>936</v>
      </c>
      <c r="E73" s="10" t="s">
        <v>721</v>
      </c>
      <c r="F73" s="10"/>
      <c r="G73" s="10"/>
      <c r="H73" s="55" t="n">
        <v>40</v>
      </c>
      <c r="I73" s="56" t="n">
        <f aca="false">IF(H73="","",H73*(C73-B73+1))</f>
        <v>160</v>
      </c>
      <c r="J73" s="10" t="s">
        <v>712</v>
      </c>
      <c r="K73" s="10" t="s">
        <v>257</v>
      </c>
      <c r="L73" s="10" t="s">
        <v>937</v>
      </c>
      <c r="M73" s="57" t="s">
        <v>938</v>
      </c>
    </row>
    <row r="74" customFormat="false" ht="14.25" hidden="false" customHeight="true" outlineLevel="0" collapsed="false">
      <c r="A74" s="10" t="s">
        <v>939</v>
      </c>
      <c r="B74" s="54" t="n">
        <v>1915</v>
      </c>
      <c r="C74" s="54" t="n">
        <v>1918</v>
      </c>
      <c r="D74" s="10" t="s">
        <v>940</v>
      </c>
      <c r="E74" s="10" t="s">
        <v>813</v>
      </c>
      <c r="F74" s="10"/>
      <c r="G74" s="10" t="s">
        <v>941</v>
      </c>
      <c r="H74" s="55" t="n">
        <v>25</v>
      </c>
      <c r="I74" s="56" t="n">
        <f aca="false">IF(H74="","",H74*(C74-B74+1))</f>
        <v>100</v>
      </c>
      <c r="J74" s="10" t="s">
        <v>712</v>
      </c>
      <c r="K74" s="10" t="s">
        <v>257</v>
      </c>
      <c r="L74" s="10" t="s">
        <v>937</v>
      </c>
      <c r="M74" s="57" t="s">
        <v>942</v>
      </c>
    </row>
    <row r="75" customFormat="false" ht="14.25" hidden="false" customHeight="true" outlineLevel="0" collapsed="false">
      <c r="A75" s="10" t="s">
        <v>943</v>
      </c>
      <c r="B75" s="54" t="n">
        <v>1914</v>
      </c>
      <c r="C75" s="54" t="n">
        <v>1914</v>
      </c>
      <c r="D75" s="10" t="s">
        <v>944</v>
      </c>
      <c r="E75" s="10" t="s">
        <v>765</v>
      </c>
      <c r="F75" s="10" t="s">
        <v>800</v>
      </c>
      <c r="G75" s="10" t="s">
        <v>945</v>
      </c>
      <c r="H75" s="55" t="n">
        <f aca="false">entente_total*entente_public*0.05</f>
        <v>85</v>
      </c>
      <c r="I75" s="56" t="n">
        <f aca="false">IF(H75="","",H75*(C75-B75+1))</f>
        <v>85</v>
      </c>
      <c r="J75" s="10" t="s">
        <v>712</v>
      </c>
      <c r="K75" s="10" t="s">
        <v>257</v>
      </c>
      <c r="L75" s="10" t="s">
        <v>937</v>
      </c>
      <c r="M75" s="57" t="s">
        <v>946</v>
      </c>
    </row>
    <row r="76" customFormat="false" ht="14.25" hidden="false" customHeight="true" outlineLevel="0" collapsed="false">
      <c r="A76" s="10" t="s">
        <v>947</v>
      </c>
      <c r="B76" s="54" t="n">
        <v>1915</v>
      </c>
      <c r="C76" s="54" t="n">
        <v>1915</v>
      </c>
      <c r="D76" s="10" t="s">
        <v>948</v>
      </c>
      <c r="E76" s="10" t="s">
        <v>765</v>
      </c>
      <c r="F76" s="10" t="s">
        <v>800</v>
      </c>
      <c r="G76" s="10" t="s">
        <v>945</v>
      </c>
      <c r="H76" s="55" t="n">
        <f aca="false">entente_total*entente_public*0.1333</f>
        <v>226.61</v>
      </c>
      <c r="I76" s="56" t="n">
        <f aca="false">IF(H76="","",H76*(C76-B76+1))</f>
        <v>226.61</v>
      </c>
      <c r="J76" s="10" t="s">
        <v>712</v>
      </c>
      <c r="K76" s="10" t="s">
        <v>257</v>
      </c>
      <c r="L76" s="10" t="s">
        <v>937</v>
      </c>
      <c r="M76" s="57" t="s">
        <v>946</v>
      </c>
    </row>
    <row r="77" customFormat="false" ht="14.25" hidden="false" customHeight="true" outlineLevel="0" collapsed="false">
      <c r="A77" s="10" t="s">
        <v>949</v>
      </c>
      <c r="B77" s="54" t="n">
        <v>1916</v>
      </c>
      <c r="C77" s="54" t="n">
        <v>1916</v>
      </c>
      <c r="D77" s="10" t="s">
        <v>950</v>
      </c>
      <c r="E77" s="10" t="s">
        <v>765</v>
      </c>
      <c r="F77" s="10" t="s">
        <v>800</v>
      </c>
      <c r="G77" s="10" t="s">
        <v>945</v>
      </c>
      <c r="H77" s="55" t="n">
        <f aca="false">entente_total*entente_public*0.2333</f>
        <v>396.61</v>
      </c>
      <c r="I77" s="56" t="n">
        <f aca="false">IF(H77="","",H77*(C77-B77+1))</f>
        <v>396.61</v>
      </c>
      <c r="J77" s="10" t="s">
        <v>712</v>
      </c>
      <c r="K77" s="10" t="s">
        <v>257</v>
      </c>
      <c r="L77" s="10" t="s">
        <v>937</v>
      </c>
      <c r="M77" s="57" t="s">
        <v>946</v>
      </c>
    </row>
    <row r="78" customFormat="false" ht="14.25" hidden="false" customHeight="true" outlineLevel="0" collapsed="false">
      <c r="A78" s="10" t="s">
        <v>951</v>
      </c>
      <c r="B78" s="54" t="n">
        <v>1917</v>
      </c>
      <c r="C78" s="54" t="n">
        <v>1917</v>
      </c>
      <c r="D78" s="10" t="s">
        <v>952</v>
      </c>
      <c r="E78" s="10" t="s">
        <v>765</v>
      </c>
      <c r="F78" s="10" t="s">
        <v>800</v>
      </c>
      <c r="G78" s="10" t="s">
        <v>945</v>
      </c>
      <c r="H78" s="55" t="n">
        <f aca="false">entente_total*entente_public*0.3</f>
        <v>510</v>
      </c>
      <c r="I78" s="56" t="n">
        <f aca="false">IF(H78="","",H78*(C78-B78+1))</f>
        <v>510</v>
      </c>
      <c r="J78" s="10" t="s">
        <v>712</v>
      </c>
      <c r="K78" s="10" t="s">
        <v>257</v>
      </c>
      <c r="L78" s="10" t="s">
        <v>937</v>
      </c>
      <c r="M78" s="57" t="s">
        <v>946</v>
      </c>
    </row>
    <row r="79" customFormat="false" ht="14.25" hidden="false" customHeight="true" outlineLevel="0" collapsed="false">
      <c r="A79" s="10" t="s">
        <v>953</v>
      </c>
      <c r="B79" s="54" t="n">
        <v>1918</v>
      </c>
      <c r="C79" s="54" t="n">
        <v>1918</v>
      </c>
      <c r="D79" s="10" t="s">
        <v>954</v>
      </c>
      <c r="E79" s="10" t="s">
        <v>765</v>
      </c>
      <c r="F79" s="10" t="s">
        <v>800</v>
      </c>
      <c r="G79" s="10" t="s">
        <v>945</v>
      </c>
      <c r="H79" s="55" t="n">
        <f aca="false">entente_total*entente_public*0.2834</f>
        <v>481.78</v>
      </c>
      <c r="I79" s="56" t="n">
        <f aca="false">IF(H79="","",H79*(C79-B79+1))</f>
        <v>481.78</v>
      </c>
      <c r="J79" s="10" t="s">
        <v>712</v>
      </c>
      <c r="K79" s="10" t="s">
        <v>257</v>
      </c>
      <c r="L79" s="10" t="s">
        <v>937</v>
      </c>
      <c r="M79" s="57" t="s">
        <v>946</v>
      </c>
    </row>
    <row r="80" customFormat="false" ht="14.25" hidden="false" customHeight="true" outlineLevel="0" collapsed="false">
      <c r="A80" s="10" t="s">
        <v>955</v>
      </c>
      <c r="B80" s="54" t="n">
        <v>1918</v>
      </c>
      <c r="C80" s="54" t="n">
        <v>1919</v>
      </c>
      <c r="D80" s="10" t="s">
        <v>956</v>
      </c>
      <c r="E80" s="10" t="s">
        <v>813</v>
      </c>
      <c r="F80" s="10"/>
      <c r="G80" s="10" t="s">
        <v>55</v>
      </c>
      <c r="H80" s="55" t="n">
        <v>60</v>
      </c>
      <c r="I80" s="56" t="n">
        <f aca="false">IF(H80="","",H80*(C80-B80+1))</f>
        <v>120</v>
      </c>
      <c r="J80" s="10" t="s">
        <v>712</v>
      </c>
      <c r="K80" s="10" t="s">
        <v>257</v>
      </c>
      <c r="L80" s="10" t="s">
        <v>937</v>
      </c>
      <c r="M80" s="57" t="s">
        <v>210</v>
      </c>
    </row>
    <row r="81" customFormat="false" ht="14.25" hidden="false" customHeight="true" outlineLevel="0" collapsed="false">
      <c r="A81" s="10" t="s">
        <v>957</v>
      </c>
      <c r="B81" s="54" t="n">
        <v>1918</v>
      </c>
      <c r="C81" s="54" t="n">
        <v>1918</v>
      </c>
      <c r="D81" s="10" t="s">
        <v>958</v>
      </c>
      <c r="E81" s="10" t="s">
        <v>721</v>
      </c>
      <c r="F81" s="10"/>
      <c r="G81" s="10" t="s">
        <v>959</v>
      </c>
      <c r="H81" s="55" t="n">
        <f aca="false">Siberia!B38</f>
        <v>171.194261061469</v>
      </c>
      <c r="I81" s="56" t="n">
        <f aca="false">IF(H81="","",H81*(C81-B81+1))</f>
        <v>171.194261061469</v>
      </c>
      <c r="J81" s="10" t="s">
        <v>712</v>
      </c>
      <c r="K81" s="10" t="s">
        <v>233</v>
      </c>
      <c r="L81" s="10" t="s">
        <v>960</v>
      </c>
      <c r="M81" s="57" t="s">
        <v>961</v>
      </c>
    </row>
    <row r="82" customFormat="false" ht="14.25" hidden="false" customHeight="true" outlineLevel="0" collapsed="false">
      <c r="A82" s="10" t="s">
        <v>962</v>
      </c>
      <c r="B82" s="54" t="n">
        <v>1918</v>
      </c>
      <c r="C82" s="54" t="n">
        <v>1922</v>
      </c>
      <c r="D82" s="10" t="s">
        <v>963</v>
      </c>
      <c r="E82" s="10" t="s">
        <v>765</v>
      </c>
      <c r="F82" s="10" t="s">
        <v>777</v>
      </c>
      <c r="G82" s="10" t="s">
        <v>964</v>
      </c>
      <c r="H82" s="55" t="n">
        <v>17</v>
      </c>
      <c r="I82" s="56" t="n">
        <f aca="false">IF(H82="","",H82*(C82-B82+1))</f>
        <v>85</v>
      </c>
      <c r="J82" s="10" t="s">
        <v>712</v>
      </c>
      <c r="K82" s="10" t="s">
        <v>257</v>
      </c>
      <c r="L82" s="10" t="s">
        <v>960</v>
      </c>
      <c r="M82" s="57" t="s">
        <v>965</v>
      </c>
    </row>
    <row r="83" customFormat="false" ht="14.25" hidden="false" customHeight="true" outlineLevel="0" collapsed="false">
      <c r="A83" s="10" t="s">
        <v>966</v>
      </c>
      <c r="B83" s="54" t="n">
        <v>1919</v>
      </c>
      <c r="C83" s="54" t="n">
        <v>1919</v>
      </c>
      <c r="D83" s="10" t="s">
        <v>967</v>
      </c>
      <c r="E83" s="10" t="s">
        <v>717</v>
      </c>
      <c r="F83" s="10"/>
      <c r="G83" s="10"/>
      <c r="H83" s="55" t="n">
        <v>1</v>
      </c>
      <c r="I83" s="56" t="n">
        <f aca="false">IF(H83="","",H83*(C83-B83+1))</f>
        <v>1</v>
      </c>
      <c r="J83" s="10" t="s">
        <v>712</v>
      </c>
      <c r="K83" s="10" t="s">
        <v>257</v>
      </c>
      <c r="L83" s="10" t="s">
        <v>937</v>
      </c>
      <c r="M83" s="57" t="s">
        <v>210</v>
      </c>
    </row>
    <row r="84" customFormat="false" ht="14.25" hidden="false" customHeight="true" outlineLevel="0" collapsed="false">
      <c r="A84" s="10" t="s">
        <v>968</v>
      </c>
      <c r="B84" s="54" t="n">
        <v>1922</v>
      </c>
      <c r="C84" s="54" t="n">
        <v>1932</v>
      </c>
      <c r="D84" s="10" t="s">
        <v>969</v>
      </c>
      <c r="E84" s="10" t="s">
        <v>970</v>
      </c>
      <c r="F84" s="10"/>
      <c r="G84" s="10" t="s">
        <v>959</v>
      </c>
      <c r="H84" s="55" t="n">
        <v>3</v>
      </c>
      <c r="I84" s="56" t="n">
        <f aca="false">IF(H84="","",H84*(C84-B84+1))</f>
        <v>33</v>
      </c>
      <c r="J84" s="10" t="s">
        <v>712</v>
      </c>
      <c r="K84" s="10" t="s">
        <v>257</v>
      </c>
      <c r="L84" s="10" t="s">
        <v>971</v>
      </c>
      <c r="M84" s="57" t="s">
        <v>210</v>
      </c>
    </row>
    <row r="85" customFormat="false" ht="14.25" hidden="false" customHeight="true" outlineLevel="0" collapsed="false">
      <c r="A85" s="10" t="s">
        <v>972</v>
      </c>
      <c r="B85" s="54" t="n">
        <v>1849</v>
      </c>
      <c r="C85" s="54" t="n">
        <v>1932</v>
      </c>
      <c r="D85" s="10" t="s">
        <v>973</v>
      </c>
      <c r="E85" s="10" t="s">
        <v>970</v>
      </c>
      <c r="F85" s="10"/>
      <c r="G85" s="10"/>
      <c r="H85" s="55" t="n">
        <v>1</v>
      </c>
      <c r="I85" s="56" t="n">
        <f aca="false">IF(H85="","",H85*(C85-B85+1))</f>
        <v>84</v>
      </c>
      <c r="J85" s="10" t="s">
        <v>712</v>
      </c>
      <c r="K85" s="10" t="s">
        <v>233</v>
      </c>
      <c r="L85" s="10" t="s">
        <v>718</v>
      </c>
      <c r="M85" s="57" t="s">
        <v>974</v>
      </c>
    </row>
    <row r="86" customFormat="false" ht="14.25" hidden="false" customHeight="true" outlineLevel="0" collapsed="false">
      <c r="A86" s="10" t="s">
        <v>975</v>
      </c>
      <c r="B86" s="54" t="n">
        <v>1885</v>
      </c>
      <c r="C86" s="54" t="n">
        <v>1928</v>
      </c>
      <c r="D86" s="10" t="s">
        <v>976</v>
      </c>
      <c r="E86" s="10" t="s">
        <v>970</v>
      </c>
      <c r="F86" s="10"/>
      <c r="G86" s="10" t="s">
        <v>786</v>
      </c>
      <c r="H86" s="55" t="n">
        <v>0.05</v>
      </c>
      <c r="I86" s="56" t="n">
        <f aca="false">IF(H86="","",H86*(C86-B86+1))</f>
        <v>2.2</v>
      </c>
      <c r="J86" s="10" t="s">
        <v>712</v>
      </c>
      <c r="K86" s="10" t="s">
        <v>233</v>
      </c>
      <c r="L86" s="10" t="s">
        <v>822</v>
      </c>
      <c r="M86" s="57" t="s">
        <v>886</v>
      </c>
    </row>
    <row r="87" customFormat="false" ht="14.25" hidden="false" customHeight="true" outlineLevel="0" collapsed="false">
      <c r="A87" s="10" t="s">
        <v>977</v>
      </c>
      <c r="B87" s="54" t="n">
        <v>1923</v>
      </c>
      <c r="C87" s="54" t="n">
        <v>1923</v>
      </c>
      <c r="D87" s="10" t="s">
        <v>978</v>
      </c>
      <c r="E87" s="10" t="s">
        <v>721</v>
      </c>
      <c r="F87" s="10"/>
      <c r="G87" s="10" t="s">
        <v>959</v>
      </c>
      <c r="H87" s="55" t="n">
        <f aca="false">Siberia!B43</f>
        <v>10.2407116440635</v>
      </c>
      <c r="I87" s="56" t="n">
        <f aca="false">IF(H87="","",H87*(C87-B87+1))</f>
        <v>10.2407116440635</v>
      </c>
      <c r="J87" s="10" t="s">
        <v>712</v>
      </c>
      <c r="K87" s="10" t="s">
        <v>257</v>
      </c>
      <c r="L87" s="10" t="s">
        <v>971</v>
      </c>
      <c r="M87" s="57" t="s">
        <v>979</v>
      </c>
    </row>
    <row r="88" customFormat="false" ht="14.25" hidden="false" customHeight="true" outlineLevel="0" collapsed="false">
      <c r="A88" s="10" t="s">
        <v>980</v>
      </c>
      <c r="B88" s="54" t="n">
        <v>1923</v>
      </c>
      <c r="C88" s="54" t="n">
        <v>1923</v>
      </c>
      <c r="D88" s="10" t="s">
        <v>981</v>
      </c>
      <c r="E88" s="10" t="s">
        <v>765</v>
      </c>
      <c r="F88" s="10" t="s">
        <v>777</v>
      </c>
      <c r="G88" s="10" t="s">
        <v>41</v>
      </c>
      <c r="H88" s="55" t="n">
        <v>50</v>
      </c>
      <c r="I88" s="56" t="n">
        <f aca="false">IF(H88="","",H88*(C88-B88+1))</f>
        <v>50</v>
      </c>
      <c r="J88" s="10" t="s">
        <v>712</v>
      </c>
      <c r="K88" s="10" t="s">
        <v>233</v>
      </c>
      <c r="L88" s="10" t="s">
        <v>982</v>
      </c>
      <c r="M88" s="57" t="s">
        <v>983</v>
      </c>
    </row>
    <row r="89" customFormat="false" ht="14.25" hidden="false" customHeight="true" outlineLevel="0" collapsed="false">
      <c r="A89" s="10" t="s">
        <v>984</v>
      </c>
      <c r="B89" s="54" t="n">
        <v>1924</v>
      </c>
      <c r="C89" s="54" t="n">
        <v>1928</v>
      </c>
      <c r="D89" s="10" t="s">
        <v>985</v>
      </c>
      <c r="E89" s="10" t="s">
        <v>740</v>
      </c>
      <c r="F89" s="10"/>
      <c r="G89" s="10" t="s">
        <v>786</v>
      </c>
      <c r="H89" s="55" t="n">
        <v>2</v>
      </c>
      <c r="I89" s="56" t="n">
        <f aca="false">IF(H89="","",H89*(C89-B89+1))</f>
        <v>10</v>
      </c>
      <c r="J89" s="10" t="s">
        <v>712</v>
      </c>
      <c r="K89" s="10" t="s">
        <v>257</v>
      </c>
      <c r="L89" s="10" t="s">
        <v>982</v>
      </c>
      <c r="M89" s="57" t="s">
        <v>210</v>
      </c>
    </row>
    <row r="90" customFormat="false" ht="14.25" hidden="false" customHeight="true" outlineLevel="0" collapsed="false">
      <c r="A90" s="10" t="s">
        <v>986</v>
      </c>
      <c r="B90" s="54" t="n">
        <v>1927</v>
      </c>
      <c r="C90" s="54" t="n">
        <v>1927</v>
      </c>
      <c r="D90" s="10" t="s">
        <v>987</v>
      </c>
      <c r="E90" s="10" t="s">
        <v>988</v>
      </c>
      <c r="F90" s="10" t="s">
        <v>777</v>
      </c>
      <c r="G90" s="10" t="s">
        <v>41</v>
      </c>
      <c r="H90" s="55" t="n">
        <f aca="false">'Japan rescue'!E46*'Japan rescue'!E47</f>
        <v>200</v>
      </c>
      <c r="I90" s="56" t="n">
        <f aca="false">IF(H90="","",H90*(C90-B90+1))</f>
        <v>200</v>
      </c>
      <c r="J90" s="10" t="s">
        <v>712</v>
      </c>
      <c r="K90" s="10" t="s">
        <v>233</v>
      </c>
      <c r="L90" s="10" t="s">
        <v>982</v>
      </c>
      <c r="M90" s="57" t="s">
        <v>989</v>
      </c>
    </row>
    <row r="91" customFormat="false" ht="14.25" hidden="false" customHeight="true" outlineLevel="0" collapsed="false">
      <c r="A91" s="10" t="s">
        <v>990</v>
      </c>
      <c r="B91" s="54" t="n">
        <v>1927</v>
      </c>
      <c r="C91" s="54" t="n">
        <v>1932</v>
      </c>
      <c r="D91" s="10" t="s">
        <v>991</v>
      </c>
      <c r="E91" s="10" t="s">
        <v>717</v>
      </c>
      <c r="F91" s="10"/>
      <c r="G91" s="10" t="s">
        <v>41</v>
      </c>
      <c r="H91" s="55" t="n">
        <f aca="false">10*pac_quota</f>
        <v>6.5</v>
      </c>
      <c r="I91" s="56" t="n">
        <f aca="false">IF(H91="","",H91*(C91-B91+1))</f>
        <v>39</v>
      </c>
      <c r="J91" s="10" t="s">
        <v>712</v>
      </c>
      <c r="K91" s="10" t="s">
        <v>257</v>
      </c>
      <c r="L91" s="10" t="s">
        <v>982</v>
      </c>
      <c r="M91" s="57" t="s">
        <v>992</v>
      </c>
    </row>
    <row r="92" customFormat="false" ht="14.25" hidden="false" customHeight="true" outlineLevel="0" collapsed="false">
      <c r="A92" s="10" t="s">
        <v>993</v>
      </c>
      <c r="B92" s="54" t="n">
        <v>1929</v>
      </c>
      <c r="C92" s="54" t="n">
        <v>1929</v>
      </c>
      <c r="D92" s="10" t="s">
        <v>994</v>
      </c>
      <c r="E92" s="10" t="s">
        <v>721</v>
      </c>
      <c r="F92" s="10"/>
      <c r="G92" s="10" t="s">
        <v>995</v>
      </c>
      <c r="H92" s="55" t="n">
        <v>10</v>
      </c>
      <c r="I92" s="56" t="n">
        <f aca="false">IF(H92="","",H92*(C92-B92+1))</f>
        <v>10</v>
      </c>
      <c r="J92" s="10" t="s">
        <v>712</v>
      </c>
      <c r="K92" s="10" t="s">
        <v>257</v>
      </c>
      <c r="L92" s="10" t="s">
        <v>982</v>
      </c>
      <c r="M92" s="57" t="s">
        <v>210</v>
      </c>
    </row>
    <row r="93" customFormat="false" ht="14.25" hidden="false" customHeight="true" outlineLevel="0" collapsed="false">
      <c r="A93" s="10" t="s">
        <v>996</v>
      </c>
      <c r="B93" s="54" t="n">
        <v>1931</v>
      </c>
      <c r="C93" s="54" t="n">
        <v>1931</v>
      </c>
      <c r="D93" s="10" t="s">
        <v>997</v>
      </c>
      <c r="E93" s="10" t="s">
        <v>721</v>
      </c>
      <c r="F93" s="10"/>
      <c r="G93" s="10" t="s">
        <v>41</v>
      </c>
      <c r="H93" s="55" t="n">
        <v>5</v>
      </c>
      <c r="I93" s="56" t="n">
        <f aca="false">IF(H93="","",H93*(C93-B93+1))</f>
        <v>5</v>
      </c>
      <c r="J93" s="10" t="s">
        <v>712</v>
      </c>
      <c r="K93" s="10" t="s">
        <v>233</v>
      </c>
      <c r="L93" s="10" t="s">
        <v>998</v>
      </c>
      <c r="M93" s="57" t="s">
        <v>210</v>
      </c>
    </row>
    <row r="94" customFormat="false" ht="14.25" hidden="false" customHeight="true" outlineLevel="0" collapsed="false">
      <c r="A94" s="10" t="s">
        <v>999</v>
      </c>
      <c r="B94" s="54" t="n">
        <v>1931</v>
      </c>
      <c r="C94" s="54" t="n">
        <v>1931</v>
      </c>
      <c r="D94" s="10" t="s">
        <v>1000</v>
      </c>
      <c r="E94" s="10" t="s">
        <v>765</v>
      </c>
      <c r="F94" s="10" t="s">
        <v>1001</v>
      </c>
      <c r="G94" s="10" t="s">
        <v>749</v>
      </c>
      <c r="H94" s="55" t="n">
        <f aca="false">union_rescue*0.6</f>
        <v>240</v>
      </c>
      <c r="I94" s="56" t="n">
        <f aca="false">IF(H94="","",H94*(C94-B94+1))</f>
        <v>240</v>
      </c>
      <c r="J94" s="10" t="s">
        <v>750</v>
      </c>
      <c r="K94" s="10" t="s">
        <v>233</v>
      </c>
      <c r="L94" s="10" t="s">
        <v>921</v>
      </c>
      <c r="M94" s="57" t="s">
        <v>1002</v>
      </c>
    </row>
    <row r="95" customFormat="false" ht="14.25" hidden="false" customHeight="true" outlineLevel="0" collapsed="false">
      <c r="A95" s="10" t="s">
        <v>1003</v>
      </c>
      <c r="B95" s="54" t="n">
        <v>1932</v>
      </c>
      <c r="C95" s="54" t="n">
        <v>1932</v>
      </c>
      <c r="D95" s="10" t="s">
        <v>1004</v>
      </c>
      <c r="E95" s="10" t="s">
        <v>765</v>
      </c>
      <c r="F95" s="10" t="s">
        <v>1001</v>
      </c>
      <c r="G95" s="10" t="s">
        <v>749</v>
      </c>
      <c r="H95" s="55" t="n">
        <f aca="false">union_rescue*0.4</f>
        <v>160</v>
      </c>
      <c r="I95" s="56" t="n">
        <f aca="false">IF(H95="","",H95*(C95-B95+1))</f>
        <v>160</v>
      </c>
      <c r="J95" s="10" t="s">
        <v>750</v>
      </c>
      <c r="K95" s="10" t="s">
        <v>233</v>
      </c>
      <c r="L95" s="10" t="s">
        <v>921</v>
      </c>
      <c r="M95" s="57" t="s">
        <v>1002</v>
      </c>
    </row>
    <row r="96" customFormat="false" ht="14.25" hidden="false" customHeight="true" outlineLevel="0" collapsed="false">
      <c r="A96" s="10" t="s">
        <v>1005</v>
      </c>
      <c r="B96" s="54" t="n">
        <v>1931</v>
      </c>
      <c r="C96" s="54" t="n">
        <v>1932</v>
      </c>
      <c r="D96" s="10" t="s">
        <v>1006</v>
      </c>
      <c r="E96" s="10" t="s">
        <v>920</v>
      </c>
      <c r="F96" s="10"/>
      <c r="G96" s="10"/>
      <c r="H96" s="55" t="n">
        <f aca="false">bank_recap/2</f>
        <v>75</v>
      </c>
      <c r="I96" s="56" t="n">
        <f aca="false">IF(H96="","",H96*(C96-B96+1))</f>
        <v>150</v>
      </c>
      <c r="J96" s="10" t="s">
        <v>712</v>
      </c>
      <c r="K96" s="10" t="s">
        <v>257</v>
      </c>
      <c r="L96" s="10" t="s">
        <v>921</v>
      </c>
      <c r="M96" s="57" t="s">
        <v>210</v>
      </c>
    </row>
    <row r="97" customFormat="false" ht="14.25" hidden="false" customHeight="true" outlineLevel="0" collapsed="false">
      <c r="A97" s="10" t="s">
        <v>1007</v>
      </c>
      <c r="B97" s="54" t="n">
        <v>1932</v>
      </c>
      <c r="C97" s="54" t="n">
        <v>1932</v>
      </c>
      <c r="D97" s="10" t="s">
        <v>1008</v>
      </c>
      <c r="E97" s="10" t="s">
        <v>717</v>
      </c>
      <c r="F97" s="10"/>
      <c r="G97" s="10"/>
      <c r="H97" s="55" t="n">
        <v>1</v>
      </c>
      <c r="I97" s="56" t="n">
        <f aca="false">IF(H97="","",H97*(C97-B97+1))</f>
        <v>1</v>
      </c>
      <c r="J97" s="10" t="s">
        <v>712</v>
      </c>
      <c r="K97" s="10" t="s">
        <v>257</v>
      </c>
      <c r="L97" s="10" t="s">
        <v>1009</v>
      </c>
      <c r="M97" s="57" t="s">
        <v>210</v>
      </c>
    </row>
    <row r="98" customFormat="false" ht="14.25" hidden="false" customHeight="true" outlineLevel="0" collapsed="false">
      <c r="A98" s="10" t="s">
        <v>1010</v>
      </c>
      <c r="B98" s="54" t="n">
        <v>1919</v>
      </c>
      <c r="C98" s="54" t="n">
        <v>1923</v>
      </c>
      <c r="D98" s="10" t="s">
        <v>1011</v>
      </c>
      <c r="E98" s="10" t="s">
        <v>717</v>
      </c>
      <c r="F98" s="10"/>
      <c r="G98" s="10"/>
      <c r="H98" s="55" t="n">
        <v>1.8</v>
      </c>
      <c r="I98" s="56" t="n">
        <f aca="false">IF(H98="","",H98*(C98-B98+1))</f>
        <v>9</v>
      </c>
      <c r="J98" s="10" t="s">
        <v>712</v>
      </c>
      <c r="K98" s="10" t="s">
        <v>312</v>
      </c>
      <c r="L98" s="10" t="s">
        <v>1012</v>
      </c>
      <c r="M98" s="57" t="s">
        <v>1013</v>
      </c>
    </row>
    <row r="99" customFormat="false" ht="14.25" hidden="false" customHeight="true" outlineLevel="0" collapsed="false">
      <c r="A99" s="10" t="s">
        <v>1014</v>
      </c>
      <c r="B99" s="54" t="n">
        <v>1876</v>
      </c>
      <c r="C99" s="54" t="n">
        <v>1882</v>
      </c>
      <c r="D99" s="10" t="s">
        <v>1015</v>
      </c>
      <c r="E99" s="10" t="s">
        <v>876</v>
      </c>
      <c r="F99" s="10"/>
      <c r="G99" s="10"/>
      <c r="H99" s="55" t="n">
        <v>1</v>
      </c>
      <c r="I99" s="56" t="n">
        <f aca="false">IF(H99="","",H99*(C99-B99+1))</f>
        <v>7</v>
      </c>
      <c r="J99" s="10" t="s">
        <v>712</v>
      </c>
      <c r="K99" s="10" t="s">
        <v>257</v>
      </c>
      <c r="L99" s="10" t="s">
        <v>1016</v>
      </c>
      <c r="M99" s="57" t="s">
        <v>1017</v>
      </c>
    </row>
    <row r="100" customFormat="false" ht="14.25" hidden="false" customHeight="true" outlineLevel="0" collapsed="false">
      <c r="A100" s="10" t="s">
        <v>1018</v>
      </c>
      <c r="B100" s="54" t="n">
        <v>1923</v>
      </c>
      <c r="C100" s="54" t="n">
        <v>1932</v>
      </c>
      <c r="D100" s="10" t="s">
        <v>1019</v>
      </c>
      <c r="E100" s="10" t="s">
        <v>717</v>
      </c>
      <c r="F100" s="10"/>
      <c r="G100" s="10"/>
      <c r="H100" s="55" t="n">
        <v>1</v>
      </c>
      <c r="I100" s="56" t="n">
        <f aca="false">IF(H100="","",H100*(C100-B100+1))</f>
        <v>10</v>
      </c>
      <c r="J100" s="10" t="s">
        <v>712</v>
      </c>
      <c r="K100" s="10" t="s">
        <v>257</v>
      </c>
      <c r="L100" s="10" t="s">
        <v>1012</v>
      </c>
      <c r="M100" s="57" t="s">
        <v>210</v>
      </c>
    </row>
    <row r="101" customFormat="false" ht="14.25" hidden="false" customHeight="true" outlineLevel="0" collapsed="false">
      <c r="A101" s="10" t="s">
        <v>1020</v>
      </c>
      <c r="B101" s="54" t="n">
        <v>1928</v>
      </c>
      <c r="C101" s="54" t="n">
        <v>1932</v>
      </c>
      <c r="D101" s="10" t="s">
        <v>1021</v>
      </c>
      <c r="E101" s="10" t="s">
        <v>717</v>
      </c>
      <c r="F101" s="10"/>
      <c r="G101" s="10"/>
      <c r="H101" s="55" t="n">
        <v>20</v>
      </c>
      <c r="I101" s="56" t="n">
        <f aca="false">IF(H101="","",H101*(C101-B101+1))</f>
        <v>100</v>
      </c>
      <c r="J101" s="10" t="s">
        <v>712</v>
      </c>
      <c r="K101" s="10" t="s">
        <v>257</v>
      </c>
      <c r="L101" s="10" t="s">
        <v>1012</v>
      </c>
      <c r="M101" s="57" t="s">
        <v>1022</v>
      </c>
    </row>
    <row r="102" customFormat="false" ht="14.25" hidden="false" customHeight="true" outlineLevel="0" collapsed="false">
      <c r="A102" s="10" t="s">
        <v>1023</v>
      </c>
      <c r="B102" s="54" t="n">
        <v>1928</v>
      </c>
      <c r="C102" s="54" t="n">
        <v>1932</v>
      </c>
      <c r="D102" s="10" t="s">
        <v>1024</v>
      </c>
      <c r="E102" s="10" t="s">
        <v>970</v>
      </c>
      <c r="F102" s="10"/>
      <c r="G102" s="10"/>
      <c r="H102" s="55" t="n">
        <v>7</v>
      </c>
      <c r="I102" s="56" t="n">
        <f aca="false">IF(H102="","",H102*(C102-B102+1))</f>
        <v>35</v>
      </c>
      <c r="J102" s="10" t="s">
        <v>712</v>
      </c>
      <c r="K102" s="10" t="s">
        <v>257</v>
      </c>
      <c r="L102" s="10" t="s">
        <v>1025</v>
      </c>
      <c r="M102" s="57" t="s">
        <v>1026</v>
      </c>
    </row>
    <row r="103" customFormat="false" ht="14.25" hidden="false" customHeight="true" outlineLevel="0" collapsed="false">
      <c r="A103" s="10" t="s">
        <v>1027</v>
      </c>
      <c r="B103" s="54" t="n">
        <v>1932</v>
      </c>
      <c r="C103" s="54" t="n">
        <v>1932</v>
      </c>
      <c r="D103" s="10" t="s">
        <v>1028</v>
      </c>
      <c r="E103" s="10" t="s">
        <v>717</v>
      </c>
      <c r="F103" s="10"/>
      <c r="G103" s="10"/>
      <c r="H103" s="55" t="n">
        <v>3</v>
      </c>
      <c r="I103" s="56" t="n">
        <f aca="false">IF(H103="","",H103*(C103-B103+1))</f>
        <v>3</v>
      </c>
      <c r="J103" s="10" t="s">
        <v>712</v>
      </c>
      <c r="K103" s="10" t="s">
        <v>257</v>
      </c>
      <c r="L103" s="10" t="s">
        <v>1012</v>
      </c>
      <c r="M103" s="57" t="s">
        <v>210</v>
      </c>
    </row>
    <row r="104" customFormat="false" ht="14.25" hidden="false" customHeight="true" outlineLevel="0" collapsed="false">
      <c r="A104" s="10" t="s">
        <v>1029</v>
      </c>
      <c r="B104" s="54" t="n">
        <v>1931</v>
      </c>
      <c r="C104" s="54" t="n">
        <v>1932</v>
      </c>
      <c r="D104" s="10" t="s">
        <v>1030</v>
      </c>
      <c r="E104" s="10" t="s">
        <v>717</v>
      </c>
      <c r="F104" s="10"/>
      <c r="G104" s="10" t="s">
        <v>1031</v>
      </c>
      <c r="H104" s="55" t="n">
        <f aca="false">0.5*oil_compact</f>
        <v>0.5</v>
      </c>
      <c r="I104" s="56" t="n">
        <f aca="false">IF(H104="","",H104*(C104-B104+1))</f>
        <v>1</v>
      </c>
      <c r="J104" s="10" t="s">
        <v>712</v>
      </c>
      <c r="K104" s="10" t="s">
        <v>257</v>
      </c>
      <c r="L104" s="10" t="s">
        <v>1032</v>
      </c>
      <c r="M104" s="57" t="s">
        <v>1033</v>
      </c>
    </row>
    <row r="105" customFormat="false" ht="14.25" hidden="false" customHeight="true" outlineLevel="0" collapsed="false">
      <c r="A105" s="10" t="s">
        <v>1034</v>
      </c>
      <c r="B105" s="54" t="n">
        <v>1895</v>
      </c>
      <c r="C105" s="54" t="n">
        <v>1928</v>
      </c>
      <c r="D105" s="10" t="s">
        <v>1035</v>
      </c>
      <c r="E105" s="10" t="s">
        <v>970</v>
      </c>
      <c r="F105" s="10"/>
      <c r="G105" s="10" t="s">
        <v>786</v>
      </c>
      <c r="H105" s="55" t="n">
        <v>0.5</v>
      </c>
      <c r="I105" s="56" t="n">
        <f aca="false">IF(H105="","",H105*(C105-B105+1))</f>
        <v>17</v>
      </c>
      <c r="J105" s="10" t="s">
        <v>712</v>
      </c>
      <c r="K105" s="10" t="s">
        <v>312</v>
      </c>
      <c r="L105" s="10" t="s">
        <v>1036</v>
      </c>
      <c r="M105" s="57" t="s">
        <v>1037</v>
      </c>
    </row>
    <row r="106" customFormat="false" ht="14.25" hidden="false" customHeight="true" outlineLevel="0" collapsed="false">
      <c r="A106" s="10" t="s">
        <v>1038</v>
      </c>
      <c r="B106" s="54" t="n">
        <v>1875</v>
      </c>
      <c r="C106" s="54" t="n">
        <v>1885</v>
      </c>
      <c r="D106" s="10" t="s">
        <v>1039</v>
      </c>
      <c r="E106" s="10" t="s">
        <v>876</v>
      </c>
      <c r="F106" s="10"/>
      <c r="G106" s="10"/>
      <c r="H106" s="55" t="n">
        <v>1.2</v>
      </c>
      <c r="I106" s="56" t="n">
        <f aca="false">IF(H106="","",H106*(C106-B106+1))</f>
        <v>13.2</v>
      </c>
      <c r="J106" s="10" t="s">
        <v>712</v>
      </c>
      <c r="K106" s="10" t="s">
        <v>257</v>
      </c>
      <c r="L106" s="10" t="s">
        <v>1016</v>
      </c>
      <c r="M106" s="57" t="s">
        <v>1040</v>
      </c>
    </row>
    <row r="107" customFormat="false" ht="14.25" hidden="false" customHeight="true" outlineLevel="0" collapsed="false">
      <c r="A107" s="10" t="s">
        <v>1041</v>
      </c>
      <c r="B107" s="54" t="n">
        <v>1878</v>
      </c>
      <c r="C107" s="54" t="n">
        <v>1879</v>
      </c>
      <c r="D107" s="10" t="s">
        <v>1042</v>
      </c>
      <c r="E107" s="10" t="s">
        <v>876</v>
      </c>
      <c r="F107" s="10"/>
      <c r="G107" s="10"/>
      <c r="H107" s="55" t="n">
        <v>2.5</v>
      </c>
      <c r="I107" s="56" t="n">
        <f aca="false">IF(H107="","",H107*(C107-B107+1))</f>
        <v>5</v>
      </c>
      <c r="J107" s="10" t="s">
        <v>712</v>
      </c>
      <c r="K107" s="10" t="s">
        <v>257</v>
      </c>
      <c r="L107" s="10" t="s">
        <v>1016</v>
      </c>
      <c r="M107" s="57" t="s">
        <v>1043</v>
      </c>
    </row>
    <row r="108" customFormat="false" ht="14.25" hidden="false" customHeight="true" outlineLevel="0" collapsed="false">
      <c r="A108" s="10" t="s">
        <v>1044</v>
      </c>
      <c r="B108" s="54" t="n">
        <v>1880</v>
      </c>
      <c r="C108" s="54" t="n">
        <v>1881</v>
      </c>
      <c r="D108" s="10" t="s">
        <v>1045</v>
      </c>
      <c r="E108" s="10" t="s">
        <v>876</v>
      </c>
      <c r="F108" s="10"/>
      <c r="G108" s="10"/>
      <c r="H108" s="55" t="n">
        <v>0.3</v>
      </c>
      <c r="I108" s="56" t="n">
        <f aca="false">IF(H108="","",H108*(C108-B108+1))</f>
        <v>0.6</v>
      </c>
      <c r="J108" s="10" t="s">
        <v>712</v>
      </c>
      <c r="K108" s="10" t="s">
        <v>257</v>
      </c>
      <c r="L108" s="10" t="s">
        <v>1016</v>
      </c>
      <c r="M108" s="57" t="s">
        <v>210</v>
      </c>
    </row>
    <row r="109" customFormat="false" ht="14.25" hidden="false" customHeight="true" outlineLevel="0" collapsed="false">
      <c r="A109" s="10" t="s">
        <v>1046</v>
      </c>
      <c r="B109" s="54" t="n">
        <v>1876</v>
      </c>
      <c r="C109" s="54" t="n">
        <v>1886</v>
      </c>
      <c r="D109" s="10" t="s">
        <v>1047</v>
      </c>
      <c r="E109" s="10" t="s">
        <v>717</v>
      </c>
      <c r="F109" s="10"/>
      <c r="G109" s="10"/>
      <c r="H109" s="55" t="n">
        <v>2</v>
      </c>
      <c r="I109" s="56" t="n">
        <f aca="false">IF(H109="","",H109*(C109-B109+1))</f>
        <v>22</v>
      </c>
      <c r="J109" s="10" t="s">
        <v>712</v>
      </c>
      <c r="K109" s="10" t="s">
        <v>257</v>
      </c>
      <c r="L109" s="10" t="s">
        <v>1016</v>
      </c>
      <c r="M109" s="57" t="s">
        <v>1048</v>
      </c>
    </row>
    <row r="110" customFormat="false" ht="14.25" hidden="false" customHeight="true" outlineLevel="0" collapsed="false">
      <c r="A110" s="10" t="s">
        <v>1049</v>
      </c>
      <c r="B110" s="54" t="n">
        <v>1887</v>
      </c>
      <c r="C110" s="54" t="n">
        <v>1905</v>
      </c>
      <c r="D110" s="10" t="s">
        <v>1050</v>
      </c>
      <c r="E110" s="10" t="s">
        <v>717</v>
      </c>
      <c r="F110" s="10"/>
      <c r="G110" s="10"/>
      <c r="H110" s="55" t="n">
        <v>1.6</v>
      </c>
      <c r="I110" s="56" t="n">
        <f aca="false">IF(H110="","",H110*(C110-B110+1))</f>
        <v>30.4</v>
      </c>
      <c r="J110" s="10" t="s">
        <v>712</v>
      </c>
      <c r="K110" s="10" t="s">
        <v>257</v>
      </c>
      <c r="L110" s="10" t="s">
        <v>1016</v>
      </c>
      <c r="M110" s="57" t="s">
        <v>1051</v>
      </c>
    </row>
    <row r="111" customFormat="false" ht="14.25" hidden="false" customHeight="true" outlineLevel="0" collapsed="false">
      <c r="A111" s="10" t="s">
        <v>1052</v>
      </c>
      <c r="B111" s="54" t="n">
        <v>1906</v>
      </c>
      <c r="C111" s="54" t="n">
        <v>1927</v>
      </c>
      <c r="D111" s="10" t="s">
        <v>1053</v>
      </c>
      <c r="E111" s="10" t="s">
        <v>717</v>
      </c>
      <c r="F111" s="10"/>
      <c r="G111" s="10"/>
      <c r="H111" s="55" t="n">
        <v>3.2</v>
      </c>
      <c r="I111" s="56" t="n">
        <f aca="false">IF(H111="","",H111*(C111-B111+1))</f>
        <v>70.4</v>
      </c>
      <c r="J111" s="10" t="s">
        <v>712</v>
      </c>
      <c r="K111" s="10" t="s">
        <v>257</v>
      </c>
      <c r="L111" s="10" t="s">
        <v>1016</v>
      </c>
      <c r="M111" s="57" t="s">
        <v>1054</v>
      </c>
    </row>
    <row r="112" customFormat="false" ht="14.25" hidden="false" customHeight="true" outlineLevel="0" collapsed="false">
      <c r="A112" s="10" t="s">
        <v>1055</v>
      </c>
      <c r="B112" s="54" t="n">
        <v>1885</v>
      </c>
      <c r="C112" s="54" t="n">
        <v>1910</v>
      </c>
      <c r="D112" s="10" t="s">
        <v>1056</v>
      </c>
      <c r="E112" s="10" t="s">
        <v>717</v>
      </c>
      <c r="F112" s="10"/>
      <c r="G112" s="10"/>
      <c r="H112" s="55" t="n">
        <v>0.8</v>
      </c>
      <c r="I112" s="56" t="n">
        <f aca="false">IF(H112="","",H112*(C112-B112+1))</f>
        <v>20.8</v>
      </c>
      <c r="J112" s="10" t="s">
        <v>712</v>
      </c>
      <c r="K112" s="10" t="s">
        <v>257</v>
      </c>
      <c r="L112" s="10" t="s">
        <v>1016</v>
      </c>
      <c r="M112" s="57" t="s">
        <v>1057</v>
      </c>
    </row>
    <row r="113" customFormat="false" ht="14.25" hidden="false" customHeight="true" outlineLevel="0" collapsed="false">
      <c r="A113" s="10" t="s">
        <v>1058</v>
      </c>
      <c r="B113" s="54" t="n">
        <v>1911</v>
      </c>
      <c r="C113" s="54" t="n">
        <v>1932</v>
      </c>
      <c r="D113" s="10" t="s">
        <v>1056</v>
      </c>
      <c r="E113" s="10" t="s">
        <v>717</v>
      </c>
      <c r="F113" s="10"/>
      <c r="G113" s="10"/>
      <c r="H113" s="55" t="n">
        <v>2.5</v>
      </c>
      <c r="I113" s="56" t="n">
        <f aca="false">IF(H113="","",H113*(C113-B113+1))</f>
        <v>55</v>
      </c>
      <c r="J113" s="10" t="s">
        <v>712</v>
      </c>
      <c r="K113" s="10" t="s">
        <v>257</v>
      </c>
      <c r="L113" s="10" t="s">
        <v>1016</v>
      </c>
      <c r="M113" s="57" t="s">
        <v>1059</v>
      </c>
    </row>
    <row r="114" customFormat="false" ht="14.25" hidden="false" customHeight="true" outlineLevel="0" collapsed="false">
      <c r="A114" s="10" t="s">
        <v>1060</v>
      </c>
      <c r="B114" s="54" t="n">
        <v>1914</v>
      </c>
      <c r="C114" s="54" t="n">
        <v>1932</v>
      </c>
      <c r="D114" s="10" t="s">
        <v>1061</v>
      </c>
      <c r="E114" s="10" t="s">
        <v>717</v>
      </c>
      <c r="F114" s="10"/>
      <c r="G114" s="10"/>
      <c r="H114" s="55" t="n">
        <v>0.3</v>
      </c>
      <c r="I114" s="56" t="n">
        <f aca="false">IF(H114="","",H114*(C114-B114+1))</f>
        <v>5.7</v>
      </c>
      <c r="J114" s="10" t="s">
        <v>712</v>
      </c>
      <c r="K114" s="10" t="s">
        <v>257</v>
      </c>
      <c r="L114" s="10" t="s">
        <v>1062</v>
      </c>
      <c r="M114" s="57" t="s">
        <v>210</v>
      </c>
    </row>
    <row r="115" customFormat="false" ht="14.25" hidden="false" customHeight="true" outlineLevel="0" collapsed="false">
      <c r="A115" s="10" t="s">
        <v>1063</v>
      </c>
      <c r="B115" s="54" t="n">
        <v>1927</v>
      </c>
      <c r="C115" s="54" t="n">
        <v>1932</v>
      </c>
      <c r="D115" s="10" t="s">
        <v>1064</v>
      </c>
      <c r="E115" s="10" t="s">
        <v>740</v>
      </c>
      <c r="F115" s="10"/>
      <c r="G115" s="10"/>
      <c r="H115" s="55" t="n">
        <v>0.5</v>
      </c>
      <c r="I115" s="56" t="n">
        <f aca="false">IF(H115="","",H115*(C115-B115+1))</f>
        <v>3</v>
      </c>
      <c r="J115" s="10" t="s">
        <v>712</v>
      </c>
      <c r="K115" s="10" t="s">
        <v>257</v>
      </c>
      <c r="L115" s="10" t="s">
        <v>1065</v>
      </c>
      <c r="M115" s="57" t="s">
        <v>210</v>
      </c>
    </row>
    <row r="116" customFormat="false" ht="14.25" hidden="false" customHeight="true" outlineLevel="0" collapsed="false">
      <c r="A116" s="10" t="s">
        <v>1066</v>
      </c>
      <c r="B116" s="54" t="n">
        <v>1906</v>
      </c>
      <c r="C116" s="54" t="n">
        <v>1932</v>
      </c>
      <c r="D116" s="10" t="s">
        <v>1067</v>
      </c>
      <c r="E116" s="10" t="s">
        <v>876</v>
      </c>
      <c r="F116" s="10"/>
      <c r="G116" s="10" t="s">
        <v>786</v>
      </c>
      <c r="H116" s="55" t="n">
        <v>1.2</v>
      </c>
      <c r="I116" s="56" t="n">
        <f aca="false">IF(H116="","",H116*(C116-B116+1))</f>
        <v>32.4</v>
      </c>
      <c r="J116" s="10" t="s">
        <v>712</v>
      </c>
      <c r="K116" s="10" t="s">
        <v>257</v>
      </c>
      <c r="L116" s="10" t="s">
        <v>1068</v>
      </c>
      <c r="M116" s="57" t="s">
        <v>1069</v>
      </c>
    </row>
    <row r="117" customFormat="false" ht="14.25" hidden="false" customHeight="true" outlineLevel="0" collapsed="false">
      <c r="A117" s="10" t="s">
        <v>1070</v>
      </c>
      <c r="B117" s="54" t="n">
        <v>1928</v>
      </c>
      <c r="C117" s="54" t="n">
        <v>1932</v>
      </c>
      <c r="D117" s="10" t="s">
        <v>1071</v>
      </c>
      <c r="E117" s="10" t="s">
        <v>717</v>
      </c>
      <c r="F117" s="10"/>
      <c r="G117" s="10" t="s">
        <v>41</v>
      </c>
      <c r="H117" s="55" t="n">
        <v>0.2</v>
      </c>
      <c r="I117" s="56" t="n">
        <f aca="false">IF(H117="","",H117*(C117-B117+1))</f>
        <v>1</v>
      </c>
      <c r="J117" s="10" t="s">
        <v>712</v>
      </c>
      <c r="K117" s="10" t="s">
        <v>257</v>
      </c>
      <c r="L117" s="10" t="s">
        <v>1068</v>
      </c>
      <c r="M117" s="57" t="s">
        <v>1072</v>
      </c>
    </row>
    <row r="118" customFormat="false" ht="14.25" hidden="false" customHeight="true" outlineLevel="0" collapsed="false">
      <c r="A118" s="10" t="s">
        <v>1073</v>
      </c>
      <c r="B118" s="54" t="n">
        <v>1929</v>
      </c>
      <c r="C118" s="54" t="n">
        <v>1932</v>
      </c>
      <c r="D118" s="10" t="s">
        <v>1074</v>
      </c>
      <c r="E118" s="10" t="s">
        <v>970</v>
      </c>
      <c r="F118" s="10"/>
      <c r="G118" s="10" t="s">
        <v>786</v>
      </c>
      <c r="H118" s="55" t="n">
        <f aca="false">0.5*pac_quota</f>
        <v>0.325</v>
      </c>
      <c r="I118" s="56" t="n">
        <f aca="false">IF(H118="","",H118*(C118-B118+1))</f>
        <v>1.3</v>
      </c>
      <c r="J118" s="10" t="s">
        <v>712</v>
      </c>
      <c r="K118" s="10" t="s">
        <v>312</v>
      </c>
      <c r="L118" s="10" t="s">
        <v>1075</v>
      </c>
      <c r="M118" s="57" t="s">
        <v>1076</v>
      </c>
    </row>
    <row r="119" customFormat="false" ht="14.25" hidden="false" customHeight="true" outlineLevel="0" collapsed="false">
      <c r="A119" s="10" t="s">
        <v>1077</v>
      </c>
      <c r="B119" s="54" t="n">
        <v>1873</v>
      </c>
      <c r="C119" s="54" t="n">
        <v>1876</v>
      </c>
      <c r="D119" s="10" t="s">
        <v>1078</v>
      </c>
      <c r="E119" s="10" t="s">
        <v>721</v>
      </c>
      <c r="F119" s="10"/>
      <c r="G119" s="10" t="s">
        <v>790</v>
      </c>
      <c r="H119" s="55" t="n">
        <v>0.5</v>
      </c>
      <c r="I119" s="56" t="n">
        <f aca="false">IF(H119="","",H119*(C119-B119+1))</f>
        <v>2</v>
      </c>
      <c r="J119" s="10" t="s">
        <v>712</v>
      </c>
      <c r="K119" s="10" t="s">
        <v>312</v>
      </c>
      <c r="L119" s="10" t="s">
        <v>1079</v>
      </c>
      <c r="M119" s="57" t="s">
        <v>1080</v>
      </c>
    </row>
    <row r="120" customFormat="false" ht="14.25" hidden="false" customHeight="true" outlineLevel="0" collapsed="false">
      <c r="A120" s="10" t="s">
        <v>1081</v>
      </c>
      <c r="B120" s="54" t="n">
        <v>1876</v>
      </c>
      <c r="C120" s="54" t="n">
        <v>1876</v>
      </c>
      <c r="D120" s="10" t="s">
        <v>1082</v>
      </c>
      <c r="E120" s="10" t="s">
        <v>765</v>
      </c>
      <c r="F120" s="10" t="s">
        <v>800</v>
      </c>
      <c r="G120" s="10" t="s">
        <v>790</v>
      </c>
      <c r="H120" s="55" t="n">
        <v>-5.733</v>
      </c>
      <c r="I120" s="56" t="n">
        <f aca="false">IF(H120="","",H120*(C120-B120+1))</f>
        <v>-5.733</v>
      </c>
      <c r="J120" s="10" t="s">
        <v>712</v>
      </c>
      <c r="K120" s="10" t="s">
        <v>312</v>
      </c>
      <c r="L120" s="10" t="s">
        <v>1083</v>
      </c>
      <c r="M120" s="57" t="s">
        <v>1084</v>
      </c>
    </row>
    <row r="121" customFormat="false" ht="14.25" hidden="false" customHeight="true" outlineLevel="0" collapsed="false">
      <c r="A121" s="10" t="s">
        <v>1085</v>
      </c>
      <c r="B121" s="54" t="n">
        <v>1876</v>
      </c>
      <c r="C121" s="54" t="n">
        <v>1876</v>
      </c>
      <c r="D121" s="10" t="s">
        <v>1086</v>
      </c>
      <c r="E121" s="10" t="s">
        <v>748</v>
      </c>
      <c r="F121" s="10"/>
      <c r="G121" s="10" t="s">
        <v>790</v>
      </c>
      <c r="H121" s="55" t="n">
        <v>0</v>
      </c>
      <c r="I121" s="56" t="n">
        <f aca="false">IF(H121="","",H121*(C121-B121+1))</f>
        <v>0</v>
      </c>
      <c r="J121" s="10" t="s">
        <v>712</v>
      </c>
      <c r="K121" s="10" t="s">
        <v>312</v>
      </c>
      <c r="L121" s="10" t="s">
        <v>1083</v>
      </c>
      <c r="M121" s="57" t="s">
        <v>1087</v>
      </c>
    </row>
    <row r="122" customFormat="false" ht="14.25" hidden="false" customHeight="true" outlineLevel="0" collapsed="false">
      <c r="A122" s="10" t="s">
        <v>1088</v>
      </c>
      <c r="B122" s="54" t="n">
        <v>1876</v>
      </c>
      <c r="C122" s="54" t="n">
        <v>1878</v>
      </c>
      <c r="D122" s="10" t="s">
        <v>1089</v>
      </c>
      <c r="E122" s="10" t="s">
        <v>721</v>
      </c>
      <c r="F122" s="10"/>
      <c r="G122" s="10" t="s">
        <v>1090</v>
      </c>
      <c r="H122" s="55" t="n">
        <v>0.5</v>
      </c>
      <c r="I122" s="56" t="n">
        <f aca="false">IF(H122="","",H122*(C122-B122+1))</f>
        <v>1.5</v>
      </c>
      <c r="J122" s="10" t="s">
        <v>712</v>
      </c>
      <c r="K122" s="10" t="s">
        <v>312</v>
      </c>
      <c r="L122" s="10" t="s">
        <v>1091</v>
      </c>
      <c r="M122" s="57" t="s">
        <v>210</v>
      </c>
    </row>
    <row r="123" customFormat="false" ht="14.25" hidden="false" customHeight="true" outlineLevel="0" collapsed="false">
      <c r="A123" s="10" t="s">
        <v>1092</v>
      </c>
      <c r="B123" s="54" t="n">
        <v>1878</v>
      </c>
      <c r="C123" s="54" t="n">
        <v>1932</v>
      </c>
      <c r="D123" s="10" t="s">
        <v>1093</v>
      </c>
      <c r="E123" s="10" t="s">
        <v>740</v>
      </c>
      <c r="F123" s="10"/>
      <c r="G123" s="10" t="s">
        <v>1090</v>
      </c>
      <c r="H123" s="55" t="n">
        <v>0.05</v>
      </c>
      <c r="I123" s="56" t="n">
        <f aca="false">IF(H123="","",H123*(C123-B123+1))</f>
        <v>2.75</v>
      </c>
      <c r="J123" s="10" t="s">
        <v>712</v>
      </c>
      <c r="K123" s="10" t="s">
        <v>312</v>
      </c>
      <c r="L123" s="10" t="s">
        <v>1094</v>
      </c>
      <c r="M123" s="57" t="s">
        <v>1095</v>
      </c>
    </row>
    <row r="124" customFormat="false" ht="14.25" hidden="false" customHeight="true" outlineLevel="0" collapsed="false">
      <c r="A124" s="10" t="s">
        <v>1096</v>
      </c>
      <c r="B124" s="54" t="n">
        <v>1877</v>
      </c>
      <c r="C124" s="54" t="n">
        <v>1886</v>
      </c>
      <c r="D124" s="10" t="s">
        <v>1097</v>
      </c>
      <c r="E124" s="10" t="s">
        <v>717</v>
      </c>
      <c r="F124" s="10"/>
      <c r="G124" s="10" t="s">
        <v>174</v>
      </c>
      <c r="H124" s="55" t="n">
        <v>0.4</v>
      </c>
      <c r="I124" s="56" t="n">
        <f aca="false">IF(H124="","",H124*(C124-B124+1))</f>
        <v>4</v>
      </c>
      <c r="J124" s="10" t="s">
        <v>712</v>
      </c>
      <c r="K124" s="10" t="s">
        <v>312</v>
      </c>
      <c r="L124" s="10" t="s">
        <v>1098</v>
      </c>
      <c r="M124" s="57" t="s">
        <v>1099</v>
      </c>
    </row>
    <row r="125" customFormat="false" ht="14.25" hidden="false" customHeight="true" outlineLevel="0" collapsed="false">
      <c r="A125" s="10" t="s">
        <v>1100</v>
      </c>
      <c r="B125" s="54" t="n">
        <v>1906</v>
      </c>
      <c r="C125" s="54" t="n">
        <v>1913</v>
      </c>
      <c r="D125" s="10" t="s">
        <v>1101</v>
      </c>
      <c r="E125" s="10" t="s">
        <v>717</v>
      </c>
      <c r="F125" s="10"/>
      <c r="G125" s="10" t="s">
        <v>174</v>
      </c>
      <c r="H125" s="55" t="n">
        <v>1</v>
      </c>
      <c r="I125" s="56" t="n">
        <f aca="false">IF(H125="","",H125*(C125-B125+1))</f>
        <v>8</v>
      </c>
      <c r="J125" s="10" t="s">
        <v>712</v>
      </c>
      <c r="K125" s="10" t="s">
        <v>312</v>
      </c>
      <c r="L125" s="10" t="s">
        <v>1098</v>
      </c>
      <c r="M125" s="57" t="s">
        <v>210</v>
      </c>
    </row>
    <row r="126" customFormat="false" ht="14.25" hidden="false" customHeight="true" outlineLevel="0" collapsed="false">
      <c r="A126" s="10" t="s">
        <v>1102</v>
      </c>
      <c r="B126" s="54" t="n">
        <v>1876</v>
      </c>
      <c r="C126" s="54" t="n">
        <v>1926</v>
      </c>
      <c r="D126" s="10" t="s">
        <v>1103</v>
      </c>
      <c r="E126" s="10" t="s">
        <v>717</v>
      </c>
      <c r="F126" s="10"/>
      <c r="G126" s="10"/>
      <c r="H126" s="55" t="n">
        <v>0.15</v>
      </c>
      <c r="I126" s="56" t="n">
        <f aca="false">IF(H126="","",H126*(C126-B126+1))</f>
        <v>7.65</v>
      </c>
      <c r="J126" s="10" t="s">
        <v>712</v>
      </c>
      <c r="K126" s="10" t="s">
        <v>312</v>
      </c>
      <c r="L126" s="10" t="s">
        <v>1104</v>
      </c>
      <c r="M126" s="57" t="s">
        <v>1105</v>
      </c>
    </row>
    <row r="127" customFormat="false" ht="14.25" hidden="false" customHeight="true" outlineLevel="0" collapsed="false">
      <c r="A127" s="10" t="s">
        <v>1106</v>
      </c>
      <c r="B127" s="54" t="n">
        <v>1927</v>
      </c>
      <c r="C127" s="54" t="n">
        <v>1932</v>
      </c>
      <c r="D127" s="10" t="s">
        <v>1107</v>
      </c>
      <c r="E127" s="10" t="s">
        <v>717</v>
      </c>
      <c r="F127" s="10"/>
      <c r="G127" s="10"/>
      <c r="H127" s="55" t="n">
        <v>0.15</v>
      </c>
      <c r="I127" s="56" t="n">
        <f aca="false">IF(H127="","",H127*(C127-B127+1))</f>
        <v>0.9</v>
      </c>
      <c r="J127" s="10" t="s">
        <v>712</v>
      </c>
      <c r="K127" s="10" t="s">
        <v>312</v>
      </c>
      <c r="L127" s="10" t="s">
        <v>1108</v>
      </c>
      <c r="M127" s="57" t="s">
        <v>1109</v>
      </c>
    </row>
    <row r="128" customFormat="false" ht="14.25" hidden="false" customHeight="true" outlineLevel="0" collapsed="false">
      <c r="A128" s="10" t="s">
        <v>1110</v>
      </c>
      <c r="B128" s="54" t="n">
        <v>1880</v>
      </c>
      <c r="C128" s="54" t="n">
        <v>1889</v>
      </c>
      <c r="D128" s="10" t="s">
        <v>1111</v>
      </c>
      <c r="E128" s="10" t="s">
        <v>765</v>
      </c>
      <c r="F128" s="10" t="s">
        <v>777</v>
      </c>
      <c r="G128" s="10" t="s">
        <v>174</v>
      </c>
      <c r="H128" s="55" t="n">
        <v>0</v>
      </c>
      <c r="I128" s="56" t="n">
        <f aca="false">IF(H128="","",H128*(C128-B128+1))</f>
        <v>0</v>
      </c>
      <c r="J128" s="10" t="s">
        <v>712</v>
      </c>
      <c r="K128" s="10" t="s">
        <v>312</v>
      </c>
      <c r="L128" s="10" t="s">
        <v>1112</v>
      </c>
      <c r="M128" s="57" t="s">
        <v>1113</v>
      </c>
    </row>
    <row r="129" customFormat="false" ht="14.25" hidden="false" customHeight="true" outlineLevel="0" collapsed="false">
      <c r="A129" s="10" t="s">
        <v>1114</v>
      </c>
      <c r="B129" s="54" t="n">
        <v>1883</v>
      </c>
      <c r="C129" s="54" t="n">
        <v>1890</v>
      </c>
      <c r="D129" s="10" t="s">
        <v>1115</v>
      </c>
      <c r="E129" s="10" t="s">
        <v>765</v>
      </c>
      <c r="F129" s="10" t="s">
        <v>777</v>
      </c>
      <c r="G129" s="10" t="s">
        <v>174</v>
      </c>
      <c r="H129" s="55" t="n">
        <v>0</v>
      </c>
      <c r="I129" s="56" t="n">
        <f aca="false">IF(H129="","",H129*(C129-B129+1))</f>
        <v>0</v>
      </c>
      <c r="J129" s="10" t="s">
        <v>712</v>
      </c>
      <c r="K129" s="10" t="s">
        <v>312</v>
      </c>
      <c r="L129" s="10" t="s">
        <v>1116</v>
      </c>
      <c r="M129" s="57" t="s">
        <v>1113</v>
      </c>
    </row>
    <row r="130" customFormat="false" ht="14.25" hidden="false" customHeight="true" outlineLevel="0" collapsed="false">
      <c r="A130" s="10" t="s">
        <v>1117</v>
      </c>
      <c r="B130" s="54" t="n">
        <v>1883</v>
      </c>
      <c r="C130" s="54" t="n">
        <v>1932</v>
      </c>
      <c r="D130" s="10" t="s">
        <v>1118</v>
      </c>
      <c r="E130" s="10" t="s">
        <v>717</v>
      </c>
      <c r="F130" s="10"/>
      <c r="G130" s="10" t="s">
        <v>174</v>
      </c>
      <c r="H130" s="55" t="n">
        <v>0.08</v>
      </c>
      <c r="I130" s="56" t="n">
        <f aca="false">IF(H130="","",H130*(C130-B130+1))</f>
        <v>4</v>
      </c>
      <c r="J130" s="10" t="s">
        <v>712</v>
      </c>
      <c r="K130" s="10" t="s">
        <v>312</v>
      </c>
      <c r="L130" s="10" t="s">
        <v>1116</v>
      </c>
      <c r="M130" s="57" t="s">
        <v>1119</v>
      </c>
    </row>
    <row r="131" customFormat="false" ht="14.25" hidden="false" customHeight="true" outlineLevel="0" collapsed="false">
      <c r="A131" s="10" t="s">
        <v>1120</v>
      </c>
      <c r="B131" s="54" t="n">
        <v>1886</v>
      </c>
      <c r="C131" s="54" t="n">
        <v>1886</v>
      </c>
      <c r="D131" s="10" t="s">
        <v>1121</v>
      </c>
      <c r="E131" s="10" t="s">
        <v>765</v>
      </c>
      <c r="F131" s="10" t="s">
        <v>777</v>
      </c>
      <c r="G131" s="10" t="s">
        <v>174</v>
      </c>
      <c r="H131" s="55" t="n">
        <v>0</v>
      </c>
      <c r="I131" s="56" t="n">
        <f aca="false">IF(H131="","",H131*(C131-B131+1))</f>
        <v>0</v>
      </c>
      <c r="J131" s="10" t="s">
        <v>750</v>
      </c>
      <c r="K131" s="10" t="s">
        <v>257</v>
      </c>
      <c r="L131" s="10" t="s">
        <v>1122</v>
      </c>
      <c r="M131" s="57" t="s">
        <v>1123</v>
      </c>
    </row>
    <row r="132" customFormat="false" ht="14.25" hidden="false" customHeight="true" outlineLevel="0" collapsed="false">
      <c r="A132" s="10" t="s">
        <v>1124</v>
      </c>
      <c r="B132" s="54" t="n">
        <v>1878</v>
      </c>
      <c r="C132" s="54" t="n">
        <v>1878</v>
      </c>
      <c r="D132" s="10" t="s">
        <v>1125</v>
      </c>
      <c r="E132" s="10" t="s">
        <v>748</v>
      </c>
      <c r="F132" s="10"/>
      <c r="G132" s="10" t="s">
        <v>1090</v>
      </c>
      <c r="H132" s="55" t="n">
        <v>0.3</v>
      </c>
      <c r="I132" s="56" t="n">
        <f aca="false">IF(H132="","",H132*(C132-B132+1))</f>
        <v>0.3</v>
      </c>
      <c r="J132" s="10" t="s">
        <v>712</v>
      </c>
      <c r="K132" s="10" t="s">
        <v>312</v>
      </c>
      <c r="L132" s="10" t="s">
        <v>1126</v>
      </c>
      <c r="M132" s="57" t="s">
        <v>1127</v>
      </c>
    </row>
    <row r="133" customFormat="false" ht="14.25" hidden="false" customHeight="true" outlineLevel="0" collapsed="false">
      <c r="A133" s="10" t="s">
        <v>1128</v>
      </c>
      <c r="B133" s="54" t="n">
        <v>1892</v>
      </c>
      <c r="C133" s="54" t="n">
        <v>1893</v>
      </c>
      <c r="D133" s="10" t="s">
        <v>1129</v>
      </c>
      <c r="E133" s="10" t="s">
        <v>717</v>
      </c>
      <c r="F133" s="10"/>
      <c r="G133" s="10" t="s">
        <v>174</v>
      </c>
      <c r="H133" s="55" t="n">
        <v>0.15</v>
      </c>
      <c r="I133" s="56" t="n">
        <f aca="false">IF(H133="","",H133*(C133-B133+1))</f>
        <v>0.3</v>
      </c>
      <c r="J133" s="10" t="s">
        <v>712</v>
      </c>
      <c r="K133" s="10" t="s">
        <v>312</v>
      </c>
      <c r="L133" s="10" t="s">
        <v>1130</v>
      </c>
      <c r="M133" s="57" t="s">
        <v>210</v>
      </c>
    </row>
    <row r="134" customFormat="false" ht="14.25" hidden="false" customHeight="true" outlineLevel="0" collapsed="false">
      <c r="A134" s="10" t="s">
        <v>1131</v>
      </c>
      <c r="B134" s="54" t="n">
        <v>1896</v>
      </c>
      <c r="C134" s="54" t="n">
        <v>1896</v>
      </c>
      <c r="D134" s="10" t="s">
        <v>1132</v>
      </c>
      <c r="E134" s="10" t="s">
        <v>721</v>
      </c>
      <c r="F134" s="10"/>
      <c r="G134" s="10" t="s">
        <v>174</v>
      </c>
      <c r="H134" s="55" t="n">
        <v>2</v>
      </c>
      <c r="I134" s="56" t="n">
        <f aca="false">IF(H134="","",H134*(C134-B134+1))</f>
        <v>2</v>
      </c>
      <c r="J134" s="10" t="s">
        <v>712</v>
      </c>
      <c r="K134" s="10" t="s">
        <v>312</v>
      </c>
      <c r="L134" s="10" t="s">
        <v>1133</v>
      </c>
      <c r="M134" s="57" t="s">
        <v>210</v>
      </c>
    </row>
    <row r="135" customFormat="false" ht="14.25" hidden="false" customHeight="true" outlineLevel="0" collapsed="false">
      <c r="A135" s="10" t="s">
        <v>1134</v>
      </c>
      <c r="B135" s="54" t="n">
        <v>1897</v>
      </c>
      <c r="C135" s="54" t="n">
        <v>1897</v>
      </c>
      <c r="D135" s="10" t="s">
        <v>1135</v>
      </c>
      <c r="E135" s="10" t="s">
        <v>721</v>
      </c>
      <c r="F135" s="10"/>
      <c r="G135" s="10" t="s">
        <v>41</v>
      </c>
      <c r="H135" s="55" t="n">
        <v>0.1</v>
      </c>
      <c r="I135" s="56" t="n">
        <f aca="false">IF(H135="","",H135*(C135-B135+1))</f>
        <v>0.1</v>
      </c>
      <c r="J135" s="10" t="s">
        <v>712</v>
      </c>
      <c r="K135" s="10" t="s">
        <v>312</v>
      </c>
      <c r="L135" s="10" t="s">
        <v>1136</v>
      </c>
      <c r="M135" s="57" t="s">
        <v>210</v>
      </c>
    </row>
    <row r="136" customFormat="false" ht="14.25" hidden="false" customHeight="true" outlineLevel="0" collapsed="false">
      <c r="A136" s="10" t="s">
        <v>1137</v>
      </c>
      <c r="B136" s="54" t="n">
        <v>1878</v>
      </c>
      <c r="C136" s="54" t="n">
        <v>1888</v>
      </c>
      <c r="D136" s="10" t="s">
        <v>1138</v>
      </c>
      <c r="E136" s="10" t="s">
        <v>717</v>
      </c>
      <c r="F136" s="10"/>
      <c r="G136" s="10" t="s">
        <v>1139</v>
      </c>
      <c r="H136" s="55" t="n">
        <v>0.08</v>
      </c>
      <c r="I136" s="56" t="n">
        <f aca="false">IF(H136="","",H136*(C136-B136+1))</f>
        <v>0.88</v>
      </c>
      <c r="J136" s="10" t="s">
        <v>712</v>
      </c>
      <c r="K136" s="10" t="s">
        <v>312</v>
      </c>
      <c r="L136" s="10" t="s">
        <v>1140</v>
      </c>
      <c r="M136" s="57" t="s">
        <v>210</v>
      </c>
    </row>
    <row r="137" customFormat="false" ht="14.25" hidden="false" customHeight="true" outlineLevel="0" collapsed="false">
      <c r="A137" s="10" t="s">
        <v>1141</v>
      </c>
      <c r="B137" s="54" t="n">
        <v>1889</v>
      </c>
      <c r="C137" s="54" t="n">
        <v>1899</v>
      </c>
      <c r="D137" s="10" t="s">
        <v>1142</v>
      </c>
      <c r="E137" s="10" t="s">
        <v>717</v>
      </c>
      <c r="F137" s="10"/>
      <c r="G137" s="10" t="s">
        <v>1139</v>
      </c>
      <c r="H137" s="55" t="n">
        <v>0.1</v>
      </c>
      <c r="I137" s="56" t="n">
        <f aca="false">IF(H137="","",H137*(C137-B137+1))</f>
        <v>1.1</v>
      </c>
      <c r="J137" s="10" t="s">
        <v>712</v>
      </c>
      <c r="K137" s="10" t="s">
        <v>312</v>
      </c>
      <c r="L137" s="10" t="s">
        <v>1140</v>
      </c>
      <c r="M137" s="57" t="s">
        <v>210</v>
      </c>
    </row>
    <row r="138" customFormat="false" ht="14.25" hidden="false" customHeight="true" outlineLevel="0" collapsed="false">
      <c r="A138" s="10" t="s">
        <v>1143</v>
      </c>
      <c r="B138" s="54" t="n">
        <v>1900</v>
      </c>
      <c r="C138" s="54" t="n">
        <v>1932</v>
      </c>
      <c r="D138" s="10" t="s">
        <v>1144</v>
      </c>
      <c r="E138" s="10" t="s">
        <v>717</v>
      </c>
      <c r="F138" s="10"/>
      <c r="G138" s="10" t="s">
        <v>1139</v>
      </c>
      <c r="H138" s="55" t="n">
        <v>0.15</v>
      </c>
      <c r="I138" s="56" t="n">
        <f aca="false">IF(H138="","",H138*(C138-B138+1))</f>
        <v>4.95</v>
      </c>
      <c r="J138" s="10" t="s">
        <v>712</v>
      </c>
      <c r="K138" s="10" t="s">
        <v>312</v>
      </c>
      <c r="L138" s="10" t="s">
        <v>1140</v>
      </c>
      <c r="M138" s="57" t="s">
        <v>210</v>
      </c>
    </row>
    <row r="139" customFormat="false" ht="14.25" hidden="false" customHeight="true" outlineLevel="0" collapsed="false">
      <c r="A139" s="10" t="s">
        <v>1145</v>
      </c>
      <c r="B139" s="54" t="n">
        <v>1868</v>
      </c>
      <c r="C139" s="54" t="n">
        <v>1869</v>
      </c>
      <c r="D139" s="10" t="s">
        <v>1146</v>
      </c>
      <c r="E139" s="10" t="s">
        <v>717</v>
      </c>
      <c r="F139" s="10"/>
      <c r="G139" s="10"/>
      <c r="H139" s="55" t="n">
        <v>0.15</v>
      </c>
      <c r="I139" s="56" t="n">
        <f aca="false">IF(H139="","",H139*(C139-B139+1))</f>
        <v>0.3</v>
      </c>
      <c r="J139" s="10" t="s">
        <v>712</v>
      </c>
      <c r="K139" s="10" t="s">
        <v>312</v>
      </c>
      <c r="L139" s="10" t="s">
        <v>1147</v>
      </c>
      <c r="M139" s="57" t="s">
        <v>1148</v>
      </c>
    </row>
    <row r="140" customFormat="false" ht="14.25" hidden="false" customHeight="true" outlineLevel="0" collapsed="false">
      <c r="A140" s="10" t="s">
        <v>1149</v>
      </c>
      <c r="B140" s="54" t="n">
        <v>1867</v>
      </c>
      <c r="C140" s="54" t="n">
        <v>1879</v>
      </c>
      <c r="D140" s="10" t="s">
        <v>1150</v>
      </c>
      <c r="E140" s="10" t="s">
        <v>970</v>
      </c>
      <c r="F140" s="10"/>
      <c r="G140" s="10" t="s">
        <v>749</v>
      </c>
      <c r="H140" s="55" t="n">
        <v>-0.02</v>
      </c>
      <c r="I140" s="56" t="n">
        <f aca="false">IF(H140="","",H140*(C140-B140+1))</f>
        <v>-0.26</v>
      </c>
      <c r="J140" s="10" t="s">
        <v>712</v>
      </c>
      <c r="K140" s="10" t="s">
        <v>312</v>
      </c>
      <c r="L140" s="10" t="s">
        <v>1147</v>
      </c>
      <c r="M140" s="57" t="s">
        <v>1151</v>
      </c>
    </row>
    <row r="141" customFormat="false" ht="14.25" hidden="false" customHeight="true" outlineLevel="0" collapsed="false">
      <c r="A141" s="10" t="s">
        <v>1152</v>
      </c>
      <c r="B141" s="54" t="n">
        <v>1880</v>
      </c>
      <c r="C141" s="54" t="n">
        <v>1880</v>
      </c>
      <c r="D141" s="10" t="s">
        <v>1153</v>
      </c>
      <c r="E141" s="10" t="s">
        <v>717</v>
      </c>
      <c r="F141" s="10"/>
      <c r="G141" s="10"/>
      <c r="H141" s="55" t="n">
        <v>0.02</v>
      </c>
      <c r="I141" s="56" t="n">
        <f aca="false">IF(H141="","",H141*(C141-B141+1))</f>
        <v>0.02</v>
      </c>
      <c r="J141" s="10" t="s">
        <v>712</v>
      </c>
      <c r="K141" s="10" t="s">
        <v>312</v>
      </c>
      <c r="L141" s="10" t="s">
        <v>1154</v>
      </c>
      <c r="M141" s="57" t="s">
        <v>210</v>
      </c>
    </row>
    <row r="142" customFormat="false" ht="14.25" hidden="false" customHeight="true" outlineLevel="0" collapsed="false">
      <c r="A142" s="10" t="s">
        <v>1155</v>
      </c>
      <c r="B142" s="54" t="n">
        <v>1914</v>
      </c>
      <c r="C142" s="54" t="n">
        <v>1915</v>
      </c>
      <c r="D142" s="10" t="s">
        <v>1156</v>
      </c>
      <c r="E142" s="10" t="s">
        <v>717</v>
      </c>
      <c r="F142" s="10"/>
      <c r="G142" s="10"/>
      <c r="H142" s="55" t="n">
        <v>0.4</v>
      </c>
      <c r="I142" s="56" t="n">
        <f aca="false">IF(H142="","",H142*(C142-B142+1))</f>
        <v>0.8</v>
      </c>
      <c r="J142" s="10" t="s">
        <v>712</v>
      </c>
      <c r="K142" s="10" t="s">
        <v>312</v>
      </c>
      <c r="L142" s="10" t="s">
        <v>1157</v>
      </c>
      <c r="M142" s="57" t="s">
        <v>210</v>
      </c>
    </row>
    <row r="143" customFormat="false" ht="14.25" hidden="false" customHeight="true" outlineLevel="0" collapsed="false">
      <c r="A143" s="10" t="s">
        <v>1158</v>
      </c>
      <c r="B143" s="54" t="n">
        <v>1914</v>
      </c>
      <c r="C143" s="54" t="n">
        <v>1932</v>
      </c>
      <c r="D143" s="10" t="s">
        <v>1159</v>
      </c>
      <c r="E143" s="10" t="s">
        <v>717</v>
      </c>
      <c r="F143" s="10"/>
      <c r="G143" s="10"/>
      <c r="H143" s="55" t="n">
        <v>0.1</v>
      </c>
      <c r="I143" s="56" t="n">
        <f aca="false">IF(H143="","",H143*(C143-B143+1))</f>
        <v>1.9</v>
      </c>
      <c r="J143" s="10" t="s">
        <v>712</v>
      </c>
      <c r="K143" s="10" t="s">
        <v>312</v>
      </c>
      <c r="L143" s="10" t="s">
        <v>1160</v>
      </c>
      <c r="M143" s="57" t="s">
        <v>210</v>
      </c>
    </row>
    <row r="144" customFormat="false" ht="14.25" hidden="false" customHeight="true" outlineLevel="0" collapsed="false">
      <c r="A144" s="10" t="s">
        <v>1161</v>
      </c>
      <c r="B144" s="54" t="n">
        <v>1915</v>
      </c>
      <c r="C144" s="54" t="n">
        <v>1924</v>
      </c>
      <c r="D144" s="10" t="s">
        <v>1162</v>
      </c>
      <c r="E144" s="10" t="s">
        <v>970</v>
      </c>
      <c r="F144" s="10"/>
      <c r="G144" s="10" t="s">
        <v>174</v>
      </c>
      <c r="H144" s="55" t="n">
        <v>5</v>
      </c>
      <c r="I144" s="56" t="n">
        <f aca="false">IF(H144="","",H144*(C144-B144+1))</f>
        <v>50</v>
      </c>
      <c r="J144" s="10" t="s">
        <v>712</v>
      </c>
      <c r="K144" s="10" t="s">
        <v>312</v>
      </c>
      <c r="L144" s="10" t="s">
        <v>1160</v>
      </c>
      <c r="M144" s="57" t="s">
        <v>1163</v>
      </c>
    </row>
    <row r="145" customFormat="false" ht="14.25" hidden="false" customHeight="true" outlineLevel="0" collapsed="false">
      <c r="A145" s="10" t="s">
        <v>1164</v>
      </c>
      <c r="B145" s="54" t="n">
        <v>1925</v>
      </c>
      <c r="C145" s="54" t="n">
        <v>1932</v>
      </c>
      <c r="D145" s="10" t="s">
        <v>1165</v>
      </c>
      <c r="E145" s="10" t="s">
        <v>970</v>
      </c>
      <c r="F145" s="10"/>
      <c r="G145" s="10" t="s">
        <v>174</v>
      </c>
      <c r="H145" s="55" t="n">
        <v>8</v>
      </c>
      <c r="I145" s="56" t="n">
        <f aca="false">IF(H145="","",H145*(C145-B145+1))</f>
        <v>64</v>
      </c>
      <c r="J145" s="10" t="s">
        <v>712</v>
      </c>
      <c r="K145" s="10" t="s">
        <v>312</v>
      </c>
      <c r="L145" s="10" t="s">
        <v>1160</v>
      </c>
      <c r="M145" s="57" t="s">
        <v>1163</v>
      </c>
    </row>
    <row r="146" customFormat="false" ht="14.25" hidden="false" customHeight="true" outlineLevel="0" collapsed="false">
      <c r="A146" s="10" t="s">
        <v>1166</v>
      </c>
      <c r="B146" s="54" t="n">
        <v>1914</v>
      </c>
      <c r="C146" s="54" t="n">
        <v>1914</v>
      </c>
      <c r="D146" s="10" t="s">
        <v>1167</v>
      </c>
      <c r="E146" s="10" t="s">
        <v>711</v>
      </c>
      <c r="F146" s="10"/>
      <c r="G146" s="10" t="s">
        <v>174</v>
      </c>
      <c r="H146" s="55" t="n">
        <v>9.5</v>
      </c>
      <c r="I146" s="56" t="n">
        <f aca="false">IF(H146="","",H146*(C146-B146+1))</f>
        <v>9.5</v>
      </c>
      <c r="J146" s="10" t="s">
        <v>712</v>
      </c>
      <c r="K146" s="10" t="s">
        <v>312</v>
      </c>
      <c r="L146" s="10" t="s">
        <v>1168</v>
      </c>
      <c r="M146" s="57" t="s">
        <v>1169</v>
      </c>
    </row>
    <row r="147" customFormat="false" ht="14.25" hidden="false" customHeight="true" outlineLevel="0" collapsed="false">
      <c r="A147" s="10" t="s">
        <v>1170</v>
      </c>
      <c r="B147" s="54" t="n">
        <v>1886</v>
      </c>
      <c r="C147" s="54" t="n">
        <v>1913</v>
      </c>
      <c r="D147" s="10" t="s">
        <v>1171</v>
      </c>
      <c r="E147" s="10" t="s">
        <v>970</v>
      </c>
      <c r="F147" s="10"/>
      <c r="G147" s="10" t="s">
        <v>174</v>
      </c>
      <c r="H147" s="55" t="n">
        <v>0.25</v>
      </c>
      <c r="I147" s="56" t="n">
        <f aca="false">IF(H147="","",H147*(C147-B147+1))</f>
        <v>7</v>
      </c>
      <c r="J147" s="10" t="s">
        <v>712</v>
      </c>
      <c r="K147" s="10" t="s">
        <v>312</v>
      </c>
      <c r="L147" s="10" t="s">
        <v>1172</v>
      </c>
      <c r="M147" s="57" t="s">
        <v>1173</v>
      </c>
    </row>
    <row r="148" customFormat="false" ht="14.25" hidden="false" customHeight="true" outlineLevel="0" collapsed="false">
      <c r="A148" s="10" t="s">
        <v>1174</v>
      </c>
      <c r="B148" s="54" t="n">
        <v>1878</v>
      </c>
      <c r="C148" s="54" t="n">
        <v>1880</v>
      </c>
      <c r="D148" s="10" t="s">
        <v>1175</v>
      </c>
      <c r="E148" s="10" t="s">
        <v>970</v>
      </c>
      <c r="F148" s="10"/>
      <c r="G148" s="10" t="s">
        <v>174</v>
      </c>
      <c r="H148" s="55" t="n">
        <v>2</v>
      </c>
      <c r="I148" s="56" t="n">
        <f aca="false">IF(H148="","",H148*(C148-B148+1))</f>
        <v>6</v>
      </c>
      <c r="J148" s="10" t="s">
        <v>712</v>
      </c>
      <c r="K148" s="10" t="s">
        <v>312</v>
      </c>
      <c r="L148" s="10" t="s">
        <v>1172</v>
      </c>
      <c r="M148" s="57" t="s">
        <v>1176</v>
      </c>
    </row>
    <row r="149" customFormat="false" ht="14.25" hidden="false" customHeight="true" outlineLevel="0" collapsed="false">
      <c r="A149" s="10" t="s">
        <v>1177</v>
      </c>
      <c r="B149" s="54" t="n">
        <v>1881</v>
      </c>
      <c r="C149" s="54" t="n">
        <v>1899</v>
      </c>
      <c r="D149" s="10" t="s">
        <v>1178</v>
      </c>
      <c r="E149" s="10" t="s">
        <v>970</v>
      </c>
      <c r="F149" s="10"/>
      <c r="G149" s="10" t="s">
        <v>174</v>
      </c>
      <c r="H149" s="55" t="n">
        <v>0.15</v>
      </c>
      <c r="I149" s="56" t="n">
        <f aca="false">IF(H149="","",H149*(C149-B149+1))</f>
        <v>2.85</v>
      </c>
      <c r="J149" s="10" t="s">
        <v>712</v>
      </c>
      <c r="K149" s="10" t="s">
        <v>312</v>
      </c>
      <c r="L149" s="10" t="s">
        <v>1172</v>
      </c>
      <c r="M149" s="57" t="s">
        <v>1179</v>
      </c>
    </row>
    <row r="150" customFormat="false" ht="14.25" hidden="false" customHeight="true" outlineLevel="0" collapsed="false">
      <c r="A150" s="10" t="s">
        <v>1180</v>
      </c>
      <c r="B150" s="54" t="n">
        <v>1900</v>
      </c>
      <c r="C150" s="54" t="n">
        <v>1932</v>
      </c>
      <c r="D150" s="10" t="s">
        <v>1178</v>
      </c>
      <c r="E150" s="10" t="s">
        <v>970</v>
      </c>
      <c r="F150" s="10"/>
      <c r="G150" s="10" t="s">
        <v>174</v>
      </c>
      <c r="H150" s="55" t="n">
        <v>0.3</v>
      </c>
      <c r="I150" s="56" t="n">
        <f aca="false">IF(H150="","",H150*(C150-B150+1))</f>
        <v>9.9</v>
      </c>
      <c r="J150" s="10" t="s">
        <v>712</v>
      </c>
      <c r="K150" s="10" t="s">
        <v>312</v>
      </c>
      <c r="L150" s="10" t="s">
        <v>1172</v>
      </c>
      <c r="M150" s="57" t="s">
        <v>210</v>
      </c>
    </row>
    <row r="151" customFormat="false" ht="14.25" hidden="false" customHeight="true" outlineLevel="0" collapsed="false">
      <c r="A151" s="10" t="s">
        <v>1181</v>
      </c>
      <c r="B151" s="54" t="n">
        <v>1885</v>
      </c>
      <c r="C151" s="54" t="n">
        <v>1899</v>
      </c>
      <c r="D151" s="10" t="s">
        <v>1182</v>
      </c>
      <c r="E151" s="10" t="s">
        <v>970</v>
      </c>
      <c r="F151" s="10"/>
      <c r="G151" s="10" t="s">
        <v>174</v>
      </c>
      <c r="H151" s="55" t="n">
        <v>0.1</v>
      </c>
      <c r="I151" s="56" t="n">
        <f aca="false">IF(H151="","",H151*(C151-B151+1))</f>
        <v>1.5</v>
      </c>
      <c r="J151" s="10" t="s">
        <v>712</v>
      </c>
      <c r="K151" s="10" t="s">
        <v>312</v>
      </c>
      <c r="L151" s="10" t="s">
        <v>1172</v>
      </c>
      <c r="M151" s="57" t="s">
        <v>1183</v>
      </c>
    </row>
    <row r="152" customFormat="false" ht="14.25" hidden="false" customHeight="true" outlineLevel="0" collapsed="false">
      <c r="A152" s="10" t="s">
        <v>1184</v>
      </c>
      <c r="B152" s="54" t="n">
        <v>1900</v>
      </c>
      <c r="C152" s="54" t="n">
        <v>1932</v>
      </c>
      <c r="D152" s="10" t="s">
        <v>1182</v>
      </c>
      <c r="E152" s="10" t="s">
        <v>970</v>
      </c>
      <c r="F152" s="10"/>
      <c r="G152" s="10" t="s">
        <v>174</v>
      </c>
      <c r="H152" s="55" t="n">
        <v>0.3</v>
      </c>
      <c r="I152" s="56" t="n">
        <f aca="false">IF(H152="","",H152*(C152-B152+1))</f>
        <v>9.9</v>
      </c>
      <c r="J152" s="10" t="s">
        <v>712</v>
      </c>
      <c r="K152" s="10" t="s">
        <v>312</v>
      </c>
      <c r="L152" s="10" t="s">
        <v>1172</v>
      </c>
      <c r="M152" s="57" t="s">
        <v>210</v>
      </c>
    </row>
    <row r="153" customFormat="false" ht="14.25" hidden="false" customHeight="true" outlineLevel="0" collapsed="false">
      <c r="A153" s="10" t="s">
        <v>1185</v>
      </c>
      <c r="B153" s="54" t="n">
        <v>1848</v>
      </c>
      <c r="C153" s="54" t="n">
        <v>1848</v>
      </c>
      <c r="D153" s="10" t="s">
        <v>1186</v>
      </c>
      <c r="E153" s="10" t="s">
        <v>970</v>
      </c>
      <c r="F153" s="10"/>
      <c r="G153" s="10"/>
      <c r="H153" s="55" t="n">
        <v>-0.34</v>
      </c>
      <c r="I153" s="56" t="n">
        <f aca="false">IF(H153="","",H153*(C153-B153+1))</f>
        <v>-0.34</v>
      </c>
      <c r="J153" s="10" t="s">
        <v>712</v>
      </c>
      <c r="K153" s="10" t="s">
        <v>257</v>
      </c>
      <c r="L153" s="10" t="s">
        <v>1187</v>
      </c>
      <c r="M153" s="57" t="s">
        <v>1188</v>
      </c>
    </row>
    <row r="154" customFormat="false" ht="14.25" hidden="false" customHeight="true" outlineLevel="0" collapsed="false">
      <c r="A154" s="10" t="s">
        <v>1189</v>
      </c>
      <c r="B154" s="54" t="n">
        <v>1848</v>
      </c>
      <c r="C154" s="54" t="n">
        <v>1850</v>
      </c>
      <c r="D154" s="10" t="s">
        <v>1190</v>
      </c>
      <c r="E154" s="10" t="s">
        <v>740</v>
      </c>
      <c r="F154" s="10"/>
      <c r="G154" s="10" t="s">
        <v>749</v>
      </c>
      <c r="H154" s="55" t="n">
        <v>0.1</v>
      </c>
      <c r="I154" s="56" t="n">
        <f aca="false">IF(H154="","",H154*(C154-B154+1))</f>
        <v>0.3</v>
      </c>
      <c r="J154" s="10" t="s">
        <v>712</v>
      </c>
      <c r="K154" s="10" t="s">
        <v>257</v>
      </c>
      <c r="L154" s="10" t="s">
        <v>1191</v>
      </c>
      <c r="M154" s="57" t="s">
        <v>1192</v>
      </c>
    </row>
    <row r="155" customFormat="false" ht="14.25" hidden="false" customHeight="true" outlineLevel="0" collapsed="false">
      <c r="A155" s="10" t="s">
        <v>1193</v>
      </c>
      <c r="B155" s="54" t="n">
        <v>1848</v>
      </c>
      <c r="C155" s="54" t="n">
        <v>1860</v>
      </c>
      <c r="D155" s="10" t="s">
        <v>1194</v>
      </c>
      <c r="E155" s="10" t="s">
        <v>970</v>
      </c>
      <c r="F155" s="10"/>
      <c r="G155" s="10" t="s">
        <v>749</v>
      </c>
      <c r="H155" s="55" t="n">
        <v>-0.03</v>
      </c>
      <c r="I155" s="56" t="n">
        <f aca="false">IF(H155="","",H155*(C155-B155+1))</f>
        <v>-0.39</v>
      </c>
      <c r="J155" s="10" t="s">
        <v>712</v>
      </c>
      <c r="K155" s="10" t="s">
        <v>257</v>
      </c>
      <c r="L155" s="10" t="s">
        <v>1195</v>
      </c>
      <c r="M155" s="57" t="s">
        <v>1196</v>
      </c>
    </row>
    <row r="156" customFormat="false" ht="14.25" hidden="false" customHeight="true" outlineLevel="0" collapsed="false">
      <c r="A156" s="10" t="s">
        <v>1197</v>
      </c>
      <c r="B156" s="54" t="n">
        <v>1848</v>
      </c>
      <c r="C156" s="54" t="n">
        <v>1860</v>
      </c>
      <c r="D156" s="10" t="s">
        <v>1198</v>
      </c>
      <c r="E156" s="10" t="s">
        <v>970</v>
      </c>
      <c r="F156" s="10"/>
      <c r="G156" s="10" t="s">
        <v>749</v>
      </c>
      <c r="H156" s="55" t="n">
        <v>0.005</v>
      </c>
      <c r="I156" s="56" t="n">
        <f aca="false">IF(H156="","",H156*(C156-B156+1))</f>
        <v>0.065</v>
      </c>
      <c r="J156" s="10" t="s">
        <v>712</v>
      </c>
      <c r="K156" s="10" t="s">
        <v>312</v>
      </c>
      <c r="L156" s="10" t="s">
        <v>1199</v>
      </c>
      <c r="M156" s="57" t="s">
        <v>1200</v>
      </c>
    </row>
    <row r="157" customFormat="false" ht="14.25" hidden="false" customHeight="true" outlineLevel="0" collapsed="false">
      <c r="A157" s="10" t="s">
        <v>1201</v>
      </c>
      <c r="B157" s="54" t="n">
        <v>1919</v>
      </c>
      <c r="C157" s="54" t="n">
        <v>1919</v>
      </c>
      <c r="D157" s="10" t="s">
        <v>1202</v>
      </c>
      <c r="E157" s="10" t="s">
        <v>721</v>
      </c>
      <c r="F157" s="10"/>
      <c r="G157" s="10" t="s">
        <v>959</v>
      </c>
      <c r="H157" s="55" t="n">
        <f aca="false">Siberia!B39</f>
        <v>417.992804649705</v>
      </c>
      <c r="I157" s="56" t="n">
        <f aca="false">IF(H157="","",H157*(C157-B157+1))</f>
        <v>417.992804649705</v>
      </c>
      <c r="J157" s="10" t="s">
        <v>712</v>
      </c>
      <c r="K157" s="10" t="s">
        <v>233</v>
      </c>
      <c r="L157" s="10" t="s">
        <v>960</v>
      </c>
      <c r="M157" s="57" t="s">
        <v>961</v>
      </c>
    </row>
    <row r="158" customFormat="false" ht="14.25" hidden="false" customHeight="true" outlineLevel="0" collapsed="false">
      <c r="A158" s="10" t="s">
        <v>1203</v>
      </c>
      <c r="B158" s="54" t="n">
        <v>1920</v>
      </c>
      <c r="C158" s="54" t="n">
        <v>1920</v>
      </c>
      <c r="D158" s="10" t="s">
        <v>1204</v>
      </c>
      <c r="E158" s="10" t="s">
        <v>721</v>
      </c>
      <c r="F158" s="10"/>
      <c r="G158" s="10" t="s">
        <v>959</v>
      </c>
      <c r="H158" s="55" t="n">
        <f aca="false">Siberia!B40</f>
        <v>245.021326547377</v>
      </c>
      <c r="I158" s="56" t="n">
        <f aca="false">IF(H158="","",H158*(C158-B158+1))</f>
        <v>245.021326547377</v>
      </c>
      <c r="J158" s="10" t="s">
        <v>712</v>
      </c>
      <c r="K158" s="10" t="s">
        <v>233</v>
      </c>
      <c r="L158" s="10" t="s">
        <v>960</v>
      </c>
      <c r="M158" s="57" t="s">
        <v>961</v>
      </c>
    </row>
    <row r="159" customFormat="false" ht="14.25" hidden="false" customHeight="true" outlineLevel="0" collapsed="false">
      <c r="A159" s="10" t="s">
        <v>1205</v>
      </c>
      <c r="B159" s="54" t="n">
        <v>1921</v>
      </c>
      <c r="C159" s="54" t="n">
        <v>1921</v>
      </c>
      <c r="D159" s="10" t="s">
        <v>1206</v>
      </c>
      <c r="E159" s="10" t="s">
        <v>721</v>
      </c>
      <c r="F159" s="10"/>
      <c r="G159" s="10" t="s">
        <v>959</v>
      </c>
      <c r="H159" s="55" t="n">
        <f aca="false">Siberia!B41</f>
        <v>124.698405201171</v>
      </c>
      <c r="I159" s="56" t="n">
        <f aca="false">IF(H159="","",H159*(C159-B159+1))</f>
        <v>124.698405201171</v>
      </c>
      <c r="J159" s="10" t="s">
        <v>712</v>
      </c>
      <c r="K159" s="10" t="s">
        <v>233</v>
      </c>
      <c r="L159" s="10" t="s">
        <v>960</v>
      </c>
      <c r="M159" s="57" t="s">
        <v>961</v>
      </c>
    </row>
    <row r="160" customFormat="false" ht="14.25" hidden="false" customHeight="true" outlineLevel="0" collapsed="false">
      <c r="A160" s="10" t="s">
        <v>1207</v>
      </c>
      <c r="B160" s="54" t="n">
        <v>1922</v>
      </c>
      <c r="C160" s="54" t="n">
        <v>1922</v>
      </c>
      <c r="D160" s="10" t="s">
        <v>1208</v>
      </c>
      <c r="E160" s="10" t="s">
        <v>721</v>
      </c>
      <c r="F160" s="10"/>
      <c r="G160" s="10" t="s">
        <v>959</v>
      </c>
      <c r="H160" s="55" t="n">
        <f aca="false">Siberia!B42</f>
        <v>46.0625848483356</v>
      </c>
      <c r="I160" s="56" t="n">
        <f aca="false">IF(H160="","",H160*(C160-B160+1))</f>
        <v>46.0625848483356</v>
      </c>
      <c r="J160" s="10" t="s">
        <v>712</v>
      </c>
      <c r="K160" s="10" t="s">
        <v>233</v>
      </c>
      <c r="L160" s="10" t="s">
        <v>960</v>
      </c>
      <c r="M160" s="57" t="s">
        <v>961</v>
      </c>
    </row>
    <row r="161" customFormat="false" ht="14.25" hidden="false" customHeight="true" outlineLevel="0" collapsed="false">
      <c r="A161" s="10" t="s">
        <v>1209</v>
      </c>
      <c r="B161" s="54" t="n">
        <v>1924</v>
      </c>
      <c r="C161" s="54" t="n">
        <v>1924</v>
      </c>
      <c r="D161" s="10" t="s">
        <v>1210</v>
      </c>
      <c r="E161" s="10" t="s">
        <v>721</v>
      </c>
      <c r="F161" s="10"/>
      <c r="G161" s="10" t="s">
        <v>959</v>
      </c>
      <c r="H161" s="55" t="n">
        <f aca="false">Siberia!B44</f>
        <v>9.99430964406355</v>
      </c>
      <c r="I161" s="56" t="n">
        <f aca="false">IF(H161="","",H161*(C161-B161+1))</f>
        <v>9.99430964406355</v>
      </c>
      <c r="J161" s="10" t="s">
        <v>712</v>
      </c>
      <c r="K161" s="10" t="s">
        <v>257</v>
      </c>
      <c r="L161" s="10" t="s">
        <v>971</v>
      </c>
      <c r="M161" s="57" t="s">
        <v>979</v>
      </c>
    </row>
    <row r="162" customFormat="false" ht="14.25" hidden="false" customHeight="true" outlineLevel="0" collapsed="false">
      <c r="A162" s="10" t="s">
        <v>1211</v>
      </c>
      <c r="B162" s="54" t="n">
        <v>1925</v>
      </c>
      <c r="C162" s="54" t="n">
        <v>1925</v>
      </c>
      <c r="D162" s="10" t="s">
        <v>1212</v>
      </c>
      <c r="E162" s="10" t="s">
        <v>721</v>
      </c>
      <c r="F162" s="10"/>
      <c r="G162" s="10" t="s">
        <v>959</v>
      </c>
      <c r="H162" s="55" t="n">
        <f aca="false">Siberia!B45</f>
        <v>10.1793894522869</v>
      </c>
      <c r="I162" s="56" t="n">
        <f aca="false">IF(H162="","",H162*(C162-B162+1))</f>
        <v>10.1793894522869</v>
      </c>
      <c r="J162" s="10" t="s">
        <v>712</v>
      </c>
      <c r="K162" s="10" t="s">
        <v>257</v>
      </c>
      <c r="L162" s="10" t="s">
        <v>971</v>
      </c>
      <c r="M162" s="57" t="s">
        <v>979</v>
      </c>
    </row>
    <row r="163" customFormat="false" ht="14.25" hidden="false" customHeight="true" outlineLevel="0" collapsed="false">
      <c r="A163" s="10" t="s">
        <v>1213</v>
      </c>
      <c r="B163" s="54" t="n">
        <v>1926</v>
      </c>
      <c r="C163" s="54" t="n">
        <v>1926</v>
      </c>
      <c r="D163" s="10" t="s">
        <v>1214</v>
      </c>
      <c r="E163" s="10" t="s">
        <v>721</v>
      </c>
      <c r="F163" s="10"/>
      <c r="G163" s="10" t="s">
        <v>959</v>
      </c>
      <c r="H163" s="55" t="n">
        <f aca="false">Siberia!B46</f>
        <v>9.99430964406355</v>
      </c>
      <c r="I163" s="56" t="n">
        <f aca="false">IF(H163="","",H163*(C163-B163+1))</f>
        <v>9.99430964406355</v>
      </c>
      <c r="J163" s="10" t="s">
        <v>712</v>
      </c>
      <c r="K163" s="10" t="s">
        <v>257</v>
      </c>
      <c r="L163" s="10" t="s">
        <v>971</v>
      </c>
      <c r="M163" s="57" t="s">
        <v>979</v>
      </c>
    </row>
    <row r="164" customFormat="false" ht="14.25" hidden="false" customHeight="true" outlineLevel="0" collapsed="false">
      <c r="A164" s="10" t="s">
        <v>1215</v>
      </c>
      <c r="B164" s="54" t="n">
        <v>1927</v>
      </c>
      <c r="C164" s="54" t="n">
        <v>1927</v>
      </c>
      <c r="D164" s="10" t="s">
        <v>1216</v>
      </c>
      <c r="E164" s="10" t="s">
        <v>721</v>
      </c>
      <c r="F164" s="10"/>
      <c r="G164" s="10" t="s">
        <v>959</v>
      </c>
      <c r="H164" s="55" t="n">
        <f aca="false">Siberia!B47</f>
        <v>9.74753656643235</v>
      </c>
      <c r="I164" s="56" t="n">
        <f aca="false">IF(H164="","",H164*(C164-B164+1))</f>
        <v>9.74753656643235</v>
      </c>
      <c r="J164" s="10" t="s">
        <v>712</v>
      </c>
      <c r="K164" s="10" t="s">
        <v>257</v>
      </c>
      <c r="L164" s="10" t="s">
        <v>971</v>
      </c>
      <c r="M164" s="57" t="s">
        <v>979</v>
      </c>
    </row>
    <row r="165" customFormat="false" ht="14.25" hidden="false" customHeight="true" outlineLevel="0" collapsed="false">
      <c r="A165" s="10" t="s">
        <v>1217</v>
      </c>
      <c r="B165" s="54" t="n">
        <v>1928</v>
      </c>
      <c r="C165" s="54" t="n">
        <v>1928</v>
      </c>
      <c r="D165" s="10" t="s">
        <v>1218</v>
      </c>
      <c r="E165" s="10" t="s">
        <v>721</v>
      </c>
      <c r="F165" s="10"/>
      <c r="G165" s="10" t="s">
        <v>959</v>
      </c>
      <c r="H165" s="55" t="n">
        <f aca="false">Siberia!B48</f>
        <v>9.87092310524795</v>
      </c>
      <c r="I165" s="56" t="n">
        <f aca="false">IF(H165="","",H165*(C165-B165+1))</f>
        <v>9.87092310524795</v>
      </c>
      <c r="J165" s="10" t="s">
        <v>712</v>
      </c>
      <c r="K165" s="10" t="s">
        <v>257</v>
      </c>
      <c r="L165" s="10" t="s">
        <v>971</v>
      </c>
      <c r="M165" s="57" t="s">
        <v>979</v>
      </c>
    </row>
    <row r="166" customFormat="false" ht="14.25" hidden="false" customHeight="true" outlineLevel="0" collapsed="false">
      <c r="A166" s="10" t="s">
        <v>1219</v>
      </c>
      <c r="B166" s="54" t="n">
        <v>1929</v>
      </c>
      <c r="C166" s="54" t="n">
        <v>1929</v>
      </c>
      <c r="D166" s="10" t="s">
        <v>1220</v>
      </c>
      <c r="E166" s="10" t="s">
        <v>721</v>
      </c>
      <c r="F166" s="10"/>
      <c r="G166" s="10" t="s">
        <v>959</v>
      </c>
      <c r="H166" s="55" t="n">
        <f aca="false">Siberia!B49</f>
        <v>9.87092310524795</v>
      </c>
      <c r="I166" s="56" t="n">
        <f aca="false">IF(H166="","",H166*(C166-B166+1))</f>
        <v>9.87092310524795</v>
      </c>
      <c r="J166" s="10" t="s">
        <v>712</v>
      </c>
      <c r="K166" s="10" t="s">
        <v>257</v>
      </c>
      <c r="L166" s="10" t="s">
        <v>971</v>
      </c>
      <c r="M166" s="57" t="s">
        <v>979</v>
      </c>
    </row>
    <row r="167" customFormat="false" ht="14.25" hidden="false" customHeight="true" outlineLevel="0" collapsed="false">
      <c r="A167" s="10" t="s">
        <v>1221</v>
      </c>
      <c r="B167" s="54" t="n">
        <v>1930</v>
      </c>
      <c r="C167" s="54" t="n">
        <v>1930</v>
      </c>
      <c r="D167" s="10" t="s">
        <v>1222</v>
      </c>
      <c r="E167" s="10" t="s">
        <v>721</v>
      </c>
      <c r="F167" s="10"/>
      <c r="G167" s="10" t="s">
        <v>959</v>
      </c>
      <c r="H167" s="55" t="n">
        <f aca="false">Siberia!B50</f>
        <v>9.43907021939335</v>
      </c>
      <c r="I167" s="56" t="n">
        <f aca="false">IF(H167="","",H167*(C167-B167+1))</f>
        <v>9.43907021939335</v>
      </c>
      <c r="J167" s="10" t="s">
        <v>712</v>
      </c>
      <c r="K167" s="10" t="s">
        <v>257</v>
      </c>
      <c r="L167" s="10" t="s">
        <v>971</v>
      </c>
      <c r="M167" s="57" t="s">
        <v>979</v>
      </c>
    </row>
    <row r="168" customFormat="false" ht="14.25" hidden="false" customHeight="true" outlineLevel="0" collapsed="false">
      <c r="A168" s="10" t="s">
        <v>1223</v>
      </c>
      <c r="B168" s="54" t="n">
        <v>1931</v>
      </c>
      <c r="C168" s="54" t="n">
        <v>1931</v>
      </c>
      <c r="D168" s="10" t="s">
        <v>1224</v>
      </c>
      <c r="E168" s="10" t="s">
        <v>721</v>
      </c>
      <c r="F168" s="10"/>
      <c r="G168" s="10" t="s">
        <v>959</v>
      </c>
      <c r="H168" s="55" t="n">
        <f aca="false">Siberia!B51</f>
        <v>8.45197790886856</v>
      </c>
      <c r="I168" s="56" t="n">
        <f aca="false">IF(H168="","",H168*(C168-B168+1))</f>
        <v>8.45197790886856</v>
      </c>
      <c r="J168" s="10" t="s">
        <v>712</v>
      </c>
      <c r="K168" s="10" t="s">
        <v>257</v>
      </c>
      <c r="L168" s="10" t="s">
        <v>971</v>
      </c>
      <c r="M168" s="57" t="s">
        <v>979</v>
      </c>
    </row>
    <row r="169" customFormat="false" ht="14.25" hidden="false" customHeight="true" outlineLevel="0" collapsed="false">
      <c r="A169" s="10" t="s">
        <v>1225</v>
      </c>
      <c r="B169" s="54" t="n">
        <v>1932</v>
      </c>
      <c r="C169" s="54" t="n">
        <v>1932</v>
      </c>
      <c r="D169" s="10" t="s">
        <v>1226</v>
      </c>
      <c r="E169" s="10" t="s">
        <v>721</v>
      </c>
      <c r="F169" s="10"/>
      <c r="G169" s="10" t="s">
        <v>959</v>
      </c>
      <c r="H169" s="55" t="n">
        <f aca="false">Siberia!B52</f>
        <v>7.52657886775156</v>
      </c>
      <c r="I169" s="56" t="n">
        <f aca="false">IF(H169="","",H169*(C169-B169+1))</f>
        <v>7.52657886775156</v>
      </c>
      <c r="J169" s="10" t="s">
        <v>712</v>
      </c>
      <c r="K169" s="10" t="s">
        <v>257</v>
      </c>
      <c r="L169" s="10" t="s">
        <v>971</v>
      </c>
      <c r="M169" s="57" t="s">
        <v>979</v>
      </c>
    </row>
    <row r="170" customFormat="false" ht="14.25" hidden="false" customHeight="true" outlineLevel="0" collapsed="false">
      <c r="A170" s="10" t="s">
        <v>1227</v>
      </c>
      <c r="B170" s="54" t="n">
        <v>1919</v>
      </c>
      <c r="C170" s="54" t="n">
        <v>1920</v>
      </c>
      <c r="D170" s="10" t="s">
        <v>1228</v>
      </c>
      <c r="E170" s="10" t="s">
        <v>813</v>
      </c>
      <c r="F170" s="10"/>
      <c r="G170" s="10" t="s">
        <v>959</v>
      </c>
      <c r="H170" s="55" t="n">
        <v>0.75</v>
      </c>
      <c r="I170" s="56" t="n">
        <f aca="false">IF(H170="","",H170*(C170-B170+1))</f>
        <v>1.5</v>
      </c>
      <c r="J170" s="10" t="s">
        <v>712</v>
      </c>
      <c r="K170" s="10" t="s">
        <v>257</v>
      </c>
      <c r="L170" s="10" t="s">
        <v>1229</v>
      </c>
      <c r="M170" s="57" t="s">
        <v>1230</v>
      </c>
    </row>
    <row r="171" customFormat="false" ht="14.25" hidden="false" customHeight="true" outlineLevel="0" collapsed="false">
      <c r="A171" s="10" t="s">
        <v>1231</v>
      </c>
      <c r="B171" s="54" t="n">
        <v>1920</v>
      </c>
      <c r="C171" s="54" t="n">
        <v>1921</v>
      </c>
      <c r="D171" s="10" t="s">
        <v>1232</v>
      </c>
      <c r="E171" s="10" t="s">
        <v>740</v>
      </c>
      <c r="F171" s="10"/>
      <c r="G171" s="10" t="s">
        <v>959</v>
      </c>
      <c r="H171" s="55" t="n">
        <v>0.25</v>
      </c>
      <c r="I171" s="56" t="n">
        <f aca="false">IF(H171="","",H171*(C171-B171+1))</f>
        <v>0.5</v>
      </c>
      <c r="J171" s="10" t="s">
        <v>712</v>
      </c>
      <c r="K171" s="10" t="s">
        <v>257</v>
      </c>
      <c r="L171" s="10" t="s">
        <v>1229</v>
      </c>
      <c r="M171" s="57" t="s">
        <v>1233</v>
      </c>
    </row>
    <row r="172" customFormat="false" ht="14.25" hidden="false" customHeight="true" outlineLevel="0" collapsed="false">
      <c r="A172" s="10" t="s">
        <v>1234</v>
      </c>
      <c r="B172" s="54" t="n">
        <v>1921</v>
      </c>
      <c r="C172" s="54" t="n">
        <v>1921</v>
      </c>
      <c r="D172" s="10" t="s">
        <v>1235</v>
      </c>
      <c r="E172" s="10" t="s">
        <v>748</v>
      </c>
      <c r="F172" s="10"/>
      <c r="G172" s="10" t="s">
        <v>959</v>
      </c>
      <c r="H172" s="55" t="n">
        <v>0.1</v>
      </c>
      <c r="I172" s="56" t="n">
        <f aca="false">IF(H172="","",H172*(C172-B172+1))</f>
        <v>0.1</v>
      </c>
      <c r="J172" s="10" t="s">
        <v>712</v>
      </c>
      <c r="K172" s="10" t="s">
        <v>312</v>
      </c>
      <c r="L172" s="10" t="s">
        <v>1236</v>
      </c>
      <c r="M172" s="57" t="s">
        <v>1237</v>
      </c>
    </row>
    <row r="173" customFormat="false" ht="14.25" hidden="false" customHeight="true" outlineLevel="0" collapsed="false">
      <c r="A173" s="10" t="s">
        <v>1238</v>
      </c>
      <c r="B173" s="54" t="n">
        <v>1922</v>
      </c>
      <c r="C173" s="54" t="n">
        <v>1932</v>
      </c>
      <c r="D173" s="10" t="s">
        <v>1239</v>
      </c>
      <c r="E173" s="10" t="s">
        <v>970</v>
      </c>
      <c r="F173" s="10"/>
      <c r="G173" s="10"/>
      <c r="H173" s="55" t="n">
        <v>0.2</v>
      </c>
      <c r="I173" s="56" t="n">
        <f aca="false">IF(H173="","",H173*(C173-B173+1))</f>
        <v>2.2</v>
      </c>
      <c r="J173" s="10" t="s">
        <v>712</v>
      </c>
      <c r="K173" s="10" t="s">
        <v>312</v>
      </c>
      <c r="L173" s="10" t="s">
        <v>1236</v>
      </c>
      <c r="M173" s="57" t="s">
        <v>1240</v>
      </c>
    </row>
    <row r="174" customFormat="false" ht="14.25" hidden="false" customHeight="true" outlineLevel="0" collapsed="false">
      <c r="A174" s="10" t="s">
        <v>1241</v>
      </c>
      <c r="B174" s="54" t="n">
        <v>1927</v>
      </c>
      <c r="C174" s="54" t="n">
        <v>1929</v>
      </c>
      <c r="D174" s="10" t="s">
        <v>1242</v>
      </c>
      <c r="E174" s="10" t="s">
        <v>748</v>
      </c>
      <c r="F174" s="10"/>
      <c r="G174" s="10" t="s">
        <v>41</v>
      </c>
      <c r="H174" s="55" t="n">
        <v>1</v>
      </c>
      <c r="I174" s="56" t="n">
        <f aca="false">IF(H174="","",H174*(C174-B174+1))</f>
        <v>3</v>
      </c>
      <c r="J174" s="10" t="s">
        <v>712</v>
      </c>
      <c r="K174" s="10" t="s">
        <v>257</v>
      </c>
      <c r="L174" s="10" t="s">
        <v>1243</v>
      </c>
      <c r="M174" s="57" t="s">
        <v>1244</v>
      </c>
    </row>
    <row r="175" customFormat="false" ht="14.25" hidden="false" customHeight="true" outlineLevel="0" collapsed="false">
      <c r="A175" s="10" t="s">
        <v>1245</v>
      </c>
      <c r="B175" s="54" t="n">
        <v>1918</v>
      </c>
      <c r="C175" s="54" t="n">
        <v>1918</v>
      </c>
      <c r="D175" s="10" t="s">
        <v>1246</v>
      </c>
      <c r="E175" s="10" t="s">
        <v>765</v>
      </c>
      <c r="F175" s="10" t="s">
        <v>777</v>
      </c>
      <c r="G175" s="10" t="s">
        <v>755</v>
      </c>
      <c r="H175" s="55" t="n">
        <f aca="false">dir_18</f>
        <v>30</v>
      </c>
      <c r="I175" s="56" t="n">
        <f aca="false">IF(H175="","",H175*(C175-B175+1))</f>
        <v>30</v>
      </c>
      <c r="J175" s="10" t="s">
        <v>712</v>
      </c>
      <c r="K175" s="10" t="s">
        <v>312</v>
      </c>
      <c r="L175" s="10" t="s">
        <v>1247</v>
      </c>
      <c r="M175" s="57" t="s">
        <v>1248</v>
      </c>
    </row>
    <row r="176" customFormat="false" ht="14.25" hidden="false" customHeight="true" outlineLevel="0" collapsed="false">
      <c r="A176" s="10" t="s">
        <v>1249</v>
      </c>
      <c r="B176" s="54" t="n">
        <v>1919</v>
      </c>
      <c r="C176" s="54" t="n">
        <v>1919</v>
      </c>
      <c r="D176" s="10" t="s">
        <v>1250</v>
      </c>
      <c r="E176" s="10" t="s">
        <v>765</v>
      </c>
      <c r="F176" s="10" t="s">
        <v>777</v>
      </c>
      <c r="G176" s="10" t="s">
        <v>755</v>
      </c>
      <c r="H176" s="55" t="n">
        <f aca="false">dir_19</f>
        <v>50</v>
      </c>
      <c r="I176" s="56" t="n">
        <f aca="false">IF(H176="","",H176*(C176-B176+1))</f>
        <v>50</v>
      </c>
      <c r="J176" s="10" t="s">
        <v>712</v>
      </c>
      <c r="K176" s="10" t="s">
        <v>312</v>
      </c>
      <c r="L176" s="10" t="s">
        <v>1251</v>
      </c>
      <c r="M176" s="57" t="s">
        <v>1252</v>
      </c>
    </row>
    <row r="177" customFormat="false" ht="14.25" hidden="false" customHeight="true" outlineLevel="0" collapsed="false">
      <c r="A177" s="10" t="s">
        <v>1253</v>
      </c>
      <c r="B177" s="54" t="n">
        <v>1918</v>
      </c>
      <c r="C177" s="54" t="n">
        <v>1918</v>
      </c>
      <c r="D177" s="10" t="s">
        <v>1254</v>
      </c>
      <c r="E177" s="10" t="s">
        <v>740</v>
      </c>
      <c r="F177" s="10"/>
      <c r="G177" s="10" t="s">
        <v>959</v>
      </c>
      <c r="H177" s="55" t="n">
        <f aca="false">cossack_men*cossack_pay/1000000*7/12*INDEX(Paths!$B$6:$B$92,73)</f>
        <v>2.905</v>
      </c>
      <c r="I177" s="56" t="n">
        <f aca="false">IF(H177="","",H177*(C177-B177+1))</f>
        <v>2.905</v>
      </c>
      <c r="J177" s="10" t="s">
        <v>750</v>
      </c>
      <c r="K177" s="10" t="s">
        <v>257</v>
      </c>
      <c r="L177" s="10" t="s">
        <v>1255</v>
      </c>
      <c r="M177" s="57" t="s">
        <v>1256</v>
      </c>
    </row>
    <row r="178" customFormat="false" ht="14.25" hidden="false" customHeight="true" outlineLevel="0" collapsed="false">
      <c r="A178" s="10" t="s">
        <v>1257</v>
      </c>
      <c r="B178" s="54" t="n">
        <v>1919</v>
      </c>
      <c r="C178" s="54" t="n">
        <v>1919</v>
      </c>
      <c r="D178" s="10" t="s">
        <v>1258</v>
      </c>
      <c r="E178" s="10" t="s">
        <v>740</v>
      </c>
      <c r="F178" s="10"/>
      <c r="G178" s="10" t="s">
        <v>959</v>
      </c>
      <c r="H178" s="55" t="n">
        <f aca="false">cossack_men*cossack_pay/1000000*INDEX(Paths!$B$6:$B$92,74)</f>
        <v>5.49</v>
      </c>
      <c r="I178" s="56" t="n">
        <f aca="false">IF(H178="","",H178*(C178-B178+1))</f>
        <v>5.49</v>
      </c>
      <c r="J178" s="10" t="s">
        <v>750</v>
      </c>
      <c r="K178" s="10" t="s">
        <v>257</v>
      </c>
      <c r="L178" s="10" t="s">
        <v>1255</v>
      </c>
      <c r="M178" s="57" t="s">
        <v>1259</v>
      </c>
    </row>
    <row r="179" customFormat="false" ht="14.25" hidden="false" customHeight="true" outlineLevel="0" collapsed="false">
      <c r="A179" s="10" t="s">
        <v>1260</v>
      </c>
      <c r="B179" s="54" t="n">
        <v>1920</v>
      </c>
      <c r="C179" s="54" t="n">
        <v>1920</v>
      </c>
      <c r="D179" s="10" t="s">
        <v>1261</v>
      </c>
      <c r="E179" s="10" t="s">
        <v>740</v>
      </c>
      <c r="F179" s="10"/>
      <c r="G179" s="10" t="s">
        <v>959</v>
      </c>
      <c r="H179" s="55" t="n">
        <f aca="false">cossack_men*cossack_pay/1000000*0.5*INDEX(Paths!$B$6:$B$92,75)</f>
        <v>3.075</v>
      </c>
      <c r="I179" s="56" t="n">
        <f aca="false">IF(H179="","",H179*(C179-B179+1))</f>
        <v>3.075</v>
      </c>
      <c r="J179" s="10" t="s">
        <v>750</v>
      </c>
      <c r="K179" s="10" t="s">
        <v>257</v>
      </c>
      <c r="L179" s="10" t="s">
        <v>1255</v>
      </c>
      <c r="M179" s="57" t="s">
        <v>1259</v>
      </c>
    </row>
    <row r="180" customFormat="false" ht="14.25" hidden="false" customHeight="true" outlineLevel="0" collapsed="false">
      <c r="A180" s="10" t="s">
        <v>1262</v>
      </c>
      <c r="B180" s="54" t="n">
        <v>1919</v>
      </c>
      <c r="C180" s="54" t="n">
        <v>1919</v>
      </c>
      <c r="D180" s="10" t="s">
        <v>1263</v>
      </c>
      <c r="E180" s="10" t="s">
        <v>970</v>
      </c>
      <c r="F180" s="10"/>
      <c r="G180" s="10" t="s">
        <v>755</v>
      </c>
      <c r="H180" s="55" t="n">
        <f aca="false">kazan_gold*kazan_paid*0.6</f>
        <v>120.6</v>
      </c>
      <c r="I180" s="56" t="n">
        <f aca="false">IF(H180="","",H180*(C180-B180+1))</f>
        <v>120.6</v>
      </c>
      <c r="J180" s="10" t="s">
        <v>750</v>
      </c>
      <c r="K180" s="10" t="s">
        <v>312</v>
      </c>
      <c r="L180" s="10" t="s">
        <v>1255</v>
      </c>
      <c r="M180" s="57" t="s">
        <v>1264</v>
      </c>
    </row>
    <row r="181" customFormat="false" ht="14.25" hidden="false" customHeight="true" outlineLevel="0" collapsed="false">
      <c r="A181" s="10" t="s">
        <v>1265</v>
      </c>
      <c r="B181" s="54" t="n">
        <v>1920</v>
      </c>
      <c r="C181" s="54" t="n">
        <v>1920</v>
      </c>
      <c r="D181" s="10" t="s">
        <v>1266</v>
      </c>
      <c r="E181" s="10" t="s">
        <v>970</v>
      </c>
      <c r="F181" s="10"/>
      <c r="G181" s="10" t="s">
        <v>755</v>
      </c>
      <c r="H181" s="55" t="n">
        <f aca="false">kazan_gold*kazan_paid*0.4</f>
        <v>80.4</v>
      </c>
      <c r="I181" s="56" t="n">
        <f aca="false">IF(H181="","",H181*(C181-B181+1))</f>
        <v>80.4</v>
      </c>
      <c r="J181" s="10" t="s">
        <v>750</v>
      </c>
      <c r="K181" s="10" t="s">
        <v>312</v>
      </c>
      <c r="L181" s="10" t="s">
        <v>1255</v>
      </c>
      <c r="M181" s="57" t="s">
        <v>1267</v>
      </c>
    </row>
    <row r="182" customFormat="false" ht="14.25" hidden="false" customHeight="true" outlineLevel="0" collapsed="false">
      <c r="A182" s="10" t="s">
        <v>1268</v>
      </c>
      <c r="B182" s="54" t="n">
        <v>1919</v>
      </c>
      <c r="C182" s="54" t="n">
        <v>1919</v>
      </c>
      <c r="D182" s="10" t="s">
        <v>1269</v>
      </c>
      <c r="E182" s="10" t="s">
        <v>765</v>
      </c>
      <c r="F182" s="10" t="s">
        <v>800</v>
      </c>
      <c r="G182" s="10" t="s">
        <v>755</v>
      </c>
      <c r="H182" s="55" t="n">
        <f aca="false">conv_n19*(conv_t*(conv_mun*conv_vmun+(1-conv_mun)*conv_vfuel)/1000000)*INDEX(Paths!$B$6:$B$92,74)</f>
        <v>65.8251</v>
      </c>
      <c r="I182" s="56" t="n">
        <f aca="false">IF(H182="","",H182*(C182-B182+1))</f>
        <v>65.8251</v>
      </c>
      <c r="J182" s="10" t="s">
        <v>712</v>
      </c>
      <c r="K182" s="10" t="s">
        <v>257</v>
      </c>
      <c r="L182" s="10" t="s">
        <v>1270</v>
      </c>
      <c r="M182" s="57" t="s">
        <v>1271</v>
      </c>
    </row>
    <row r="183" customFormat="false" ht="14.25" hidden="false" customHeight="true" outlineLevel="0" collapsed="false">
      <c r="A183" s="10" t="s">
        <v>1272</v>
      </c>
      <c r="B183" s="54" t="n">
        <v>1920</v>
      </c>
      <c r="C183" s="54" t="n">
        <v>1920</v>
      </c>
      <c r="D183" s="10" t="s">
        <v>1273</v>
      </c>
      <c r="E183" s="10" t="s">
        <v>765</v>
      </c>
      <c r="F183" s="10" t="s">
        <v>800</v>
      </c>
      <c r="G183" s="10" t="s">
        <v>755</v>
      </c>
      <c r="H183" s="55" t="n">
        <f aca="false">conv_n20*(conv_t*(conv_mun*conv_vmun+(1-conv_mun)*conv_vfuel)/1000000)*INDEX(Paths!$B$6:$B$92,75)</f>
        <v>147.477</v>
      </c>
      <c r="I183" s="56" t="n">
        <f aca="false">IF(H183="","",H183*(C183-B183+1))</f>
        <v>147.477</v>
      </c>
      <c r="J183" s="10" t="s">
        <v>712</v>
      </c>
      <c r="K183" s="10" t="s">
        <v>257</v>
      </c>
      <c r="L183" s="10" t="s">
        <v>1270</v>
      </c>
      <c r="M183" s="57" t="s">
        <v>1267</v>
      </c>
    </row>
    <row r="184" customFormat="false" ht="14.25" hidden="false" customHeight="true" outlineLevel="0" collapsed="false">
      <c r="A184" s="10" t="s">
        <v>1274</v>
      </c>
      <c r="B184" s="54" t="n">
        <v>1919</v>
      </c>
      <c r="C184" s="54" t="n">
        <v>1919</v>
      </c>
      <c r="D184" s="10" t="s">
        <v>1275</v>
      </c>
      <c r="E184" s="10" t="s">
        <v>721</v>
      </c>
      <c r="F184" s="10"/>
      <c r="G184" s="10" t="s">
        <v>755</v>
      </c>
      <c r="H184" s="55" t="n">
        <f aca="false">conv_n19*conv_esc*INDEX(Paths!$B$6:$B$92,74)</f>
        <v>5.49</v>
      </c>
      <c r="I184" s="56" t="n">
        <f aca="false">IF(H184="","",H184*(C184-B184+1))</f>
        <v>5.49</v>
      </c>
      <c r="J184" s="10" t="s">
        <v>712</v>
      </c>
      <c r="K184" s="10" t="s">
        <v>257</v>
      </c>
      <c r="L184" s="10" t="s">
        <v>1270</v>
      </c>
      <c r="M184" s="57" t="s">
        <v>1276</v>
      </c>
    </row>
    <row r="185" customFormat="false" ht="14.25" hidden="false" customHeight="true" outlineLevel="0" collapsed="false">
      <c r="A185" s="10" t="s">
        <v>1277</v>
      </c>
      <c r="B185" s="54" t="n">
        <v>1920</v>
      </c>
      <c r="C185" s="54" t="n">
        <v>1920</v>
      </c>
      <c r="D185" s="10" t="s">
        <v>1278</v>
      </c>
      <c r="E185" s="10" t="s">
        <v>721</v>
      </c>
      <c r="F185" s="10"/>
      <c r="G185" s="10" t="s">
        <v>755</v>
      </c>
      <c r="H185" s="55" t="n">
        <f aca="false">conv_n20*conv_esc*INDEX(Paths!$B$6:$B$92,75)</f>
        <v>12.3</v>
      </c>
      <c r="I185" s="56" t="n">
        <f aca="false">IF(H185="","",H185*(C185-B185+1))</f>
        <v>12.3</v>
      </c>
      <c r="J185" s="10" t="s">
        <v>712</v>
      </c>
      <c r="K185" s="10" t="s">
        <v>257</v>
      </c>
      <c r="L185" s="10" t="s">
        <v>1270</v>
      </c>
      <c r="M185" s="57" t="s">
        <v>1267</v>
      </c>
    </row>
    <row r="186" customFormat="false" ht="14.25" hidden="false" customHeight="true" outlineLevel="0" collapsed="false">
      <c r="A186" s="10" t="s">
        <v>1279</v>
      </c>
      <c r="B186" s="54" t="n">
        <v>1919</v>
      </c>
      <c r="C186" s="54" t="n">
        <v>1919</v>
      </c>
      <c r="D186" s="10" t="s">
        <v>1280</v>
      </c>
      <c r="E186" s="10" t="s">
        <v>721</v>
      </c>
      <c r="F186" s="10"/>
      <c r="G186" s="10" t="s">
        <v>755</v>
      </c>
      <c r="H186" s="55" t="n">
        <f aca="false">ws_t*ws_cost/1000000*INDEX(Paths!$B$6:$B$92,74)</f>
        <v>1.464</v>
      </c>
      <c r="I186" s="56" t="n">
        <f aca="false">IF(H186="","",H186*(C186-B186+1))</f>
        <v>1.464</v>
      </c>
      <c r="J186" s="10" t="s">
        <v>712</v>
      </c>
      <c r="K186" s="10" t="s">
        <v>257</v>
      </c>
      <c r="L186" s="10" t="s">
        <v>1270</v>
      </c>
      <c r="M186" s="57" t="s">
        <v>1281</v>
      </c>
    </row>
    <row r="187" customFormat="false" ht="14.25" hidden="false" customHeight="true" outlineLevel="0" collapsed="false">
      <c r="A187" s="10" t="s">
        <v>1282</v>
      </c>
      <c r="B187" s="54" t="n">
        <v>1919</v>
      </c>
      <c r="C187" s="54" t="n">
        <v>1919</v>
      </c>
      <c r="D187" s="10" t="s">
        <v>1283</v>
      </c>
      <c r="E187" s="10" t="s">
        <v>721</v>
      </c>
      <c r="F187" s="10"/>
      <c r="G187" s="10" t="s">
        <v>755</v>
      </c>
      <c r="H187" s="55" t="n">
        <f aca="false">balt_ops*4/12*INDEX(Paths!$B$6:$B$92,74)</f>
        <v>9.15</v>
      </c>
      <c r="I187" s="56" t="n">
        <f aca="false">IF(H187="","",H187*(C187-B187+1))</f>
        <v>9.15</v>
      </c>
      <c r="J187" s="10" t="s">
        <v>712</v>
      </c>
      <c r="K187" s="10" t="s">
        <v>312</v>
      </c>
      <c r="L187" s="10" t="s">
        <v>1284</v>
      </c>
      <c r="M187" s="57" t="s">
        <v>1285</v>
      </c>
    </row>
    <row r="188" customFormat="false" ht="14.25" hidden="false" customHeight="true" outlineLevel="0" collapsed="false">
      <c r="A188" s="10" t="s">
        <v>1286</v>
      </c>
      <c r="B188" s="54" t="n">
        <v>1920</v>
      </c>
      <c r="C188" s="54" t="n">
        <v>1920</v>
      </c>
      <c r="D188" s="10" t="s">
        <v>1287</v>
      </c>
      <c r="E188" s="10" t="s">
        <v>721</v>
      </c>
      <c r="F188" s="10"/>
      <c r="G188" s="10" t="s">
        <v>755</v>
      </c>
      <c r="H188" s="55" t="n">
        <f aca="false">balt_ops*7/12*INDEX(Paths!$B$6:$B$92,75)</f>
        <v>17.9375</v>
      </c>
      <c r="I188" s="56" t="n">
        <f aca="false">IF(H188="","",H188*(C188-B188+1))</f>
        <v>17.9375</v>
      </c>
      <c r="J188" s="10" t="s">
        <v>712</v>
      </c>
      <c r="K188" s="10" t="s">
        <v>312</v>
      </c>
      <c r="L188" s="10" t="s">
        <v>1288</v>
      </c>
      <c r="M188" s="57" t="s">
        <v>1267</v>
      </c>
    </row>
    <row r="189" customFormat="false" ht="14.25" hidden="false" customHeight="true" outlineLevel="0" collapsed="false">
      <c r="A189" s="10" t="s">
        <v>1289</v>
      </c>
      <c r="B189" s="54" t="n">
        <v>1919</v>
      </c>
      <c r="C189" s="54" t="n">
        <v>1919</v>
      </c>
      <c r="D189" s="10" t="s">
        <v>1290</v>
      </c>
      <c r="E189" s="10" t="s">
        <v>765</v>
      </c>
      <c r="F189" s="10" t="s">
        <v>800</v>
      </c>
      <c r="G189" s="10" t="s">
        <v>755</v>
      </c>
      <c r="H189" s="55" t="n">
        <f aca="false">yud_19*INDEX(Paths!$B$6:$B$92,74)</f>
        <v>21.96</v>
      </c>
      <c r="I189" s="56" t="n">
        <f aca="false">IF(H189="","",H189*(C189-B189+1))</f>
        <v>21.96</v>
      </c>
      <c r="J189" s="10" t="s">
        <v>712</v>
      </c>
      <c r="K189" s="10" t="s">
        <v>257</v>
      </c>
      <c r="L189" s="10" t="s">
        <v>1270</v>
      </c>
      <c r="M189" s="57" t="s">
        <v>1291</v>
      </c>
    </row>
    <row r="190" customFormat="false" ht="14.25" hidden="false" customHeight="true" outlineLevel="0" collapsed="false">
      <c r="A190" s="10" t="s">
        <v>1292</v>
      </c>
      <c r="B190" s="54" t="n">
        <v>1920</v>
      </c>
      <c r="C190" s="54" t="n">
        <v>1920</v>
      </c>
      <c r="D190" s="10" t="s">
        <v>1293</v>
      </c>
      <c r="E190" s="10" t="s">
        <v>765</v>
      </c>
      <c r="F190" s="10" t="s">
        <v>800</v>
      </c>
      <c r="G190" s="10" t="s">
        <v>755</v>
      </c>
      <c r="H190" s="55" t="n">
        <f aca="false">yud_20*INDEX(Paths!$B$6:$B$92,75)</f>
        <v>12.3</v>
      </c>
      <c r="I190" s="56" t="n">
        <f aca="false">IF(H190="","",H190*(C190-B190+1))</f>
        <v>12.3</v>
      </c>
      <c r="J190" s="10" t="s">
        <v>712</v>
      </c>
      <c r="K190" s="10" t="s">
        <v>257</v>
      </c>
      <c r="L190" s="10" t="s">
        <v>1270</v>
      </c>
      <c r="M190" s="57" t="s">
        <v>1294</v>
      </c>
    </row>
    <row r="191" customFormat="false" ht="14.25" hidden="false" customHeight="true" outlineLevel="0" collapsed="false">
      <c r="A191" s="10" t="s">
        <v>1295</v>
      </c>
      <c r="B191" s="54" t="n">
        <v>1920</v>
      </c>
      <c r="C191" s="54" t="n">
        <v>1924</v>
      </c>
      <c r="D191" s="10" t="s">
        <v>1296</v>
      </c>
      <c r="E191" s="10" t="s">
        <v>765</v>
      </c>
      <c r="F191" s="10" t="s">
        <v>800</v>
      </c>
      <c r="G191" s="10" t="s">
        <v>755</v>
      </c>
      <c r="H191" s="55" t="n">
        <f aca="false">reco_total*reco_pub/reco_years</f>
        <v>80</v>
      </c>
      <c r="I191" s="56" t="n">
        <f aca="false">IF(H191="","",H191*(C191-B191+1))</f>
        <v>400</v>
      </c>
      <c r="J191" s="10" t="s">
        <v>712</v>
      </c>
      <c r="K191" s="10" t="s">
        <v>257</v>
      </c>
      <c r="L191" s="10" t="s">
        <v>1297</v>
      </c>
      <c r="M191" s="57" t="s">
        <v>1298</v>
      </c>
    </row>
    <row r="192" customFormat="false" ht="14.25" hidden="false" customHeight="true" outlineLevel="0" collapsed="false">
      <c r="A192" s="10" t="s">
        <v>1299</v>
      </c>
      <c r="B192" s="54" t="n">
        <v>1919</v>
      </c>
      <c r="C192" s="54" t="n">
        <v>1922</v>
      </c>
      <c r="D192" s="10" t="s">
        <v>1300</v>
      </c>
      <c r="E192" s="10" t="s">
        <v>970</v>
      </c>
      <c r="F192" s="10"/>
      <c r="G192" s="10" t="s">
        <v>755</v>
      </c>
      <c r="H192" s="55" t="n">
        <f aca="false">oil_emba1</f>
        <v>0.25</v>
      </c>
      <c r="I192" s="56" t="n">
        <f aca="false">IF(H192="","",H192*(C192-B192+1))</f>
        <v>1</v>
      </c>
      <c r="J192" s="10" t="s">
        <v>712</v>
      </c>
      <c r="K192" s="10" t="s">
        <v>312</v>
      </c>
      <c r="L192" s="10" t="s">
        <v>1301</v>
      </c>
      <c r="M192" s="57" t="s">
        <v>1302</v>
      </c>
    </row>
    <row r="193" customFormat="false" ht="14.25" hidden="false" customHeight="true" outlineLevel="0" collapsed="false">
      <c r="A193" s="10" t="s">
        <v>1303</v>
      </c>
      <c r="B193" s="54" t="n">
        <v>1923</v>
      </c>
      <c r="C193" s="54" t="n">
        <v>1932</v>
      </c>
      <c r="D193" s="10" t="s">
        <v>1304</v>
      </c>
      <c r="E193" s="10" t="s">
        <v>970</v>
      </c>
      <c r="F193" s="10"/>
      <c r="G193" s="10" t="s">
        <v>755</v>
      </c>
      <c r="H193" s="55" t="n">
        <f aca="false">oil_emba2</f>
        <v>1</v>
      </c>
      <c r="I193" s="56" t="n">
        <f aca="false">IF(H193="","",H193*(C193-B193+1))</f>
        <v>10</v>
      </c>
      <c r="J193" s="10" t="s">
        <v>712</v>
      </c>
      <c r="K193" s="10" t="s">
        <v>312</v>
      </c>
      <c r="L193" s="10" t="s">
        <v>1301</v>
      </c>
      <c r="M193" s="57" t="s">
        <v>1305</v>
      </c>
    </row>
    <row r="194" customFormat="false" ht="14.25" hidden="false" customHeight="true" outlineLevel="0" collapsed="false">
      <c r="A194" s="10" t="s">
        <v>1306</v>
      </c>
      <c r="B194" s="54" t="n">
        <v>1922</v>
      </c>
      <c r="C194" s="54" t="n">
        <v>1932</v>
      </c>
      <c r="D194" s="10" t="s">
        <v>1307</v>
      </c>
      <c r="E194" s="10" t="s">
        <v>970</v>
      </c>
      <c r="F194" s="10"/>
      <c r="G194" s="10" t="s">
        <v>755</v>
      </c>
      <c r="H194" s="55" t="n">
        <f aca="false">oil_groz</f>
        <v>2</v>
      </c>
      <c r="I194" s="56" t="n">
        <f aca="false">IF(H194="","",H194*(C194-B194+1))</f>
        <v>22</v>
      </c>
      <c r="J194" s="10" t="s">
        <v>712</v>
      </c>
      <c r="K194" s="10" t="s">
        <v>312</v>
      </c>
      <c r="L194" s="10" t="s">
        <v>1301</v>
      </c>
      <c r="M194" s="57" t="s">
        <v>1308</v>
      </c>
    </row>
    <row r="195" customFormat="false" ht="14.25" hidden="false" customHeight="true" outlineLevel="0" collapsed="false">
      <c r="A195" s="10" t="s">
        <v>1309</v>
      </c>
      <c r="B195" s="54" t="n">
        <v>1920</v>
      </c>
      <c r="C195" s="54" t="n">
        <v>1932</v>
      </c>
      <c r="D195" s="10" t="s">
        <v>1310</v>
      </c>
      <c r="E195" s="10" t="s">
        <v>970</v>
      </c>
      <c r="F195" s="10"/>
      <c r="G195" s="10" t="s">
        <v>1311</v>
      </c>
      <c r="H195" s="55" t="n">
        <f aca="false">oil_baku</f>
        <v>3</v>
      </c>
      <c r="I195" s="56" t="n">
        <f aca="false">IF(H195="","",H195*(C195-B195+1))</f>
        <v>39</v>
      </c>
      <c r="J195" s="10" t="s">
        <v>712</v>
      </c>
      <c r="K195" s="10" t="s">
        <v>312</v>
      </c>
      <c r="L195" s="10" t="s">
        <v>1301</v>
      </c>
      <c r="M195" s="57" t="s">
        <v>1312</v>
      </c>
    </row>
    <row r="196" customFormat="false" ht="14.25" hidden="false" customHeight="true" outlineLevel="0" collapsed="false">
      <c r="A196" s="10"/>
      <c r="B196" s="54"/>
      <c r="C196" s="54"/>
      <c r="D196" s="10"/>
      <c r="E196" s="10"/>
      <c r="F196" s="10"/>
      <c r="G196" s="10"/>
      <c r="H196" s="55"/>
      <c r="I196" s="56" t="str">
        <f aca="false">IF(H196="","",H196*(C196-B196+1))</f>
        <v/>
      </c>
      <c r="J196" s="10"/>
      <c r="K196" s="10"/>
      <c r="L196" s="10"/>
      <c r="M196" s="57"/>
    </row>
    <row r="197" customFormat="false" ht="14.25" hidden="false" customHeight="true" outlineLevel="0" collapsed="false">
      <c r="A197" s="10"/>
      <c r="B197" s="54"/>
      <c r="C197" s="54"/>
      <c r="D197" s="10"/>
      <c r="E197" s="10"/>
      <c r="F197" s="10"/>
      <c r="G197" s="10"/>
      <c r="H197" s="55"/>
      <c r="I197" s="56" t="str">
        <f aca="false">IF(H197="","",H197*(C197-B197+1))</f>
        <v/>
      </c>
      <c r="J197" s="10"/>
      <c r="K197" s="10"/>
      <c r="L197" s="10"/>
      <c r="M197" s="57"/>
    </row>
    <row r="198" customFormat="false" ht="14.25" hidden="false" customHeight="true" outlineLevel="0" collapsed="false">
      <c r="A198" s="10"/>
      <c r="B198" s="54"/>
      <c r="C198" s="54"/>
      <c r="D198" s="10"/>
      <c r="E198" s="10"/>
      <c r="F198" s="10"/>
      <c r="G198" s="10"/>
      <c r="H198" s="55"/>
      <c r="I198" s="56" t="str">
        <f aca="false">IF(H198="","",H198*(C198-B198+1))</f>
        <v/>
      </c>
      <c r="J198" s="10"/>
      <c r="K198" s="10"/>
      <c r="L198" s="10"/>
      <c r="M198" s="57"/>
    </row>
    <row r="199" customFormat="false" ht="14.25" hidden="false" customHeight="true" outlineLevel="0" collapsed="false">
      <c r="A199" s="10"/>
      <c r="B199" s="54"/>
      <c r="C199" s="54"/>
      <c r="D199" s="10"/>
      <c r="E199" s="10"/>
      <c r="F199" s="10"/>
      <c r="G199" s="10"/>
      <c r="H199" s="55"/>
      <c r="I199" s="56" t="str">
        <f aca="false">IF(H199="","",H199*(C199-B199+1))</f>
        <v/>
      </c>
      <c r="J199" s="10"/>
      <c r="K199" s="10"/>
      <c r="L199" s="10"/>
      <c r="M199" s="57"/>
    </row>
    <row r="200" customFormat="false" ht="14.25" hidden="false" customHeight="true" outlineLevel="0" collapsed="false">
      <c r="A200" s="10"/>
      <c r="B200" s="54"/>
      <c r="C200" s="54"/>
      <c r="D200" s="10"/>
      <c r="E200" s="10"/>
      <c r="F200" s="10"/>
      <c r="G200" s="10"/>
      <c r="H200" s="55"/>
      <c r="I200" s="56" t="str">
        <f aca="false">IF(H200="","",H200*(C200-B200+1))</f>
        <v/>
      </c>
      <c r="J200" s="10"/>
      <c r="K200" s="10"/>
      <c r="L200" s="10"/>
      <c r="M200" s="57"/>
    </row>
    <row r="201" customFormat="false" ht="14.25" hidden="false" customHeight="true" outlineLevel="0" collapsed="false">
      <c r="A201" s="10"/>
      <c r="B201" s="54"/>
      <c r="C201" s="54"/>
      <c r="D201" s="10"/>
      <c r="E201" s="10"/>
      <c r="F201" s="10"/>
      <c r="G201" s="10"/>
      <c r="H201" s="55"/>
      <c r="I201" s="56" t="str">
        <f aca="false">IF(H201="","",H201*(C201-B201+1))</f>
        <v/>
      </c>
      <c r="J201" s="10"/>
      <c r="K201" s="10"/>
      <c r="L201" s="10"/>
      <c r="M201" s="57"/>
    </row>
    <row r="202" customFormat="false" ht="14.25" hidden="false" customHeight="true" outlineLevel="0" collapsed="false">
      <c r="A202" s="10"/>
      <c r="B202" s="54"/>
      <c r="C202" s="54"/>
      <c r="D202" s="10"/>
      <c r="E202" s="10"/>
      <c r="F202" s="10"/>
      <c r="G202" s="10"/>
      <c r="H202" s="55"/>
      <c r="I202" s="56" t="str">
        <f aca="false">IF(H202="","",H202*(C202-B202+1))</f>
        <v/>
      </c>
      <c r="J202" s="10"/>
      <c r="K202" s="10"/>
      <c r="L202" s="10"/>
      <c r="M202" s="57"/>
    </row>
    <row r="203" customFormat="false" ht="14.25" hidden="false" customHeight="true" outlineLevel="0" collapsed="false">
      <c r="A203" s="10"/>
      <c r="B203" s="54"/>
      <c r="C203" s="54"/>
      <c r="D203" s="10"/>
      <c r="E203" s="10"/>
      <c r="F203" s="10"/>
      <c r="G203" s="10"/>
      <c r="H203" s="55"/>
      <c r="I203" s="56" t="str">
        <f aca="false">IF(H203="","",H203*(C203-B203+1))</f>
        <v/>
      </c>
      <c r="J203" s="10"/>
      <c r="K203" s="10"/>
      <c r="L203" s="10"/>
      <c r="M203" s="57"/>
    </row>
    <row r="204" customFormat="false" ht="14.25" hidden="false" customHeight="true" outlineLevel="0" collapsed="false">
      <c r="A204" s="10"/>
      <c r="B204" s="54"/>
      <c r="C204" s="54"/>
      <c r="D204" s="10"/>
      <c r="E204" s="10"/>
      <c r="F204" s="10"/>
      <c r="G204" s="10"/>
      <c r="H204" s="55"/>
      <c r="I204" s="56" t="str">
        <f aca="false">IF(H204="","",H204*(C204-B204+1))</f>
        <v/>
      </c>
      <c r="J204" s="10"/>
      <c r="K204" s="10"/>
      <c r="L204" s="10"/>
      <c r="M204" s="57"/>
    </row>
    <row r="205" customFormat="false" ht="14.25" hidden="false" customHeight="true" outlineLevel="0" collapsed="false">
      <c r="A205" s="10"/>
      <c r="B205" s="54"/>
      <c r="C205" s="54"/>
      <c r="D205" s="10"/>
      <c r="E205" s="10"/>
      <c r="F205" s="10"/>
      <c r="G205" s="10"/>
      <c r="H205" s="55"/>
      <c r="I205" s="56" t="str">
        <f aca="false">IF(H205="","",H205*(C205-B205+1))</f>
        <v/>
      </c>
      <c r="J205" s="10"/>
      <c r="K205" s="10"/>
      <c r="L205" s="10"/>
      <c r="M205" s="57"/>
    </row>
    <row r="206" customFormat="false" ht="14.25" hidden="false" customHeight="true" outlineLevel="0" collapsed="false">
      <c r="A206" s="10"/>
      <c r="B206" s="54"/>
      <c r="C206" s="54"/>
      <c r="D206" s="10"/>
      <c r="E206" s="10"/>
      <c r="F206" s="10"/>
      <c r="G206" s="10"/>
      <c r="H206" s="55"/>
      <c r="I206" s="56" t="str">
        <f aca="false">IF(H206="","",H206*(C206-B206+1))</f>
        <v/>
      </c>
      <c r="J206" s="10"/>
      <c r="K206" s="10"/>
      <c r="L206" s="10"/>
      <c r="M206" s="57"/>
    </row>
    <row r="207" customFormat="false" ht="14.25" hidden="false" customHeight="true" outlineLevel="0" collapsed="false">
      <c r="A207" s="10"/>
      <c r="B207" s="54"/>
      <c r="C207" s="54"/>
      <c r="D207" s="10"/>
      <c r="E207" s="10"/>
      <c r="F207" s="10"/>
      <c r="G207" s="10"/>
      <c r="H207" s="55"/>
      <c r="I207" s="56" t="str">
        <f aca="false">IF(H207="","",H207*(C207-B207+1))</f>
        <v/>
      </c>
      <c r="J207" s="10"/>
      <c r="K207" s="10"/>
      <c r="L207" s="10"/>
      <c r="M207" s="57"/>
    </row>
    <row r="208" customFormat="false" ht="14.25" hidden="false" customHeight="true" outlineLevel="0" collapsed="false">
      <c r="A208" s="10"/>
      <c r="B208" s="54"/>
      <c r="C208" s="54"/>
      <c r="D208" s="10"/>
      <c r="E208" s="10"/>
      <c r="F208" s="10"/>
      <c r="G208" s="10"/>
      <c r="H208" s="55"/>
      <c r="I208" s="56" t="str">
        <f aca="false">IF(H208="","",H208*(C208-B208+1))</f>
        <v/>
      </c>
      <c r="J208" s="10"/>
      <c r="K208" s="10"/>
      <c r="L208" s="10"/>
      <c r="M208" s="57"/>
    </row>
    <row r="209" customFormat="false" ht="14.25" hidden="false" customHeight="true" outlineLevel="0" collapsed="false">
      <c r="A209" s="10"/>
      <c r="B209" s="54"/>
      <c r="C209" s="54"/>
      <c r="D209" s="10"/>
      <c r="E209" s="10"/>
      <c r="F209" s="10"/>
      <c r="G209" s="10"/>
      <c r="H209" s="55"/>
      <c r="I209" s="56" t="str">
        <f aca="false">IF(H209="","",H209*(C209-B209+1))</f>
        <v/>
      </c>
      <c r="J209" s="10"/>
      <c r="K209" s="10"/>
      <c r="L209" s="10"/>
      <c r="M209" s="57"/>
    </row>
    <row r="210" customFormat="false" ht="14.25" hidden="false" customHeight="true" outlineLevel="0" collapsed="false">
      <c r="A210" s="10"/>
      <c r="B210" s="54"/>
      <c r="C210" s="54"/>
      <c r="D210" s="10"/>
      <c r="E210" s="10"/>
      <c r="F210" s="10"/>
      <c r="G210" s="10"/>
      <c r="H210" s="55"/>
      <c r="I210" s="56" t="str">
        <f aca="false">IF(H210="","",H210*(C210-B210+1))</f>
        <v/>
      </c>
      <c r="J210" s="10"/>
      <c r="K210" s="10"/>
      <c r="L210" s="10"/>
      <c r="M210" s="57"/>
    </row>
    <row r="211" customFormat="false" ht="14.25" hidden="false" customHeight="true" outlineLevel="0" collapsed="false">
      <c r="A211" s="10"/>
      <c r="B211" s="54"/>
      <c r="C211" s="54"/>
      <c r="D211" s="10"/>
      <c r="E211" s="10"/>
      <c r="F211" s="10"/>
      <c r="G211" s="10"/>
      <c r="H211" s="55"/>
      <c r="I211" s="56" t="str">
        <f aca="false">IF(H211="","",H211*(C211-B211+1))</f>
        <v/>
      </c>
      <c r="J211" s="10"/>
      <c r="K211" s="10"/>
      <c r="L211" s="10"/>
      <c r="M211" s="57"/>
    </row>
    <row r="212" customFormat="false" ht="14.25" hidden="false" customHeight="true" outlineLevel="0" collapsed="false">
      <c r="A212" s="10"/>
      <c r="B212" s="54"/>
      <c r="C212" s="54"/>
      <c r="D212" s="10"/>
      <c r="E212" s="10"/>
      <c r="F212" s="10"/>
      <c r="G212" s="10"/>
      <c r="H212" s="55"/>
      <c r="I212" s="56" t="str">
        <f aca="false">IF(H212="","",H212*(C212-B212+1))</f>
        <v/>
      </c>
      <c r="J212" s="10"/>
      <c r="K212" s="10"/>
      <c r="L212" s="10"/>
      <c r="M212" s="57"/>
    </row>
    <row r="213" customFormat="false" ht="14.25" hidden="false" customHeight="true" outlineLevel="0" collapsed="false">
      <c r="A213" s="10"/>
      <c r="B213" s="54"/>
      <c r="C213" s="54"/>
      <c r="D213" s="10"/>
      <c r="E213" s="10"/>
      <c r="F213" s="10"/>
      <c r="G213" s="10"/>
      <c r="H213" s="55"/>
      <c r="I213" s="56" t="str">
        <f aca="false">IF(H213="","",H213*(C213-B213+1))</f>
        <v/>
      </c>
      <c r="J213" s="10"/>
      <c r="K213" s="10"/>
      <c r="L213" s="10"/>
      <c r="M213" s="57"/>
    </row>
    <row r="214" customFormat="false" ht="14.25" hidden="false" customHeight="true" outlineLevel="0" collapsed="false">
      <c r="A214" s="10"/>
      <c r="B214" s="54"/>
      <c r="C214" s="54"/>
      <c r="D214" s="10"/>
      <c r="E214" s="10"/>
      <c r="F214" s="10"/>
      <c r="G214" s="10"/>
      <c r="H214" s="55"/>
      <c r="I214" s="56" t="str">
        <f aca="false">IF(H214="","",H214*(C214-B214+1))</f>
        <v/>
      </c>
      <c r="J214" s="10"/>
      <c r="K214" s="10"/>
      <c r="L214" s="10"/>
      <c r="M214" s="57"/>
    </row>
    <row r="215" customFormat="false" ht="14.25" hidden="false" customHeight="true" outlineLevel="0" collapsed="false">
      <c r="A215" s="10"/>
      <c r="B215" s="54"/>
      <c r="C215" s="54"/>
      <c r="D215" s="10"/>
      <c r="E215" s="10"/>
      <c r="F215" s="10"/>
      <c r="G215" s="10"/>
      <c r="H215" s="55"/>
      <c r="I215" s="56" t="str">
        <f aca="false">IF(H215="","",H215*(C215-B215+1))</f>
        <v/>
      </c>
      <c r="J215" s="10"/>
      <c r="K215" s="10"/>
      <c r="L215" s="10"/>
      <c r="M215" s="57"/>
    </row>
    <row r="216" customFormat="false" ht="14.25" hidden="false" customHeight="true" outlineLevel="0" collapsed="false">
      <c r="A216" s="10"/>
      <c r="B216" s="54"/>
      <c r="C216" s="54"/>
      <c r="D216" s="10"/>
      <c r="E216" s="10"/>
      <c r="F216" s="10"/>
      <c r="G216" s="10"/>
      <c r="H216" s="55"/>
      <c r="I216" s="56" t="str">
        <f aca="false">IF(H216="","",H216*(C216-B216+1))</f>
        <v/>
      </c>
      <c r="J216" s="10"/>
      <c r="K216" s="10"/>
      <c r="L216" s="10"/>
      <c r="M216" s="57"/>
    </row>
    <row r="217" customFormat="false" ht="14.25" hidden="false" customHeight="true" outlineLevel="0" collapsed="false">
      <c r="A217" s="10"/>
      <c r="B217" s="54"/>
      <c r="C217" s="54"/>
      <c r="D217" s="10"/>
      <c r="E217" s="10"/>
      <c r="F217" s="10"/>
      <c r="G217" s="10"/>
      <c r="H217" s="55"/>
      <c r="I217" s="56" t="str">
        <f aca="false">IF(H217="","",H217*(C217-B217+1))</f>
        <v/>
      </c>
      <c r="J217" s="10"/>
      <c r="K217" s="10"/>
      <c r="L217" s="10"/>
      <c r="M217" s="57"/>
    </row>
    <row r="218" customFormat="false" ht="14.25" hidden="false" customHeight="true" outlineLevel="0" collapsed="false">
      <c r="A218" s="10"/>
      <c r="B218" s="54"/>
      <c r="C218" s="54"/>
      <c r="D218" s="10"/>
      <c r="E218" s="10"/>
      <c r="F218" s="10"/>
      <c r="G218" s="10"/>
      <c r="H218" s="55"/>
      <c r="I218" s="56" t="str">
        <f aca="false">IF(H218="","",H218*(C218-B218+1))</f>
        <v/>
      </c>
      <c r="J218" s="10"/>
      <c r="K218" s="10"/>
      <c r="L218" s="10"/>
      <c r="M218" s="57"/>
    </row>
    <row r="219" customFormat="false" ht="14.25" hidden="false" customHeight="true" outlineLevel="0" collapsed="false">
      <c r="A219" s="10"/>
      <c r="B219" s="54"/>
      <c r="C219" s="54"/>
      <c r="D219" s="10"/>
      <c r="E219" s="10"/>
      <c r="F219" s="10"/>
      <c r="G219" s="10"/>
      <c r="H219" s="55"/>
      <c r="I219" s="56" t="str">
        <f aca="false">IF(H219="","",H219*(C219-B219+1))</f>
        <v/>
      </c>
      <c r="J219" s="10"/>
      <c r="K219" s="10"/>
      <c r="L219" s="10"/>
      <c r="M219" s="57"/>
    </row>
    <row r="220" customFormat="false" ht="14.25" hidden="false" customHeight="true" outlineLevel="0" collapsed="false">
      <c r="A220" s="10"/>
      <c r="B220" s="54"/>
      <c r="C220" s="54"/>
      <c r="D220" s="10"/>
      <c r="E220" s="10"/>
      <c r="F220" s="10"/>
      <c r="G220" s="10"/>
      <c r="H220" s="55"/>
      <c r="I220" s="56" t="str">
        <f aca="false">IF(H220="","",H220*(C220-B220+1))</f>
        <v/>
      </c>
      <c r="J220" s="10"/>
      <c r="K220" s="10"/>
      <c r="L220" s="10"/>
      <c r="M220" s="57"/>
    </row>
    <row r="221" customFormat="false" ht="14.25" hidden="false" customHeight="true" outlineLevel="0" collapsed="false">
      <c r="A221" s="10"/>
      <c r="B221" s="54"/>
      <c r="C221" s="54"/>
      <c r="D221" s="10"/>
      <c r="E221" s="10"/>
      <c r="F221" s="10"/>
      <c r="G221" s="10"/>
      <c r="H221" s="55"/>
      <c r="I221" s="56" t="str">
        <f aca="false">IF(H221="","",H221*(C221-B221+1))</f>
        <v/>
      </c>
      <c r="J221" s="10"/>
      <c r="K221" s="10"/>
      <c r="L221" s="10"/>
      <c r="M221" s="57"/>
    </row>
    <row r="222" customFormat="false" ht="14.25" hidden="false" customHeight="true" outlineLevel="0" collapsed="false">
      <c r="A222" s="10"/>
      <c r="B222" s="54"/>
      <c r="C222" s="54"/>
      <c r="D222" s="10"/>
      <c r="E222" s="10"/>
      <c r="F222" s="10"/>
      <c r="G222" s="10"/>
      <c r="H222" s="55"/>
      <c r="I222" s="56" t="str">
        <f aca="false">IF(H222="","",H222*(C222-B222+1))</f>
        <v/>
      </c>
      <c r="J222" s="10"/>
      <c r="K222" s="10"/>
      <c r="L222" s="10"/>
      <c r="M222" s="57"/>
    </row>
    <row r="223" customFormat="false" ht="14.25" hidden="false" customHeight="true" outlineLevel="0" collapsed="false">
      <c r="A223" s="10"/>
      <c r="B223" s="54"/>
      <c r="C223" s="54"/>
      <c r="D223" s="10"/>
      <c r="E223" s="10"/>
      <c r="F223" s="10"/>
      <c r="G223" s="10"/>
      <c r="H223" s="55"/>
      <c r="I223" s="56" t="str">
        <f aca="false">IF(H223="","",H223*(C223-B223+1))</f>
        <v/>
      </c>
      <c r="J223" s="10"/>
      <c r="K223" s="10"/>
      <c r="L223" s="10"/>
      <c r="M223" s="57"/>
    </row>
    <row r="224" customFormat="false" ht="14.25" hidden="false" customHeight="true" outlineLevel="0" collapsed="false">
      <c r="A224" s="10"/>
      <c r="B224" s="54"/>
      <c r="C224" s="54"/>
      <c r="D224" s="10"/>
      <c r="E224" s="10"/>
      <c r="F224" s="10"/>
      <c r="G224" s="10"/>
      <c r="H224" s="55"/>
      <c r="I224" s="56" t="str">
        <f aca="false">IF(H224="","",H224*(C224-B224+1))</f>
        <v/>
      </c>
      <c r="J224" s="10"/>
      <c r="K224" s="10"/>
      <c r="L224" s="10"/>
      <c r="M224" s="57"/>
    </row>
    <row r="225" customFormat="false" ht="14.25" hidden="false" customHeight="true" outlineLevel="0" collapsed="false">
      <c r="A225" s="10"/>
      <c r="B225" s="54"/>
      <c r="C225" s="54"/>
      <c r="D225" s="10"/>
      <c r="E225" s="10"/>
      <c r="F225" s="10"/>
      <c r="G225" s="10"/>
      <c r="H225" s="55"/>
      <c r="I225" s="56" t="str">
        <f aca="false">IF(H225="","",H225*(C225-B225+1))</f>
        <v/>
      </c>
      <c r="J225" s="10"/>
      <c r="K225" s="10"/>
      <c r="L225" s="10"/>
      <c r="M225" s="57"/>
    </row>
    <row r="226" customFormat="false" ht="14.25" hidden="false" customHeight="true" outlineLevel="0" collapsed="false">
      <c r="A226" s="10"/>
      <c r="B226" s="54"/>
      <c r="C226" s="54"/>
      <c r="D226" s="10"/>
      <c r="E226" s="10"/>
      <c r="F226" s="10"/>
      <c r="G226" s="10"/>
      <c r="H226" s="55"/>
      <c r="I226" s="56" t="str">
        <f aca="false">IF(H226="","",H226*(C226-B226+1))</f>
        <v/>
      </c>
      <c r="J226" s="10"/>
      <c r="K226" s="10"/>
      <c r="L226" s="10"/>
      <c r="M226" s="57"/>
    </row>
    <row r="227" customFormat="false" ht="14.25" hidden="false" customHeight="true" outlineLevel="0" collapsed="false">
      <c r="A227" s="10"/>
      <c r="B227" s="54"/>
      <c r="C227" s="54"/>
      <c r="D227" s="10"/>
      <c r="E227" s="10"/>
      <c r="F227" s="10"/>
      <c r="G227" s="10"/>
      <c r="H227" s="55"/>
      <c r="I227" s="56" t="str">
        <f aca="false">IF(H227="","",H227*(C227-B227+1))</f>
        <v/>
      </c>
      <c r="J227" s="10"/>
      <c r="K227" s="10"/>
      <c r="L227" s="10"/>
      <c r="M227" s="57"/>
    </row>
    <row r="228" customFormat="false" ht="14.25" hidden="false" customHeight="true" outlineLevel="0" collapsed="false">
      <c r="A228" s="10"/>
      <c r="B228" s="54"/>
      <c r="C228" s="54"/>
      <c r="D228" s="10"/>
      <c r="E228" s="10"/>
      <c r="F228" s="10"/>
      <c r="G228" s="10"/>
      <c r="H228" s="55"/>
      <c r="I228" s="56" t="str">
        <f aca="false">IF(H228="","",H228*(C228-B228+1))</f>
        <v/>
      </c>
      <c r="J228" s="10"/>
      <c r="K228" s="10"/>
      <c r="L228" s="10"/>
      <c r="M228" s="57"/>
    </row>
    <row r="229" customFormat="false" ht="14.25" hidden="false" customHeight="true" outlineLevel="0" collapsed="false">
      <c r="A229" s="10"/>
      <c r="B229" s="54"/>
      <c r="C229" s="54"/>
      <c r="D229" s="10"/>
      <c r="E229" s="10"/>
      <c r="F229" s="10"/>
      <c r="G229" s="10"/>
      <c r="H229" s="55"/>
      <c r="I229" s="56" t="str">
        <f aca="false">IF(H229="","",H229*(C229-B229+1))</f>
        <v/>
      </c>
      <c r="J229" s="10"/>
      <c r="K229" s="10"/>
      <c r="L229" s="10"/>
      <c r="M229" s="57"/>
    </row>
    <row r="230" customFormat="false" ht="14.25" hidden="false" customHeight="true" outlineLevel="0" collapsed="false">
      <c r="A230" s="10"/>
      <c r="B230" s="54"/>
      <c r="C230" s="54"/>
      <c r="D230" s="10"/>
      <c r="E230" s="10"/>
      <c r="F230" s="10"/>
      <c r="G230" s="10"/>
      <c r="H230" s="55"/>
      <c r="I230" s="56" t="str">
        <f aca="false">IF(H230="","",H230*(C230-B230+1))</f>
        <v/>
      </c>
      <c r="J230" s="10"/>
      <c r="K230" s="10"/>
      <c r="L230" s="10"/>
      <c r="M230" s="57"/>
    </row>
    <row r="231" customFormat="false" ht="14.25" hidden="false" customHeight="true" outlineLevel="0" collapsed="false">
      <c r="A231" s="10"/>
      <c r="B231" s="54"/>
      <c r="C231" s="54"/>
      <c r="D231" s="10"/>
      <c r="E231" s="10"/>
      <c r="F231" s="10"/>
      <c r="G231" s="10"/>
      <c r="H231" s="55"/>
      <c r="I231" s="56" t="str">
        <f aca="false">IF(H231="","",H231*(C231-B231+1))</f>
        <v/>
      </c>
      <c r="J231" s="10"/>
      <c r="K231" s="10"/>
      <c r="L231" s="10"/>
      <c r="M231" s="57"/>
    </row>
    <row r="232" customFormat="false" ht="14.25" hidden="false" customHeight="true" outlineLevel="0" collapsed="false">
      <c r="A232" s="10"/>
      <c r="B232" s="54"/>
      <c r="C232" s="54"/>
      <c r="D232" s="10"/>
      <c r="E232" s="10"/>
      <c r="F232" s="10"/>
      <c r="G232" s="10"/>
      <c r="H232" s="55"/>
      <c r="I232" s="56" t="str">
        <f aca="false">IF(H232="","",H232*(C232-B232+1))</f>
        <v/>
      </c>
      <c r="J232" s="10"/>
      <c r="K232" s="10"/>
      <c r="L232" s="10"/>
      <c r="M232" s="57"/>
    </row>
    <row r="233" customFormat="false" ht="14.25" hidden="false" customHeight="true" outlineLevel="0" collapsed="false">
      <c r="A233" s="10"/>
      <c r="B233" s="54"/>
      <c r="C233" s="54"/>
      <c r="D233" s="10"/>
      <c r="E233" s="10"/>
      <c r="F233" s="10"/>
      <c r="G233" s="10"/>
      <c r="H233" s="55"/>
      <c r="I233" s="56" t="str">
        <f aca="false">IF(H233="","",H233*(C233-B233+1))</f>
        <v/>
      </c>
      <c r="J233" s="10"/>
      <c r="K233" s="10"/>
      <c r="L233" s="10"/>
      <c r="M233" s="57"/>
    </row>
    <row r="234" customFormat="false" ht="14.25" hidden="false" customHeight="true" outlineLevel="0" collapsed="false">
      <c r="A234" s="10"/>
      <c r="B234" s="54"/>
      <c r="C234" s="54"/>
      <c r="D234" s="10"/>
      <c r="E234" s="10"/>
      <c r="F234" s="10"/>
      <c r="G234" s="10"/>
      <c r="H234" s="55"/>
      <c r="I234" s="56" t="str">
        <f aca="false">IF(H234="","",H234*(C234-B234+1))</f>
        <v/>
      </c>
      <c r="J234" s="10"/>
      <c r="K234" s="10"/>
      <c r="L234" s="10"/>
      <c r="M234" s="57"/>
    </row>
    <row r="235" customFormat="false" ht="14.25" hidden="false" customHeight="true" outlineLevel="0" collapsed="false">
      <c r="A235" s="10"/>
      <c r="B235" s="54"/>
      <c r="C235" s="54"/>
      <c r="D235" s="10"/>
      <c r="E235" s="10"/>
      <c r="F235" s="10"/>
      <c r="G235" s="10"/>
      <c r="H235" s="55"/>
      <c r="I235" s="56" t="str">
        <f aca="false">IF(H235="","",H235*(C235-B235+1))</f>
        <v/>
      </c>
      <c r="J235" s="10"/>
      <c r="K235" s="10"/>
      <c r="L235" s="10"/>
      <c r="M235" s="57"/>
    </row>
    <row r="236" customFormat="false" ht="14.25" hidden="false" customHeight="true" outlineLevel="0" collapsed="false">
      <c r="A236" s="10"/>
      <c r="B236" s="54"/>
      <c r="C236" s="54"/>
      <c r="D236" s="10"/>
      <c r="E236" s="10"/>
      <c r="F236" s="10"/>
      <c r="G236" s="10"/>
      <c r="H236" s="55"/>
      <c r="I236" s="56" t="str">
        <f aca="false">IF(H236="","",H236*(C236-B236+1))</f>
        <v/>
      </c>
      <c r="J236" s="10"/>
      <c r="K236" s="10"/>
      <c r="L236" s="10"/>
      <c r="M236" s="57"/>
    </row>
    <row r="237" customFormat="false" ht="14.25" hidden="false" customHeight="true" outlineLevel="0" collapsed="false">
      <c r="A237" s="10"/>
      <c r="B237" s="54"/>
      <c r="C237" s="54"/>
      <c r="D237" s="10"/>
      <c r="E237" s="10"/>
      <c r="F237" s="10"/>
      <c r="G237" s="10"/>
      <c r="H237" s="55"/>
      <c r="I237" s="56" t="str">
        <f aca="false">IF(H237="","",H237*(C237-B237+1))</f>
        <v/>
      </c>
      <c r="J237" s="10"/>
      <c r="K237" s="10"/>
      <c r="L237" s="10"/>
      <c r="M237" s="57"/>
    </row>
    <row r="238" customFormat="false" ht="14.25" hidden="false" customHeight="true" outlineLevel="0" collapsed="false">
      <c r="A238" s="10"/>
      <c r="B238" s="54"/>
      <c r="C238" s="54"/>
      <c r="D238" s="10"/>
      <c r="E238" s="10"/>
      <c r="F238" s="10"/>
      <c r="G238" s="10"/>
      <c r="H238" s="55"/>
      <c r="I238" s="56" t="str">
        <f aca="false">IF(H238="","",H238*(C238-B238+1))</f>
        <v/>
      </c>
      <c r="J238" s="10"/>
      <c r="K238" s="10"/>
      <c r="L238" s="10"/>
      <c r="M238" s="57"/>
    </row>
    <row r="239" customFormat="false" ht="14.25" hidden="false" customHeight="true" outlineLevel="0" collapsed="false">
      <c r="A239" s="10"/>
      <c r="B239" s="54"/>
      <c r="C239" s="54"/>
      <c r="D239" s="10"/>
      <c r="E239" s="10"/>
      <c r="F239" s="10"/>
      <c r="G239" s="10"/>
      <c r="H239" s="55"/>
      <c r="I239" s="56" t="str">
        <f aca="false">IF(H239="","",H239*(C239-B239+1))</f>
        <v/>
      </c>
      <c r="J239" s="10"/>
      <c r="K239" s="10"/>
      <c r="L239" s="10"/>
      <c r="M239" s="57"/>
    </row>
    <row r="240" customFormat="false" ht="14.25" hidden="false" customHeight="true" outlineLevel="0" collapsed="false">
      <c r="A240" s="10"/>
      <c r="B240" s="54"/>
      <c r="C240" s="54"/>
      <c r="D240" s="10"/>
      <c r="E240" s="10"/>
      <c r="F240" s="10"/>
      <c r="G240" s="10"/>
      <c r="H240" s="55"/>
      <c r="I240" s="56" t="str">
        <f aca="false">IF(H240="","",H240*(C240-B240+1))</f>
        <v/>
      </c>
      <c r="J240" s="10"/>
      <c r="K240" s="10"/>
      <c r="L240" s="10"/>
      <c r="M240" s="57"/>
    </row>
    <row r="241" customFormat="false" ht="14.25" hidden="false" customHeight="true" outlineLevel="0" collapsed="false">
      <c r="A241" s="10"/>
      <c r="B241" s="54"/>
      <c r="C241" s="54"/>
      <c r="D241" s="10"/>
      <c r="E241" s="10"/>
      <c r="F241" s="10"/>
      <c r="G241" s="10"/>
      <c r="H241" s="55"/>
      <c r="I241" s="56" t="str">
        <f aca="false">IF(H241="","",H241*(C241-B241+1))</f>
        <v/>
      </c>
      <c r="J241" s="10"/>
      <c r="K241" s="10"/>
      <c r="L241" s="10"/>
      <c r="M241" s="57"/>
    </row>
    <row r="242" customFormat="false" ht="14.25" hidden="false" customHeight="true" outlineLevel="0" collapsed="false">
      <c r="A242" s="10"/>
      <c r="B242" s="54"/>
      <c r="C242" s="54"/>
      <c r="D242" s="10"/>
      <c r="E242" s="10"/>
      <c r="F242" s="10"/>
      <c r="G242" s="10"/>
      <c r="H242" s="55"/>
      <c r="I242" s="56" t="str">
        <f aca="false">IF(H242="","",H242*(C242-B242+1))</f>
        <v/>
      </c>
      <c r="J242" s="10"/>
      <c r="K242" s="10"/>
      <c r="L242" s="10"/>
      <c r="M242" s="57"/>
    </row>
    <row r="243" customFormat="false" ht="14.25" hidden="false" customHeight="true" outlineLevel="0" collapsed="false">
      <c r="A243" s="10"/>
      <c r="B243" s="54"/>
      <c r="C243" s="54"/>
      <c r="D243" s="10"/>
      <c r="E243" s="10"/>
      <c r="F243" s="10"/>
      <c r="G243" s="10"/>
      <c r="H243" s="55"/>
      <c r="I243" s="56" t="str">
        <f aca="false">IF(H243="","",H243*(C243-B243+1))</f>
        <v/>
      </c>
      <c r="J243" s="10"/>
      <c r="K243" s="10"/>
      <c r="L243" s="10"/>
      <c r="M243" s="57"/>
    </row>
    <row r="244" customFormat="false" ht="14.25" hidden="false" customHeight="true" outlineLevel="0" collapsed="false">
      <c r="A244" s="10"/>
      <c r="B244" s="54"/>
      <c r="C244" s="54"/>
      <c r="D244" s="10"/>
      <c r="E244" s="10"/>
      <c r="F244" s="10"/>
      <c r="G244" s="10"/>
      <c r="H244" s="55"/>
      <c r="I244" s="56" t="str">
        <f aca="false">IF(H244="","",H244*(C244-B244+1))</f>
        <v/>
      </c>
      <c r="J244" s="10"/>
      <c r="K244" s="10"/>
      <c r="L244" s="10"/>
      <c r="M244" s="57"/>
    </row>
    <row r="245" customFormat="false" ht="14.25" hidden="false" customHeight="true" outlineLevel="0" collapsed="false">
      <c r="A245" s="10"/>
      <c r="B245" s="54"/>
      <c r="C245" s="54"/>
      <c r="D245" s="10"/>
      <c r="E245" s="10"/>
      <c r="F245" s="10"/>
      <c r="G245" s="10"/>
      <c r="H245" s="55"/>
      <c r="I245" s="56" t="str">
        <f aca="false">IF(H245="","",H245*(C245-B245+1))</f>
        <v/>
      </c>
      <c r="J245" s="10"/>
      <c r="K245" s="10"/>
      <c r="L245" s="10"/>
      <c r="M245" s="57"/>
    </row>
    <row r="246" customFormat="false" ht="14.25" hidden="false" customHeight="true" outlineLevel="0" collapsed="false">
      <c r="A246" s="10"/>
      <c r="B246" s="54"/>
      <c r="C246" s="54"/>
      <c r="D246" s="10"/>
      <c r="E246" s="10"/>
      <c r="F246" s="10"/>
      <c r="G246" s="10"/>
      <c r="H246" s="55"/>
      <c r="I246" s="56" t="str">
        <f aca="false">IF(H246="","",H246*(C246-B246+1))</f>
        <v/>
      </c>
      <c r="J246" s="10"/>
      <c r="K246" s="10"/>
      <c r="L246" s="10"/>
      <c r="M246" s="57"/>
    </row>
    <row r="247" customFormat="false" ht="14.25" hidden="false" customHeight="true" outlineLevel="0" collapsed="false">
      <c r="A247" s="10"/>
      <c r="B247" s="54"/>
      <c r="C247" s="54"/>
      <c r="D247" s="10"/>
      <c r="E247" s="10"/>
      <c r="F247" s="10"/>
      <c r="G247" s="10"/>
      <c r="H247" s="55"/>
      <c r="I247" s="56" t="str">
        <f aca="false">IF(H247="","",H247*(C247-B247+1))</f>
        <v/>
      </c>
      <c r="J247" s="10"/>
      <c r="K247" s="10"/>
      <c r="L247" s="10"/>
      <c r="M247" s="57"/>
    </row>
    <row r="248" customFormat="false" ht="14.25" hidden="false" customHeight="true" outlineLevel="0" collapsed="false">
      <c r="A248" s="10"/>
      <c r="B248" s="54"/>
      <c r="C248" s="54"/>
      <c r="D248" s="10"/>
      <c r="E248" s="10"/>
      <c r="F248" s="10"/>
      <c r="G248" s="10"/>
      <c r="H248" s="55"/>
      <c r="I248" s="56" t="str">
        <f aca="false">IF(H248="","",H248*(C248-B248+1))</f>
        <v/>
      </c>
      <c r="J248" s="10"/>
      <c r="K248" s="10"/>
      <c r="L248" s="10"/>
      <c r="M248" s="57"/>
    </row>
    <row r="249" customFormat="false" ht="14.25" hidden="false" customHeight="true" outlineLevel="0" collapsed="false">
      <c r="A249" s="10"/>
      <c r="B249" s="54"/>
      <c r="C249" s="54"/>
      <c r="D249" s="10"/>
      <c r="E249" s="10"/>
      <c r="F249" s="10"/>
      <c r="G249" s="10"/>
      <c r="H249" s="55"/>
      <c r="I249" s="56" t="str">
        <f aca="false">IF(H249="","",H249*(C249-B249+1))</f>
        <v/>
      </c>
      <c r="J249" s="10"/>
      <c r="K249" s="10"/>
      <c r="L249" s="10"/>
      <c r="M249" s="57"/>
    </row>
    <row r="250" customFormat="false" ht="14.25" hidden="false" customHeight="true" outlineLevel="0" collapsed="false">
      <c r="A250" s="10"/>
      <c r="B250" s="54"/>
      <c r="C250" s="54"/>
      <c r="D250" s="10"/>
      <c r="E250" s="10"/>
      <c r="F250" s="10"/>
      <c r="G250" s="10"/>
      <c r="H250" s="55"/>
      <c r="I250" s="56" t="str">
        <f aca="false">IF(H250="","",H250*(C250-B250+1))</f>
        <v/>
      </c>
      <c r="J250" s="10"/>
      <c r="K250" s="10"/>
      <c r="L250" s="10"/>
      <c r="M250" s="57"/>
    </row>
    <row r="251" customFormat="false" ht="14.25" hidden="false" customHeight="true" outlineLevel="0" collapsed="false">
      <c r="A251" s="10"/>
      <c r="B251" s="54"/>
      <c r="C251" s="54"/>
      <c r="D251" s="10"/>
      <c r="E251" s="10"/>
      <c r="F251" s="10"/>
      <c r="G251" s="10"/>
      <c r="H251" s="55"/>
      <c r="I251" s="56" t="str">
        <f aca="false">IF(H251="","",H251*(C251-B251+1))</f>
        <v/>
      </c>
      <c r="J251" s="10"/>
      <c r="K251" s="10"/>
      <c r="L251" s="10"/>
      <c r="M251" s="57"/>
    </row>
    <row r="252" customFormat="false" ht="14.25" hidden="false" customHeight="true" outlineLevel="0" collapsed="false">
      <c r="A252" s="10"/>
      <c r="B252" s="54"/>
      <c r="C252" s="54"/>
      <c r="D252" s="10"/>
      <c r="E252" s="10"/>
      <c r="F252" s="10"/>
      <c r="G252" s="10"/>
      <c r="H252" s="55"/>
      <c r="I252" s="56" t="str">
        <f aca="false">IF(H252="","",H252*(C252-B252+1))</f>
        <v/>
      </c>
      <c r="J252" s="10"/>
      <c r="K252" s="10"/>
      <c r="L252" s="10"/>
      <c r="M252" s="57"/>
    </row>
    <row r="253" customFormat="false" ht="14.25" hidden="false" customHeight="true" outlineLevel="0" collapsed="false">
      <c r="A253" s="10"/>
      <c r="B253" s="54"/>
      <c r="C253" s="54"/>
      <c r="D253" s="10"/>
      <c r="E253" s="10"/>
      <c r="F253" s="10"/>
      <c r="G253" s="10"/>
      <c r="H253" s="55"/>
      <c r="I253" s="56" t="str">
        <f aca="false">IF(H253="","",H253*(C253-B253+1))</f>
        <v/>
      </c>
      <c r="J253" s="10"/>
      <c r="K253" s="10"/>
      <c r="L253" s="10"/>
      <c r="M253" s="57"/>
    </row>
    <row r="254" customFormat="false" ht="14.25" hidden="false" customHeight="true" outlineLevel="0" collapsed="false">
      <c r="A254" s="10"/>
      <c r="B254" s="54"/>
      <c r="C254" s="54"/>
      <c r="D254" s="10"/>
      <c r="E254" s="10"/>
      <c r="F254" s="10"/>
      <c r="G254" s="10"/>
      <c r="H254" s="55"/>
      <c r="I254" s="56" t="str">
        <f aca="false">IF(H254="","",H254*(C254-B254+1))</f>
        <v/>
      </c>
      <c r="J254" s="10"/>
      <c r="K254" s="10"/>
      <c r="L254" s="10"/>
      <c r="M254" s="57"/>
    </row>
    <row r="255" customFormat="false" ht="14.25" hidden="false" customHeight="true" outlineLevel="0" collapsed="false">
      <c r="A255" s="10"/>
      <c r="B255" s="54"/>
      <c r="C255" s="54"/>
      <c r="D255" s="10"/>
      <c r="E255" s="10"/>
      <c r="F255" s="10"/>
      <c r="G255" s="10"/>
      <c r="H255" s="55"/>
      <c r="I255" s="56" t="str">
        <f aca="false">IF(H255="","",H255*(C255-B255+1))</f>
        <v/>
      </c>
      <c r="J255" s="10"/>
      <c r="K255" s="10"/>
      <c r="L255" s="10"/>
      <c r="M255" s="57"/>
    </row>
    <row r="256" customFormat="false" ht="14.25" hidden="false" customHeight="true" outlineLevel="0" collapsed="false">
      <c r="A256" s="10"/>
      <c r="B256" s="54"/>
      <c r="C256" s="54"/>
      <c r="D256" s="10"/>
      <c r="E256" s="10"/>
      <c r="F256" s="10"/>
      <c r="G256" s="10"/>
      <c r="H256" s="55"/>
      <c r="I256" s="56" t="str">
        <f aca="false">IF(H256="","",H256*(C256-B256+1))</f>
        <v/>
      </c>
      <c r="J256" s="10"/>
      <c r="K256" s="10"/>
      <c r="L256" s="10"/>
      <c r="M256" s="57"/>
    </row>
    <row r="257" customFormat="false" ht="14.25" hidden="false" customHeight="true" outlineLevel="0" collapsed="false">
      <c r="A257" s="10"/>
      <c r="B257" s="54"/>
      <c r="C257" s="54"/>
      <c r="D257" s="10"/>
      <c r="E257" s="10"/>
      <c r="F257" s="10"/>
      <c r="G257" s="10"/>
      <c r="H257" s="55"/>
      <c r="I257" s="56" t="str">
        <f aca="false">IF(H257="","",H257*(C257-B257+1))</f>
        <v/>
      </c>
      <c r="J257" s="10"/>
      <c r="K257" s="10"/>
      <c r="L257" s="10"/>
      <c r="M257" s="57"/>
    </row>
    <row r="258" customFormat="false" ht="14.25" hidden="false" customHeight="true" outlineLevel="0" collapsed="false">
      <c r="A258" s="10"/>
      <c r="B258" s="54"/>
      <c r="C258" s="54"/>
      <c r="D258" s="10"/>
      <c r="E258" s="10"/>
      <c r="F258" s="10"/>
      <c r="G258" s="10"/>
      <c r="H258" s="55"/>
      <c r="I258" s="56" t="str">
        <f aca="false">IF(H258="","",H258*(C258-B258+1))</f>
        <v/>
      </c>
      <c r="J258" s="10"/>
      <c r="K258" s="10"/>
      <c r="L258" s="10"/>
      <c r="M258" s="57"/>
    </row>
    <row r="259" customFormat="false" ht="14.25" hidden="false" customHeight="true" outlineLevel="0" collapsed="false">
      <c r="A259" s="10"/>
      <c r="B259" s="54"/>
      <c r="C259" s="54"/>
      <c r="D259" s="10"/>
      <c r="E259" s="10"/>
      <c r="F259" s="10"/>
      <c r="G259" s="10"/>
      <c r="H259" s="55"/>
      <c r="I259" s="56" t="str">
        <f aca="false">IF(H259="","",H259*(C259-B259+1))</f>
        <v/>
      </c>
      <c r="J259" s="10"/>
      <c r="K259" s="10"/>
      <c r="L259" s="10"/>
      <c r="M259" s="57"/>
    </row>
    <row r="260" customFormat="false" ht="14.25" hidden="false" customHeight="true" outlineLevel="0" collapsed="false">
      <c r="A260" s="10"/>
      <c r="B260" s="54"/>
      <c r="C260" s="54"/>
      <c r="D260" s="10"/>
      <c r="E260" s="10"/>
      <c r="F260" s="10"/>
      <c r="G260" s="10"/>
      <c r="H260" s="55"/>
      <c r="I260" s="56" t="str">
        <f aca="false">IF(H260="","",H260*(C260-B260+1))</f>
        <v/>
      </c>
      <c r="J260" s="10"/>
      <c r="K260" s="10"/>
      <c r="L260" s="10"/>
      <c r="M260" s="57"/>
    </row>
    <row r="261" customFormat="false" ht="14.25" hidden="false" customHeight="true" outlineLevel="0" collapsed="false">
      <c r="A261" s="10"/>
      <c r="B261" s="54"/>
      <c r="C261" s="54"/>
      <c r="D261" s="10"/>
      <c r="E261" s="10"/>
      <c r="F261" s="10"/>
      <c r="G261" s="10"/>
      <c r="H261" s="55"/>
      <c r="I261" s="56" t="str">
        <f aca="false">IF(H261="","",H261*(C261-B261+1))</f>
        <v/>
      </c>
      <c r="J261" s="10"/>
      <c r="K261" s="10"/>
      <c r="L261" s="10"/>
      <c r="M261" s="57"/>
    </row>
    <row r="262" customFormat="false" ht="14.25" hidden="false" customHeight="true" outlineLevel="0" collapsed="false">
      <c r="A262" s="10"/>
      <c r="B262" s="54"/>
      <c r="C262" s="54"/>
      <c r="D262" s="10"/>
      <c r="E262" s="10"/>
      <c r="F262" s="10"/>
      <c r="G262" s="10"/>
      <c r="H262" s="55"/>
      <c r="I262" s="56" t="str">
        <f aca="false">IF(H262="","",H262*(C262-B262+1))</f>
        <v/>
      </c>
      <c r="J262" s="10"/>
      <c r="K262" s="10"/>
      <c r="L262" s="10"/>
      <c r="M262" s="57"/>
    </row>
    <row r="263" customFormat="false" ht="14.25" hidden="false" customHeight="true" outlineLevel="0" collapsed="false">
      <c r="A263" s="10"/>
      <c r="B263" s="54"/>
      <c r="C263" s="54"/>
      <c r="D263" s="10"/>
      <c r="E263" s="10"/>
      <c r="F263" s="10"/>
      <c r="G263" s="10"/>
      <c r="H263" s="55"/>
      <c r="I263" s="56" t="str">
        <f aca="false">IF(H263="","",H263*(C263-B263+1))</f>
        <v/>
      </c>
      <c r="J263" s="10"/>
      <c r="K263" s="10"/>
      <c r="L263" s="10"/>
      <c r="M263" s="57"/>
    </row>
    <row r="264" customFormat="false" ht="14.25" hidden="false" customHeight="true" outlineLevel="0" collapsed="false">
      <c r="A264" s="10"/>
      <c r="B264" s="54"/>
      <c r="C264" s="54"/>
      <c r="D264" s="10"/>
      <c r="E264" s="10"/>
      <c r="F264" s="10"/>
      <c r="G264" s="10"/>
      <c r="H264" s="55"/>
      <c r="I264" s="56" t="str">
        <f aca="false">IF(H264="","",H264*(C264-B264+1))</f>
        <v/>
      </c>
      <c r="J264" s="10"/>
      <c r="K264" s="10"/>
      <c r="L264" s="10"/>
      <c r="M264" s="57"/>
    </row>
    <row r="265" customFormat="false" ht="14.25" hidden="false" customHeight="true" outlineLevel="0" collapsed="false">
      <c r="A265" s="10"/>
      <c r="B265" s="54"/>
      <c r="C265" s="54"/>
      <c r="D265" s="10"/>
      <c r="E265" s="10"/>
      <c r="F265" s="10"/>
      <c r="G265" s="10"/>
      <c r="H265" s="55"/>
      <c r="I265" s="56" t="str">
        <f aca="false">IF(H265="","",H265*(C265-B265+1))</f>
        <v/>
      </c>
      <c r="J265" s="10"/>
      <c r="K265" s="10"/>
      <c r="L265" s="10"/>
      <c r="M265" s="57"/>
    </row>
    <row r="266" customFormat="false" ht="14.25" hidden="false" customHeight="true" outlineLevel="0" collapsed="false">
      <c r="A266" s="10"/>
      <c r="B266" s="54"/>
      <c r="C266" s="54"/>
      <c r="D266" s="10"/>
      <c r="E266" s="10"/>
      <c r="F266" s="10"/>
      <c r="G266" s="10"/>
      <c r="H266" s="55"/>
      <c r="I266" s="56" t="str">
        <f aca="false">IF(H266="","",H266*(C266-B266+1))</f>
        <v/>
      </c>
      <c r="J266" s="10"/>
      <c r="K266" s="10"/>
      <c r="L266" s="10"/>
      <c r="M266" s="57"/>
    </row>
    <row r="267" customFormat="false" ht="14.25" hidden="false" customHeight="true" outlineLevel="0" collapsed="false">
      <c r="A267" s="10"/>
      <c r="B267" s="54"/>
      <c r="C267" s="54"/>
      <c r="D267" s="10"/>
      <c r="E267" s="10"/>
      <c r="F267" s="10"/>
      <c r="G267" s="10"/>
      <c r="H267" s="55"/>
      <c r="I267" s="56" t="str">
        <f aca="false">IF(H267="","",H267*(C267-B267+1))</f>
        <v/>
      </c>
      <c r="J267" s="10"/>
      <c r="K267" s="10"/>
      <c r="L267" s="10"/>
      <c r="M267" s="57"/>
    </row>
    <row r="268" customFormat="false" ht="14.25" hidden="false" customHeight="true" outlineLevel="0" collapsed="false">
      <c r="A268" s="10"/>
      <c r="B268" s="54"/>
      <c r="C268" s="54"/>
      <c r="D268" s="10"/>
      <c r="E268" s="10"/>
      <c r="F268" s="10"/>
      <c r="G268" s="10"/>
      <c r="H268" s="55"/>
      <c r="I268" s="56" t="str">
        <f aca="false">IF(H268="","",H268*(C268-B268+1))</f>
        <v/>
      </c>
      <c r="J268" s="10"/>
      <c r="K268" s="10"/>
      <c r="L268" s="10"/>
      <c r="M268" s="57"/>
    </row>
    <row r="269" customFormat="false" ht="14.25" hidden="false" customHeight="true" outlineLevel="0" collapsed="false">
      <c r="A269" s="10"/>
      <c r="B269" s="54"/>
      <c r="C269" s="54"/>
      <c r="D269" s="10"/>
      <c r="E269" s="10"/>
      <c r="F269" s="10"/>
      <c r="G269" s="10"/>
      <c r="H269" s="55"/>
      <c r="I269" s="56" t="str">
        <f aca="false">IF(H269="","",H269*(C269-B269+1))</f>
        <v/>
      </c>
      <c r="J269" s="10"/>
      <c r="K269" s="10"/>
      <c r="L269" s="10"/>
      <c r="M269" s="57"/>
    </row>
    <row r="270" customFormat="false" ht="14.25" hidden="false" customHeight="true" outlineLevel="0" collapsed="false">
      <c r="A270" s="10"/>
      <c r="B270" s="54"/>
      <c r="C270" s="54"/>
      <c r="D270" s="10"/>
      <c r="E270" s="10"/>
      <c r="F270" s="10"/>
      <c r="G270" s="10"/>
      <c r="H270" s="55"/>
      <c r="I270" s="56" t="str">
        <f aca="false">IF(H270="","",H270*(C270-B270+1))</f>
        <v/>
      </c>
      <c r="J270" s="10"/>
      <c r="K270" s="10"/>
      <c r="L270" s="10"/>
      <c r="M270" s="57"/>
    </row>
    <row r="271" customFormat="false" ht="14.25" hidden="false" customHeight="true" outlineLevel="0" collapsed="false">
      <c r="A271" s="10"/>
      <c r="B271" s="54"/>
      <c r="C271" s="54"/>
      <c r="D271" s="10"/>
      <c r="E271" s="10"/>
      <c r="F271" s="10"/>
      <c r="G271" s="10"/>
      <c r="H271" s="55"/>
      <c r="I271" s="56" t="str">
        <f aca="false">IF(H271="","",H271*(C271-B271+1))</f>
        <v/>
      </c>
      <c r="J271" s="10"/>
      <c r="K271" s="10"/>
      <c r="L271" s="10"/>
      <c r="M271" s="57"/>
    </row>
    <row r="272" customFormat="false" ht="14.25" hidden="false" customHeight="true" outlineLevel="0" collapsed="false">
      <c r="A272" s="10"/>
      <c r="B272" s="54"/>
      <c r="C272" s="54"/>
      <c r="D272" s="10"/>
      <c r="E272" s="10"/>
      <c r="F272" s="10"/>
      <c r="G272" s="10"/>
      <c r="H272" s="55"/>
      <c r="I272" s="56" t="str">
        <f aca="false">IF(H272="","",H272*(C272-B272+1))</f>
        <v/>
      </c>
      <c r="J272" s="10"/>
      <c r="K272" s="10"/>
      <c r="L272" s="10"/>
      <c r="M272" s="57"/>
    </row>
    <row r="273" customFormat="false" ht="14.25" hidden="false" customHeight="true" outlineLevel="0" collapsed="false">
      <c r="A273" s="10"/>
      <c r="B273" s="54"/>
      <c r="C273" s="54"/>
      <c r="D273" s="10"/>
      <c r="E273" s="10"/>
      <c r="F273" s="10"/>
      <c r="G273" s="10"/>
      <c r="H273" s="55"/>
      <c r="I273" s="56" t="str">
        <f aca="false">IF(H273="","",H273*(C273-B273+1))</f>
        <v/>
      </c>
      <c r="J273" s="10"/>
      <c r="K273" s="10"/>
      <c r="L273" s="10"/>
      <c r="M273" s="57"/>
    </row>
    <row r="274" customFormat="false" ht="14.25" hidden="false" customHeight="true" outlineLevel="0" collapsed="false">
      <c r="A274" s="10"/>
      <c r="B274" s="54"/>
      <c r="C274" s="54"/>
      <c r="D274" s="10"/>
      <c r="E274" s="10"/>
      <c r="F274" s="10"/>
      <c r="G274" s="10"/>
      <c r="H274" s="55"/>
      <c r="I274" s="56" t="str">
        <f aca="false">IF(H274="","",H274*(C274-B274+1))</f>
        <v/>
      </c>
      <c r="J274" s="10"/>
      <c r="K274" s="10"/>
      <c r="L274" s="10"/>
      <c r="M274" s="57"/>
    </row>
    <row r="275" customFormat="false" ht="14.25" hidden="false" customHeight="true" outlineLevel="0" collapsed="false">
      <c r="A275" s="10"/>
      <c r="B275" s="54"/>
      <c r="C275" s="54"/>
      <c r="D275" s="10"/>
      <c r="E275" s="10"/>
      <c r="F275" s="10"/>
      <c r="G275" s="10"/>
      <c r="H275" s="55"/>
      <c r="I275" s="56" t="str">
        <f aca="false">IF(H275="","",H275*(C275-B275+1))</f>
        <v/>
      </c>
      <c r="J275" s="10"/>
      <c r="K275" s="10"/>
      <c r="L275" s="10"/>
      <c r="M275" s="57"/>
    </row>
    <row r="276" customFormat="false" ht="14.25" hidden="false" customHeight="true" outlineLevel="0" collapsed="false">
      <c r="A276" s="10"/>
      <c r="B276" s="54"/>
      <c r="C276" s="54"/>
      <c r="D276" s="10"/>
      <c r="E276" s="10"/>
      <c r="F276" s="10"/>
      <c r="G276" s="10"/>
      <c r="H276" s="55"/>
      <c r="I276" s="56" t="str">
        <f aca="false">IF(H276="","",H276*(C276-B276+1))</f>
        <v/>
      </c>
      <c r="J276" s="10"/>
      <c r="K276" s="10"/>
      <c r="L276" s="10"/>
      <c r="M276" s="57"/>
    </row>
    <row r="277" customFormat="false" ht="14.25" hidden="false" customHeight="true" outlineLevel="0" collapsed="false">
      <c r="A277" s="10"/>
      <c r="B277" s="54"/>
      <c r="C277" s="54"/>
      <c r="D277" s="10"/>
      <c r="E277" s="10"/>
      <c r="F277" s="10"/>
      <c r="G277" s="10"/>
      <c r="H277" s="55"/>
      <c r="I277" s="56" t="str">
        <f aca="false">IF(H277="","",H277*(C277-B277+1))</f>
        <v/>
      </c>
      <c r="J277" s="10"/>
      <c r="K277" s="10"/>
      <c r="L277" s="10"/>
      <c r="M277" s="57"/>
    </row>
    <row r="278" customFormat="false" ht="14.25" hidden="false" customHeight="true" outlineLevel="0" collapsed="false">
      <c r="A278" s="10"/>
      <c r="B278" s="54"/>
      <c r="C278" s="54"/>
      <c r="D278" s="10"/>
      <c r="E278" s="10"/>
      <c r="F278" s="10"/>
      <c r="G278" s="10"/>
      <c r="H278" s="55"/>
      <c r="I278" s="56" t="str">
        <f aca="false">IF(H278="","",H278*(C278-B278+1))</f>
        <v/>
      </c>
      <c r="J278" s="10"/>
      <c r="K278" s="10"/>
      <c r="L278" s="10"/>
      <c r="M278" s="57"/>
    </row>
    <row r="279" customFormat="false" ht="14.25" hidden="false" customHeight="true" outlineLevel="0" collapsed="false">
      <c r="A279" s="10"/>
      <c r="B279" s="54"/>
      <c r="C279" s="54"/>
      <c r="D279" s="10"/>
      <c r="E279" s="10"/>
      <c r="F279" s="10"/>
      <c r="G279" s="10"/>
      <c r="H279" s="55"/>
      <c r="I279" s="56" t="str">
        <f aca="false">IF(H279="","",H279*(C279-B279+1))</f>
        <v/>
      </c>
      <c r="J279" s="10"/>
      <c r="K279" s="10"/>
      <c r="L279" s="10"/>
      <c r="M279" s="57"/>
    </row>
    <row r="280" customFormat="false" ht="14.25" hidden="false" customHeight="true" outlineLevel="0" collapsed="false">
      <c r="A280" s="10"/>
      <c r="B280" s="54"/>
      <c r="C280" s="54"/>
      <c r="D280" s="10"/>
      <c r="E280" s="10"/>
      <c r="F280" s="10"/>
      <c r="G280" s="10"/>
      <c r="H280" s="55"/>
      <c r="I280" s="56" t="str">
        <f aca="false">IF(H280="","",H280*(C280-B280+1))</f>
        <v/>
      </c>
      <c r="J280" s="10"/>
      <c r="K280" s="10"/>
      <c r="L280" s="10"/>
      <c r="M280" s="57"/>
    </row>
    <row r="281" customFormat="false" ht="14.25" hidden="false" customHeight="true" outlineLevel="0" collapsed="false">
      <c r="A281" s="10"/>
      <c r="B281" s="54"/>
      <c r="C281" s="54"/>
      <c r="D281" s="10"/>
      <c r="E281" s="10"/>
      <c r="F281" s="10"/>
      <c r="G281" s="10"/>
      <c r="H281" s="55"/>
      <c r="I281" s="56" t="str">
        <f aca="false">IF(H281="","",H281*(C281-B281+1))</f>
        <v/>
      </c>
      <c r="J281" s="10"/>
      <c r="K281" s="10"/>
      <c r="L281" s="10"/>
      <c r="M281" s="57"/>
    </row>
    <row r="282" customFormat="false" ht="14.25" hidden="false" customHeight="true" outlineLevel="0" collapsed="false">
      <c r="A282" s="10"/>
      <c r="B282" s="54"/>
      <c r="C282" s="54"/>
      <c r="D282" s="10"/>
      <c r="E282" s="10"/>
      <c r="F282" s="10"/>
      <c r="G282" s="10"/>
      <c r="H282" s="55"/>
      <c r="I282" s="56" t="str">
        <f aca="false">IF(H282="","",H282*(C282-B282+1))</f>
        <v/>
      </c>
      <c r="J282" s="10"/>
      <c r="K282" s="10"/>
      <c r="L282" s="10"/>
      <c r="M282" s="57"/>
    </row>
    <row r="283" customFormat="false" ht="14.25" hidden="false" customHeight="true" outlineLevel="0" collapsed="false">
      <c r="A283" s="10"/>
      <c r="B283" s="54"/>
      <c r="C283" s="54"/>
      <c r="D283" s="10"/>
      <c r="E283" s="10"/>
      <c r="F283" s="10"/>
      <c r="G283" s="10"/>
      <c r="H283" s="55"/>
      <c r="I283" s="56" t="str">
        <f aca="false">IF(H283="","",H283*(C283-B283+1))</f>
        <v/>
      </c>
      <c r="J283" s="10"/>
      <c r="K283" s="10"/>
      <c r="L283" s="10"/>
      <c r="M283" s="57"/>
    </row>
    <row r="284" customFormat="false" ht="14.25" hidden="false" customHeight="true" outlineLevel="0" collapsed="false">
      <c r="A284" s="10"/>
      <c r="B284" s="54"/>
      <c r="C284" s="54"/>
      <c r="D284" s="10"/>
      <c r="E284" s="10"/>
      <c r="F284" s="10"/>
      <c r="G284" s="10"/>
      <c r="H284" s="55"/>
      <c r="I284" s="56" t="str">
        <f aca="false">IF(H284="","",H284*(C284-B284+1))</f>
        <v/>
      </c>
      <c r="J284" s="10"/>
      <c r="K284" s="10"/>
      <c r="L284" s="10"/>
      <c r="M284" s="57"/>
    </row>
    <row r="285" customFormat="false" ht="14.25" hidden="false" customHeight="true" outlineLevel="0" collapsed="false">
      <c r="A285" s="10"/>
      <c r="B285" s="54"/>
      <c r="C285" s="54"/>
      <c r="D285" s="10"/>
      <c r="E285" s="10"/>
      <c r="F285" s="10"/>
      <c r="G285" s="10"/>
      <c r="H285" s="55"/>
      <c r="I285" s="56" t="str">
        <f aca="false">IF(H285="","",H285*(C285-B285+1))</f>
        <v/>
      </c>
      <c r="J285" s="10"/>
      <c r="K285" s="10"/>
      <c r="L285" s="10"/>
      <c r="M285" s="57"/>
    </row>
    <row r="286" customFormat="false" ht="14.25" hidden="false" customHeight="true" outlineLevel="0" collapsed="false">
      <c r="A286" s="10"/>
      <c r="B286" s="54"/>
      <c r="C286" s="54"/>
      <c r="D286" s="10"/>
      <c r="E286" s="10"/>
      <c r="F286" s="10"/>
      <c r="G286" s="10"/>
      <c r="H286" s="55"/>
      <c r="I286" s="56" t="str">
        <f aca="false">IF(H286="","",H286*(C286-B286+1))</f>
        <v/>
      </c>
      <c r="J286" s="10"/>
      <c r="K286" s="10"/>
      <c r="L286" s="10"/>
      <c r="M286" s="57"/>
    </row>
    <row r="287" customFormat="false" ht="14.25" hidden="false" customHeight="true" outlineLevel="0" collapsed="false">
      <c r="A287" s="10"/>
      <c r="B287" s="54"/>
      <c r="C287" s="54"/>
      <c r="D287" s="10"/>
      <c r="E287" s="10"/>
      <c r="F287" s="10"/>
      <c r="G287" s="10"/>
      <c r="H287" s="55"/>
      <c r="I287" s="56" t="str">
        <f aca="false">IF(H287="","",H287*(C287-B287+1))</f>
        <v/>
      </c>
      <c r="J287" s="10"/>
      <c r="K287" s="10"/>
      <c r="L287" s="10"/>
      <c r="M287" s="57"/>
    </row>
    <row r="288" customFormat="false" ht="14.25" hidden="false" customHeight="true" outlineLevel="0" collapsed="false">
      <c r="A288" s="10"/>
      <c r="B288" s="54"/>
      <c r="C288" s="54"/>
      <c r="D288" s="10"/>
      <c r="E288" s="10"/>
      <c r="F288" s="10"/>
      <c r="G288" s="10"/>
      <c r="H288" s="55"/>
      <c r="I288" s="56" t="str">
        <f aca="false">IF(H288="","",H288*(C288-B288+1))</f>
        <v/>
      </c>
      <c r="J288" s="10"/>
      <c r="K288" s="10"/>
      <c r="L288" s="10"/>
      <c r="M288" s="57"/>
    </row>
    <row r="289" customFormat="false" ht="14.25" hidden="false" customHeight="true" outlineLevel="0" collapsed="false">
      <c r="A289" s="10"/>
      <c r="B289" s="54"/>
      <c r="C289" s="54"/>
      <c r="D289" s="10"/>
      <c r="E289" s="10"/>
      <c r="F289" s="10"/>
      <c r="G289" s="10"/>
      <c r="H289" s="55"/>
      <c r="I289" s="56" t="str">
        <f aca="false">IF(H289="","",H289*(C289-B289+1))</f>
        <v/>
      </c>
      <c r="J289" s="10"/>
      <c r="K289" s="10"/>
      <c r="L289" s="10"/>
      <c r="M289" s="57"/>
    </row>
    <row r="290" customFormat="false" ht="14.25" hidden="false" customHeight="true" outlineLevel="0" collapsed="false">
      <c r="A290" s="10"/>
      <c r="B290" s="54"/>
      <c r="C290" s="54"/>
      <c r="D290" s="10"/>
      <c r="E290" s="10"/>
      <c r="F290" s="10"/>
      <c r="G290" s="10"/>
      <c r="H290" s="55"/>
      <c r="I290" s="56" t="str">
        <f aca="false">IF(H290="","",H290*(C290-B290+1))</f>
        <v/>
      </c>
      <c r="J290" s="10"/>
      <c r="K290" s="10"/>
      <c r="L290" s="10"/>
      <c r="M290" s="57"/>
    </row>
    <row r="291" customFormat="false" ht="14.25" hidden="false" customHeight="true" outlineLevel="0" collapsed="false">
      <c r="A291" s="10"/>
      <c r="B291" s="54"/>
      <c r="C291" s="54"/>
      <c r="D291" s="10"/>
      <c r="E291" s="10"/>
      <c r="F291" s="10"/>
      <c r="G291" s="10"/>
      <c r="H291" s="55"/>
      <c r="I291" s="56" t="str">
        <f aca="false">IF(H291="","",H291*(C291-B291+1))</f>
        <v/>
      </c>
      <c r="J291" s="10"/>
      <c r="K291" s="10"/>
      <c r="L291" s="10"/>
      <c r="M291" s="57"/>
    </row>
    <row r="292" customFormat="false" ht="14.25" hidden="false" customHeight="true" outlineLevel="0" collapsed="false">
      <c r="A292" s="10"/>
      <c r="B292" s="54"/>
      <c r="C292" s="54"/>
      <c r="D292" s="10"/>
      <c r="E292" s="10"/>
      <c r="F292" s="10"/>
      <c r="G292" s="10"/>
      <c r="H292" s="55"/>
      <c r="I292" s="56" t="str">
        <f aca="false">IF(H292="","",H292*(C292-B292+1))</f>
        <v/>
      </c>
      <c r="J292" s="10"/>
      <c r="K292" s="10"/>
      <c r="L292" s="10"/>
      <c r="M292" s="57"/>
    </row>
    <row r="293" customFormat="false" ht="14.25" hidden="false" customHeight="true" outlineLevel="0" collapsed="false">
      <c r="A293" s="10"/>
      <c r="B293" s="54"/>
      <c r="C293" s="54"/>
      <c r="D293" s="10"/>
      <c r="E293" s="10"/>
      <c r="F293" s="10"/>
      <c r="G293" s="10"/>
      <c r="H293" s="55"/>
      <c r="I293" s="56" t="str">
        <f aca="false">IF(H293="","",H293*(C293-B293+1))</f>
        <v/>
      </c>
      <c r="J293" s="10"/>
      <c r="K293" s="10"/>
      <c r="L293" s="10"/>
      <c r="M293" s="57"/>
    </row>
    <row r="294" customFormat="false" ht="14.25" hidden="false" customHeight="true" outlineLevel="0" collapsed="false">
      <c r="A294" s="10"/>
      <c r="B294" s="54"/>
      <c r="C294" s="54"/>
      <c r="D294" s="10"/>
      <c r="E294" s="10"/>
      <c r="F294" s="10"/>
      <c r="G294" s="10"/>
      <c r="H294" s="55"/>
      <c r="I294" s="56" t="str">
        <f aca="false">IF(H294="","",H294*(C294-B294+1))</f>
        <v/>
      </c>
      <c r="J294" s="10"/>
      <c r="K294" s="10"/>
      <c r="L294" s="10"/>
      <c r="M294" s="57"/>
    </row>
    <row r="295" customFormat="false" ht="14.25" hidden="false" customHeight="true" outlineLevel="0" collapsed="false">
      <c r="A295" s="10"/>
      <c r="B295" s="54"/>
      <c r="C295" s="54"/>
      <c r="D295" s="10"/>
      <c r="E295" s="10"/>
      <c r="F295" s="10"/>
      <c r="G295" s="10"/>
      <c r="H295" s="55"/>
      <c r="I295" s="56" t="str">
        <f aca="false">IF(H295="","",H295*(C295-B295+1))</f>
        <v/>
      </c>
      <c r="J295" s="10"/>
      <c r="K295" s="10"/>
      <c r="L295" s="10"/>
      <c r="M295" s="57"/>
    </row>
    <row r="296" customFormat="false" ht="14.25" hidden="false" customHeight="true" outlineLevel="0" collapsed="false">
      <c r="A296" s="10"/>
      <c r="B296" s="54"/>
      <c r="C296" s="54"/>
      <c r="D296" s="10"/>
      <c r="E296" s="10"/>
      <c r="F296" s="10"/>
      <c r="G296" s="10"/>
      <c r="H296" s="55"/>
      <c r="I296" s="56" t="str">
        <f aca="false">IF(H296="","",H296*(C296-B296+1))</f>
        <v/>
      </c>
      <c r="J296" s="10"/>
      <c r="K296" s="10"/>
      <c r="L296" s="10"/>
      <c r="M296" s="57"/>
    </row>
    <row r="297" customFormat="false" ht="14.25" hidden="false" customHeight="true" outlineLevel="0" collapsed="false">
      <c r="A297" s="10"/>
      <c r="B297" s="54"/>
      <c r="C297" s="54"/>
      <c r="D297" s="10"/>
      <c r="E297" s="10"/>
      <c r="F297" s="10"/>
      <c r="G297" s="10"/>
      <c r="H297" s="55"/>
      <c r="I297" s="56" t="str">
        <f aca="false">IF(H297="","",H297*(C297-B297+1))</f>
        <v/>
      </c>
      <c r="J297" s="10"/>
      <c r="K297" s="10"/>
      <c r="L297" s="10"/>
      <c r="M297" s="57"/>
    </row>
    <row r="298" customFormat="false" ht="14.25" hidden="false" customHeight="true" outlineLevel="0" collapsed="false">
      <c r="A298" s="10"/>
      <c r="B298" s="54"/>
      <c r="C298" s="54"/>
      <c r="D298" s="10"/>
      <c r="E298" s="10"/>
      <c r="F298" s="10"/>
      <c r="G298" s="10"/>
      <c r="H298" s="55"/>
      <c r="I298" s="56" t="str">
        <f aca="false">IF(H298="","",H298*(C298-B298+1))</f>
        <v/>
      </c>
      <c r="J298" s="10"/>
      <c r="K298" s="10"/>
      <c r="L298" s="10"/>
      <c r="M298" s="57"/>
    </row>
    <row r="299" customFormat="false" ht="14.25" hidden="false" customHeight="true" outlineLevel="0" collapsed="false">
      <c r="A299" s="10"/>
      <c r="B299" s="54"/>
      <c r="C299" s="54"/>
      <c r="D299" s="10"/>
      <c r="E299" s="10"/>
      <c r="F299" s="10"/>
      <c r="G299" s="10"/>
      <c r="H299" s="55"/>
      <c r="I299" s="56" t="str">
        <f aca="false">IF(H299="","",H299*(C299-B299+1))</f>
        <v/>
      </c>
      <c r="J299" s="10"/>
      <c r="K299" s="10"/>
      <c r="L299" s="10"/>
      <c r="M299" s="57"/>
    </row>
    <row r="300" customFormat="false" ht="14.25" hidden="false" customHeight="true" outlineLevel="0" collapsed="false">
      <c r="A300" s="10"/>
      <c r="B300" s="54"/>
      <c r="C300" s="54"/>
      <c r="D300" s="10"/>
      <c r="E300" s="10"/>
      <c r="F300" s="10"/>
      <c r="G300" s="10"/>
      <c r="H300" s="55"/>
      <c r="I300" s="56" t="str">
        <f aca="false">IF(H300="","",H300*(C300-B300+1))</f>
        <v/>
      </c>
      <c r="J300" s="10"/>
      <c r="K300" s="10"/>
      <c r="L300" s="10"/>
      <c r="M300" s="57"/>
    </row>
    <row r="301" customFormat="false" ht="14.25" hidden="false" customHeight="true" outlineLevel="0" collapsed="false">
      <c r="A301" s="10"/>
      <c r="B301" s="54"/>
      <c r="C301" s="54"/>
      <c r="D301" s="10"/>
      <c r="E301" s="10"/>
      <c r="F301" s="10"/>
      <c r="G301" s="10"/>
      <c r="H301" s="55"/>
      <c r="I301" s="56" t="str">
        <f aca="false">IF(H301="","",H301*(C301-B301+1))</f>
        <v/>
      </c>
      <c r="J301" s="10"/>
      <c r="K301" s="10"/>
      <c r="L301" s="10"/>
      <c r="M301" s="57"/>
    </row>
    <row r="302" customFormat="false" ht="14.25" hidden="false" customHeight="true" outlineLevel="0" collapsed="false">
      <c r="A302" s="10"/>
      <c r="B302" s="54"/>
      <c r="C302" s="54"/>
      <c r="D302" s="10"/>
      <c r="E302" s="10"/>
      <c r="F302" s="10"/>
      <c r="G302" s="10"/>
      <c r="H302" s="55"/>
      <c r="I302" s="56" t="str">
        <f aca="false">IF(H302="","",H302*(C302-B302+1))</f>
        <v/>
      </c>
      <c r="J302" s="10"/>
      <c r="K302" s="10"/>
      <c r="L302" s="10"/>
      <c r="M302" s="57"/>
    </row>
    <row r="303" customFormat="false" ht="14.25" hidden="false" customHeight="true" outlineLevel="0" collapsed="false">
      <c r="A303" s="10"/>
      <c r="B303" s="54"/>
      <c r="C303" s="54"/>
      <c r="D303" s="10"/>
      <c r="E303" s="10"/>
      <c r="F303" s="10"/>
      <c r="G303" s="10"/>
      <c r="H303" s="55"/>
      <c r="I303" s="56" t="str">
        <f aca="false">IF(H303="","",H303*(C303-B303+1))</f>
        <v/>
      </c>
      <c r="J303" s="10"/>
      <c r="K303" s="10"/>
      <c r="L303" s="10"/>
      <c r="M303" s="57"/>
    </row>
    <row r="304" customFormat="false" ht="14.25" hidden="false" customHeight="true" outlineLevel="0" collapsed="false">
      <c r="A304" s="10"/>
      <c r="B304" s="54"/>
      <c r="C304" s="54"/>
      <c r="D304" s="10"/>
      <c r="E304" s="10"/>
      <c r="F304" s="10"/>
      <c r="G304" s="10"/>
      <c r="H304" s="55"/>
      <c r="I304" s="56" t="str">
        <f aca="false">IF(H304="","",H304*(C304-B304+1))</f>
        <v/>
      </c>
      <c r="J304" s="10"/>
      <c r="K304" s="10"/>
      <c r="L304" s="10"/>
      <c r="M304" s="57"/>
    </row>
    <row r="305" customFormat="false" ht="14.25" hidden="false" customHeight="true" outlineLevel="0" collapsed="false">
      <c r="A305" s="10"/>
      <c r="B305" s="54"/>
      <c r="C305" s="54"/>
      <c r="D305" s="10"/>
      <c r="E305" s="10"/>
      <c r="F305" s="10"/>
      <c r="G305" s="10"/>
      <c r="H305" s="55"/>
      <c r="I305" s="56" t="str">
        <f aca="false">IF(H305="","",H305*(C305-B305+1))</f>
        <v/>
      </c>
      <c r="J305" s="10"/>
      <c r="K305" s="10"/>
      <c r="L305" s="10"/>
      <c r="M305" s="57"/>
    </row>
    <row r="306" customFormat="false" ht="14.25" hidden="false" customHeight="true" outlineLevel="0" collapsed="false">
      <c r="A306" s="10"/>
      <c r="B306" s="54"/>
      <c r="C306" s="54"/>
      <c r="D306" s="10"/>
      <c r="E306" s="10"/>
      <c r="F306" s="10"/>
      <c r="G306" s="10"/>
      <c r="H306" s="55"/>
      <c r="I306" s="56" t="str">
        <f aca="false">IF(H306="","",H306*(C306-B306+1))</f>
        <v/>
      </c>
      <c r="J306" s="10"/>
      <c r="K306" s="10"/>
      <c r="L306" s="10"/>
      <c r="M306" s="57"/>
    </row>
    <row r="307" customFormat="false" ht="14.25" hidden="false" customHeight="true" outlineLevel="0" collapsed="false">
      <c r="A307" s="10"/>
      <c r="B307" s="54"/>
      <c r="C307" s="54"/>
      <c r="D307" s="10"/>
      <c r="E307" s="10"/>
      <c r="F307" s="10"/>
      <c r="G307" s="10"/>
      <c r="H307" s="55"/>
      <c r="I307" s="56" t="str">
        <f aca="false">IF(H307="","",H307*(C307-B307+1))</f>
        <v/>
      </c>
      <c r="J307" s="10"/>
      <c r="K307" s="10"/>
      <c r="L307" s="10"/>
      <c r="M307" s="57"/>
    </row>
    <row r="308" customFormat="false" ht="14.25" hidden="false" customHeight="true" outlineLevel="0" collapsed="false">
      <c r="A308" s="10"/>
      <c r="B308" s="54"/>
      <c r="C308" s="54"/>
      <c r="D308" s="10"/>
      <c r="E308" s="10"/>
      <c r="F308" s="10"/>
      <c r="G308" s="10"/>
      <c r="H308" s="55"/>
      <c r="I308" s="56" t="str">
        <f aca="false">IF(H308="","",H308*(C308-B308+1))</f>
        <v/>
      </c>
      <c r="J308" s="10"/>
      <c r="K308" s="10"/>
      <c r="L308" s="10"/>
      <c r="M308" s="57"/>
    </row>
    <row r="309" customFormat="false" ht="14.25" hidden="false" customHeight="true" outlineLevel="0" collapsed="false">
      <c r="A309" s="10"/>
      <c r="B309" s="54"/>
      <c r="C309" s="54"/>
      <c r="D309" s="10"/>
      <c r="E309" s="10"/>
      <c r="F309" s="10"/>
      <c r="G309" s="10"/>
      <c r="H309" s="55"/>
      <c r="I309" s="56" t="str">
        <f aca="false">IF(H309="","",H309*(C309-B309+1))</f>
        <v/>
      </c>
      <c r="J309" s="10"/>
      <c r="K309" s="10"/>
      <c r="L309" s="10"/>
      <c r="M309" s="57"/>
    </row>
    <row r="310" customFormat="false" ht="14.25" hidden="false" customHeight="true" outlineLevel="0" collapsed="false">
      <c r="A310" s="10"/>
      <c r="B310" s="54"/>
      <c r="C310" s="54"/>
      <c r="D310" s="10"/>
      <c r="E310" s="10"/>
      <c r="F310" s="10"/>
      <c r="G310" s="10"/>
      <c r="H310" s="55"/>
      <c r="I310" s="56" t="str">
        <f aca="false">IF(H310="","",H310*(C310-B310+1))</f>
        <v/>
      </c>
      <c r="J310" s="10"/>
      <c r="K310" s="10"/>
      <c r="L310" s="10"/>
      <c r="M310" s="57"/>
    </row>
    <row r="311" customFormat="false" ht="14.25" hidden="false" customHeight="true" outlineLevel="0" collapsed="false">
      <c r="A311" s="10"/>
      <c r="B311" s="54"/>
      <c r="C311" s="54"/>
      <c r="D311" s="10"/>
      <c r="E311" s="10"/>
      <c r="F311" s="10"/>
      <c r="G311" s="10"/>
      <c r="H311" s="55"/>
      <c r="I311" s="56" t="str">
        <f aca="false">IF(H311="","",H311*(C311-B311+1))</f>
        <v/>
      </c>
      <c r="J311" s="10"/>
      <c r="K311" s="10"/>
      <c r="L311" s="10"/>
      <c r="M311" s="57"/>
    </row>
    <row r="312" customFormat="false" ht="14.25" hidden="false" customHeight="true" outlineLevel="0" collapsed="false">
      <c r="A312" s="10"/>
      <c r="B312" s="54"/>
      <c r="C312" s="54"/>
      <c r="D312" s="10"/>
      <c r="E312" s="10"/>
      <c r="F312" s="10"/>
      <c r="G312" s="10"/>
      <c r="H312" s="55"/>
      <c r="I312" s="56" t="str">
        <f aca="false">IF(H312="","",H312*(C312-B312+1))</f>
        <v/>
      </c>
      <c r="J312" s="10"/>
      <c r="K312" s="10"/>
      <c r="L312" s="10"/>
      <c r="M312" s="57"/>
    </row>
    <row r="313" customFormat="false" ht="14.25" hidden="false" customHeight="true" outlineLevel="0" collapsed="false">
      <c r="A313" s="10"/>
      <c r="B313" s="54"/>
      <c r="C313" s="54"/>
      <c r="D313" s="10"/>
      <c r="E313" s="10"/>
      <c r="F313" s="10"/>
      <c r="G313" s="10"/>
      <c r="H313" s="55"/>
      <c r="I313" s="56" t="str">
        <f aca="false">IF(H313="","",H313*(C313-B313+1))</f>
        <v/>
      </c>
      <c r="J313" s="10"/>
      <c r="K313" s="10"/>
      <c r="L313" s="10"/>
      <c r="M313" s="57"/>
    </row>
    <row r="314" customFormat="false" ht="14.25" hidden="false" customHeight="true" outlineLevel="0" collapsed="false">
      <c r="A314" s="10"/>
      <c r="B314" s="54"/>
      <c r="C314" s="54"/>
      <c r="D314" s="10"/>
      <c r="E314" s="10"/>
      <c r="F314" s="10"/>
      <c r="G314" s="10"/>
      <c r="H314" s="55"/>
      <c r="I314" s="56" t="str">
        <f aca="false">IF(H314="","",H314*(C314-B314+1))</f>
        <v/>
      </c>
      <c r="J314" s="10"/>
      <c r="K314" s="10"/>
      <c r="L314" s="10"/>
      <c r="M314" s="57"/>
    </row>
    <row r="315" customFormat="false" ht="14.25" hidden="false" customHeight="true" outlineLevel="0" collapsed="false">
      <c r="A315" s="10"/>
      <c r="B315" s="54"/>
      <c r="C315" s="54"/>
      <c r="D315" s="10"/>
      <c r="E315" s="10"/>
      <c r="F315" s="10"/>
      <c r="G315" s="10"/>
      <c r="H315" s="55"/>
      <c r="I315" s="56" t="str">
        <f aca="false">IF(H315="","",H315*(C315-B315+1))</f>
        <v/>
      </c>
      <c r="J315" s="10"/>
      <c r="K315" s="10"/>
      <c r="L315" s="10"/>
      <c r="M315" s="57"/>
    </row>
    <row r="316" customFormat="false" ht="14.25" hidden="false" customHeight="true" outlineLevel="0" collapsed="false">
      <c r="A316" s="10"/>
      <c r="B316" s="54"/>
      <c r="C316" s="54"/>
      <c r="D316" s="10"/>
      <c r="E316" s="10"/>
      <c r="F316" s="10"/>
      <c r="G316" s="10"/>
      <c r="H316" s="55"/>
      <c r="I316" s="56" t="str">
        <f aca="false">IF(H316="","",H316*(C316-B316+1))</f>
        <v/>
      </c>
      <c r="J316" s="10"/>
      <c r="K316" s="10"/>
      <c r="L316" s="10"/>
      <c r="M316" s="57"/>
    </row>
    <row r="317" customFormat="false" ht="14.25" hidden="false" customHeight="true" outlineLevel="0" collapsed="false">
      <c r="A317" s="10"/>
      <c r="B317" s="54"/>
      <c r="C317" s="54"/>
      <c r="D317" s="10"/>
      <c r="E317" s="10"/>
      <c r="F317" s="10"/>
      <c r="G317" s="10"/>
      <c r="H317" s="55"/>
      <c r="I317" s="56" t="str">
        <f aca="false">IF(H317="","",H317*(C317-B317+1))</f>
        <v/>
      </c>
      <c r="J317" s="10"/>
      <c r="K317" s="10"/>
      <c r="L317" s="10"/>
      <c r="M317" s="57"/>
    </row>
    <row r="318" customFormat="false" ht="14.25" hidden="false" customHeight="true" outlineLevel="0" collapsed="false">
      <c r="A318" s="10"/>
      <c r="B318" s="54"/>
      <c r="C318" s="54"/>
      <c r="D318" s="10"/>
      <c r="E318" s="10"/>
      <c r="F318" s="10"/>
      <c r="G318" s="10"/>
      <c r="H318" s="55"/>
      <c r="I318" s="56" t="str">
        <f aca="false">IF(H318="","",H318*(C318-B318+1))</f>
        <v/>
      </c>
      <c r="J318" s="10"/>
      <c r="K318" s="10"/>
      <c r="L318" s="10"/>
      <c r="M318" s="57"/>
    </row>
    <row r="319" customFormat="false" ht="14.25" hidden="false" customHeight="true" outlineLevel="0" collapsed="false">
      <c r="A319" s="10"/>
      <c r="B319" s="54"/>
      <c r="C319" s="54"/>
      <c r="D319" s="10"/>
      <c r="E319" s="10"/>
      <c r="F319" s="10"/>
      <c r="G319" s="10"/>
      <c r="H319" s="55"/>
      <c r="I319" s="56" t="str">
        <f aca="false">IF(H319="","",H319*(C319-B319+1))</f>
        <v/>
      </c>
      <c r="J319" s="10"/>
      <c r="K319" s="10"/>
      <c r="L319" s="10"/>
      <c r="M319" s="57"/>
    </row>
    <row r="320" customFormat="false" ht="14.25" hidden="false" customHeight="true" outlineLevel="0" collapsed="false">
      <c r="A320" s="10"/>
      <c r="B320" s="54"/>
      <c r="C320" s="54"/>
      <c r="D320" s="10"/>
      <c r="E320" s="10"/>
      <c r="F320" s="10"/>
      <c r="G320" s="10"/>
      <c r="H320" s="55"/>
      <c r="I320" s="56" t="str">
        <f aca="false">IF(H320="","",H320*(C320-B320+1))</f>
        <v/>
      </c>
      <c r="J320" s="10"/>
      <c r="K320" s="10"/>
      <c r="L320" s="10"/>
      <c r="M320" s="57"/>
    </row>
    <row r="321" customFormat="false" ht="14.25" hidden="false" customHeight="true" outlineLevel="0" collapsed="false">
      <c r="A321" s="10"/>
      <c r="B321" s="54"/>
      <c r="C321" s="54"/>
      <c r="D321" s="10"/>
      <c r="E321" s="10"/>
      <c r="F321" s="10"/>
      <c r="G321" s="10"/>
      <c r="H321" s="55"/>
      <c r="I321" s="56" t="str">
        <f aca="false">IF(H321="","",H321*(C321-B321+1))</f>
        <v/>
      </c>
      <c r="J321" s="10"/>
      <c r="K321" s="10"/>
      <c r="L321" s="10"/>
      <c r="M321" s="57"/>
    </row>
    <row r="322" customFormat="false" ht="14.25" hidden="false" customHeight="true" outlineLevel="0" collapsed="false">
      <c r="A322" s="10"/>
      <c r="B322" s="54"/>
      <c r="C322" s="54"/>
      <c r="D322" s="10"/>
      <c r="E322" s="10"/>
      <c r="F322" s="10"/>
      <c r="G322" s="10"/>
      <c r="H322" s="55"/>
      <c r="I322" s="56" t="str">
        <f aca="false">IF(H322="","",H322*(C322-B322+1))</f>
        <v/>
      </c>
      <c r="J322" s="10"/>
      <c r="K322" s="10"/>
      <c r="L322" s="10"/>
      <c r="M322" s="57"/>
    </row>
    <row r="323" customFormat="false" ht="14.25" hidden="false" customHeight="true" outlineLevel="0" collapsed="false">
      <c r="A323" s="10"/>
      <c r="B323" s="54"/>
      <c r="C323" s="54"/>
      <c r="D323" s="10"/>
      <c r="E323" s="10"/>
      <c r="F323" s="10"/>
      <c r="G323" s="10"/>
      <c r="H323" s="55"/>
      <c r="I323" s="56" t="str">
        <f aca="false">IF(H323="","",H323*(C323-B323+1))</f>
        <v/>
      </c>
      <c r="J323" s="10"/>
      <c r="K323" s="10"/>
      <c r="L323" s="10"/>
      <c r="M323" s="57"/>
    </row>
    <row r="324" customFormat="false" ht="14.25" hidden="false" customHeight="true" outlineLevel="0" collapsed="false">
      <c r="A324" s="10"/>
      <c r="B324" s="54"/>
      <c r="C324" s="54"/>
      <c r="D324" s="10"/>
      <c r="E324" s="10"/>
      <c r="F324" s="10"/>
      <c r="G324" s="10"/>
      <c r="H324" s="55"/>
      <c r="I324" s="56" t="str">
        <f aca="false">IF(H324="","",H324*(C324-B324+1))</f>
        <v/>
      </c>
      <c r="J324" s="10"/>
      <c r="K324" s="10"/>
      <c r="L324" s="10"/>
      <c r="M324" s="57"/>
    </row>
    <row r="325" customFormat="false" ht="14.25" hidden="false" customHeight="true" outlineLevel="0" collapsed="false">
      <c r="A325" s="10"/>
      <c r="B325" s="54"/>
      <c r="C325" s="54"/>
      <c r="D325" s="10"/>
      <c r="E325" s="10"/>
      <c r="F325" s="10"/>
      <c r="G325" s="10"/>
      <c r="H325" s="55"/>
      <c r="I325" s="56" t="str">
        <f aca="false">IF(H325="","",H325*(C325-B325+1))</f>
        <v/>
      </c>
      <c r="J325" s="10"/>
      <c r="K325" s="10"/>
      <c r="L325" s="10"/>
      <c r="M325" s="57"/>
    </row>
    <row r="326" customFormat="false" ht="14.25" hidden="false" customHeight="true" outlineLevel="0" collapsed="false">
      <c r="A326" s="10"/>
      <c r="B326" s="54"/>
      <c r="C326" s="54"/>
      <c r="D326" s="10"/>
      <c r="E326" s="10"/>
      <c r="F326" s="10"/>
      <c r="G326" s="10"/>
      <c r="H326" s="55"/>
      <c r="I326" s="56" t="str">
        <f aca="false">IF(H326="","",H326*(C326-B326+1))</f>
        <v/>
      </c>
      <c r="J326" s="10"/>
      <c r="K326" s="10"/>
      <c r="L326" s="10"/>
      <c r="M326" s="57"/>
    </row>
    <row r="327" customFormat="false" ht="14.25" hidden="false" customHeight="true" outlineLevel="0" collapsed="false">
      <c r="A327" s="10"/>
      <c r="B327" s="54"/>
      <c r="C327" s="54"/>
      <c r="D327" s="10"/>
      <c r="E327" s="10"/>
      <c r="F327" s="10"/>
      <c r="G327" s="10"/>
      <c r="H327" s="55"/>
      <c r="I327" s="56" t="str">
        <f aca="false">IF(H327="","",H327*(C327-B327+1))</f>
        <v/>
      </c>
      <c r="J327" s="10"/>
      <c r="K327" s="10"/>
      <c r="L327" s="10"/>
      <c r="M327" s="57"/>
    </row>
    <row r="328" customFormat="false" ht="14.25" hidden="false" customHeight="true" outlineLevel="0" collapsed="false">
      <c r="A328" s="10"/>
      <c r="B328" s="54"/>
      <c r="C328" s="54"/>
      <c r="D328" s="10"/>
      <c r="E328" s="10"/>
      <c r="F328" s="10"/>
      <c r="G328" s="10"/>
      <c r="H328" s="55"/>
      <c r="I328" s="56" t="str">
        <f aca="false">IF(H328="","",H328*(C328-B328+1))</f>
        <v/>
      </c>
      <c r="J328" s="10"/>
      <c r="K328" s="10"/>
      <c r="L328" s="10"/>
      <c r="M328" s="57"/>
    </row>
    <row r="329" customFormat="false" ht="14.25" hidden="false" customHeight="true" outlineLevel="0" collapsed="false">
      <c r="A329" s="10"/>
      <c r="B329" s="54"/>
      <c r="C329" s="54"/>
      <c r="D329" s="10"/>
      <c r="E329" s="10"/>
      <c r="F329" s="10"/>
      <c r="G329" s="10"/>
      <c r="H329" s="55"/>
      <c r="I329" s="56" t="str">
        <f aca="false">IF(H329="","",H329*(C329-B329+1))</f>
        <v/>
      </c>
      <c r="J329" s="10"/>
      <c r="K329" s="10"/>
      <c r="L329" s="10"/>
      <c r="M329" s="57"/>
    </row>
    <row r="330" customFormat="false" ht="14.25" hidden="false" customHeight="true" outlineLevel="0" collapsed="false">
      <c r="A330" s="10"/>
      <c r="B330" s="54"/>
      <c r="C330" s="54"/>
      <c r="D330" s="10"/>
      <c r="E330" s="10"/>
      <c r="F330" s="10"/>
      <c r="G330" s="10"/>
      <c r="H330" s="55"/>
      <c r="I330" s="56" t="str">
        <f aca="false">IF(H330="","",H330*(C330-B330+1))</f>
        <v/>
      </c>
      <c r="J330" s="10"/>
      <c r="K330" s="10"/>
      <c r="L330" s="10"/>
      <c r="M330" s="57"/>
    </row>
    <row r="331" customFormat="false" ht="14.25" hidden="false" customHeight="true" outlineLevel="0" collapsed="false">
      <c r="A331" s="10"/>
      <c r="B331" s="54"/>
      <c r="C331" s="54"/>
      <c r="D331" s="10"/>
      <c r="E331" s="10"/>
      <c r="F331" s="10"/>
      <c r="G331" s="10"/>
      <c r="H331" s="55"/>
      <c r="I331" s="56" t="str">
        <f aca="false">IF(H331="","",H331*(C331-B331+1))</f>
        <v/>
      </c>
      <c r="J331" s="10"/>
      <c r="K331" s="10"/>
      <c r="L331" s="10"/>
      <c r="M331" s="57"/>
    </row>
    <row r="332" customFormat="false" ht="14.25" hidden="false" customHeight="true" outlineLevel="0" collapsed="false">
      <c r="A332" s="10"/>
      <c r="B332" s="54"/>
      <c r="C332" s="54"/>
      <c r="D332" s="10"/>
      <c r="E332" s="10"/>
      <c r="F332" s="10"/>
      <c r="G332" s="10"/>
      <c r="H332" s="55"/>
      <c r="I332" s="56" t="str">
        <f aca="false">IF(H332="","",H332*(C332-B332+1))</f>
        <v/>
      </c>
      <c r="J332" s="10"/>
      <c r="K332" s="10"/>
      <c r="L332" s="10"/>
      <c r="M332" s="57"/>
    </row>
    <row r="333" customFormat="false" ht="14.25" hidden="false" customHeight="true" outlineLevel="0" collapsed="false">
      <c r="A333" s="10"/>
      <c r="B333" s="54"/>
      <c r="C333" s="54"/>
      <c r="D333" s="10"/>
      <c r="E333" s="10"/>
      <c r="F333" s="10"/>
      <c r="G333" s="10"/>
      <c r="H333" s="55"/>
      <c r="I333" s="56" t="str">
        <f aca="false">IF(H333="","",H333*(C333-B333+1))</f>
        <v/>
      </c>
      <c r="J333" s="10"/>
      <c r="K333" s="10"/>
      <c r="L333" s="10"/>
      <c r="M333" s="57"/>
    </row>
    <row r="334" customFormat="false" ht="14.25" hidden="false" customHeight="true" outlineLevel="0" collapsed="false">
      <c r="A334" s="10"/>
      <c r="B334" s="54"/>
      <c r="C334" s="54"/>
      <c r="D334" s="10"/>
      <c r="E334" s="10"/>
      <c r="F334" s="10"/>
      <c r="G334" s="10"/>
      <c r="H334" s="55"/>
      <c r="I334" s="56" t="str">
        <f aca="false">IF(H334="","",H334*(C334-B334+1))</f>
        <v/>
      </c>
      <c r="J334" s="10"/>
      <c r="K334" s="10"/>
      <c r="L334" s="10"/>
      <c r="M334" s="57"/>
    </row>
    <row r="335" customFormat="false" ht="14.25" hidden="false" customHeight="true" outlineLevel="0" collapsed="false">
      <c r="A335" s="10"/>
      <c r="B335" s="54"/>
      <c r="C335" s="54"/>
      <c r="D335" s="10"/>
      <c r="E335" s="10"/>
      <c r="F335" s="10"/>
      <c r="G335" s="10"/>
      <c r="H335" s="55"/>
      <c r="I335" s="56" t="str">
        <f aca="false">IF(H335="","",H335*(C335-B335+1))</f>
        <v/>
      </c>
      <c r="J335" s="10"/>
      <c r="K335" s="10"/>
      <c r="L335" s="10"/>
      <c r="M335" s="57"/>
    </row>
    <row r="336" customFormat="false" ht="14.25" hidden="false" customHeight="true" outlineLevel="0" collapsed="false">
      <c r="A336" s="10"/>
      <c r="B336" s="54"/>
      <c r="C336" s="54"/>
      <c r="D336" s="10"/>
      <c r="E336" s="10"/>
      <c r="F336" s="10"/>
      <c r="G336" s="10"/>
      <c r="H336" s="55"/>
      <c r="I336" s="56" t="str">
        <f aca="false">IF(H336="","",H336*(C336-B336+1))</f>
        <v/>
      </c>
      <c r="J336" s="10"/>
      <c r="K336" s="10"/>
      <c r="L336" s="10"/>
      <c r="M336" s="57"/>
    </row>
    <row r="337" customFormat="false" ht="14.25" hidden="false" customHeight="true" outlineLevel="0" collapsed="false">
      <c r="A337" s="10"/>
      <c r="B337" s="54"/>
      <c r="C337" s="54"/>
      <c r="D337" s="10"/>
      <c r="E337" s="10"/>
      <c r="F337" s="10"/>
      <c r="G337" s="10"/>
      <c r="H337" s="55"/>
      <c r="I337" s="56" t="str">
        <f aca="false">IF(H337="","",H337*(C337-B337+1))</f>
        <v/>
      </c>
      <c r="J337" s="10"/>
      <c r="K337" s="10"/>
      <c r="L337" s="10"/>
      <c r="M337" s="57"/>
    </row>
    <row r="338" customFormat="false" ht="14.25" hidden="false" customHeight="true" outlineLevel="0" collapsed="false">
      <c r="A338" s="10"/>
      <c r="B338" s="54"/>
      <c r="C338" s="54"/>
      <c r="D338" s="10"/>
      <c r="E338" s="10"/>
      <c r="F338" s="10"/>
      <c r="G338" s="10"/>
      <c r="H338" s="55"/>
      <c r="I338" s="56" t="str">
        <f aca="false">IF(H338="","",H338*(C338-B338+1))</f>
        <v/>
      </c>
      <c r="J338" s="10"/>
      <c r="K338" s="10"/>
      <c r="L338" s="10"/>
      <c r="M338" s="57"/>
    </row>
    <row r="339" customFormat="false" ht="14.25" hidden="false" customHeight="true" outlineLevel="0" collapsed="false">
      <c r="A339" s="10"/>
      <c r="B339" s="54"/>
      <c r="C339" s="54"/>
      <c r="D339" s="10"/>
      <c r="E339" s="10"/>
      <c r="F339" s="10"/>
      <c r="G339" s="10"/>
      <c r="H339" s="55"/>
      <c r="I339" s="56" t="str">
        <f aca="false">IF(H339="","",H339*(C339-B339+1))</f>
        <v/>
      </c>
      <c r="J339" s="10"/>
      <c r="K339" s="10"/>
      <c r="L339" s="10"/>
      <c r="M339" s="57"/>
    </row>
    <row r="340" customFormat="false" ht="14.25" hidden="false" customHeight="true" outlineLevel="0" collapsed="false">
      <c r="A340" s="10"/>
      <c r="B340" s="54"/>
      <c r="C340" s="54"/>
      <c r="D340" s="10"/>
      <c r="E340" s="10"/>
      <c r="F340" s="10"/>
      <c r="G340" s="10"/>
      <c r="H340" s="55"/>
      <c r="I340" s="56" t="str">
        <f aca="false">IF(H340="","",H340*(C340-B340+1))</f>
        <v/>
      </c>
      <c r="J340" s="10"/>
      <c r="K340" s="10"/>
      <c r="L340" s="10"/>
      <c r="M340" s="57"/>
    </row>
    <row r="341" customFormat="false" ht="14.25" hidden="false" customHeight="true" outlineLevel="0" collapsed="false">
      <c r="A341" s="10"/>
      <c r="B341" s="54"/>
      <c r="C341" s="54"/>
      <c r="D341" s="10"/>
      <c r="E341" s="10"/>
      <c r="F341" s="10"/>
      <c r="G341" s="10"/>
      <c r="H341" s="55"/>
      <c r="I341" s="56" t="str">
        <f aca="false">IF(H341="","",H341*(C341-B341+1))</f>
        <v/>
      </c>
      <c r="J341" s="10"/>
      <c r="K341" s="10"/>
      <c r="L341" s="10"/>
      <c r="M341" s="57"/>
    </row>
    <row r="342" customFormat="false" ht="14.25" hidden="false" customHeight="true" outlineLevel="0" collapsed="false">
      <c r="A342" s="10"/>
      <c r="B342" s="54"/>
      <c r="C342" s="54"/>
      <c r="D342" s="10"/>
      <c r="E342" s="10"/>
      <c r="F342" s="10"/>
      <c r="G342" s="10"/>
      <c r="H342" s="55"/>
      <c r="I342" s="56" t="str">
        <f aca="false">IF(H342="","",H342*(C342-B342+1))</f>
        <v/>
      </c>
      <c r="J342" s="10"/>
      <c r="K342" s="10"/>
      <c r="L342" s="10"/>
      <c r="M342" s="57"/>
    </row>
    <row r="343" customFormat="false" ht="14.25" hidden="false" customHeight="true" outlineLevel="0" collapsed="false">
      <c r="A343" s="10"/>
      <c r="B343" s="54"/>
      <c r="C343" s="54"/>
      <c r="D343" s="10"/>
      <c r="E343" s="10"/>
      <c r="F343" s="10"/>
      <c r="G343" s="10"/>
      <c r="H343" s="55"/>
      <c r="I343" s="56" t="str">
        <f aca="false">IF(H343="","",H343*(C343-B343+1))</f>
        <v/>
      </c>
      <c r="J343" s="10"/>
      <c r="K343" s="10"/>
      <c r="L343" s="10"/>
      <c r="M343" s="57"/>
    </row>
    <row r="344" customFormat="false" ht="14.25" hidden="false" customHeight="true" outlineLevel="0" collapsed="false">
      <c r="A344" s="10"/>
      <c r="B344" s="54"/>
      <c r="C344" s="54"/>
      <c r="D344" s="10"/>
      <c r="E344" s="10"/>
      <c r="F344" s="10"/>
      <c r="G344" s="10"/>
      <c r="H344" s="55"/>
      <c r="I344" s="56" t="str">
        <f aca="false">IF(H344="","",H344*(C344-B344+1))</f>
        <v/>
      </c>
      <c r="J344" s="10"/>
      <c r="K344" s="10"/>
      <c r="L344" s="10"/>
      <c r="M344" s="57"/>
    </row>
    <row r="345" customFormat="false" ht="14.25" hidden="false" customHeight="true" outlineLevel="0" collapsed="false">
      <c r="A345" s="10"/>
      <c r="B345" s="54"/>
      <c r="C345" s="54"/>
      <c r="D345" s="10"/>
      <c r="E345" s="10"/>
      <c r="F345" s="10"/>
      <c r="G345" s="10"/>
      <c r="H345" s="55"/>
      <c r="I345" s="56" t="str">
        <f aca="false">IF(H345="","",H345*(C345-B345+1))</f>
        <v/>
      </c>
      <c r="J345" s="10"/>
      <c r="K345" s="10"/>
      <c r="L345" s="10"/>
      <c r="M345" s="57"/>
    </row>
    <row r="346" customFormat="false" ht="14.25" hidden="false" customHeight="true" outlineLevel="0" collapsed="false">
      <c r="A346" s="10"/>
      <c r="B346" s="54"/>
      <c r="C346" s="54"/>
      <c r="D346" s="10"/>
      <c r="E346" s="10"/>
      <c r="F346" s="10"/>
      <c r="G346" s="10"/>
      <c r="H346" s="55"/>
      <c r="I346" s="56" t="str">
        <f aca="false">IF(H346="","",H346*(C346-B346+1))</f>
        <v/>
      </c>
      <c r="J346" s="10"/>
      <c r="K346" s="10"/>
      <c r="L346" s="10"/>
      <c r="M346" s="57"/>
    </row>
    <row r="347" customFormat="false" ht="14.25" hidden="false" customHeight="true" outlineLevel="0" collapsed="false">
      <c r="A347" s="10"/>
      <c r="B347" s="54"/>
      <c r="C347" s="54"/>
      <c r="D347" s="10"/>
      <c r="E347" s="10"/>
      <c r="F347" s="10"/>
      <c r="G347" s="10"/>
      <c r="H347" s="55"/>
      <c r="I347" s="56" t="str">
        <f aca="false">IF(H347="","",H347*(C347-B347+1))</f>
        <v/>
      </c>
      <c r="J347" s="10"/>
      <c r="K347" s="10"/>
      <c r="L347" s="10"/>
      <c r="M347" s="57"/>
    </row>
    <row r="348" customFormat="false" ht="14.25" hidden="false" customHeight="true" outlineLevel="0" collapsed="false">
      <c r="A348" s="10"/>
      <c r="B348" s="54"/>
      <c r="C348" s="54"/>
      <c r="D348" s="10"/>
      <c r="E348" s="10"/>
      <c r="F348" s="10"/>
      <c r="G348" s="10"/>
      <c r="H348" s="55"/>
      <c r="I348" s="56" t="str">
        <f aca="false">IF(H348="","",H348*(C348-B348+1))</f>
        <v/>
      </c>
      <c r="J348" s="10"/>
      <c r="K348" s="10"/>
      <c r="L348" s="10"/>
      <c r="M348" s="57"/>
    </row>
    <row r="349" customFormat="false" ht="14.25" hidden="false" customHeight="true" outlineLevel="0" collapsed="false">
      <c r="A349" s="10"/>
      <c r="B349" s="54"/>
      <c r="C349" s="54"/>
      <c r="D349" s="10"/>
      <c r="E349" s="10"/>
      <c r="F349" s="10"/>
      <c r="G349" s="10"/>
      <c r="H349" s="55"/>
      <c r="I349" s="56" t="str">
        <f aca="false">IF(H349="","",H349*(C349-B349+1))</f>
        <v/>
      </c>
      <c r="J349" s="10"/>
      <c r="K349" s="10"/>
      <c r="L349" s="10"/>
      <c r="M349" s="57"/>
    </row>
    <row r="350" customFormat="false" ht="14.25" hidden="false" customHeight="true" outlineLevel="0" collapsed="false">
      <c r="A350" s="10"/>
      <c r="B350" s="54"/>
      <c r="C350" s="54"/>
      <c r="D350" s="10"/>
      <c r="E350" s="10"/>
      <c r="F350" s="10"/>
      <c r="G350" s="10"/>
      <c r="H350" s="55"/>
      <c r="I350" s="56" t="str">
        <f aca="false">IF(H350="","",H350*(C350-B350+1))</f>
        <v/>
      </c>
      <c r="J350" s="10"/>
      <c r="K350" s="10"/>
      <c r="L350" s="10"/>
      <c r="M350" s="57"/>
    </row>
    <row r="351" customFormat="false" ht="14.25" hidden="false" customHeight="true" outlineLevel="0" collapsed="false">
      <c r="A351" s="10"/>
      <c r="B351" s="54"/>
      <c r="C351" s="54"/>
      <c r="D351" s="10"/>
      <c r="E351" s="10"/>
      <c r="F351" s="10"/>
      <c r="G351" s="10"/>
      <c r="H351" s="55"/>
      <c r="I351" s="56" t="str">
        <f aca="false">IF(H351="","",H351*(C351-B351+1))</f>
        <v/>
      </c>
      <c r="J351" s="10"/>
      <c r="K351" s="10"/>
      <c r="L351" s="10"/>
      <c r="M351" s="57"/>
    </row>
    <row r="352" customFormat="false" ht="14.25" hidden="false" customHeight="true" outlineLevel="0" collapsed="false">
      <c r="A352" s="10"/>
      <c r="B352" s="54"/>
      <c r="C352" s="54"/>
      <c r="D352" s="10"/>
      <c r="E352" s="10"/>
      <c r="F352" s="10"/>
      <c r="G352" s="10"/>
      <c r="H352" s="55"/>
      <c r="I352" s="56" t="str">
        <f aca="false">IF(H352="","",H352*(C352-B352+1))</f>
        <v/>
      </c>
      <c r="J352" s="10"/>
      <c r="K352" s="10"/>
      <c r="L352" s="10"/>
      <c r="M352" s="57"/>
    </row>
    <row r="353" customFormat="false" ht="14.25" hidden="false" customHeight="true" outlineLevel="0" collapsed="false">
      <c r="A353" s="10"/>
      <c r="B353" s="54"/>
      <c r="C353" s="54"/>
      <c r="D353" s="10"/>
      <c r="E353" s="10"/>
      <c r="F353" s="10"/>
      <c r="G353" s="10"/>
      <c r="H353" s="55"/>
      <c r="I353" s="56" t="str">
        <f aca="false">IF(H353="","",H353*(C353-B353+1))</f>
        <v/>
      </c>
      <c r="J353" s="10"/>
      <c r="K353" s="10"/>
      <c r="L353" s="10"/>
      <c r="M353" s="57"/>
    </row>
    <row r="354" customFormat="false" ht="14.25" hidden="false" customHeight="true" outlineLevel="0" collapsed="false">
      <c r="A354" s="10"/>
      <c r="B354" s="54"/>
      <c r="C354" s="54"/>
      <c r="D354" s="10"/>
      <c r="E354" s="10"/>
      <c r="F354" s="10"/>
      <c r="G354" s="10"/>
      <c r="H354" s="55"/>
      <c r="I354" s="56" t="str">
        <f aca="false">IF(H354="","",H354*(C354-B354+1))</f>
        <v/>
      </c>
      <c r="J354" s="10"/>
      <c r="K354" s="10"/>
      <c r="L354" s="10"/>
      <c r="M354" s="57"/>
    </row>
    <row r="355" customFormat="false" ht="14.25" hidden="false" customHeight="true" outlineLevel="0" collapsed="false">
      <c r="A355" s="10"/>
      <c r="B355" s="54"/>
      <c r="C355" s="54"/>
      <c r="D355" s="10"/>
      <c r="E355" s="10"/>
      <c r="F355" s="10"/>
      <c r="G355" s="10"/>
      <c r="H355" s="55"/>
      <c r="I355" s="56" t="str">
        <f aca="false">IF(H355="","",H355*(C355-B355+1))</f>
        <v/>
      </c>
      <c r="J355" s="10"/>
      <c r="K355" s="10"/>
      <c r="L355" s="10"/>
      <c r="M355" s="57"/>
    </row>
    <row r="356" customFormat="false" ht="14.25" hidden="false" customHeight="true" outlineLevel="0" collapsed="false">
      <c r="A356" s="10"/>
      <c r="B356" s="54"/>
      <c r="C356" s="54"/>
      <c r="D356" s="10"/>
      <c r="E356" s="10"/>
      <c r="F356" s="10"/>
      <c r="G356" s="10"/>
      <c r="H356" s="55"/>
      <c r="I356" s="56" t="str">
        <f aca="false">IF(H356="","",H356*(C356-B356+1))</f>
        <v/>
      </c>
      <c r="J356" s="10"/>
      <c r="K356" s="10"/>
      <c r="L356" s="10"/>
      <c r="M356" s="57"/>
    </row>
    <row r="357" customFormat="false" ht="14.25" hidden="false" customHeight="true" outlineLevel="0" collapsed="false">
      <c r="A357" s="10"/>
      <c r="B357" s="54"/>
      <c r="C357" s="54"/>
      <c r="D357" s="10"/>
      <c r="E357" s="10"/>
      <c r="F357" s="10"/>
      <c r="G357" s="10"/>
      <c r="H357" s="55"/>
      <c r="I357" s="56" t="str">
        <f aca="false">IF(H357="","",H357*(C357-B357+1))</f>
        <v/>
      </c>
      <c r="J357" s="10"/>
      <c r="K357" s="10"/>
      <c r="L357" s="10"/>
      <c r="M357" s="57"/>
    </row>
    <row r="358" customFormat="false" ht="14.25" hidden="false" customHeight="true" outlineLevel="0" collapsed="false">
      <c r="A358" s="10"/>
      <c r="B358" s="54"/>
      <c r="C358" s="54"/>
      <c r="D358" s="10"/>
      <c r="E358" s="10"/>
      <c r="F358" s="10"/>
      <c r="G358" s="10"/>
      <c r="H358" s="55"/>
      <c r="I358" s="56" t="str">
        <f aca="false">IF(H358="","",H358*(C358-B358+1))</f>
        <v/>
      </c>
      <c r="J358" s="10"/>
      <c r="K358" s="10"/>
      <c r="L358" s="10"/>
      <c r="M358" s="57"/>
    </row>
    <row r="359" customFormat="false" ht="14.25" hidden="false" customHeight="true" outlineLevel="0" collapsed="false">
      <c r="A359" s="10"/>
      <c r="B359" s="54"/>
      <c r="C359" s="54"/>
      <c r="D359" s="10"/>
      <c r="E359" s="10"/>
      <c r="F359" s="10"/>
      <c r="G359" s="10"/>
      <c r="H359" s="55"/>
      <c r="I359" s="56" t="str">
        <f aca="false">IF(H359="","",H359*(C359-B359+1))</f>
        <v/>
      </c>
      <c r="J359" s="10"/>
      <c r="K359" s="10"/>
      <c r="L359" s="10"/>
      <c r="M359" s="57"/>
    </row>
    <row r="360" customFormat="false" ht="14.25" hidden="false" customHeight="true" outlineLevel="0" collapsed="false">
      <c r="A360" s="10"/>
      <c r="B360" s="54"/>
      <c r="C360" s="54"/>
      <c r="D360" s="10"/>
      <c r="E360" s="10"/>
      <c r="F360" s="10"/>
      <c r="G360" s="10"/>
      <c r="H360" s="55"/>
      <c r="I360" s="56" t="str">
        <f aca="false">IF(H360="","",H360*(C360-B360+1))</f>
        <v/>
      </c>
      <c r="J360" s="10"/>
      <c r="K360" s="10"/>
      <c r="L360" s="10"/>
      <c r="M360" s="57"/>
    </row>
    <row r="361" customFormat="false" ht="14.25" hidden="false" customHeight="true" outlineLevel="0" collapsed="false">
      <c r="A361" s="10"/>
      <c r="B361" s="54"/>
      <c r="C361" s="54"/>
      <c r="D361" s="10"/>
      <c r="E361" s="10"/>
      <c r="F361" s="10"/>
      <c r="G361" s="10"/>
      <c r="H361" s="55"/>
      <c r="I361" s="56" t="str">
        <f aca="false">IF(H361="","",H361*(C361-B361+1))</f>
        <v/>
      </c>
      <c r="J361" s="10"/>
      <c r="K361" s="10"/>
      <c r="L361" s="10"/>
      <c r="M361" s="57"/>
    </row>
    <row r="362" customFormat="false" ht="14.25" hidden="false" customHeight="true" outlineLevel="0" collapsed="false">
      <c r="A362" s="10"/>
      <c r="B362" s="54"/>
      <c r="C362" s="54"/>
      <c r="D362" s="10"/>
      <c r="E362" s="10"/>
      <c r="F362" s="10"/>
      <c r="G362" s="10"/>
      <c r="H362" s="55"/>
      <c r="I362" s="56" t="str">
        <f aca="false">IF(H362="","",H362*(C362-B362+1))</f>
        <v/>
      </c>
      <c r="J362" s="10"/>
      <c r="K362" s="10"/>
      <c r="L362" s="10"/>
      <c r="M362" s="57"/>
    </row>
    <row r="363" customFormat="false" ht="14.25" hidden="false" customHeight="true" outlineLevel="0" collapsed="false">
      <c r="A363" s="10"/>
      <c r="B363" s="54"/>
      <c r="C363" s="54"/>
      <c r="D363" s="10"/>
      <c r="E363" s="10"/>
      <c r="F363" s="10"/>
      <c r="G363" s="10"/>
      <c r="H363" s="55"/>
      <c r="I363" s="56" t="str">
        <f aca="false">IF(H363="","",H363*(C363-B363+1))</f>
        <v/>
      </c>
      <c r="J363" s="10"/>
      <c r="K363" s="10"/>
      <c r="L363" s="10"/>
      <c r="M363" s="57"/>
    </row>
    <row r="364" customFormat="false" ht="14.25" hidden="false" customHeight="true" outlineLevel="0" collapsed="false">
      <c r="A364" s="10"/>
      <c r="B364" s="54"/>
      <c r="C364" s="54"/>
      <c r="D364" s="10"/>
      <c r="E364" s="10"/>
      <c r="F364" s="10"/>
      <c r="G364" s="10"/>
      <c r="H364" s="55"/>
      <c r="I364" s="56" t="str">
        <f aca="false">IF(H364="","",H364*(C364-B364+1))</f>
        <v/>
      </c>
      <c r="J364" s="10"/>
      <c r="K364" s="10"/>
      <c r="L364" s="10"/>
      <c r="M364" s="57"/>
    </row>
    <row r="365" customFormat="false" ht="14.25" hidden="false" customHeight="true" outlineLevel="0" collapsed="false">
      <c r="A365" s="10"/>
      <c r="B365" s="54"/>
      <c r="C365" s="54"/>
      <c r="D365" s="10"/>
      <c r="E365" s="10"/>
      <c r="F365" s="10"/>
      <c r="G365" s="10"/>
      <c r="H365" s="55"/>
      <c r="I365" s="56" t="str">
        <f aca="false">IF(H365="","",H365*(C365-B365+1))</f>
        <v/>
      </c>
      <c r="J365" s="10"/>
      <c r="K365" s="10"/>
      <c r="L365" s="10"/>
      <c r="M365" s="57"/>
    </row>
    <row r="366" customFormat="false" ht="14.25" hidden="false" customHeight="true" outlineLevel="0" collapsed="false">
      <c r="A366" s="10"/>
      <c r="B366" s="54"/>
      <c r="C366" s="54"/>
      <c r="D366" s="10"/>
      <c r="E366" s="10"/>
      <c r="F366" s="10"/>
      <c r="G366" s="10"/>
      <c r="H366" s="55"/>
      <c r="I366" s="56" t="str">
        <f aca="false">IF(H366="","",H366*(C366-B366+1))</f>
        <v/>
      </c>
      <c r="J366" s="10"/>
      <c r="K366" s="10"/>
      <c r="L366" s="10"/>
      <c r="M366" s="57"/>
    </row>
    <row r="367" customFormat="false" ht="14.25" hidden="false" customHeight="true" outlineLevel="0" collapsed="false">
      <c r="A367" s="10"/>
      <c r="B367" s="54"/>
      <c r="C367" s="54"/>
      <c r="D367" s="10"/>
      <c r="E367" s="10"/>
      <c r="F367" s="10"/>
      <c r="G367" s="10"/>
      <c r="H367" s="55"/>
      <c r="I367" s="56" t="str">
        <f aca="false">IF(H367="","",H367*(C367-B367+1))</f>
        <v/>
      </c>
      <c r="J367" s="10"/>
      <c r="K367" s="10"/>
      <c r="L367" s="10"/>
      <c r="M367" s="57"/>
    </row>
    <row r="368" customFormat="false" ht="14.25" hidden="false" customHeight="true" outlineLevel="0" collapsed="false">
      <c r="A368" s="10"/>
      <c r="B368" s="54"/>
      <c r="C368" s="54"/>
      <c r="D368" s="10"/>
      <c r="E368" s="10"/>
      <c r="F368" s="10"/>
      <c r="G368" s="10"/>
      <c r="H368" s="55"/>
      <c r="I368" s="56" t="str">
        <f aca="false">IF(H368="","",H368*(C368-B368+1))</f>
        <v/>
      </c>
      <c r="J368" s="10"/>
      <c r="K368" s="10"/>
      <c r="L368" s="10"/>
      <c r="M368" s="57"/>
    </row>
    <row r="369" customFormat="false" ht="14.25" hidden="false" customHeight="true" outlineLevel="0" collapsed="false">
      <c r="A369" s="10"/>
      <c r="B369" s="54"/>
      <c r="C369" s="54"/>
      <c r="D369" s="10"/>
      <c r="E369" s="10"/>
      <c r="F369" s="10"/>
      <c r="G369" s="10"/>
      <c r="H369" s="55"/>
      <c r="I369" s="56" t="str">
        <f aca="false">IF(H369="","",H369*(C369-B369+1))</f>
        <v/>
      </c>
      <c r="J369" s="10"/>
      <c r="K369" s="10"/>
      <c r="L369" s="10"/>
      <c r="M369" s="57"/>
    </row>
    <row r="370" customFormat="false" ht="14.25" hidden="false" customHeight="true" outlineLevel="0" collapsed="false">
      <c r="A370" s="10"/>
      <c r="B370" s="54"/>
      <c r="C370" s="54"/>
      <c r="D370" s="10"/>
      <c r="E370" s="10"/>
      <c r="F370" s="10"/>
      <c r="G370" s="10"/>
      <c r="H370" s="55"/>
      <c r="I370" s="56" t="str">
        <f aca="false">IF(H370="","",H370*(C370-B370+1))</f>
        <v/>
      </c>
      <c r="J370" s="10"/>
      <c r="K370" s="10"/>
      <c r="L370" s="10"/>
      <c r="M370" s="57"/>
    </row>
    <row r="371" customFormat="false" ht="14.25" hidden="false" customHeight="true" outlineLevel="0" collapsed="false">
      <c r="A371" s="10"/>
      <c r="B371" s="54"/>
      <c r="C371" s="54"/>
      <c r="D371" s="10"/>
      <c r="E371" s="10"/>
      <c r="F371" s="10"/>
      <c r="G371" s="10"/>
      <c r="H371" s="55"/>
      <c r="I371" s="56" t="str">
        <f aca="false">IF(H371="","",H371*(C371-B371+1))</f>
        <v/>
      </c>
      <c r="J371" s="10"/>
      <c r="K371" s="10"/>
      <c r="L371" s="10"/>
      <c r="M371" s="57"/>
    </row>
    <row r="372" customFormat="false" ht="14.25" hidden="false" customHeight="true" outlineLevel="0" collapsed="false">
      <c r="A372" s="10"/>
      <c r="B372" s="54"/>
      <c r="C372" s="54"/>
      <c r="D372" s="10"/>
      <c r="E372" s="10"/>
      <c r="F372" s="10"/>
      <c r="G372" s="10"/>
      <c r="H372" s="55"/>
      <c r="I372" s="56" t="str">
        <f aca="false">IF(H372="","",H372*(C372-B372+1))</f>
        <v/>
      </c>
      <c r="J372" s="10"/>
      <c r="K372" s="10"/>
      <c r="L372" s="10"/>
      <c r="M372" s="57"/>
    </row>
    <row r="373" customFormat="false" ht="14.25" hidden="false" customHeight="true" outlineLevel="0" collapsed="false">
      <c r="A373" s="10"/>
      <c r="B373" s="54"/>
      <c r="C373" s="54"/>
      <c r="D373" s="10"/>
      <c r="E373" s="10"/>
      <c r="F373" s="10"/>
      <c r="G373" s="10"/>
      <c r="H373" s="55"/>
      <c r="I373" s="56" t="str">
        <f aca="false">IF(H373="","",H373*(C373-B373+1))</f>
        <v/>
      </c>
      <c r="J373" s="10"/>
      <c r="K373" s="10"/>
      <c r="L373" s="10"/>
      <c r="M373" s="57"/>
    </row>
    <row r="374" customFormat="false" ht="14.25" hidden="false" customHeight="true" outlineLevel="0" collapsed="false">
      <c r="A374" s="10"/>
      <c r="B374" s="54"/>
      <c r="C374" s="54"/>
      <c r="D374" s="10"/>
      <c r="E374" s="10"/>
      <c r="F374" s="10"/>
      <c r="G374" s="10"/>
      <c r="H374" s="55"/>
      <c r="I374" s="56" t="str">
        <f aca="false">IF(H374="","",H374*(C374-B374+1))</f>
        <v/>
      </c>
      <c r="J374" s="10"/>
      <c r="K374" s="10"/>
      <c r="L374" s="10"/>
      <c r="M374" s="57"/>
    </row>
    <row r="375" customFormat="false" ht="14.25" hidden="false" customHeight="true" outlineLevel="0" collapsed="false">
      <c r="A375" s="10"/>
      <c r="B375" s="54"/>
      <c r="C375" s="54"/>
      <c r="D375" s="10"/>
      <c r="E375" s="10"/>
      <c r="F375" s="10"/>
      <c r="G375" s="10"/>
      <c r="H375" s="55"/>
      <c r="I375" s="56" t="str">
        <f aca="false">IF(H375="","",H375*(C375-B375+1))</f>
        <v/>
      </c>
      <c r="J375" s="10"/>
      <c r="K375" s="10"/>
      <c r="L375" s="10"/>
      <c r="M375" s="57"/>
    </row>
    <row r="376" customFormat="false" ht="14.25" hidden="false" customHeight="true" outlineLevel="0" collapsed="false">
      <c r="A376" s="10"/>
      <c r="B376" s="54"/>
      <c r="C376" s="54"/>
      <c r="D376" s="10"/>
      <c r="E376" s="10"/>
      <c r="F376" s="10"/>
      <c r="G376" s="10"/>
      <c r="H376" s="55"/>
      <c r="I376" s="56" t="str">
        <f aca="false">IF(H376="","",H376*(C376-B376+1))</f>
        <v/>
      </c>
      <c r="J376" s="10"/>
      <c r="K376" s="10"/>
      <c r="L376" s="10"/>
      <c r="M376" s="57"/>
    </row>
    <row r="377" customFormat="false" ht="14.25" hidden="false" customHeight="true" outlineLevel="0" collapsed="false">
      <c r="A377" s="10"/>
      <c r="B377" s="54"/>
      <c r="C377" s="54"/>
      <c r="D377" s="10"/>
      <c r="E377" s="10"/>
      <c r="F377" s="10"/>
      <c r="G377" s="10"/>
      <c r="H377" s="55"/>
      <c r="I377" s="56" t="str">
        <f aca="false">IF(H377="","",H377*(C377-B377+1))</f>
        <v/>
      </c>
      <c r="J377" s="10"/>
      <c r="K377" s="10"/>
      <c r="L377" s="10"/>
      <c r="M377" s="57"/>
    </row>
    <row r="378" customFormat="false" ht="14.25" hidden="false" customHeight="true" outlineLevel="0" collapsed="false">
      <c r="A378" s="10"/>
      <c r="B378" s="54"/>
      <c r="C378" s="54"/>
      <c r="D378" s="10"/>
      <c r="E378" s="10"/>
      <c r="F378" s="10"/>
      <c r="G378" s="10"/>
      <c r="H378" s="55"/>
      <c r="I378" s="56" t="str">
        <f aca="false">IF(H378="","",H378*(C378-B378+1))</f>
        <v/>
      </c>
      <c r="J378" s="10"/>
      <c r="K378" s="10"/>
      <c r="L378" s="10"/>
      <c r="M378" s="57"/>
    </row>
    <row r="379" customFormat="false" ht="14.25" hidden="false" customHeight="true" outlineLevel="0" collapsed="false">
      <c r="A379" s="10"/>
      <c r="B379" s="54"/>
      <c r="C379" s="54"/>
      <c r="D379" s="10"/>
      <c r="E379" s="10"/>
      <c r="F379" s="10"/>
      <c r="G379" s="10"/>
      <c r="H379" s="55"/>
      <c r="I379" s="56" t="str">
        <f aca="false">IF(H379="","",H379*(C379-B379+1))</f>
        <v/>
      </c>
      <c r="J379" s="10"/>
      <c r="K379" s="10"/>
      <c r="L379" s="10"/>
      <c r="M379" s="57"/>
    </row>
    <row r="380" customFormat="false" ht="14.25" hidden="false" customHeight="true" outlineLevel="0" collapsed="false">
      <c r="A380" s="10"/>
      <c r="B380" s="54"/>
      <c r="C380" s="54"/>
      <c r="D380" s="10"/>
      <c r="E380" s="10"/>
      <c r="F380" s="10"/>
      <c r="G380" s="10"/>
      <c r="H380" s="55"/>
      <c r="I380" s="56" t="str">
        <f aca="false">IF(H380="","",H380*(C380-B380+1))</f>
        <v/>
      </c>
      <c r="J380" s="10"/>
      <c r="K380" s="10"/>
      <c r="L380" s="10"/>
      <c r="M380" s="57"/>
    </row>
    <row r="381" customFormat="false" ht="14.25" hidden="false" customHeight="true" outlineLevel="0" collapsed="false">
      <c r="A381" s="10"/>
      <c r="B381" s="54"/>
      <c r="C381" s="54"/>
      <c r="D381" s="10"/>
      <c r="E381" s="10"/>
      <c r="F381" s="10"/>
      <c r="G381" s="10"/>
      <c r="H381" s="55"/>
      <c r="I381" s="56" t="str">
        <f aca="false">IF(H381="","",H381*(C381-B381+1))</f>
        <v/>
      </c>
      <c r="J381" s="10"/>
      <c r="K381" s="10"/>
      <c r="L381" s="10"/>
      <c r="M381" s="57"/>
    </row>
    <row r="382" customFormat="false" ht="14.25" hidden="false" customHeight="true" outlineLevel="0" collapsed="false">
      <c r="A382" s="10"/>
      <c r="B382" s="54"/>
      <c r="C382" s="54"/>
      <c r="D382" s="10"/>
      <c r="E382" s="10"/>
      <c r="F382" s="10"/>
      <c r="G382" s="10"/>
      <c r="H382" s="55"/>
      <c r="I382" s="56" t="str">
        <f aca="false">IF(H382="","",H382*(C382-B382+1))</f>
        <v/>
      </c>
      <c r="J382" s="10"/>
      <c r="K382" s="10"/>
      <c r="L382" s="10"/>
      <c r="M382" s="57"/>
    </row>
    <row r="383" customFormat="false" ht="14.25" hidden="false" customHeight="true" outlineLevel="0" collapsed="false">
      <c r="A383" s="10"/>
      <c r="B383" s="54"/>
      <c r="C383" s="54"/>
      <c r="D383" s="10"/>
      <c r="E383" s="10"/>
      <c r="F383" s="10"/>
      <c r="G383" s="10"/>
      <c r="H383" s="55"/>
      <c r="I383" s="56" t="str">
        <f aca="false">IF(H383="","",H383*(C383-B383+1))</f>
        <v/>
      </c>
      <c r="J383" s="10"/>
      <c r="K383" s="10"/>
      <c r="L383" s="10"/>
      <c r="M383" s="57"/>
    </row>
    <row r="384" customFormat="false" ht="14.25" hidden="false" customHeight="true" outlineLevel="0" collapsed="false">
      <c r="A384" s="10"/>
      <c r="B384" s="54"/>
      <c r="C384" s="54"/>
      <c r="D384" s="10"/>
      <c r="E384" s="10"/>
      <c r="F384" s="10"/>
      <c r="G384" s="10"/>
      <c r="H384" s="55"/>
      <c r="I384" s="56" t="str">
        <f aca="false">IF(H384="","",H384*(C384-B384+1))</f>
        <v/>
      </c>
      <c r="J384" s="10"/>
      <c r="K384" s="10"/>
      <c r="L384" s="10"/>
      <c r="M384" s="57"/>
    </row>
    <row r="385" customFormat="false" ht="14.25" hidden="false" customHeight="true" outlineLevel="0" collapsed="false">
      <c r="A385" s="10"/>
      <c r="B385" s="54"/>
      <c r="C385" s="54"/>
      <c r="D385" s="10"/>
      <c r="E385" s="10"/>
      <c r="F385" s="10"/>
      <c r="G385" s="10"/>
      <c r="H385" s="55"/>
      <c r="I385" s="56" t="str">
        <f aca="false">IF(H385="","",H385*(C385-B385+1))</f>
        <v/>
      </c>
      <c r="J385" s="10"/>
      <c r="K385" s="10"/>
      <c r="L385" s="10"/>
      <c r="M385" s="57"/>
    </row>
    <row r="386" customFormat="false" ht="14.25" hidden="false" customHeight="true" outlineLevel="0" collapsed="false">
      <c r="A386" s="10"/>
      <c r="B386" s="54"/>
      <c r="C386" s="54"/>
      <c r="D386" s="10"/>
      <c r="E386" s="10"/>
      <c r="F386" s="10"/>
      <c r="G386" s="10"/>
      <c r="H386" s="55"/>
      <c r="I386" s="56" t="str">
        <f aca="false">IF(H386="","",H386*(C386-B386+1))</f>
        <v/>
      </c>
      <c r="J386" s="10"/>
      <c r="K386" s="10"/>
      <c r="L386" s="10"/>
      <c r="M386" s="57"/>
    </row>
    <row r="387" customFormat="false" ht="14.25" hidden="false" customHeight="true" outlineLevel="0" collapsed="false">
      <c r="A387" s="10"/>
      <c r="B387" s="54"/>
      <c r="C387" s="54"/>
      <c r="D387" s="10"/>
      <c r="E387" s="10"/>
      <c r="F387" s="10"/>
      <c r="G387" s="10"/>
      <c r="H387" s="55"/>
      <c r="I387" s="56" t="str">
        <f aca="false">IF(H387="","",H387*(C387-B387+1))</f>
        <v/>
      </c>
      <c r="J387" s="10"/>
      <c r="K387" s="10"/>
      <c r="L387" s="10"/>
      <c r="M387" s="57"/>
    </row>
    <row r="388" customFormat="false" ht="14.25" hidden="false" customHeight="true" outlineLevel="0" collapsed="false">
      <c r="A388" s="10"/>
      <c r="B388" s="54"/>
      <c r="C388" s="54"/>
      <c r="D388" s="10"/>
      <c r="E388" s="10"/>
      <c r="F388" s="10"/>
      <c r="G388" s="10"/>
      <c r="H388" s="55"/>
      <c r="I388" s="56" t="str">
        <f aca="false">IF(H388="","",H388*(C388-B388+1))</f>
        <v/>
      </c>
      <c r="J388" s="10"/>
      <c r="K388" s="10"/>
      <c r="L388" s="10"/>
      <c r="M388" s="57"/>
    </row>
    <row r="389" customFormat="false" ht="14.25" hidden="false" customHeight="true" outlineLevel="0" collapsed="false">
      <c r="A389" s="10"/>
      <c r="B389" s="54"/>
      <c r="C389" s="54"/>
      <c r="D389" s="10"/>
      <c r="E389" s="10"/>
      <c r="F389" s="10"/>
      <c r="G389" s="10"/>
      <c r="H389" s="55"/>
      <c r="I389" s="56" t="str">
        <f aca="false">IF(H389="","",H389*(C389-B389+1))</f>
        <v/>
      </c>
      <c r="J389" s="10"/>
      <c r="K389" s="10"/>
      <c r="L389" s="10"/>
      <c r="M389" s="57"/>
    </row>
    <row r="390" customFormat="false" ht="14.25" hidden="false" customHeight="true" outlineLevel="0" collapsed="false">
      <c r="A390" s="10"/>
      <c r="B390" s="54"/>
      <c r="C390" s="54"/>
      <c r="D390" s="10"/>
      <c r="E390" s="10"/>
      <c r="F390" s="10"/>
      <c r="G390" s="10"/>
      <c r="H390" s="55"/>
      <c r="I390" s="56" t="str">
        <f aca="false">IF(H390="","",H390*(C390-B390+1))</f>
        <v/>
      </c>
      <c r="J390" s="10"/>
      <c r="K390" s="10"/>
      <c r="L390" s="10"/>
      <c r="M390" s="57"/>
    </row>
    <row r="391" customFormat="false" ht="14.25" hidden="false" customHeight="true" outlineLevel="0" collapsed="false">
      <c r="A391" s="10"/>
      <c r="B391" s="54"/>
      <c r="C391" s="54"/>
      <c r="D391" s="10"/>
      <c r="E391" s="10"/>
      <c r="F391" s="10"/>
      <c r="G391" s="10"/>
      <c r="H391" s="55"/>
      <c r="I391" s="56" t="str">
        <f aca="false">IF(H391="","",H391*(C391-B391+1))</f>
        <v/>
      </c>
      <c r="J391" s="10"/>
      <c r="K391" s="10"/>
      <c r="L391" s="10"/>
      <c r="M391" s="57"/>
    </row>
    <row r="392" customFormat="false" ht="14.25" hidden="false" customHeight="true" outlineLevel="0" collapsed="false">
      <c r="A392" s="10"/>
      <c r="B392" s="54"/>
      <c r="C392" s="54"/>
      <c r="D392" s="10"/>
      <c r="E392" s="10"/>
      <c r="F392" s="10"/>
      <c r="G392" s="10"/>
      <c r="H392" s="55"/>
      <c r="I392" s="56" t="str">
        <f aca="false">IF(H392="","",H392*(C392-B392+1))</f>
        <v/>
      </c>
      <c r="J392" s="10"/>
      <c r="K392" s="10"/>
      <c r="L392" s="10"/>
      <c r="M392" s="57"/>
    </row>
    <row r="393" customFormat="false" ht="14.25" hidden="false" customHeight="true" outlineLevel="0" collapsed="false">
      <c r="A393" s="10"/>
      <c r="B393" s="54"/>
      <c r="C393" s="54"/>
      <c r="D393" s="10"/>
      <c r="E393" s="10"/>
      <c r="F393" s="10"/>
      <c r="G393" s="10"/>
      <c r="H393" s="55"/>
      <c r="I393" s="56" t="str">
        <f aca="false">IF(H393="","",H393*(C393-B393+1))</f>
        <v/>
      </c>
      <c r="J393" s="10"/>
      <c r="K393" s="10"/>
      <c r="L393" s="10"/>
      <c r="M393" s="57"/>
    </row>
    <row r="394" customFormat="false" ht="14.25" hidden="false" customHeight="true" outlineLevel="0" collapsed="false">
      <c r="A394" s="10"/>
      <c r="B394" s="54"/>
      <c r="C394" s="54"/>
      <c r="D394" s="10"/>
      <c r="E394" s="10"/>
      <c r="F394" s="10"/>
      <c r="G394" s="10"/>
      <c r="H394" s="55"/>
      <c r="I394" s="56" t="str">
        <f aca="false">IF(H394="","",H394*(C394-B394+1))</f>
        <v/>
      </c>
      <c r="J394" s="10"/>
      <c r="K394" s="10"/>
      <c r="L394" s="10"/>
      <c r="M394" s="57"/>
    </row>
    <row r="395" customFormat="false" ht="14.25" hidden="false" customHeight="true" outlineLevel="0" collapsed="false">
      <c r="A395" s="10"/>
      <c r="B395" s="54"/>
      <c r="C395" s="54"/>
      <c r="D395" s="10"/>
      <c r="E395" s="10"/>
      <c r="F395" s="10"/>
      <c r="G395" s="10"/>
      <c r="H395" s="55"/>
      <c r="I395" s="56" t="str">
        <f aca="false">IF(H395="","",H395*(C395-B395+1))</f>
        <v/>
      </c>
      <c r="J395" s="10"/>
      <c r="K395" s="10"/>
      <c r="L395" s="10"/>
      <c r="M395" s="57"/>
    </row>
    <row r="396" customFormat="false" ht="14.25" hidden="false" customHeight="true" outlineLevel="0" collapsed="false">
      <c r="A396" s="10"/>
      <c r="B396" s="54"/>
      <c r="C396" s="54"/>
      <c r="D396" s="10"/>
      <c r="E396" s="10"/>
      <c r="F396" s="10"/>
      <c r="G396" s="10"/>
      <c r="H396" s="55"/>
      <c r="I396" s="56" t="str">
        <f aca="false">IF(H396="","",H396*(C396-B396+1))</f>
        <v/>
      </c>
      <c r="J396" s="10"/>
      <c r="K396" s="10"/>
      <c r="L396" s="10"/>
      <c r="M396" s="57"/>
    </row>
    <row r="397" customFormat="false" ht="14.25" hidden="false" customHeight="true" outlineLevel="0" collapsed="false">
      <c r="A397" s="10"/>
      <c r="B397" s="54"/>
      <c r="C397" s="54"/>
      <c r="D397" s="10"/>
      <c r="E397" s="10"/>
      <c r="F397" s="10"/>
      <c r="G397" s="10"/>
      <c r="H397" s="55"/>
      <c r="I397" s="56" t="str">
        <f aca="false">IF(H397="","",H397*(C397-B397+1))</f>
        <v/>
      </c>
      <c r="J397" s="10"/>
      <c r="K397" s="10"/>
      <c r="L397" s="10"/>
      <c r="M397" s="57"/>
    </row>
    <row r="398" customFormat="false" ht="14.25" hidden="false" customHeight="true" outlineLevel="0" collapsed="false">
      <c r="A398" s="10"/>
      <c r="B398" s="54"/>
      <c r="C398" s="54"/>
      <c r="D398" s="10"/>
      <c r="E398" s="10"/>
      <c r="F398" s="10"/>
      <c r="G398" s="10"/>
      <c r="H398" s="55"/>
      <c r="I398" s="56" t="str">
        <f aca="false">IF(H398="","",H398*(C398-B398+1))</f>
        <v/>
      </c>
      <c r="J398" s="10"/>
      <c r="K398" s="10"/>
      <c r="L398" s="10"/>
      <c r="M398" s="57"/>
    </row>
    <row r="399" customFormat="false" ht="14.25" hidden="false" customHeight="true" outlineLevel="0" collapsed="false">
      <c r="A399" s="10"/>
      <c r="B399" s="54"/>
      <c r="C399" s="54"/>
      <c r="D399" s="10"/>
      <c r="E399" s="10"/>
      <c r="F399" s="10"/>
      <c r="G399" s="10"/>
      <c r="H399" s="55"/>
      <c r="I399" s="56" t="str">
        <f aca="false">IF(H399="","",H399*(C399-B399+1))</f>
        <v/>
      </c>
      <c r="J399" s="10"/>
      <c r="K399" s="10"/>
      <c r="L399" s="10"/>
      <c r="M399" s="57"/>
    </row>
    <row r="400" customFormat="false" ht="14.25" hidden="false" customHeight="true" outlineLevel="0" collapsed="false">
      <c r="A400" s="10"/>
      <c r="B400" s="54"/>
      <c r="C400" s="54"/>
      <c r="D400" s="10"/>
      <c r="E400" s="10"/>
      <c r="F400" s="10"/>
      <c r="G400" s="10"/>
      <c r="H400" s="55"/>
      <c r="I400" s="56" t="str">
        <f aca="false">IF(H400="","",H400*(C400-B400+1))</f>
        <v/>
      </c>
      <c r="J400" s="10"/>
      <c r="K400" s="10"/>
      <c r="L400" s="10"/>
      <c r="M400"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D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30" min="2" style="1" width="12.44"/>
  </cols>
  <sheetData>
    <row r="1" customFormat="false" ht="18" hidden="false" customHeight="true" outlineLevel="0" collapsed="false">
      <c r="A1" s="19" t="s">
        <v>1313</v>
      </c>
    </row>
    <row r="2" customFormat="false" ht="14.25" hidden="false" customHeight="true" outlineLevel="0" collapsed="false">
      <c r="A2" s="3" t="s">
        <v>1314</v>
      </c>
    </row>
    <row r="3" customFormat="false" ht="14.25" hidden="false" customHeight="true" outlineLevel="0" collapsed="false">
      <c r="A3" s="20" t="s">
        <v>1315</v>
      </c>
    </row>
    <row r="4" customFormat="false" ht="14.25" hidden="false" customHeight="true" outlineLevel="0" collapsed="false">
      <c r="B4" s="58" t="s">
        <v>1316</v>
      </c>
      <c r="C4" s="58"/>
      <c r="D4" s="58"/>
      <c r="E4" s="58" t="s">
        <v>1317</v>
      </c>
      <c r="F4" s="58"/>
      <c r="G4" s="58"/>
      <c r="H4" s="58"/>
      <c r="I4" s="58"/>
      <c r="J4" s="58"/>
      <c r="K4" s="59" t="s">
        <v>1316</v>
      </c>
      <c r="L4" s="58" t="s">
        <v>65</v>
      </c>
      <c r="M4" s="58"/>
      <c r="N4" s="58" t="s">
        <v>1318</v>
      </c>
      <c r="O4" s="58"/>
      <c r="P4" s="58"/>
      <c r="Q4" s="58"/>
      <c r="R4" s="58"/>
      <c r="S4" s="58"/>
      <c r="T4" s="58" t="s">
        <v>1319</v>
      </c>
      <c r="U4" s="58"/>
      <c r="V4" s="58"/>
      <c r="W4" s="58"/>
      <c r="X4" s="58"/>
      <c r="Y4" s="58" t="s">
        <v>1320</v>
      </c>
      <c r="Z4" s="58"/>
      <c r="AA4" s="58"/>
      <c r="AB4" s="58"/>
      <c r="AC4" s="58"/>
      <c r="AD4" s="58"/>
    </row>
    <row r="5" customFormat="false" ht="54" hidden="false" customHeight="true" outlineLevel="0" collapsed="false">
      <c r="A5" s="60" t="s">
        <v>103</v>
      </c>
      <c r="B5" s="7" t="s">
        <v>1321</v>
      </c>
      <c r="C5" s="7" t="s">
        <v>1322</v>
      </c>
      <c r="D5" s="7" t="s">
        <v>1323</v>
      </c>
      <c r="E5" s="7" t="s">
        <v>1324</v>
      </c>
      <c r="F5" s="7" t="s">
        <v>1325</v>
      </c>
      <c r="G5" s="7" t="s">
        <v>1326</v>
      </c>
      <c r="H5" s="7" t="s">
        <v>1327</v>
      </c>
      <c r="I5" s="7" t="s">
        <v>1328</v>
      </c>
      <c r="J5" s="7" t="s">
        <v>1329</v>
      </c>
      <c r="K5" s="7" t="s">
        <v>1330</v>
      </c>
      <c r="L5" s="7" t="s">
        <v>1331</v>
      </c>
      <c r="M5" s="7" t="s">
        <v>1332</v>
      </c>
      <c r="N5" s="7" t="s">
        <v>1333</v>
      </c>
      <c r="O5" s="7" t="s">
        <v>1334</v>
      </c>
      <c r="P5" s="7" t="s">
        <v>1335</v>
      </c>
      <c r="Q5" s="7" t="s">
        <v>1336</v>
      </c>
      <c r="R5" s="7" t="s">
        <v>1337</v>
      </c>
      <c r="S5" s="7" t="s">
        <v>1338</v>
      </c>
      <c r="T5" s="7" t="s">
        <v>1339</v>
      </c>
      <c r="U5" s="7" t="s">
        <v>1340</v>
      </c>
      <c r="V5" s="7" t="s">
        <v>1341</v>
      </c>
      <c r="W5" s="7" t="s">
        <v>1342</v>
      </c>
      <c r="X5" s="7" t="s">
        <v>1343</v>
      </c>
      <c r="Y5" s="7" t="s">
        <v>1344</v>
      </c>
      <c r="Z5" s="7" t="s">
        <v>1345</v>
      </c>
      <c r="AA5" s="7" t="s">
        <v>1346</v>
      </c>
      <c r="AB5" s="7" t="s">
        <v>1347</v>
      </c>
      <c r="AC5" s="7" t="s">
        <v>1348</v>
      </c>
      <c r="AD5" s="7" t="s">
        <v>1349</v>
      </c>
    </row>
    <row r="6" customFormat="false" ht="14.25" hidden="false" customHeight="true" outlineLevel="0" collapsed="false">
      <c r="A6" s="61" t="n">
        <v>1846</v>
      </c>
      <c r="B6" s="48" t="n">
        <v>0.74</v>
      </c>
      <c r="C6" s="62" t="n">
        <v>-0.008667</v>
      </c>
      <c r="D6" s="47" t="n">
        <v>0</v>
      </c>
      <c r="E6" s="47" t="n">
        <v>2000</v>
      </c>
      <c r="F6" s="47" t="n">
        <v>0</v>
      </c>
      <c r="G6" s="47" t="n">
        <v>0</v>
      </c>
      <c r="H6" s="47" t="n">
        <v>0</v>
      </c>
      <c r="I6" s="62" t="n">
        <v>0.2</v>
      </c>
      <c r="J6" s="62" t="n">
        <v>0.2</v>
      </c>
      <c r="K6" s="47" t="n">
        <v>0</v>
      </c>
      <c r="L6" s="62" t="n">
        <v>0</v>
      </c>
      <c r="M6" s="48" t="n">
        <v>1</v>
      </c>
      <c r="N6" s="62" t="n">
        <v>0.3</v>
      </c>
      <c r="O6" s="62" t="n">
        <v>0.08</v>
      </c>
      <c r="P6" s="62" t="n">
        <v>0.03</v>
      </c>
      <c r="Q6" s="62" t="n">
        <v>0.85</v>
      </c>
      <c r="R6" s="63" t="n">
        <v>0</v>
      </c>
      <c r="S6" s="55" t="n">
        <v>0</v>
      </c>
      <c r="T6" s="62" t="n">
        <v>0.018</v>
      </c>
      <c r="U6" s="62" t="n">
        <v>0.01</v>
      </c>
      <c r="V6" s="62" t="n">
        <v>0</v>
      </c>
      <c r="W6" s="47" t="n">
        <v>500</v>
      </c>
      <c r="X6" s="47" t="n">
        <v>0</v>
      </c>
      <c r="Y6" s="62" t="n">
        <v>0.06</v>
      </c>
      <c r="Z6" s="62" t="n">
        <v>0.05</v>
      </c>
      <c r="AA6" s="62" t="n">
        <v>0.03</v>
      </c>
      <c r="AB6" s="47" t="n">
        <v>1</v>
      </c>
      <c r="AC6" s="47" t="n">
        <v>0</v>
      </c>
      <c r="AD6" s="47" t="n">
        <v>1500</v>
      </c>
    </row>
    <row r="7" customFormat="false" ht="14.25" hidden="false" customHeight="true" outlineLevel="0" collapsed="false">
      <c r="A7" s="61" t="n">
        <v>1847</v>
      </c>
      <c r="B7" s="48" t="n">
        <v>0.74</v>
      </c>
      <c r="C7" s="62" t="n">
        <v>-0.008149</v>
      </c>
      <c r="D7" s="47" t="n">
        <v>0</v>
      </c>
      <c r="E7" s="47" t="n">
        <v>3000</v>
      </c>
      <c r="F7" s="47" t="n">
        <v>0</v>
      </c>
      <c r="G7" s="47" t="n">
        <v>0</v>
      </c>
      <c r="H7" s="47" t="n">
        <v>0</v>
      </c>
      <c r="I7" s="62" t="n">
        <v>0.2</v>
      </c>
      <c r="J7" s="62" t="n">
        <v>0.2</v>
      </c>
      <c r="K7" s="47" t="n">
        <v>0</v>
      </c>
      <c r="L7" s="62" t="n">
        <v>0.04</v>
      </c>
      <c r="M7" s="48" t="n">
        <v>1</v>
      </c>
      <c r="N7" s="62" t="n">
        <v>0.2967</v>
      </c>
      <c r="O7" s="62" t="n">
        <v>0.08</v>
      </c>
      <c r="P7" s="62" t="n">
        <v>0.03</v>
      </c>
      <c r="Q7" s="62" t="n">
        <v>0.85</v>
      </c>
      <c r="R7" s="63" t="n">
        <v>2E-005</v>
      </c>
      <c r="S7" s="55" t="n">
        <v>0</v>
      </c>
      <c r="T7" s="62" t="n">
        <v>0.0183</v>
      </c>
      <c r="U7" s="62" t="n">
        <v>0.0108</v>
      </c>
      <c r="V7" s="62" t="n">
        <v>0.0007</v>
      </c>
      <c r="W7" s="47" t="n">
        <v>1500</v>
      </c>
      <c r="X7" s="47" t="n">
        <v>1000</v>
      </c>
      <c r="Y7" s="62" t="n">
        <v>0.0603</v>
      </c>
      <c r="Z7" s="62" t="n">
        <v>0.05</v>
      </c>
      <c r="AA7" s="62" t="n">
        <v>0.03</v>
      </c>
      <c r="AB7" s="47" t="n">
        <v>1</v>
      </c>
      <c r="AC7" s="47" t="n">
        <v>0</v>
      </c>
      <c r="AD7" s="47" t="n">
        <v>1500</v>
      </c>
    </row>
    <row r="8" customFormat="false" ht="14.25" hidden="false" customHeight="true" outlineLevel="0" collapsed="false">
      <c r="A8" s="61" t="n">
        <v>1848</v>
      </c>
      <c r="B8" s="48" t="n">
        <v>0.74</v>
      </c>
      <c r="C8" s="62" t="n">
        <v>-0.007642</v>
      </c>
      <c r="D8" s="47" t="n">
        <v>0</v>
      </c>
      <c r="E8" s="47" t="n">
        <v>15000</v>
      </c>
      <c r="F8" s="47" t="n">
        <v>0</v>
      </c>
      <c r="G8" s="47" t="n">
        <v>0</v>
      </c>
      <c r="H8" s="47" t="n">
        <v>0</v>
      </c>
      <c r="I8" s="62" t="n">
        <v>0.2</v>
      </c>
      <c r="J8" s="62" t="n">
        <v>0.2</v>
      </c>
      <c r="K8" s="47" t="n">
        <v>0</v>
      </c>
      <c r="L8" s="62" t="n">
        <v>0.04</v>
      </c>
      <c r="M8" s="48" t="n">
        <v>1</v>
      </c>
      <c r="N8" s="62" t="n">
        <v>0.2933</v>
      </c>
      <c r="O8" s="62" t="n">
        <v>0.08</v>
      </c>
      <c r="P8" s="62" t="n">
        <v>0.03</v>
      </c>
      <c r="Q8" s="62" t="n">
        <v>0.85</v>
      </c>
      <c r="R8" s="63" t="n">
        <v>4E-005</v>
      </c>
      <c r="S8" s="55" t="n">
        <v>0</v>
      </c>
      <c r="T8" s="62" t="n">
        <v>0.0187</v>
      </c>
      <c r="U8" s="62" t="n">
        <v>0.0117</v>
      </c>
      <c r="V8" s="62" t="n">
        <v>0.0013</v>
      </c>
      <c r="W8" s="47" t="n">
        <v>1000</v>
      </c>
      <c r="X8" s="47" t="n">
        <v>2000</v>
      </c>
      <c r="Y8" s="62" t="n">
        <v>0.0605</v>
      </c>
      <c r="Z8" s="62" t="n">
        <v>0.05</v>
      </c>
      <c r="AA8" s="62" t="n">
        <v>0.03</v>
      </c>
      <c r="AB8" s="47" t="n">
        <v>1</v>
      </c>
      <c r="AC8" s="47" t="n">
        <v>0</v>
      </c>
      <c r="AD8" s="47" t="n">
        <v>1500</v>
      </c>
    </row>
    <row r="9" customFormat="false" ht="14.25" hidden="false" customHeight="true" outlineLevel="0" collapsed="false">
      <c r="A9" s="61" t="n">
        <v>1849</v>
      </c>
      <c r="B9" s="48" t="n">
        <v>1.18</v>
      </c>
      <c r="C9" s="62" t="n">
        <v>-0.003279</v>
      </c>
      <c r="D9" s="47" t="n">
        <v>0</v>
      </c>
      <c r="E9" s="47" t="n">
        <v>60000</v>
      </c>
      <c r="F9" s="47" t="n">
        <v>300</v>
      </c>
      <c r="G9" s="47" t="n">
        <v>0</v>
      </c>
      <c r="H9" s="47" t="n">
        <v>0</v>
      </c>
      <c r="I9" s="62" t="n">
        <v>0.35</v>
      </c>
      <c r="J9" s="62" t="n">
        <v>0.2</v>
      </c>
      <c r="K9" s="47" t="n">
        <v>0</v>
      </c>
      <c r="L9" s="62" t="n">
        <v>0.04</v>
      </c>
      <c r="M9" s="48" t="n">
        <v>1</v>
      </c>
      <c r="N9" s="62" t="n">
        <v>0.29</v>
      </c>
      <c r="O9" s="62" t="n">
        <v>0.08</v>
      </c>
      <c r="P9" s="62" t="n">
        <v>0.06</v>
      </c>
      <c r="Q9" s="62" t="n">
        <v>0.85</v>
      </c>
      <c r="R9" s="63" t="n">
        <v>6E-005</v>
      </c>
      <c r="S9" s="55" t="n">
        <v>0</v>
      </c>
      <c r="T9" s="62" t="n">
        <v>0.019</v>
      </c>
      <c r="U9" s="62" t="n">
        <v>0.0125</v>
      </c>
      <c r="V9" s="62" t="n">
        <v>0.002</v>
      </c>
      <c r="W9" s="47" t="n">
        <v>1200</v>
      </c>
      <c r="X9" s="47" t="n">
        <v>3000</v>
      </c>
      <c r="Y9" s="62" t="n">
        <v>0.0608</v>
      </c>
      <c r="Z9" s="62" t="n">
        <v>0.05</v>
      </c>
      <c r="AA9" s="62" t="n">
        <v>0.03</v>
      </c>
      <c r="AB9" s="47" t="n">
        <v>1</v>
      </c>
      <c r="AC9" s="47" t="n">
        <v>0</v>
      </c>
      <c r="AD9" s="47" t="n">
        <v>1500</v>
      </c>
    </row>
    <row r="10" customFormat="false" ht="14.25" hidden="false" customHeight="true" outlineLevel="0" collapsed="false">
      <c r="A10" s="61" t="n">
        <v>1850</v>
      </c>
      <c r="B10" s="48" t="n">
        <v>1.1</v>
      </c>
      <c r="C10" s="62" t="n">
        <v>0.006354</v>
      </c>
      <c r="D10" s="47" t="n">
        <v>0</v>
      </c>
      <c r="E10" s="47" t="n">
        <v>50000</v>
      </c>
      <c r="F10" s="47" t="n">
        <v>4000</v>
      </c>
      <c r="G10" s="47" t="n">
        <v>0</v>
      </c>
      <c r="H10" s="47" t="n">
        <v>0</v>
      </c>
      <c r="I10" s="62" t="n">
        <v>0.35</v>
      </c>
      <c r="J10" s="62" t="n">
        <v>0.2</v>
      </c>
      <c r="K10" s="47" t="n">
        <v>0</v>
      </c>
      <c r="L10" s="62" t="n">
        <v>0.04</v>
      </c>
      <c r="M10" s="48" t="n">
        <v>1</v>
      </c>
      <c r="N10" s="62" t="n">
        <v>0.2867</v>
      </c>
      <c r="O10" s="62" t="n">
        <v>0.08</v>
      </c>
      <c r="P10" s="62" t="n">
        <v>0.06</v>
      </c>
      <c r="Q10" s="62" t="n">
        <v>0.85</v>
      </c>
      <c r="R10" s="63" t="n">
        <v>8E-005</v>
      </c>
      <c r="S10" s="55" t="n">
        <v>0</v>
      </c>
      <c r="T10" s="62" t="n">
        <v>0.0193</v>
      </c>
      <c r="U10" s="62" t="n">
        <v>0.0133</v>
      </c>
      <c r="V10" s="62" t="n">
        <v>0.0027</v>
      </c>
      <c r="W10" s="47" t="n">
        <v>1500</v>
      </c>
      <c r="X10" s="47" t="n">
        <v>4000</v>
      </c>
      <c r="Y10" s="62" t="n">
        <v>0.0611</v>
      </c>
      <c r="Z10" s="62" t="n">
        <v>0.05</v>
      </c>
      <c r="AA10" s="62" t="n">
        <v>0.03</v>
      </c>
      <c r="AB10" s="47" t="n">
        <v>1</v>
      </c>
      <c r="AC10" s="47" t="n">
        <v>0</v>
      </c>
      <c r="AD10" s="47" t="n">
        <v>1500</v>
      </c>
    </row>
    <row r="11" customFormat="false" ht="14.25" hidden="false" customHeight="true" outlineLevel="0" collapsed="false">
      <c r="A11" s="61" t="n">
        <v>1851</v>
      </c>
      <c r="B11" s="48" t="n">
        <v>1.02</v>
      </c>
      <c r="C11" s="62" t="n">
        <v>0.010016</v>
      </c>
      <c r="D11" s="47" t="n">
        <v>0</v>
      </c>
      <c r="E11" s="47" t="n">
        <v>40000</v>
      </c>
      <c r="F11" s="47" t="n">
        <v>3000</v>
      </c>
      <c r="G11" s="47" t="n">
        <v>0</v>
      </c>
      <c r="H11" s="47" t="n">
        <v>0</v>
      </c>
      <c r="I11" s="62" t="n">
        <v>0.35</v>
      </c>
      <c r="J11" s="62" t="n">
        <v>0.2</v>
      </c>
      <c r="K11" s="47" t="n">
        <v>0</v>
      </c>
      <c r="L11" s="62" t="n">
        <v>0.04</v>
      </c>
      <c r="M11" s="48" t="n">
        <v>1</v>
      </c>
      <c r="N11" s="62" t="n">
        <v>0.2833</v>
      </c>
      <c r="O11" s="62" t="n">
        <v>0.08</v>
      </c>
      <c r="P11" s="62" t="n">
        <v>0.06</v>
      </c>
      <c r="Q11" s="62" t="n">
        <v>0.85</v>
      </c>
      <c r="R11" s="63" t="n">
        <v>0.0001</v>
      </c>
      <c r="S11" s="55" t="n">
        <v>0</v>
      </c>
      <c r="T11" s="62" t="n">
        <v>0.0197</v>
      </c>
      <c r="U11" s="62" t="n">
        <v>0.0142</v>
      </c>
      <c r="V11" s="62" t="n">
        <v>0.0033</v>
      </c>
      <c r="W11" s="47" t="n">
        <v>2200</v>
      </c>
      <c r="X11" s="47" t="n">
        <v>6000</v>
      </c>
      <c r="Y11" s="62" t="n">
        <v>0.0613</v>
      </c>
      <c r="Z11" s="62" t="n">
        <v>0.05</v>
      </c>
      <c r="AA11" s="62" t="n">
        <v>0.03</v>
      </c>
      <c r="AB11" s="47" t="n">
        <v>1</v>
      </c>
      <c r="AC11" s="47" t="n">
        <v>0</v>
      </c>
      <c r="AD11" s="47" t="n">
        <v>1535</v>
      </c>
    </row>
    <row r="12" customFormat="false" ht="14.25" hidden="false" customHeight="true" outlineLevel="0" collapsed="false">
      <c r="A12" s="61" t="n">
        <v>1852</v>
      </c>
      <c r="B12" s="48" t="n">
        <v>1</v>
      </c>
      <c r="C12" s="62" t="n">
        <v>0.011695</v>
      </c>
      <c r="D12" s="47" t="n">
        <v>0</v>
      </c>
      <c r="E12" s="47" t="n">
        <v>55000</v>
      </c>
      <c r="F12" s="47" t="n">
        <v>20000</v>
      </c>
      <c r="G12" s="47" t="n">
        <v>0</v>
      </c>
      <c r="H12" s="47" t="n">
        <v>0</v>
      </c>
      <c r="I12" s="62" t="n">
        <v>0.35</v>
      </c>
      <c r="J12" s="62" t="n">
        <v>0.4</v>
      </c>
      <c r="K12" s="47" t="n">
        <v>0</v>
      </c>
      <c r="L12" s="62" t="n">
        <v>0.04</v>
      </c>
      <c r="M12" s="48" t="n">
        <v>1</v>
      </c>
      <c r="N12" s="62" t="n">
        <v>0.28</v>
      </c>
      <c r="O12" s="62" t="n">
        <v>0.12</v>
      </c>
      <c r="P12" s="62" t="n">
        <v>0.075</v>
      </c>
      <c r="Q12" s="62" t="n">
        <v>0.85</v>
      </c>
      <c r="R12" s="63" t="n">
        <v>0.00013</v>
      </c>
      <c r="S12" s="55" t="n">
        <v>0</v>
      </c>
      <c r="T12" s="62" t="n">
        <v>0.02</v>
      </c>
      <c r="U12" s="62" t="n">
        <v>0.015</v>
      </c>
      <c r="V12" s="62" t="n">
        <v>0.004</v>
      </c>
      <c r="W12" s="47" t="n">
        <v>3000</v>
      </c>
      <c r="X12" s="47" t="n">
        <v>7000</v>
      </c>
      <c r="Y12" s="62" t="n">
        <v>0.0616</v>
      </c>
      <c r="Z12" s="62" t="n">
        <v>0.05</v>
      </c>
      <c r="AA12" s="62" t="n">
        <v>0.03</v>
      </c>
      <c r="AB12" s="47" t="n">
        <v>1</v>
      </c>
      <c r="AC12" s="47" t="n">
        <v>0</v>
      </c>
      <c r="AD12" s="47" t="n">
        <v>1570</v>
      </c>
    </row>
    <row r="13" customFormat="false" ht="14.25" hidden="false" customHeight="true" outlineLevel="0" collapsed="false">
      <c r="A13" s="61" t="n">
        <v>1853</v>
      </c>
      <c r="B13" s="48" t="n">
        <v>0.99</v>
      </c>
      <c r="C13" s="62" t="n">
        <v>0.018934</v>
      </c>
      <c r="D13" s="47" t="n">
        <v>0</v>
      </c>
      <c r="E13" s="47" t="n">
        <v>40000</v>
      </c>
      <c r="F13" s="47" t="n">
        <v>6000</v>
      </c>
      <c r="G13" s="47" t="n">
        <v>0</v>
      </c>
      <c r="H13" s="47" t="n">
        <v>0</v>
      </c>
      <c r="I13" s="62" t="n">
        <v>0.35</v>
      </c>
      <c r="J13" s="62" t="n">
        <v>0.4</v>
      </c>
      <c r="K13" s="47" t="n">
        <v>0</v>
      </c>
      <c r="L13" s="62" t="n">
        <v>0.04</v>
      </c>
      <c r="M13" s="48" t="n">
        <v>1</v>
      </c>
      <c r="N13" s="62" t="n">
        <v>0.2783</v>
      </c>
      <c r="O13" s="62" t="n">
        <v>0.12</v>
      </c>
      <c r="P13" s="62" t="n">
        <v>0.075</v>
      </c>
      <c r="Q13" s="62" t="n">
        <v>0.85</v>
      </c>
      <c r="R13" s="63" t="n">
        <v>0.00015</v>
      </c>
      <c r="S13" s="55" t="n">
        <v>0</v>
      </c>
      <c r="T13" s="62" t="n">
        <v>0.0202</v>
      </c>
      <c r="U13" s="62" t="n">
        <v>0.0158</v>
      </c>
      <c r="V13" s="62" t="n">
        <v>0.0045</v>
      </c>
      <c r="W13" s="47" t="n">
        <v>3700</v>
      </c>
      <c r="X13" s="47" t="n">
        <v>8000</v>
      </c>
      <c r="Y13" s="62" t="n">
        <v>0.0618</v>
      </c>
      <c r="Z13" s="62" t="n">
        <v>0.05</v>
      </c>
      <c r="AA13" s="62" t="n">
        <v>0.03</v>
      </c>
      <c r="AB13" s="47" t="n">
        <v>1</v>
      </c>
      <c r="AC13" s="47" t="n">
        <v>0</v>
      </c>
      <c r="AD13" s="47" t="n">
        <v>1605</v>
      </c>
    </row>
    <row r="14" customFormat="false" ht="14.25" hidden="false" customHeight="true" outlineLevel="0" collapsed="false">
      <c r="A14" s="61" t="n">
        <v>1854</v>
      </c>
      <c r="B14" s="48" t="n">
        <v>0.97</v>
      </c>
      <c r="C14" s="62" t="n">
        <v>0.020507</v>
      </c>
      <c r="D14" s="47" t="n">
        <v>0</v>
      </c>
      <c r="E14" s="47" t="n">
        <v>35000</v>
      </c>
      <c r="F14" s="47" t="n">
        <v>6000</v>
      </c>
      <c r="G14" s="47" t="n">
        <v>0</v>
      </c>
      <c r="H14" s="47" t="n">
        <v>0</v>
      </c>
      <c r="I14" s="62" t="n">
        <v>0.35</v>
      </c>
      <c r="J14" s="62" t="n">
        <v>0.4</v>
      </c>
      <c r="K14" s="47" t="n">
        <v>0</v>
      </c>
      <c r="L14" s="62" t="n">
        <v>0.04</v>
      </c>
      <c r="M14" s="48" t="n">
        <v>1</v>
      </c>
      <c r="N14" s="62" t="n">
        <v>0.2767</v>
      </c>
      <c r="O14" s="62" t="n">
        <v>0.12</v>
      </c>
      <c r="P14" s="62" t="n">
        <v>0.075</v>
      </c>
      <c r="Q14" s="62" t="n">
        <v>0.85</v>
      </c>
      <c r="R14" s="63" t="n">
        <v>0.00017</v>
      </c>
      <c r="S14" s="55" t="n">
        <v>0</v>
      </c>
      <c r="T14" s="62" t="n">
        <v>0.0203</v>
      </c>
      <c r="U14" s="62" t="n">
        <v>0.0165</v>
      </c>
      <c r="V14" s="62" t="n">
        <v>0.005</v>
      </c>
      <c r="W14" s="47" t="n">
        <v>4300</v>
      </c>
      <c r="X14" s="47" t="n">
        <v>9000</v>
      </c>
      <c r="Y14" s="62" t="n">
        <v>0.0621</v>
      </c>
      <c r="Z14" s="62" t="n">
        <v>0.05</v>
      </c>
      <c r="AA14" s="62" t="n">
        <v>0.03</v>
      </c>
      <c r="AB14" s="47" t="n">
        <v>1</v>
      </c>
      <c r="AC14" s="47" t="n">
        <v>0</v>
      </c>
      <c r="AD14" s="47" t="n">
        <v>1640</v>
      </c>
    </row>
    <row r="15" customFormat="false" ht="14.25" hidden="false" customHeight="true" outlineLevel="0" collapsed="false">
      <c r="A15" s="61" t="n">
        <v>1855</v>
      </c>
      <c r="B15" s="48" t="n">
        <v>0.95</v>
      </c>
      <c r="C15" s="62" t="n">
        <v>0.021664</v>
      </c>
      <c r="D15" s="47" t="n">
        <v>0</v>
      </c>
      <c r="E15" s="47" t="n">
        <v>30000</v>
      </c>
      <c r="F15" s="47" t="n">
        <v>6000</v>
      </c>
      <c r="G15" s="47" t="n">
        <v>0</v>
      </c>
      <c r="H15" s="47" t="n">
        <v>0</v>
      </c>
      <c r="I15" s="62" t="n">
        <v>0.35</v>
      </c>
      <c r="J15" s="62" t="n">
        <v>0.4</v>
      </c>
      <c r="K15" s="47" t="n">
        <v>0</v>
      </c>
      <c r="L15" s="62" t="n">
        <v>0.04</v>
      </c>
      <c r="M15" s="48" t="n">
        <v>1</v>
      </c>
      <c r="N15" s="62" t="n">
        <v>0.275</v>
      </c>
      <c r="O15" s="62" t="n">
        <v>0.12</v>
      </c>
      <c r="P15" s="62" t="n">
        <v>0.085</v>
      </c>
      <c r="Q15" s="62" t="n">
        <v>0.85</v>
      </c>
      <c r="R15" s="63" t="n">
        <v>0.00019</v>
      </c>
      <c r="S15" s="55" t="n">
        <v>0</v>
      </c>
      <c r="T15" s="62" t="n">
        <v>0.0205</v>
      </c>
      <c r="U15" s="62" t="n">
        <v>0.0172</v>
      </c>
      <c r="V15" s="62" t="n">
        <v>0.0055</v>
      </c>
      <c r="W15" s="47" t="n">
        <v>5000</v>
      </c>
      <c r="X15" s="47" t="n">
        <v>10000</v>
      </c>
      <c r="Y15" s="62" t="n">
        <v>0.0624</v>
      </c>
      <c r="Z15" s="62" t="n">
        <v>0.05</v>
      </c>
      <c r="AA15" s="62" t="n">
        <v>0.03</v>
      </c>
      <c r="AB15" s="47" t="n">
        <v>1</v>
      </c>
      <c r="AC15" s="47" t="n">
        <v>0</v>
      </c>
      <c r="AD15" s="47" t="n">
        <v>1675</v>
      </c>
    </row>
    <row r="16" customFormat="false" ht="14.25" hidden="false" customHeight="true" outlineLevel="0" collapsed="false">
      <c r="A16" s="61" t="n">
        <v>1856</v>
      </c>
      <c r="B16" s="48" t="n">
        <v>0.935</v>
      </c>
      <c r="C16" s="62" t="n">
        <v>0.02084</v>
      </c>
      <c r="D16" s="47" t="n">
        <v>72000</v>
      </c>
      <c r="E16" s="47" t="n">
        <v>30000</v>
      </c>
      <c r="F16" s="47" t="n">
        <v>6000</v>
      </c>
      <c r="G16" s="47" t="n">
        <v>0</v>
      </c>
      <c r="H16" s="47" t="n">
        <v>0</v>
      </c>
      <c r="I16" s="62" t="n">
        <v>0.2</v>
      </c>
      <c r="J16" s="62" t="n">
        <v>0.4</v>
      </c>
      <c r="K16" s="47" t="n">
        <v>0</v>
      </c>
      <c r="L16" s="62" t="n">
        <v>0.025</v>
      </c>
      <c r="M16" s="48" t="n">
        <v>1</v>
      </c>
      <c r="N16" s="62" t="n">
        <v>0.2733</v>
      </c>
      <c r="O16" s="62" t="n">
        <v>0.12</v>
      </c>
      <c r="P16" s="62" t="n">
        <v>0.085</v>
      </c>
      <c r="Q16" s="62" t="n">
        <v>0.85</v>
      </c>
      <c r="R16" s="63" t="n">
        <v>0.00021</v>
      </c>
      <c r="S16" s="55" t="n">
        <v>0</v>
      </c>
      <c r="T16" s="62" t="n">
        <v>0.0206</v>
      </c>
      <c r="U16" s="62" t="n">
        <v>0.018</v>
      </c>
      <c r="V16" s="62" t="n">
        <v>0.006</v>
      </c>
      <c r="W16" s="47" t="n">
        <v>6300</v>
      </c>
      <c r="X16" s="47" t="n">
        <v>23000</v>
      </c>
      <c r="Y16" s="62" t="n">
        <v>0.0626</v>
      </c>
      <c r="Z16" s="62" t="n">
        <v>0.05</v>
      </c>
      <c r="AA16" s="62" t="n">
        <v>0.03</v>
      </c>
      <c r="AB16" s="47" t="n">
        <v>1</v>
      </c>
      <c r="AC16" s="47" t="n">
        <v>0</v>
      </c>
      <c r="AD16" s="47" t="n">
        <v>1710</v>
      </c>
    </row>
    <row r="17" customFormat="false" ht="14.25" hidden="false" customHeight="true" outlineLevel="0" collapsed="false">
      <c r="A17" s="61" t="n">
        <v>1857</v>
      </c>
      <c r="B17" s="48" t="n">
        <v>0.92</v>
      </c>
      <c r="C17" s="62" t="n">
        <v>0.020876</v>
      </c>
      <c r="D17" s="47" t="n">
        <v>0</v>
      </c>
      <c r="E17" s="47" t="n">
        <v>30000</v>
      </c>
      <c r="F17" s="47" t="n">
        <v>6000</v>
      </c>
      <c r="G17" s="47" t="n">
        <v>0</v>
      </c>
      <c r="H17" s="47" t="n">
        <v>0</v>
      </c>
      <c r="I17" s="62" t="n">
        <v>0.2</v>
      </c>
      <c r="J17" s="62" t="n">
        <v>0.4</v>
      </c>
      <c r="K17" s="47" t="n">
        <v>0</v>
      </c>
      <c r="L17" s="62" t="n">
        <v>0.025</v>
      </c>
      <c r="M17" s="48" t="n">
        <v>0.97</v>
      </c>
      <c r="N17" s="62" t="n">
        <v>0.2717</v>
      </c>
      <c r="O17" s="62" t="n">
        <v>0.12</v>
      </c>
      <c r="P17" s="62" t="n">
        <v>0.085</v>
      </c>
      <c r="Q17" s="62" t="n">
        <v>0.85</v>
      </c>
      <c r="R17" s="63" t="n">
        <v>0.00023</v>
      </c>
      <c r="S17" s="55" t="n">
        <v>0</v>
      </c>
      <c r="T17" s="62" t="n">
        <v>0.0208</v>
      </c>
      <c r="U17" s="62" t="n">
        <v>0.0181</v>
      </c>
      <c r="V17" s="62" t="n">
        <v>0.0061</v>
      </c>
      <c r="W17" s="47" t="n">
        <v>7700</v>
      </c>
      <c r="X17" s="47" t="n">
        <v>37000</v>
      </c>
      <c r="Y17" s="62" t="n">
        <v>0.0629</v>
      </c>
      <c r="Z17" s="62" t="n">
        <v>0.05</v>
      </c>
      <c r="AA17" s="62" t="n">
        <v>0.03</v>
      </c>
      <c r="AB17" s="47" t="n">
        <v>1</v>
      </c>
      <c r="AC17" s="47" t="n">
        <v>0</v>
      </c>
      <c r="AD17" s="47" t="n">
        <v>1745</v>
      </c>
    </row>
    <row r="18" customFormat="false" ht="14.25" hidden="false" customHeight="true" outlineLevel="0" collapsed="false">
      <c r="A18" s="61" t="n">
        <v>1858</v>
      </c>
      <c r="B18" s="48" t="n">
        <v>0.9067</v>
      </c>
      <c r="C18" s="62" t="n">
        <v>0.022075</v>
      </c>
      <c r="D18" s="47" t="n">
        <v>0</v>
      </c>
      <c r="E18" s="47" t="n">
        <v>30000</v>
      </c>
      <c r="F18" s="47" t="n">
        <v>6000</v>
      </c>
      <c r="G18" s="47" t="n">
        <v>0</v>
      </c>
      <c r="H18" s="47" t="n">
        <v>0</v>
      </c>
      <c r="I18" s="62" t="n">
        <v>0.2</v>
      </c>
      <c r="J18" s="62" t="n">
        <v>0.4</v>
      </c>
      <c r="K18" s="47" t="n">
        <v>0</v>
      </c>
      <c r="L18" s="62" t="n">
        <v>0.025</v>
      </c>
      <c r="M18" s="48" t="n">
        <v>0.98</v>
      </c>
      <c r="N18" s="62" t="n">
        <v>0.27</v>
      </c>
      <c r="O18" s="62" t="n">
        <v>0.12</v>
      </c>
      <c r="P18" s="62" t="n">
        <v>0.085</v>
      </c>
      <c r="Q18" s="62" t="n">
        <v>0.85</v>
      </c>
      <c r="R18" s="63" t="n">
        <v>0.00025</v>
      </c>
      <c r="S18" s="55" t="n">
        <v>0</v>
      </c>
      <c r="T18" s="62" t="n">
        <v>0.0209</v>
      </c>
      <c r="U18" s="62" t="n">
        <v>0.0182</v>
      </c>
      <c r="V18" s="62" t="n">
        <v>0.0062</v>
      </c>
      <c r="W18" s="47" t="n">
        <v>9000</v>
      </c>
      <c r="X18" s="47" t="n">
        <v>50000</v>
      </c>
      <c r="Y18" s="62" t="n">
        <v>0.0632</v>
      </c>
      <c r="Z18" s="62" t="n">
        <v>0.05</v>
      </c>
      <c r="AA18" s="62" t="n">
        <v>0.03</v>
      </c>
      <c r="AB18" s="47" t="n">
        <v>1</v>
      </c>
      <c r="AC18" s="47" t="n">
        <v>0</v>
      </c>
      <c r="AD18" s="47" t="n">
        <v>1780</v>
      </c>
    </row>
    <row r="19" customFormat="false" ht="14.25" hidden="false" customHeight="true" outlineLevel="0" collapsed="false">
      <c r="A19" s="61" t="n">
        <v>1859</v>
      </c>
      <c r="B19" s="48" t="n">
        <v>0.8933</v>
      </c>
      <c r="C19" s="62" t="n">
        <v>0.022968</v>
      </c>
      <c r="D19" s="47" t="n">
        <v>0</v>
      </c>
      <c r="E19" s="47" t="n">
        <v>30000</v>
      </c>
      <c r="F19" s="47" t="n">
        <v>6000</v>
      </c>
      <c r="G19" s="47" t="n">
        <v>0</v>
      </c>
      <c r="H19" s="47" t="n">
        <v>0</v>
      </c>
      <c r="I19" s="62" t="n">
        <v>0.2</v>
      </c>
      <c r="J19" s="62" t="n">
        <v>0.4</v>
      </c>
      <c r="K19" s="47" t="n">
        <v>0</v>
      </c>
      <c r="L19" s="62" t="n">
        <v>0.025</v>
      </c>
      <c r="M19" s="48" t="n">
        <v>1</v>
      </c>
      <c r="N19" s="62" t="n">
        <v>0.2683</v>
      </c>
      <c r="O19" s="62" t="n">
        <v>0.12</v>
      </c>
      <c r="P19" s="62" t="n">
        <v>0.085</v>
      </c>
      <c r="Q19" s="62" t="n">
        <v>0.85</v>
      </c>
      <c r="R19" s="63" t="n">
        <v>0.00027</v>
      </c>
      <c r="S19" s="55" t="n">
        <v>0</v>
      </c>
      <c r="T19" s="62" t="n">
        <v>0.0211</v>
      </c>
      <c r="U19" s="62" t="n">
        <v>0.0182</v>
      </c>
      <c r="V19" s="62" t="n">
        <v>0.0063</v>
      </c>
      <c r="W19" s="47" t="n">
        <v>12000</v>
      </c>
      <c r="X19" s="47" t="n">
        <v>63000</v>
      </c>
      <c r="Y19" s="62" t="n">
        <v>0.0634</v>
      </c>
      <c r="Z19" s="62" t="n">
        <v>0.05</v>
      </c>
      <c r="AA19" s="62" t="n">
        <v>0.03</v>
      </c>
      <c r="AB19" s="47" t="n">
        <v>1</v>
      </c>
      <c r="AC19" s="47" t="n">
        <v>0</v>
      </c>
      <c r="AD19" s="47" t="n">
        <v>1815</v>
      </c>
    </row>
    <row r="20" customFormat="false" ht="14.25" hidden="false" customHeight="true" outlineLevel="0" collapsed="false">
      <c r="A20" s="61" t="n">
        <v>1860</v>
      </c>
      <c r="B20" s="48" t="n">
        <v>0.88</v>
      </c>
      <c r="C20" s="62" t="n">
        <v>0.023576</v>
      </c>
      <c r="D20" s="47" t="n">
        <v>0</v>
      </c>
      <c r="E20" s="47" t="n">
        <v>30000</v>
      </c>
      <c r="F20" s="47" t="n">
        <v>8000</v>
      </c>
      <c r="G20" s="47" t="n">
        <v>0</v>
      </c>
      <c r="H20" s="47" t="n">
        <v>0</v>
      </c>
      <c r="I20" s="62" t="n">
        <v>0.2</v>
      </c>
      <c r="J20" s="62" t="n">
        <v>0.4</v>
      </c>
      <c r="K20" s="47" t="n">
        <v>0</v>
      </c>
      <c r="L20" s="62" t="n">
        <v>0.025</v>
      </c>
      <c r="M20" s="48" t="n">
        <v>1</v>
      </c>
      <c r="N20" s="62" t="n">
        <v>0.2667</v>
      </c>
      <c r="O20" s="62" t="n">
        <v>0.12</v>
      </c>
      <c r="P20" s="62" t="n">
        <v>0.085</v>
      </c>
      <c r="Q20" s="62" t="n">
        <v>0.85</v>
      </c>
      <c r="R20" s="63" t="n">
        <v>0.00029</v>
      </c>
      <c r="S20" s="55" t="n">
        <v>0</v>
      </c>
      <c r="T20" s="62" t="n">
        <v>0.0212</v>
      </c>
      <c r="U20" s="62" t="n">
        <v>0.0183</v>
      </c>
      <c r="V20" s="62" t="n">
        <v>0.0064</v>
      </c>
      <c r="W20" s="47" t="n">
        <v>15000</v>
      </c>
      <c r="X20" s="47" t="n">
        <v>77000</v>
      </c>
      <c r="Y20" s="62" t="n">
        <v>0.0637</v>
      </c>
      <c r="Z20" s="62" t="n">
        <v>0.05</v>
      </c>
      <c r="AA20" s="62" t="n">
        <v>0.03</v>
      </c>
      <c r="AB20" s="47" t="n">
        <v>1</v>
      </c>
      <c r="AC20" s="47" t="n">
        <v>0</v>
      </c>
      <c r="AD20" s="47" t="n">
        <v>1850</v>
      </c>
    </row>
    <row r="21" customFormat="false" ht="14.25" hidden="false" customHeight="true" outlineLevel="0" collapsed="false">
      <c r="A21" s="64" t="n">
        <v>1861</v>
      </c>
      <c r="B21" s="48" t="n">
        <v>0.88</v>
      </c>
      <c r="C21" s="62" t="n">
        <v>0.023457</v>
      </c>
      <c r="D21" s="47" t="n">
        <v>0</v>
      </c>
      <c r="E21" s="47" t="n">
        <v>35000</v>
      </c>
      <c r="F21" s="47" t="n">
        <v>8000</v>
      </c>
      <c r="G21" s="47" t="n">
        <v>0</v>
      </c>
      <c r="H21" s="47" t="n">
        <v>0</v>
      </c>
      <c r="I21" s="62" t="n">
        <v>0.2</v>
      </c>
      <c r="J21" s="62" t="n">
        <v>0.4</v>
      </c>
      <c r="K21" s="47" t="n">
        <v>0</v>
      </c>
      <c r="L21" s="62" t="n">
        <v>0.02</v>
      </c>
      <c r="M21" s="48" t="n">
        <v>0.98</v>
      </c>
      <c r="N21" s="62" t="n">
        <v>0.265</v>
      </c>
      <c r="O21" s="62" t="n">
        <v>0.12</v>
      </c>
      <c r="P21" s="62" t="n">
        <v>0.12</v>
      </c>
      <c r="Q21" s="62" t="n">
        <v>0.85</v>
      </c>
      <c r="R21" s="63" t="n">
        <v>0.00031</v>
      </c>
      <c r="S21" s="55" t="n">
        <v>0</v>
      </c>
      <c r="T21" s="62" t="n">
        <v>0.0214</v>
      </c>
      <c r="U21" s="62" t="n">
        <v>0.0184</v>
      </c>
      <c r="V21" s="62" t="n">
        <v>0.0065</v>
      </c>
      <c r="W21" s="47" t="n">
        <v>20000</v>
      </c>
      <c r="X21" s="47" t="n">
        <v>90000</v>
      </c>
      <c r="Y21" s="62" t="n">
        <v>0.0639</v>
      </c>
      <c r="Z21" s="62" t="n">
        <v>0.05</v>
      </c>
      <c r="AA21" s="62" t="n">
        <v>0.03</v>
      </c>
      <c r="AB21" s="47" t="n">
        <v>1</v>
      </c>
      <c r="AC21" s="47" t="n">
        <v>1</v>
      </c>
      <c r="AD21" s="47" t="n">
        <v>1885</v>
      </c>
    </row>
    <row r="22" customFormat="false" ht="14.25" hidden="false" customHeight="true" outlineLevel="0" collapsed="false">
      <c r="A22" s="64" t="n">
        <v>1862</v>
      </c>
      <c r="B22" s="48" t="n">
        <v>0.88</v>
      </c>
      <c r="C22" s="62" t="n">
        <v>0.023061</v>
      </c>
      <c r="D22" s="47" t="n">
        <v>177000</v>
      </c>
      <c r="E22" s="47" t="n">
        <v>35000</v>
      </c>
      <c r="F22" s="47" t="n">
        <v>8000</v>
      </c>
      <c r="G22" s="47" t="n">
        <v>0</v>
      </c>
      <c r="H22" s="47" t="n">
        <v>0</v>
      </c>
      <c r="I22" s="62" t="n">
        <v>0.2</v>
      </c>
      <c r="J22" s="62" t="n">
        <v>0.4</v>
      </c>
      <c r="K22" s="47" t="n">
        <v>0</v>
      </c>
      <c r="L22" s="62" t="n">
        <v>0.02</v>
      </c>
      <c r="M22" s="48" t="n">
        <v>0.97</v>
      </c>
      <c r="N22" s="62" t="n">
        <v>0.2633</v>
      </c>
      <c r="O22" s="62" t="n">
        <v>0.12</v>
      </c>
      <c r="P22" s="62" t="n">
        <v>0.12</v>
      </c>
      <c r="Q22" s="62" t="n">
        <v>0.85</v>
      </c>
      <c r="R22" s="63" t="n">
        <v>0.00033</v>
      </c>
      <c r="S22" s="55" t="n">
        <v>0</v>
      </c>
      <c r="T22" s="62" t="n">
        <v>0.0215</v>
      </c>
      <c r="U22" s="62" t="n">
        <v>0.0185</v>
      </c>
      <c r="V22" s="62" t="n">
        <v>0.0066</v>
      </c>
      <c r="W22" s="47" t="n">
        <v>38000</v>
      </c>
      <c r="X22" s="47" t="n">
        <v>98000</v>
      </c>
      <c r="Y22" s="62" t="n">
        <v>0.0642</v>
      </c>
      <c r="Z22" s="62" t="n">
        <v>0.05</v>
      </c>
      <c r="AA22" s="62" t="n">
        <v>0.03</v>
      </c>
      <c r="AB22" s="47" t="n">
        <v>1</v>
      </c>
      <c r="AC22" s="47" t="n">
        <v>1</v>
      </c>
      <c r="AD22" s="47" t="n">
        <v>1920</v>
      </c>
    </row>
    <row r="23" customFormat="false" ht="14.25" hidden="false" customHeight="true" outlineLevel="0" collapsed="false">
      <c r="A23" s="64" t="n">
        <v>1863</v>
      </c>
      <c r="B23" s="48" t="n">
        <v>0.9033</v>
      </c>
      <c r="C23" s="62" t="n">
        <v>0.019976</v>
      </c>
      <c r="D23" s="47" t="n">
        <v>85000</v>
      </c>
      <c r="E23" s="47" t="n">
        <v>35000</v>
      </c>
      <c r="F23" s="47" t="n">
        <v>8000</v>
      </c>
      <c r="G23" s="47" t="n">
        <v>0</v>
      </c>
      <c r="H23" s="47" t="n">
        <v>0</v>
      </c>
      <c r="I23" s="62" t="n">
        <v>0.2</v>
      </c>
      <c r="J23" s="62" t="n">
        <v>0.4</v>
      </c>
      <c r="K23" s="47" t="n">
        <v>0</v>
      </c>
      <c r="L23" s="62" t="n">
        <v>0.02</v>
      </c>
      <c r="M23" s="48" t="n">
        <v>0.98</v>
      </c>
      <c r="N23" s="62" t="n">
        <v>0.2617</v>
      </c>
      <c r="O23" s="62" t="n">
        <v>0.12</v>
      </c>
      <c r="P23" s="62" t="n">
        <v>0.12</v>
      </c>
      <c r="Q23" s="62" t="n">
        <v>0.85</v>
      </c>
      <c r="R23" s="63" t="n">
        <v>0.00035</v>
      </c>
      <c r="S23" s="55" t="n">
        <v>0</v>
      </c>
      <c r="T23" s="62" t="n">
        <v>0.0217</v>
      </c>
      <c r="U23" s="62" t="n">
        <v>0.0186</v>
      </c>
      <c r="V23" s="62" t="n">
        <v>0.0067</v>
      </c>
      <c r="W23" s="47" t="n">
        <v>42000</v>
      </c>
      <c r="X23" s="47" t="n">
        <v>105000</v>
      </c>
      <c r="Y23" s="62" t="n">
        <v>0.0645</v>
      </c>
      <c r="Z23" s="62" t="n">
        <v>0.05</v>
      </c>
      <c r="AA23" s="62" t="n">
        <v>0.03</v>
      </c>
      <c r="AB23" s="47" t="n">
        <v>1</v>
      </c>
      <c r="AC23" s="47" t="n">
        <v>1</v>
      </c>
      <c r="AD23" s="47" t="n">
        <v>1955</v>
      </c>
    </row>
    <row r="24" customFormat="false" ht="14.25" hidden="false" customHeight="true" outlineLevel="0" collapsed="false">
      <c r="A24" s="64" t="n">
        <v>1864</v>
      </c>
      <c r="B24" s="48" t="n">
        <v>0.9267</v>
      </c>
      <c r="C24" s="62" t="n">
        <v>0.018351</v>
      </c>
      <c r="D24" s="47" t="n">
        <v>25000</v>
      </c>
      <c r="E24" s="47" t="n">
        <v>35000</v>
      </c>
      <c r="F24" s="47" t="n">
        <v>8000</v>
      </c>
      <c r="G24" s="47" t="n">
        <v>0</v>
      </c>
      <c r="H24" s="47" t="n">
        <v>0</v>
      </c>
      <c r="I24" s="62" t="n">
        <v>0.2</v>
      </c>
      <c r="J24" s="62" t="n">
        <v>0.4</v>
      </c>
      <c r="K24" s="47" t="n">
        <v>0</v>
      </c>
      <c r="L24" s="62" t="n">
        <v>0.02</v>
      </c>
      <c r="M24" s="48" t="n">
        <v>1</v>
      </c>
      <c r="N24" s="62" t="n">
        <v>0.26</v>
      </c>
      <c r="O24" s="62" t="n">
        <v>0.12</v>
      </c>
      <c r="P24" s="62" t="n">
        <v>0.12</v>
      </c>
      <c r="Q24" s="62" t="n">
        <v>0.85</v>
      </c>
      <c r="R24" s="63" t="n">
        <v>0.00038</v>
      </c>
      <c r="S24" s="55" t="n">
        <v>0</v>
      </c>
      <c r="T24" s="62" t="n">
        <v>0.0218</v>
      </c>
      <c r="U24" s="62" t="n">
        <v>0.0187</v>
      </c>
      <c r="V24" s="62" t="n">
        <v>0.0068</v>
      </c>
      <c r="W24" s="47" t="n">
        <v>42000</v>
      </c>
      <c r="X24" s="47" t="n">
        <v>112000</v>
      </c>
      <c r="Y24" s="62" t="n">
        <v>0.0647</v>
      </c>
      <c r="Z24" s="62" t="n">
        <v>0.05</v>
      </c>
      <c r="AA24" s="62" t="n">
        <v>0.03</v>
      </c>
      <c r="AB24" s="47" t="n">
        <v>1</v>
      </c>
      <c r="AC24" s="47" t="n">
        <v>1</v>
      </c>
      <c r="AD24" s="47" t="n">
        <v>1990</v>
      </c>
    </row>
    <row r="25" customFormat="false" ht="14.25" hidden="false" customHeight="true" outlineLevel="0" collapsed="false">
      <c r="A25" s="64" t="n">
        <v>1865</v>
      </c>
      <c r="B25" s="48" t="n">
        <v>0.95</v>
      </c>
      <c r="C25" s="62" t="n">
        <v>0.017447</v>
      </c>
      <c r="D25" s="47" t="n">
        <v>10000</v>
      </c>
      <c r="E25" s="47" t="n">
        <v>35000</v>
      </c>
      <c r="F25" s="47" t="n">
        <v>8000</v>
      </c>
      <c r="G25" s="47" t="n">
        <v>0</v>
      </c>
      <c r="H25" s="47" t="n">
        <v>0</v>
      </c>
      <c r="I25" s="62" t="n">
        <v>0.2</v>
      </c>
      <c r="J25" s="62" t="n">
        <v>0.4</v>
      </c>
      <c r="K25" s="47" t="n">
        <v>0</v>
      </c>
      <c r="L25" s="62" t="n">
        <v>0.02</v>
      </c>
      <c r="M25" s="48" t="n">
        <v>1</v>
      </c>
      <c r="N25" s="62" t="n">
        <v>0.2583</v>
      </c>
      <c r="O25" s="62" t="n">
        <v>0.12</v>
      </c>
      <c r="P25" s="62" t="n">
        <v>0.12</v>
      </c>
      <c r="Q25" s="62" t="n">
        <v>0.85</v>
      </c>
      <c r="R25" s="63" t="n">
        <v>0.0004</v>
      </c>
      <c r="S25" s="55" t="n">
        <v>0</v>
      </c>
      <c r="T25" s="62" t="n">
        <v>0.022</v>
      </c>
      <c r="U25" s="62" t="n">
        <v>0.0187</v>
      </c>
      <c r="V25" s="62" t="n">
        <v>0.0069</v>
      </c>
      <c r="W25" s="47" t="n">
        <v>32000</v>
      </c>
      <c r="X25" s="47" t="n">
        <v>120000</v>
      </c>
      <c r="Y25" s="62" t="n">
        <v>0.065</v>
      </c>
      <c r="Z25" s="62" t="n">
        <v>0.05</v>
      </c>
      <c r="AA25" s="62" t="n">
        <v>0.03</v>
      </c>
      <c r="AB25" s="47" t="n">
        <v>1</v>
      </c>
      <c r="AC25" s="47" t="n">
        <v>1</v>
      </c>
      <c r="AD25" s="47" t="n">
        <v>2025</v>
      </c>
    </row>
    <row r="26" customFormat="false" ht="14.25" hidden="false" customHeight="true" outlineLevel="0" collapsed="false">
      <c r="A26" s="61" t="n">
        <v>1866</v>
      </c>
      <c r="B26" s="48" t="n">
        <v>0.95</v>
      </c>
      <c r="C26" s="62" t="n">
        <v>0.016728</v>
      </c>
      <c r="D26" s="47" t="n">
        <v>0</v>
      </c>
      <c r="E26" s="47" t="n">
        <v>80000</v>
      </c>
      <c r="F26" s="47" t="n">
        <v>8000</v>
      </c>
      <c r="G26" s="47" t="n">
        <v>0</v>
      </c>
      <c r="H26" s="47" t="n">
        <v>0</v>
      </c>
      <c r="I26" s="62" t="n">
        <v>0.2</v>
      </c>
      <c r="J26" s="62" t="n">
        <v>0.4</v>
      </c>
      <c r="K26" s="47" t="n">
        <v>0</v>
      </c>
      <c r="L26" s="62" t="n">
        <v>0.02</v>
      </c>
      <c r="M26" s="48" t="n">
        <v>1</v>
      </c>
      <c r="N26" s="62" t="n">
        <v>0.2567</v>
      </c>
      <c r="O26" s="62" t="n">
        <v>0.12</v>
      </c>
      <c r="P26" s="62" t="n">
        <v>0.115</v>
      </c>
      <c r="Q26" s="62" t="n">
        <v>0.85</v>
      </c>
      <c r="R26" s="63" t="n">
        <v>0.00042</v>
      </c>
      <c r="S26" s="55" t="n">
        <v>0</v>
      </c>
      <c r="T26" s="62" t="n">
        <v>0.0223</v>
      </c>
      <c r="U26" s="62" t="n">
        <v>0.0188</v>
      </c>
      <c r="V26" s="62" t="n">
        <v>0.007</v>
      </c>
      <c r="W26" s="47" t="n">
        <v>22000</v>
      </c>
      <c r="X26" s="47" t="n">
        <v>120000</v>
      </c>
      <c r="Y26" s="62" t="n">
        <v>0.0643</v>
      </c>
      <c r="Z26" s="62" t="n">
        <v>0.05</v>
      </c>
      <c r="AA26" s="62" t="n">
        <v>0.03</v>
      </c>
      <c r="AB26" s="47" t="n">
        <v>1</v>
      </c>
      <c r="AC26" s="47" t="n">
        <v>0</v>
      </c>
      <c r="AD26" s="47" t="n">
        <v>2060</v>
      </c>
    </row>
    <row r="27" customFormat="false" ht="14.25" hidden="false" customHeight="true" outlineLevel="0" collapsed="false">
      <c r="A27" s="61" t="n">
        <v>1867</v>
      </c>
      <c r="B27" s="48" t="n">
        <v>0.95</v>
      </c>
      <c r="C27" s="62" t="n">
        <v>0.017043</v>
      </c>
      <c r="D27" s="47" t="n">
        <v>50000</v>
      </c>
      <c r="E27" s="47" t="n">
        <v>80000</v>
      </c>
      <c r="F27" s="47" t="n">
        <v>8000</v>
      </c>
      <c r="G27" s="47" t="n">
        <v>0</v>
      </c>
      <c r="H27" s="47" t="n">
        <v>0</v>
      </c>
      <c r="I27" s="62" t="n">
        <v>0.2</v>
      </c>
      <c r="J27" s="62" t="n">
        <v>0.4</v>
      </c>
      <c r="K27" s="47" t="n">
        <v>0</v>
      </c>
      <c r="L27" s="62" t="n">
        <v>0.02</v>
      </c>
      <c r="M27" s="48" t="n">
        <v>1</v>
      </c>
      <c r="N27" s="62" t="n">
        <v>0.255</v>
      </c>
      <c r="O27" s="62" t="n">
        <v>0.12</v>
      </c>
      <c r="P27" s="62" t="n">
        <v>0.115</v>
      </c>
      <c r="Q27" s="62" t="n">
        <v>0.85</v>
      </c>
      <c r="R27" s="63" t="n">
        <v>0.00044</v>
      </c>
      <c r="S27" s="55" t="n">
        <v>0</v>
      </c>
      <c r="T27" s="62" t="n">
        <v>0.0225</v>
      </c>
      <c r="U27" s="62" t="n">
        <v>0.0189</v>
      </c>
      <c r="V27" s="62" t="n">
        <v>0.0071</v>
      </c>
      <c r="W27" s="47" t="n">
        <v>18000</v>
      </c>
      <c r="X27" s="47" t="n">
        <v>120000</v>
      </c>
      <c r="Y27" s="62" t="n">
        <v>0.0636</v>
      </c>
      <c r="Z27" s="62" t="n">
        <v>0.05</v>
      </c>
      <c r="AA27" s="62" t="n">
        <v>0.03</v>
      </c>
      <c r="AB27" s="47" t="n">
        <v>1</v>
      </c>
      <c r="AC27" s="47" t="n">
        <v>0</v>
      </c>
      <c r="AD27" s="47" t="n">
        <v>2095</v>
      </c>
    </row>
    <row r="28" customFormat="false" ht="14.25" hidden="false" customHeight="true" outlineLevel="0" collapsed="false">
      <c r="A28" s="61" t="n">
        <v>1868</v>
      </c>
      <c r="B28" s="48" t="n">
        <v>0.95</v>
      </c>
      <c r="C28" s="62" t="n">
        <v>0.016635</v>
      </c>
      <c r="D28" s="47" t="n">
        <v>0</v>
      </c>
      <c r="E28" s="47" t="n">
        <v>80000</v>
      </c>
      <c r="F28" s="47" t="n">
        <v>15000</v>
      </c>
      <c r="G28" s="47" t="n">
        <v>0</v>
      </c>
      <c r="H28" s="47" t="n">
        <v>0</v>
      </c>
      <c r="I28" s="62" t="n">
        <v>0.2</v>
      </c>
      <c r="J28" s="62" t="n">
        <v>0.4</v>
      </c>
      <c r="K28" s="47" t="n">
        <v>0</v>
      </c>
      <c r="L28" s="62" t="n">
        <v>0.02</v>
      </c>
      <c r="M28" s="48" t="n">
        <v>1</v>
      </c>
      <c r="N28" s="62" t="n">
        <v>0.2533</v>
      </c>
      <c r="O28" s="62" t="n">
        <v>0.12</v>
      </c>
      <c r="P28" s="62" t="n">
        <v>0.115</v>
      </c>
      <c r="Q28" s="62" t="n">
        <v>0.85</v>
      </c>
      <c r="R28" s="63" t="n">
        <v>0.00046</v>
      </c>
      <c r="S28" s="55" t="n">
        <v>0</v>
      </c>
      <c r="T28" s="62" t="n">
        <v>0.0228</v>
      </c>
      <c r="U28" s="62" t="n">
        <v>0.019</v>
      </c>
      <c r="V28" s="62" t="n">
        <v>0.0072</v>
      </c>
      <c r="W28" s="47" t="n">
        <v>18000</v>
      </c>
      <c r="X28" s="47" t="n">
        <v>120000</v>
      </c>
      <c r="Y28" s="62" t="n">
        <v>0.0629</v>
      </c>
      <c r="Z28" s="62" t="n">
        <v>0.05</v>
      </c>
      <c r="AA28" s="62" t="n">
        <v>0.03</v>
      </c>
      <c r="AB28" s="47" t="n">
        <v>1</v>
      </c>
      <c r="AC28" s="47" t="n">
        <v>0</v>
      </c>
      <c r="AD28" s="47" t="n">
        <v>2130</v>
      </c>
    </row>
    <row r="29" customFormat="false" ht="14.25" hidden="false" customHeight="true" outlineLevel="0" collapsed="false">
      <c r="A29" s="61" t="n">
        <v>1869</v>
      </c>
      <c r="B29" s="48" t="n">
        <v>0.95</v>
      </c>
      <c r="C29" s="62" t="n">
        <v>0.016687</v>
      </c>
      <c r="D29" s="47" t="n">
        <v>0</v>
      </c>
      <c r="E29" s="47" t="n">
        <v>80000</v>
      </c>
      <c r="F29" s="47" t="n">
        <v>25000</v>
      </c>
      <c r="G29" s="47" t="n">
        <v>200</v>
      </c>
      <c r="H29" s="47" t="n">
        <v>0</v>
      </c>
      <c r="I29" s="62" t="n">
        <v>0.2</v>
      </c>
      <c r="J29" s="62" t="n">
        <v>0.4</v>
      </c>
      <c r="K29" s="47" t="n">
        <v>0</v>
      </c>
      <c r="L29" s="62" t="n">
        <v>0.02</v>
      </c>
      <c r="M29" s="48" t="n">
        <v>1</v>
      </c>
      <c r="N29" s="62" t="n">
        <v>0.2517</v>
      </c>
      <c r="O29" s="62" t="n">
        <v>0.12</v>
      </c>
      <c r="P29" s="62" t="n">
        <v>0.115</v>
      </c>
      <c r="Q29" s="62" t="n">
        <v>0.85</v>
      </c>
      <c r="R29" s="63" t="n">
        <v>0.00048</v>
      </c>
      <c r="S29" s="55" t="n">
        <v>0</v>
      </c>
      <c r="T29" s="62" t="n">
        <v>0.0231</v>
      </c>
      <c r="U29" s="62" t="n">
        <v>0.0191</v>
      </c>
      <c r="V29" s="62" t="n">
        <v>0.0073</v>
      </c>
      <c r="W29" s="47" t="n">
        <v>18000</v>
      </c>
      <c r="X29" s="47" t="n">
        <v>120000</v>
      </c>
      <c r="Y29" s="62" t="n">
        <v>0.0621</v>
      </c>
      <c r="Z29" s="62" t="n">
        <v>0.05</v>
      </c>
      <c r="AA29" s="62" t="n">
        <v>0.03</v>
      </c>
      <c r="AB29" s="47" t="n">
        <v>1</v>
      </c>
      <c r="AC29" s="47" t="n">
        <v>0</v>
      </c>
      <c r="AD29" s="47" t="n">
        <v>2165</v>
      </c>
    </row>
    <row r="30" customFormat="false" ht="14.25" hidden="false" customHeight="true" outlineLevel="0" collapsed="false">
      <c r="A30" s="64" t="n">
        <v>1870</v>
      </c>
      <c r="B30" s="48" t="n">
        <v>0.95</v>
      </c>
      <c r="C30" s="62" t="n">
        <v>0.016763</v>
      </c>
      <c r="D30" s="47" t="n">
        <v>0</v>
      </c>
      <c r="E30" s="47" t="n">
        <v>80000</v>
      </c>
      <c r="F30" s="47" t="n">
        <v>25000</v>
      </c>
      <c r="G30" s="47" t="n">
        <v>500</v>
      </c>
      <c r="H30" s="47" t="n">
        <v>0</v>
      </c>
      <c r="I30" s="62" t="n">
        <v>0.2</v>
      </c>
      <c r="J30" s="62" t="n">
        <v>0.4</v>
      </c>
      <c r="K30" s="47" t="n">
        <v>0</v>
      </c>
      <c r="L30" s="62" t="n">
        <v>0.02</v>
      </c>
      <c r="M30" s="48" t="n">
        <v>1</v>
      </c>
      <c r="N30" s="62" t="n">
        <v>0.25</v>
      </c>
      <c r="O30" s="62" t="n">
        <v>0.12</v>
      </c>
      <c r="P30" s="62" t="n">
        <v>0.115</v>
      </c>
      <c r="Q30" s="62" t="n">
        <v>0.85</v>
      </c>
      <c r="R30" s="63" t="n">
        <v>0.0005</v>
      </c>
      <c r="S30" s="55" t="n">
        <v>0</v>
      </c>
      <c r="T30" s="62" t="n">
        <v>0.0233</v>
      </c>
      <c r="U30" s="62" t="n">
        <v>0.0192</v>
      </c>
      <c r="V30" s="62" t="n">
        <v>0.0074</v>
      </c>
      <c r="W30" s="47" t="n">
        <v>18000</v>
      </c>
      <c r="X30" s="47" t="n">
        <v>120000</v>
      </c>
      <c r="Y30" s="62" t="n">
        <v>0.0614</v>
      </c>
      <c r="Z30" s="62" t="n">
        <v>0.05</v>
      </c>
      <c r="AA30" s="62" t="n">
        <v>0.03</v>
      </c>
      <c r="AB30" s="47" t="n">
        <v>1</v>
      </c>
      <c r="AC30" s="47" t="n">
        <v>1</v>
      </c>
      <c r="AD30" s="47" t="n">
        <v>2200</v>
      </c>
    </row>
    <row r="31" customFormat="false" ht="14.25" hidden="false" customHeight="true" outlineLevel="0" collapsed="false">
      <c r="A31" s="64" t="n">
        <v>1871</v>
      </c>
      <c r="B31" s="48" t="n">
        <v>0.936</v>
      </c>
      <c r="C31" s="62" t="n">
        <v>0.016603</v>
      </c>
      <c r="D31" s="47" t="n">
        <v>0</v>
      </c>
      <c r="E31" s="47" t="n">
        <v>80000</v>
      </c>
      <c r="F31" s="47" t="n">
        <v>25000</v>
      </c>
      <c r="G31" s="47" t="n">
        <v>500</v>
      </c>
      <c r="H31" s="47" t="n">
        <v>0</v>
      </c>
      <c r="I31" s="62" t="n">
        <v>0.2</v>
      </c>
      <c r="J31" s="62" t="n">
        <v>0.4</v>
      </c>
      <c r="K31" s="47" t="n">
        <v>0</v>
      </c>
      <c r="L31" s="62" t="n">
        <v>0.022</v>
      </c>
      <c r="M31" s="48" t="n">
        <v>1</v>
      </c>
      <c r="N31" s="62" t="n">
        <v>0.2483</v>
      </c>
      <c r="O31" s="62" t="n">
        <v>0.12</v>
      </c>
      <c r="P31" s="62" t="n">
        <v>0.115</v>
      </c>
      <c r="Q31" s="62" t="n">
        <v>0.85</v>
      </c>
      <c r="R31" s="63" t="n">
        <v>0.00065</v>
      </c>
      <c r="S31" s="55" t="n">
        <v>0</v>
      </c>
      <c r="T31" s="62" t="n">
        <v>0.0236</v>
      </c>
      <c r="U31" s="62" t="n">
        <v>0.0192</v>
      </c>
      <c r="V31" s="62" t="n">
        <v>0.0075</v>
      </c>
      <c r="W31" s="47" t="n">
        <v>18200</v>
      </c>
      <c r="X31" s="47" t="n">
        <v>120000</v>
      </c>
      <c r="Y31" s="62" t="n">
        <v>0.0607</v>
      </c>
      <c r="Z31" s="62" t="n">
        <v>0.05</v>
      </c>
      <c r="AA31" s="62" t="n">
        <v>0.03</v>
      </c>
      <c r="AB31" s="47" t="n">
        <v>1</v>
      </c>
      <c r="AC31" s="47" t="n">
        <v>1</v>
      </c>
      <c r="AD31" s="47" t="n">
        <v>2265</v>
      </c>
    </row>
    <row r="32" customFormat="false" ht="14.25" hidden="false" customHeight="true" outlineLevel="0" collapsed="false">
      <c r="A32" s="61" t="n">
        <v>1872</v>
      </c>
      <c r="B32" s="48" t="n">
        <v>0.922</v>
      </c>
      <c r="C32" s="62" t="n">
        <v>0.01636</v>
      </c>
      <c r="D32" s="47" t="n">
        <v>0</v>
      </c>
      <c r="E32" s="47" t="n">
        <v>80000</v>
      </c>
      <c r="F32" s="47" t="n">
        <v>25000</v>
      </c>
      <c r="G32" s="47" t="n">
        <v>500</v>
      </c>
      <c r="H32" s="47" t="n">
        <v>0</v>
      </c>
      <c r="I32" s="62" t="n">
        <v>0.2</v>
      </c>
      <c r="J32" s="62" t="n">
        <v>0.4</v>
      </c>
      <c r="K32" s="47" t="n">
        <v>0</v>
      </c>
      <c r="L32" s="62" t="n">
        <v>0.022</v>
      </c>
      <c r="M32" s="48" t="n">
        <v>1</v>
      </c>
      <c r="N32" s="62" t="n">
        <v>0.2467</v>
      </c>
      <c r="O32" s="62" t="n">
        <v>0.12</v>
      </c>
      <c r="P32" s="62" t="n">
        <v>0.115</v>
      </c>
      <c r="Q32" s="62" t="n">
        <v>0.85</v>
      </c>
      <c r="R32" s="63" t="n">
        <v>0.0008</v>
      </c>
      <c r="S32" s="55" t="n">
        <v>0</v>
      </c>
      <c r="T32" s="62" t="n">
        <v>0.0239</v>
      </c>
      <c r="U32" s="62" t="n">
        <v>0.0193</v>
      </c>
      <c r="V32" s="62" t="n">
        <v>0.0076</v>
      </c>
      <c r="W32" s="47" t="n">
        <v>18400</v>
      </c>
      <c r="X32" s="47" t="n">
        <v>120000</v>
      </c>
      <c r="Y32" s="62" t="n">
        <v>0.06</v>
      </c>
      <c r="Z32" s="62" t="n">
        <v>0.05</v>
      </c>
      <c r="AA32" s="62" t="n">
        <v>0.03</v>
      </c>
      <c r="AB32" s="47" t="n">
        <v>1</v>
      </c>
      <c r="AC32" s="47" t="n">
        <v>0</v>
      </c>
      <c r="AD32" s="47" t="n">
        <v>2330</v>
      </c>
    </row>
    <row r="33" customFormat="false" ht="14.25" hidden="false" customHeight="true" outlineLevel="0" collapsed="false">
      <c r="A33" s="61" t="n">
        <v>1873</v>
      </c>
      <c r="B33" s="48" t="n">
        <v>0.908</v>
      </c>
      <c r="C33" s="62" t="n">
        <v>0.016057</v>
      </c>
      <c r="D33" s="47" t="n">
        <v>0</v>
      </c>
      <c r="E33" s="47" t="n">
        <v>110000</v>
      </c>
      <c r="F33" s="47" t="n">
        <v>25000</v>
      </c>
      <c r="G33" s="47" t="n">
        <v>500</v>
      </c>
      <c r="H33" s="47" t="n">
        <v>0</v>
      </c>
      <c r="I33" s="62" t="n">
        <v>0.2</v>
      </c>
      <c r="J33" s="62" t="n">
        <v>0.4</v>
      </c>
      <c r="K33" s="47" t="n">
        <v>0</v>
      </c>
      <c r="L33" s="62" t="n">
        <v>0.022</v>
      </c>
      <c r="M33" s="48" t="n">
        <v>0.98</v>
      </c>
      <c r="N33" s="62" t="n">
        <v>0.245</v>
      </c>
      <c r="O33" s="62" t="n">
        <v>0.12</v>
      </c>
      <c r="P33" s="62" t="n">
        <v>0.105</v>
      </c>
      <c r="Q33" s="62" t="n">
        <v>0.85</v>
      </c>
      <c r="R33" s="63" t="n">
        <v>0.00095</v>
      </c>
      <c r="S33" s="55" t="n">
        <v>0</v>
      </c>
      <c r="T33" s="62" t="n">
        <v>0.0241</v>
      </c>
      <c r="U33" s="62" t="n">
        <v>0.0194</v>
      </c>
      <c r="V33" s="62" t="n">
        <v>0.0077</v>
      </c>
      <c r="W33" s="47" t="n">
        <v>18600</v>
      </c>
      <c r="X33" s="47" t="n">
        <v>120000</v>
      </c>
      <c r="Y33" s="62" t="n">
        <v>0.0593</v>
      </c>
      <c r="Z33" s="62" t="n">
        <v>0.05</v>
      </c>
      <c r="AA33" s="62" t="n">
        <v>0.03</v>
      </c>
      <c r="AB33" s="47" t="n">
        <v>1</v>
      </c>
      <c r="AC33" s="47" t="n">
        <v>0</v>
      </c>
      <c r="AD33" s="47" t="n">
        <v>2395</v>
      </c>
    </row>
    <row r="34" customFormat="false" ht="14.25" hidden="false" customHeight="true" outlineLevel="0" collapsed="false">
      <c r="A34" s="61" t="n">
        <v>1874</v>
      </c>
      <c r="B34" s="48" t="n">
        <v>0.894</v>
      </c>
      <c r="C34" s="62" t="n">
        <v>0.016069</v>
      </c>
      <c r="D34" s="47" t="n">
        <v>0</v>
      </c>
      <c r="E34" s="47" t="n">
        <v>110000</v>
      </c>
      <c r="F34" s="47" t="n">
        <v>25000</v>
      </c>
      <c r="G34" s="47" t="n">
        <v>500</v>
      </c>
      <c r="H34" s="47" t="n">
        <v>0</v>
      </c>
      <c r="I34" s="62" t="n">
        <v>0.2</v>
      </c>
      <c r="J34" s="62" t="n">
        <v>0.4</v>
      </c>
      <c r="K34" s="47" t="n">
        <v>0</v>
      </c>
      <c r="L34" s="62" t="n">
        <v>0.022</v>
      </c>
      <c r="M34" s="48" t="n">
        <v>0.97</v>
      </c>
      <c r="N34" s="62" t="n">
        <v>0.2433</v>
      </c>
      <c r="O34" s="62" t="n">
        <v>0.12</v>
      </c>
      <c r="P34" s="62" t="n">
        <v>0.105</v>
      </c>
      <c r="Q34" s="62" t="n">
        <v>0.85</v>
      </c>
      <c r="R34" s="63" t="n">
        <v>0.0011</v>
      </c>
      <c r="S34" s="55" t="n">
        <v>0</v>
      </c>
      <c r="T34" s="62" t="n">
        <v>0.0244</v>
      </c>
      <c r="U34" s="62" t="n">
        <v>0.0195</v>
      </c>
      <c r="V34" s="62" t="n">
        <v>0.0078</v>
      </c>
      <c r="W34" s="47" t="n">
        <v>18800</v>
      </c>
      <c r="X34" s="47" t="n">
        <v>120000</v>
      </c>
      <c r="Y34" s="62" t="n">
        <v>0.0587</v>
      </c>
      <c r="Z34" s="62" t="n">
        <v>0.05</v>
      </c>
      <c r="AA34" s="62" t="n">
        <v>0.03</v>
      </c>
      <c r="AB34" s="47" t="n">
        <v>1</v>
      </c>
      <c r="AC34" s="47" t="n">
        <v>0</v>
      </c>
      <c r="AD34" s="47" t="n">
        <v>2460</v>
      </c>
    </row>
    <row r="35" customFormat="false" ht="14.25" hidden="false" customHeight="true" outlineLevel="0" collapsed="false">
      <c r="A35" s="61" t="n">
        <v>1875</v>
      </c>
      <c r="B35" s="48" t="n">
        <v>0.88</v>
      </c>
      <c r="C35" s="62" t="n">
        <v>0.015928</v>
      </c>
      <c r="D35" s="47" t="n">
        <v>0</v>
      </c>
      <c r="E35" s="47" t="n">
        <v>110000</v>
      </c>
      <c r="F35" s="47" t="n">
        <v>25000</v>
      </c>
      <c r="G35" s="47" t="n">
        <v>500</v>
      </c>
      <c r="H35" s="47" t="n">
        <v>0</v>
      </c>
      <c r="I35" s="62" t="n">
        <v>0.2</v>
      </c>
      <c r="J35" s="62" t="n">
        <v>0.4</v>
      </c>
      <c r="K35" s="47" t="n">
        <v>0</v>
      </c>
      <c r="L35" s="62" t="n">
        <v>0.022</v>
      </c>
      <c r="M35" s="48" t="n">
        <v>0.98</v>
      </c>
      <c r="N35" s="62" t="n">
        <v>0.2417</v>
      </c>
      <c r="O35" s="62" t="n">
        <v>0.12</v>
      </c>
      <c r="P35" s="62" t="n">
        <v>0.105</v>
      </c>
      <c r="Q35" s="62" t="n">
        <v>0.85</v>
      </c>
      <c r="R35" s="63" t="n">
        <v>0.00125</v>
      </c>
      <c r="S35" s="55" t="n">
        <v>0</v>
      </c>
      <c r="T35" s="62" t="n">
        <v>0.0247</v>
      </c>
      <c r="U35" s="62" t="n">
        <v>0.0196</v>
      </c>
      <c r="V35" s="62" t="n">
        <v>0.0079</v>
      </c>
      <c r="W35" s="47" t="n">
        <v>19000</v>
      </c>
      <c r="X35" s="47" t="n">
        <v>120000</v>
      </c>
      <c r="Y35" s="62" t="n">
        <v>0.058</v>
      </c>
      <c r="Z35" s="62" t="n">
        <v>0.05</v>
      </c>
      <c r="AA35" s="62" t="n">
        <v>0.03</v>
      </c>
      <c r="AB35" s="47" t="n">
        <v>1</v>
      </c>
      <c r="AC35" s="47" t="n">
        <v>0</v>
      </c>
      <c r="AD35" s="47" t="n">
        <v>2525</v>
      </c>
    </row>
    <row r="36" customFormat="false" ht="14.25" hidden="false" customHeight="true" outlineLevel="0" collapsed="false">
      <c r="A36" s="61" t="n">
        <v>1876</v>
      </c>
      <c r="B36" s="48" t="n">
        <v>0.864</v>
      </c>
      <c r="C36" s="62" t="n">
        <v>0.01571</v>
      </c>
      <c r="D36" s="47" t="n">
        <v>0</v>
      </c>
      <c r="E36" s="47" t="n">
        <v>110000</v>
      </c>
      <c r="F36" s="47" t="n">
        <v>25000</v>
      </c>
      <c r="G36" s="47" t="n">
        <v>500</v>
      </c>
      <c r="H36" s="47" t="n">
        <v>0</v>
      </c>
      <c r="I36" s="62" t="n">
        <v>0.2</v>
      </c>
      <c r="J36" s="62" t="n">
        <v>0.4</v>
      </c>
      <c r="K36" s="47" t="n">
        <v>6000000</v>
      </c>
      <c r="L36" s="62" t="n">
        <v>0.022</v>
      </c>
      <c r="M36" s="48" t="n">
        <v>1</v>
      </c>
      <c r="N36" s="62" t="n">
        <v>0.24</v>
      </c>
      <c r="O36" s="62" t="n">
        <v>0.12</v>
      </c>
      <c r="P36" s="62" t="n">
        <v>0.105</v>
      </c>
      <c r="Q36" s="62" t="n">
        <v>0.85</v>
      </c>
      <c r="R36" s="63" t="n">
        <v>0.0014</v>
      </c>
      <c r="S36" s="55" t="n">
        <v>0</v>
      </c>
      <c r="T36" s="62" t="n">
        <v>0.0249</v>
      </c>
      <c r="U36" s="62" t="n">
        <v>0.0197</v>
      </c>
      <c r="V36" s="62" t="n">
        <v>0.008</v>
      </c>
      <c r="W36" s="47" t="n">
        <v>19200</v>
      </c>
      <c r="X36" s="47" t="n">
        <v>120000</v>
      </c>
      <c r="Y36" s="62" t="n">
        <v>0.0574</v>
      </c>
      <c r="Z36" s="62" t="n">
        <v>0.05</v>
      </c>
      <c r="AA36" s="62" t="n">
        <v>0.03</v>
      </c>
      <c r="AB36" s="47" t="n">
        <v>1</v>
      </c>
      <c r="AC36" s="47" t="n">
        <v>0</v>
      </c>
      <c r="AD36" s="47" t="n">
        <v>2590</v>
      </c>
    </row>
    <row r="37" customFormat="false" ht="14.25" hidden="false" customHeight="true" outlineLevel="0" collapsed="false">
      <c r="A37" s="61" t="n">
        <v>1877</v>
      </c>
      <c r="B37" s="48" t="n">
        <v>0.848</v>
      </c>
      <c r="C37" s="62" t="n">
        <v>0.015423</v>
      </c>
      <c r="D37" s="47" t="n">
        <v>0</v>
      </c>
      <c r="E37" s="47" t="n">
        <v>110000</v>
      </c>
      <c r="F37" s="47" t="n">
        <v>25000</v>
      </c>
      <c r="G37" s="47" t="n">
        <v>500</v>
      </c>
      <c r="H37" s="47" t="n">
        <v>1000</v>
      </c>
      <c r="I37" s="62" t="n">
        <v>0.2</v>
      </c>
      <c r="J37" s="62" t="n">
        <v>0.4</v>
      </c>
      <c r="K37" s="47" t="n">
        <v>6055000</v>
      </c>
      <c r="L37" s="62" t="n">
        <v>0.022</v>
      </c>
      <c r="M37" s="48" t="n">
        <v>0.98</v>
      </c>
      <c r="N37" s="62" t="n">
        <v>0.2383</v>
      </c>
      <c r="O37" s="62" t="n">
        <v>0.12</v>
      </c>
      <c r="P37" s="62" t="n">
        <v>0.105</v>
      </c>
      <c r="Q37" s="62" t="n">
        <v>0.85</v>
      </c>
      <c r="R37" s="63" t="n">
        <v>0.00155</v>
      </c>
      <c r="S37" s="55" t="n">
        <v>0</v>
      </c>
      <c r="T37" s="62" t="n">
        <v>0.0252</v>
      </c>
      <c r="U37" s="62" t="n">
        <v>0.0198</v>
      </c>
      <c r="V37" s="62" t="n">
        <v>0.0082</v>
      </c>
      <c r="W37" s="47" t="n">
        <v>19400</v>
      </c>
      <c r="X37" s="47" t="n">
        <v>120000</v>
      </c>
      <c r="Y37" s="62" t="n">
        <v>0.0567</v>
      </c>
      <c r="Z37" s="62" t="n">
        <v>0.05</v>
      </c>
      <c r="AA37" s="62" t="n">
        <v>0.03</v>
      </c>
      <c r="AB37" s="47" t="n">
        <v>1</v>
      </c>
      <c r="AC37" s="47" t="n">
        <v>0</v>
      </c>
      <c r="AD37" s="47" t="n">
        <v>2655</v>
      </c>
    </row>
    <row r="38" customFormat="false" ht="14.25" hidden="false" customHeight="true" outlineLevel="0" collapsed="false">
      <c r="A38" s="61" t="n">
        <v>1878</v>
      </c>
      <c r="B38" s="48" t="n">
        <v>0.832</v>
      </c>
      <c r="C38" s="62" t="n">
        <v>0.015063</v>
      </c>
      <c r="D38" s="47" t="n">
        <v>0</v>
      </c>
      <c r="E38" s="47" t="n">
        <v>110000</v>
      </c>
      <c r="F38" s="47" t="n">
        <v>25000</v>
      </c>
      <c r="G38" s="47" t="n">
        <v>500</v>
      </c>
      <c r="H38" s="47" t="n">
        <v>1000</v>
      </c>
      <c r="I38" s="62" t="n">
        <v>0.2</v>
      </c>
      <c r="J38" s="62" t="n">
        <v>0.4</v>
      </c>
      <c r="K38" s="47" t="n">
        <v>6109000</v>
      </c>
      <c r="L38" s="62" t="n">
        <v>0.022</v>
      </c>
      <c r="M38" s="48" t="n">
        <v>1</v>
      </c>
      <c r="N38" s="62" t="n">
        <v>0.2367</v>
      </c>
      <c r="O38" s="62" t="n">
        <v>0.12</v>
      </c>
      <c r="P38" s="62" t="n">
        <v>0.105</v>
      </c>
      <c r="Q38" s="62" t="n">
        <v>0.85</v>
      </c>
      <c r="R38" s="63" t="n">
        <v>0.0017</v>
      </c>
      <c r="S38" s="55" t="n">
        <v>0</v>
      </c>
      <c r="T38" s="62" t="n">
        <v>0.0255</v>
      </c>
      <c r="U38" s="62" t="n">
        <v>0.0198</v>
      </c>
      <c r="V38" s="62" t="n">
        <v>0.0084</v>
      </c>
      <c r="W38" s="47" t="n">
        <v>19600</v>
      </c>
      <c r="X38" s="47" t="n">
        <v>120000</v>
      </c>
      <c r="Y38" s="62" t="n">
        <v>0.0561</v>
      </c>
      <c r="Z38" s="62" t="n">
        <v>0.05</v>
      </c>
      <c r="AA38" s="62" t="n">
        <v>0.03</v>
      </c>
      <c r="AB38" s="47" t="n">
        <v>1</v>
      </c>
      <c r="AC38" s="47" t="n">
        <v>0</v>
      </c>
      <c r="AD38" s="47" t="n">
        <v>2720</v>
      </c>
    </row>
    <row r="39" customFormat="false" ht="14.25" hidden="false" customHeight="true" outlineLevel="0" collapsed="false">
      <c r="A39" s="61" t="n">
        <v>1879</v>
      </c>
      <c r="B39" s="48" t="n">
        <v>0.816</v>
      </c>
      <c r="C39" s="62" t="n">
        <v>0.014618</v>
      </c>
      <c r="D39" s="47" t="n">
        <v>0</v>
      </c>
      <c r="E39" s="47" t="n">
        <v>110000</v>
      </c>
      <c r="F39" s="47" t="n">
        <v>25000</v>
      </c>
      <c r="G39" s="47" t="n">
        <v>500</v>
      </c>
      <c r="H39" s="47" t="n">
        <v>1000</v>
      </c>
      <c r="I39" s="62" t="n">
        <v>0.2</v>
      </c>
      <c r="J39" s="62" t="n">
        <v>0.4</v>
      </c>
      <c r="K39" s="47" t="n">
        <v>6164000</v>
      </c>
      <c r="L39" s="62" t="n">
        <v>0.022</v>
      </c>
      <c r="M39" s="48" t="n">
        <v>1</v>
      </c>
      <c r="N39" s="62" t="n">
        <v>0.235</v>
      </c>
      <c r="O39" s="62" t="n">
        <v>0.12</v>
      </c>
      <c r="P39" s="62" t="n">
        <v>0.105</v>
      </c>
      <c r="Q39" s="62" t="n">
        <v>0.85</v>
      </c>
      <c r="R39" s="63" t="n">
        <v>0.00185</v>
      </c>
      <c r="S39" s="55" t="n">
        <v>0</v>
      </c>
      <c r="T39" s="62" t="n">
        <v>0.0257</v>
      </c>
      <c r="U39" s="62" t="n">
        <v>0.0199</v>
      </c>
      <c r="V39" s="62" t="n">
        <v>0.0087</v>
      </c>
      <c r="W39" s="47" t="n">
        <v>19800</v>
      </c>
      <c r="X39" s="47" t="n">
        <v>120000</v>
      </c>
      <c r="Y39" s="62" t="n">
        <v>0.0554</v>
      </c>
      <c r="Z39" s="62" t="n">
        <v>0.05</v>
      </c>
      <c r="AA39" s="62" t="n">
        <v>0.03</v>
      </c>
      <c r="AB39" s="47" t="n">
        <v>1</v>
      </c>
      <c r="AC39" s="47" t="n">
        <v>0</v>
      </c>
      <c r="AD39" s="47" t="n">
        <v>2785</v>
      </c>
    </row>
    <row r="40" customFormat="false" ht="14.25" hidden="false" customHeight="true" outlineLevel="0" collapsed="false">
      <c r="A40" s="61" t="n">
        <v>1880</v>
      </c>
      <c r="B40" s="48" t="n">
        <v>0.8</v>
      </c>
      <c r="C40" s="62" t="n">
        <v>0.014119</v>
      </c>
      <c r="D40" s="47" t="n">
        <v>0</v>
      </c>
      <c r="E40" s="47" t="n">
        <v>110000</v>
      </c>
      <c r="F40" s="47" t="n">
        <v>25000</v>
      </c>
      <c r="G40" s="47" t="n">
        <v>500</v>
      </c>
      <c r="H40" s="47" t="n">
        <v>1000</v>
      </c>
      <c r="I40" s="62" t="n">
        <v>0.2</v>
      </c>
      <c r="J40" s="62" t="n">
        <v>0.4</v>
      </c>
      <c r="K40" s="47" t="n">
        <v>6218000</v>
      </c>
      <c r="L40" s="62" t="n">
        <v>0.022</v>
      </c>
      <c r="M40" s="48" t="n">
        <v>1</v>
      </c>
      <c r="N40" s="62" t="n">
        <v>0.2333</v>
      </c>
      <c r="O40" s="62" t="n">
        <v>0.12</v>
      </c>
      <c r="P40" s="62" t="n">
        <v>0.105</v>
      </c>
      <c r="Q40" s="62" t="n">
        <v>0.85</v>
      </c>
      <c r="R40" s="63" t="n">
        <v>0.002</v>
      </c>
      <c r="S40" s="55" t="n">
        <v>0</v>
      </c>
      <c r="T40" s="62" t="n">
        <v>0.026</v>
      </c>
      <c r="U40" s="62" t="n">
        <v>0.02</v>
      </c>
      <c r="V40" s="62" t="n">
        <v>0.0089</v>
      </c>
      <c r="W40" s="47" t="n">
        <v>20000</v>
      </c>
      <c r="X40" s="47" t="n">
        <v>120000</v>
      </c>
      <c r="Y40" s="62" t="n">
        <v>0.0548</v>
      </c>
      <c r="Z40" s="62" t="n">
        <v>0.05</v>
      </c>
      <c r="AA40" s="62" t="n">
        <v>0.03</v>
      </c>
      <c r="AB40" s="47" t="n">
        <v>1</v>
      </c>
      <c r="AC40" s="47" t="n">
        <v>0</v>
      </c>
      <c r="AD40" s="47" t="n">
        <v>2850</v>
      </c>
    </row>
    <row r="41" customFormat="false" ht="14.25" hidden="false" customHeight="true" outlineLevel="0" collapsed="false">
      <c r="A41" s="61" t="n">
        <v>1881</v>
      </c>
      <c r="B41" s="48" t="n">
        <v>0.788</v>
      </c>
      <c r="C41" s="62" t="n">
        <v>0.01451</v>
      </c>
      <c r="D41" s="47" t="n">
        <v>0</v>
      </c>
      <c r="E41" s="47" t="n">
        <v>110000</v>
      </c>
      <c r="F41" s="47" t="n">
        <v>25000</v>
      </c>
      <c r="G41" s="47" t="n">
        <v>500</v>
      </c>
      <c r="H41" s="47" t="n">
        <v>1000</v>
      </c>
      <c r="I41" s="62" t="n">
        <v>0.2</v>
      </c>
      <c r="J41" s="62" t="n">
        <v>0.4</v>
      </c>
      <c r="K41" s="47" t="n">
        <v>6273000</v>
      </c>
      <c r="L41" s="62" t="n">
        <v>0.018</v>
      </c>
      <c r="M41" s="48" t="n">
        <v>1</v>
      </c>
      <c r="N41" s="62" t="n">
        <v>0.2317</v>
      </c>
      <c r="O41" s="62" t="n">
        <v>0.12</v>
      </c>
      <c r="P41" s="62" t="n">
        <v>0.09</v>
      </c>
      <c r="Q41" s="62" t="n">
        <v>0.85</v>
      </c>
      <c r="R41" s="63" t="n">
        <v>0.002</v>
      </c>
      <c r="S41" s="55" t="n">
        <v>0</v>
      </c>
      <c r="T41" s="62" t="n">
        <v>0.0265</v>
      </c>
      <c r="U41" s="62" t="n">
        <v>0.02</v>
      </c>
      <c r="V41" s="62" t="n">
        <v>0.0091</v>
      </c>
      <c r="W41" s="47" t="n">
        <v>20800</v>
      </c>
      <c r="X41" s="47" t="n">
        <v>122000</v>
      </c>
      <c r="Y41" s="62" t="n">
        <v>0.0541</v>
      </c>
      <c r="Z41" s="62" t="n">
        <v>0.05</v>
      </c>
      <c r="AA41" s="62" t="n">
        <v>0.03</v>
      </c>
      <c r="AB41" s="47" t="n">
        <v>1</v>
      </c>
      <c r="AC41" s="47" t="n">
        <v>0</v>
      </c>
      <c r="AD41" s="47" t="n">
        <v>2915</v>
      </c>
    </row>
    <row r="42" customFormat="false" ht="14.25" hidden="false" customHeight="true" outlineLevel="0" collapsed="false">
      <c r="A42" s="61" t="n">
        <v>1882</v>
      </c>
      <c r="B42" s="48" t="n">
        <v>0.776</v>
      </c>
      <c r="C42" s="62" t="n">
        <v>0.014787</v>
      </c>
      <c r="D42" s="47" t="n">
        <v>0</v>
      </c>
      <c r="E42" s="47" t="n">
        <v>110000</v>
      </c>
      <c r="F42" s="47" t="n">
        <v>25000</v>
      </c>
      <c r="G42" s="47" t="n">
        <v>500</v>
      </c>
      <c r="H42" s="47" t="n">
        <v>1000</v>
      </c>
      <c r="I42" s="62" t="n">
        <v>0.2</v>
      </c>
      <c r="J42" s="62" t="n">
        <v>0.4</v>
      </c>
      <c r="K42" s="47" t="n">
        <v>6327000</v>
      </c>
      <c r="L42" s="62" t="n">
        <v>0.018</v>
      </c>
      <c r="M42" s="48" t="n">
        <v>1</v>
      </c>
      <c r="N42" s="62" t="n">
        <v>0.23</v>
      </c>
      <c r="O42" s="62" t="n">
        <v>0.12</v>
      </c>
      <c r="P42" s="62" t="n">
        <v>0.09</v>
      </c>
      <c r="Q42" s="62" t="n">
        <v>0.85</v>
      </c>
      <c r="R42" s="63" t="n">
        <v>0.002</v>
      </c>
      <c r="S42" s="55" t="n">
        <v>0</v>
      </c>
      <c r="T42" s="62" t="n">
        <v>0.027</v>
      </c>
      <c r="U42" s="62" t="n">
        <v>0.02</v>
      </c>
      <c r="V42" s="62" t="n">
        <v>0.0093</v>
      </c>
      <c r="W42" s="47" t="n">
        <v>21600</v>
      </c>
      <c r="X42" s="47" t="n">
        <v>123000</v>
      </c>
      <c r="Y42" s="62" t="n">
        <v>0.0535</v>
      </c>
      <c r="Z42" s="62" t="n">
        <v>0.05</v>
      </c>
      <c r="AA42" s="62" t="n">
        <v>0.03</v>
      </c>
      <c r="AB42" s="47" t="n">
        <v>1</v>
      </c>
      <c r="AC42" s="47" t="n">
        <v>0</v>
      </c>
      <c r="AD42" s="47" t="n">
        <v>2980</v>
      </c>
    </row>
    <row r="43" customFormat="false" ht="14.25" hidden="false" customHeight="true" outlineLevel="0" collapsed="false">
      <c r="A43" s="61" t="n">
        <v>1883</v>
      </c>
      <c r="B43" s="48" t="n">
        <v>0.764</v>
      </c>
      <c r="C43" s="62" t="n">
        <v>0.015038</v>
      </c>
      <c r="D43" s="47" t="n">
        <v>0</v>
      </c>
      <c r="E43" s="47" t="n">
        <v>110000</v>
      </c>
      <c r="F43" s="47" t="n">
        <v>25000</v>
      </c>
      <c r="G43" s="47" t="n">
        <v>500</v>
      </c>
      <c r="H43" s="47" t="n">
        <v>1000</v>
      </c>
      <c r="I43" s="62" t="n">
        <v>0.2</v>
      </c>
      <c r="J43" s="62" t="n">
        <v>0.4</v>
      </c>
      <c r="K43" s="47" t="n">
        <v>6382000</v>
      </c>
      <c r="L43" s="62" t="n">
        <v>0.018</v>
      </c>
      <c r="M43" s="48" t="n">
        <v>1</v>
      </c>
      <c r="N43" s="62" t="n">
        <v>0.2283</v>
      </c>
      <c r="O43" s="62" t="n">
        <v>0.12</v>
      </c>
      <c r="P43" s="62" t="n">
        <v>0.09</v>
      </c>
      <c r="Q43" s="62" t="n">
        <v>0.85</v>
      </c>
      <c r="R43" s="63" t="n">
        <v>0.002</v>
      </c>
      <c r="S43" s="55" t="n">
        <v>0</v>
      </c>
      <c r="T43" s="62" t="n">
        <v>0.0275</v>
      </c>
      <c r="U43" s="62" t="n">
        <v>0.02</v>
      </c>
      <c r="V43" s="62" t="n">
        <v>0.0096</v>
      </c>
      <c r="W43" s="47" t="n">
        <v>22400</v>
      </c>
      <c r="X43" s="47" t="n">
        <v>124000</v>
      </c>
      <c r="Y43" s="62" t="n">
        <v>0.0528</v>
      </c>
      <c r="Z43" s="62" t="n">
        <v>0.05</v>
      </c>
      <c r="AA43" s="62" t="n">
        <v>0.03</v>
      </c>
      <c r="AB43" s="47" t="n">
        <v>1</v>
      </c>
      <c r="AC43" s="47" t="n">
        <v>0</v>
      </c>
      <c r="AD43" s="47" t="n">
        <v>3045</v>
      </c>
    </row>
    <row r="44" customFormat="false" ht="14.25" hidden="false" customHeight="true" outlineLevel="0" collapsed="false">
      <c r="A44" s="61" t="n">
        <v>1884</v>
      </c>
      <c r="B44" s="48" t="n">
        <v>0.752</v>
      </c>
      <c r="C44" s="62" t="n">
        <v>0.015217</v>
      </c>
      <c r="D44" s="47" t="n">
        <v>0</v>
      </c>
      <c r="E44" s="47" t="n">
        <v>110000</v>
      </c>
      <c r="F44" s="47" t="n">
        <v>25000</v>
      </c>
      <c r="G44" s="47" t="n">
        <v>500</v>
      </c>
      <c r="H44" s="47" t="n">
        <v>1000</v>
      </c>
      <c r="I44" s="62" t="n">
        <v>0.2</v>
      </c>
      <c r="J44" s="62" t="n">
        <v>0.4</v>
      </c>
      <c r="K44" s="47" t="n">
        <v>6436000</v>
      </c>
      <c r="L44" s="62" t="n">
        <v>0.018</v>
      </c>
      <c r="M44" s="48" t="n">
        <v>0.98</v>
      </c>
      <c r="N44" s="62" t="n">
        <v>0.2267</v>
      </c>
      <c r="O44" s="62" t="n">
        <v>0.12</v>
      </c>
      <c r="P44" s="62" t="n">
        <v>0.09</v>
      </c>
      <c r="Q44" s="62" t="n">
        <v>0.85</v>
      </c>
      <c r="R44" s="63" t="n">
        <v>0.002</v>
      </c>
      <c r="S44" s="55" t="n">
        <v>0</v>
      </c>
      <c r="T44" s="62" t="n">
        <v>0.028</v>
      </c>
      <c r="U44" s="62" t="n">
        <v>0.02</v>
      </c>
      <c r="V44" s="62" t="n">
        <v>0.0098</v>
      </c>
      <c r="W44" s="47" t="n">
        <v>23200</v>
      </c>
      <c r="X44" s="47" t="n">
        <v>126000</v>
      </c>
      <c r="Y44" s="62" t="n">
        <v>0.0522</v>
      </c>
      <c r="Z44" s="62" t="n">
        <v>0.05</v>
      </c>
      <c r="AA44" s="62" t="n">
        <v>0.03</v>
      </c>
      <c r="AB44" s="47" t="n">
        <v>1</v>
      </c>
      <c r="AC44" s="47" t="n">
        <v>0</v>
      </c>
      <c r="AD44" s="47" t="n">
        <v>3110</v>
      </c>
    </row>
    <row r="45" customFormat="false" ht="14.25" hidden="false" customHeight="true" outlineLevel="0" collapsed="false">
      <c r="A45" s="61" t="n">
        <v>1885</v>
      </c>
      <c r="B45" s="48" t="n">
        <v>0.74</v>
      </c>
      <c r="C45" s="62" t="n">
        <v>0.015349</v>
      </c>
      <c r="D45" s="47" t="n">
        <v>0</v>
      </c>
      <c r="E45" s="47" t="n">
        <v>110000</v>
      </c>
      <c r="F45" s="47" t="n">
        <v>25000</v>
      </c>
      <c r="G45" s="47" t="n">
        <v>3000</v>
      </c>
      <c r="H45" s="47" t="n">
        <v>1000</v>
      </c>
      <c r="I45" s="62" t="n">
        <v>0.2</v>
      </c>
      <c r="J45" s="62" t="n">
        <v>0.4</v>
      </c>
      <c r="K45" s="47" t="n">
        <v>6491000</v>
      </c>
      <c r="L45" s="62" t="n">
        <v>0.018</v>
      </c>
      <c r="M45" s="48" t="n">
        <v>0.98</v>
      </c>
      <c r="N45" s="62" t="n">
        <v>0.225</v>
      </c>
      <c r="O45" s="62" t="n">
        <v>0.12</v>
      </c>
      <c r="P45" s="62" t="n">
        <v>0.09</v>
      </c>
      <c r="Q45" s="62" t="n">
        <v>0.85</v>
      </c>
      <c r="R45" s="63" t="n">
        <v>0.002</v>
      </c>
      <c r="S45" s="55" t="n">
        <v>0</v>
      </c>
      <c r="T45" s="62" t="n">
        <v>0.0285</v>
      </c>
      <c r="U45" s="62" t="n">
        <v>0.02</v>
      </c>
      <c r="V45" s="62" t="n">
        <v>0.01</v>
      </c>
      <c r="W45" s="47" t="n">
        <v>24000</v>
      </c>
      <c r="X45" s="47" t="n">
        <v>128000</v>
      </c>
      <c r="Y45" s="62" t="n">
        <v>0.0515</v>
      </c>
      <c r="Z45" s="62" t="n">
        <v>0.05</v>
      </c>
      <c r="AA45" s="62" t="n">
        <v>0.03</v>
      </c>
      <c r="AB45" s="47" t="n">
        <v>1</v>
      </c>
      <c r="AC45" s="47" t="n">
        <v>0</v>
      </c>
      <c r="AD45" s="47" t="n">
        <v>3175</v>
      </c>
    </row>
    <row r="46" customFormat="false" ht="14.25" hidden="false" customHeight="true" outlineLevel="0" collapsed="false">
      <c r="A46" s="61" t="n">
        <v>1886</v>
      </c>
      <c r="B46" s="48" t="n">
        <v>0.738</v>
      </c>
      <c r="C46" s="62" t="n">
        <v>0.01542</v>
      </c>
      <c r="D46" s="47" t="n">
        <v>0</v>
      </c>
      <c r="E46" s="47" t="n">
        <v>110000</v>
      </c>
      <c r="F46" s="47" t="n">
        <v>25000</v>
      </c>
      <c r="G46" s="47" t="n">
        <v>8000</v>
      </c>
      <c r="H46" s="47" t="n">
        <v>1000</v>
      </c>
      <c r="I46" s="62" t="n">
        <v>0.2</v>
      </c>
      <c r="J46" s="62" t="n">
        <v>0.4</v>
      </c>
      <c r="K46" s="47" t="n">
        <v>6545000</v>
      </c>
      <c r="L46" s="62" t="n">
        <v>0.018</v>
      </c>
      <c r="M46" s="48" t="n">
        <v>1</v>
      </c>
      <c r="N46" s="62" t="n">
        <v>0.2233</v>
      </c>
      <c r="O46" s="62" t="n">
        <v>0.12</v>
      </c>
      <c r="P46" s="62" t="n">
        <v>0.09</v>
      </c>
      <c r="Q46" s="62" t="n">
        <v>0.85</v>
      </c>
      <c r="R46" s="63" t="n">
        <v>0.002</v>
      </c>
      <c r="S46" s="55" t="n">
        <v>0</v>
      </c>
      <c r="T46" s="62" t="n">
        <v>0.029</v>
      </c>
      <c r="U46" s="62" t="n">
        <v>0.02</v>
      </c>
      <c r="V46" s="62" t="n">
        <v>0.0099</v>
      </c>
      <c r="W46" s="47" t="n">
        <v>26000</v>
      </c>
      <c r="X46" s="47" t="n">
        <v>129000</v>
      </c>
      <c r="Y46" s="62" t="n">
        <v>0.0509</v>
      </c>
      <c r="Z46" s="62" t="n">
        <v>0.05</v>
      </c>
      <c r="AA46" s="62" t="n">
        <v>0.03</v>
      </c>
      <c r="AB46" s="47" t="n">
        <v>1</v>
      </c>
      <c r="AC46" s="47" t="n">
        <v>0</v>
      </c>
      <c r="AD46" s="47" t="n">
        <v>3240</v>
      </c>
    </row>
    <row r="47" customFormat="false" ht="14.25" hidden="false" customHeight="true" outlineLevel="0" collapsed="false">
      <c r="A47" s="61" t="n">
        <v>1887</v>
      </c>
      <c r="B47" s="48" t="n">
        <v>0.736</v>
      </c>
      <c r="C47" s="62" t="n">
        <v>0.015499</v>
      </c>
      <c r="D47" s="47" t="n">
        <v>0</v>
      </c>
      <c r="E47" s="47" t="n">
        <v>110000</v>
      </c>
      <c r="F47" s="47" t="n">
        <v>25000</v>
      </c>
      <c r="G47" s="47" t="n">
        <v>8000</v>
      </c>
      <c r="H47" s="47" t="n">
        <v>1000</v>
      </c>
      <c r="I47" s="62" t="n">
        <v>0.2</v>
      </c>
      <c r="J47" s="62" t="n">
        <v>0.4</v>
      </c>
      <c r="K47" s="47" t="n">
        <v>6600000</v>
      </c>
      <c r="L47" s="62" t="n">
        <v>0.018</v>
      </c>
      <c r="M47" s="48" t="n">
        <v>1</v>
      </c>
      <c r="N47" s="62" t="n">
        <v>0.2217</v>
      </c>
      <c r="O47" s="62" t="n">
        <v>0.12</v>
      </c>
      <c r="P47" s="62" t="n">
        <v>0.09</v>
      </c>
      <c r="Q47" s="62" t="n">
        <v>0.85</v>
      </c>
      <c r="R47" s="63" t="n">
        <v>0.002</v>
      </c>
      <c r="S47" s="55" t="n">
        <v>0</v>
      </c>
      <c r="T47" s="62" t="n">
        <v>0.0295</v>
      </c>
      <c r="U47" s="62" t="n">
        <v>0.02</v>
      </c>
      <c r="V47" s="62" t="n">
        <v>0.0099</v>
      </c>
      <c r="W47" s="47" t="n">
        <v>28000</v>
      </c>
      <c r="X47" s="47" t="n">
        <v>130000</v>
      </c>
      <c r="Y47" s="62" t="n">
        <v>0.0502</v>
      </c>
      <c r="Z47" s="62" t="n">
        <v>0.05</v>
      </c>
      <c r="AA47" s="62" t="n">
        <v>0.03</v>
      </c>
      <c r="AB47" s="47" t="n">
        <v>1</v>
      </c>
      <c r="AC47" s="47" t="n">
        <v>0</v>
      </c>
      <c r="AD47" s="47" t="n">
        <v>3305</v>
      </c>
    </row>
    <row r="48" customFormat="false" ht="14.25" hidden="false" customHeight="true" outlineLevel="0" collapsed="false">
      <c r="A48" s="61" t="n">
        <v>1888</v>
      </c>
      <c r="B48" s="48" t="n">
        <v>0.734</v>
      </c>
      <c r="C48" s="62" t="n">
        <v>0.01558</v>
      </c>
      <c r="D48" s="47" t="n">
        <v>0</v>
      </c>
      <c r="E48" s="47" t="n">
        <v>65000</v>
      </c>
      <c r="F48" s="47" t="n">
        <v>22000</v>
      </c>
      <c r="G48" s="47" t="n">
        <v>8000</v>
      </c>
      <c r="H48" s="47" t="n">
        <v>1000</v>
      </c>
      <c r="I48" s="62" t="n">
        <v>0.2</v>
      </c>
      <c r="J48" s="62" t="n">
        <v>0.3</v>
      </c>
      <c r="K48" s="47" t="n">
        <v>6662000</v>
      </c>
      <c r="L48" s="62" t="n">
        <v>0.018</v>
      </c>
      <c r="M48" s="48" t="n">
        <v>1</v>
      </c>
      <c r="N48" s="62" t="n">
        <v>0.22</v>
      </c>
      <c r="O48" s="62" t="n">
        <v>0.12</v>
      </c>
      <c r="P48" s="62" t="n">
        <v>0.085</v>
      </c>
      <c r="Q48" s="62" t="n">
        <v>0.85</v>
      </c>
      <c r="R48" s="63" t="n">
        <v>0.002</v>
      </c>
      <c r="S48" s="55" t="n">
        <v>0</v>
      </c>
      <c r="T48" s="62" t="n">
        <v>0.03</v>
      </c>
      <c r="U48" s="62" t="n">
        <v>0.02</v>
      </c>
      <c r="V48" s="62" t="n">
        <v>0.0098</v>
      </c>
      <c r="W48" s="47" t="n">
        <v>27000</v>
      </c>
      <c r="X48" s="47" t="n">
        <v>132000</v>
      </c>
      <c r="Y48" s="62" t="n">
        <v>0.0496</v>
      </c>
      <c r="Z48" s="62" t="n">
        <v>0.05</v>
      </c>
      <c r="AA48" s="62" t="n">
        <v>0.03</v>
      </c>
      <c r="AB48" s="47" t="n">
        <v>1</v>
      </c>
      <c r="AC48" s="47" t="n">
        <v>0</v>
      </c>
      <c r="AD48" s="47" t="n">
        <v>3370</v>
      </c>
    </row>
    <row r="49" customFormat="false" ht="14.25" hidden="false" customHeight="true" outlineLevel="0" collapsed="false">
      <c r="A49" s="61" t="n">
        <v>1889</v>
      </c>
      <c r="B49" s="48" t="n">
        <v>0.732</v>
      </c>
      <c r="C49" s="62" t="n">
        <v>0.015854</v>
      </c>
      <c r="D49" s="47" t="n">
        <v>0</v>
      </c>
      <c r="E49" s="47" t="n">
        <v>65000</v>
      </c>
      <c r="F49" s="47" t="n">
        <v>22000</v>
      </c>
      <c r="G49" s="47" t="n">
        <v>8000</v>
      </c>
      <c r="H49" s="47" t="n">
        <v>1000</v>
      </c>
      <c r="I49" s="62" t="n">
        <v>0.2</v>
      </c>
      <c r="J49" s="62" t="n">
        <v>0.3</v>
      </c>
      <c r="K49" s="47" t="n">
        <v>6743000</v>
      </c>
      <c r="L49" s="62" t="n">
        <v>0.018</v>
      </c>
      <c r="M49" s="48" t="n">
        <v>1</v>
      </c>
      <c r="N49" s="62" t="n">
        <v>0.2183</v>
      </c>
      <c r="O49" s="62" t="n">
        <v>0.12</v>
      </c>
      <c r="P49" s="62" t="n">
        <v>0.085</v>
      </c>
      <c r="Q49" s="62" t="n">
        <v>0.85</v>
      </c>
      <c r="R49" s="63" t="n">
        <v>0.002</v>
      </c>
      <c r="S49" s="55" t="n">
        <v>0</v>
      </c>
      <c r="T49" s="62" t="n">
        <v>0.0305</v>
      </c>
      <c r="U49" s="62" t="n">
        <v>0.02</v>
      </c>
      <c r="V49" s="62" t="n">
        <v>0.0097</v>
      </c>
      <c r="W49" s="47" t="n">
        <v>26000</v>
      </c>
      <c r="X49" s="47" t="n">
        <v>134000</v>
      </c>
      <c r="Y49" s="62" t="n">
        <v>0.0489</v>
      </c>
      <c r="Z49" s="62" t="n">
        <v>0.05</v>
      </c>
      <c r="AA49" s="62" t="n">
        <v>0.03</v>
      </c>
      <c r="AB49" s="47" t="n">
        <v>1</v>
      </c>
      <c r="AC49" s="47" t="n">
        <v>0</v>
      </c>
      <c r="AD49" s="47" t="n">
        <v>3435</v>
      </c>
    </row>
    <row r="50" customFormat="false" ht="14.25" hidden="false" customHeight="true" outlineLevel="0" collapsed="false">
      <c r="A50" s="61" t="n">
        <v>1890</v>
      </c>
      <c r="B50" s="48" t="n">
        <v>0.73</v>
      </c>
      <c r="C50" s="62" t="n">
        <v>0.016107</v>
      </c>
      <c r="D50" s="47" t="n">
        <v>0</v>
      </c>
      <c r="E50" s="47" t="n">
        <v>65000</v>
      </c>
      <c r="F50" s="47" t="n">
        <v>22000</v>
      </c>
      <c r="G50" s="47" t="n">
        <v>8000</v>
      </c>
      <c r="H50" s="47" t="n">
        <v>5000</v>
      </c>
      <c r="I50" s="62" t="n">
        <v>0.2</v>
      </c>
      <c r="J50" s="62" t="n">
        <v>0.3</v>
      </c>
      <c r="K50" s="47" t="n">
        <v>6806324</v>
      </c>
      <c r="L50" s="62" t="n">
        <v>0.018</v>
      </c>
      <c r="M50" s="48" t="n">
        <v>1</v>
      </c>
      <c r="N50" s="62" t="n">
        <v>0.2167</v>
      </c>
      <c r="O50" s="62" t="n">
        <v>0.12</v>
      </c>
      <c r="P50" s="62" t="n">
        <v>0.085</v>
      </c>
      <c r="Q50" s="62" t="n">
        <v>0.85</v>
      </c>
      <c r="R50" s="63" t="n">
        <v>0.002</v>
      </c>
      <c r="S50" s="55" t="n">
        <v>0</v>
      </c>
      <c r="T50" s="62" t="n">
        <v>0.031</v>
      </c>
      <c r="U50" s="62" t="n">
        <v>0.02</v>
      </c>
      <c r="V50" s="62" t="n">
        <v>0.0097</v>
      </c>
      <c r="W50" s="47" t="n">
        <v>25000</v>
      </c>
      <c r="X50" s="47" t="n">
        <v>135000</v>
      </c>
      <c r="Y50" s="62" t="n">
        <v>0.0483</v>
      </c>
      <c r="Z50" s="62" t="n">
        <v>0.05</v>
      </c>
      <c r="AA50" s="62" t="n">
        <v>0.03</v>
      </c>
      <c r="AB50" s="47" t="n">
        <v>1</v>
      </c>
      <c r="AC50" s="47" t="n">
        <v>0</v>
      </c>
      <c r="AD50" s="47" t="n">
        <v>3500</v>
      </c>
    </row>
    <row r="51" customFormat="false" ht="14.25" hidden="false" customHeight="true" outlineLevel="0" collapsed="false">
      <c r="A51" s="61" t="n">
        <v>1891</v>
      </c>
      <c r="B51" s="48" t="n">
        <v>0.7217</v>
      </c>
      <c r="C51" s="62" t="n">
        <v>0.016588</v>
      </c>
      <c r="D51" s="47" t="n">
        <v>0</v>
      </c>
      <c r="E51" s="47" t="n">
        <v>65000</v>
      </c>
      <c r="F51" s="47" t="n">
        <v>22000</v>
      </c>
      <c r="G51" s="47" t="n">
        <v>8000</v>
      </c>
      <c r="H51" s="47" t="n">
        <v>5000</v>
      </c>
      <c r="I51" s="62" t="n">
        <v>0.2</v>
      </c>
      <c r="J51" s="62" t="n">
        <v>0.3</v>
      </c>
      <c r="K51" s="47" t="n">
        <v>6868654</v>
      </c>
      <c r="L51" s="62" t="n">
        <v>0.018</v>
      </c>
      <c r="M51" s="48" t="n">
        <v>1</v>
      </c>
      <c r="N51" s="62" t="n">
        <v>0.215</v>
      </c>
      <c r="O51" s="62" t="n">
        <v>0.12</v>
      </c>
      <c r="P51" s="62" t="n">
        <v>0.085</v>
      </c>
      <c r="Q51" s="62" t="n">
        <v>0.85</v>
      </c>
      <c r="R51" s="63" t="n">
        <v>0.002</v>
      </c>
      <c r="S51" s="55" t="n">
        <v>0</v>
      </c>
      <c r="T51" s="62" t="n">
        <v>0.0315</v>
      </c>
      <c r="U51" s="62" t="n">
        <v>0.02</v>
      </c>
      <c r="V51" s="62" t="n">
        <v>0.0096</v>
      </c>
      <c r="W51" s="47" t="n">
        <v>25600</v>
      </c>
      <c r="X51" s="47" t="n">
        <v>136000</v>
      </c>
      <c r="Y51" s="62" t="n">
        <v>0.0476</v>
      </c>
      <c r="Z51" s="62" t="n">
        <v>0.05</v>
      </c>
      <c r="AA51" s="62" t="n">
        <v>0.03</v>
      </c>
      <c r="AB51" s="47" t="n">
        <v>1</v>
      </c>
      <c r="AC51" s="47" t="n">
        <v>0</v>
      </c>
      <c r="AD51" s="47" t="n">
        <v>3630</v>
      </c>
    </row>
    <row r="52" customFormat="false" ht="14.25" hidden="false" customHeight="true" outlineLevel="0" collapsed="false">
      <c r="A52" s="61" t="n">
        <v>1892</v>
      </c>
      <c r="B52" s="48" t="n">
        <v>0.7133</v>
      </c>
      <c r="C52" s="62" t="n">
        <v>0.017039</v>
      </c>
      <c r="D52" s="47" t="n">
        <v>0</v>
      </c>
      <c r="E52" s="47" t="n">
        <v>65000</v>
      </c>
      <c r="F52" s="47" t="n">
        <v>22000</v>
      </c>
      <c r="G52" s="47" t="n">
        <v>8000</v>
      </c>
      <c r="H52" s="47" t="n">
        <v>5000</v>
      </c>
      <c r="I52" s="62" t="n">
        <v>0.2</v>
      </c>
      <c r="J52" s="62" t="n">
        <v>0.3</v>
      </c>
      <c r="K52" s="47" t="n">
        <v>6930990</v>
      </c>
      <c r="L52" s="62" t="n">
        <v>0.018</v>
      </c>
      <c r="M52" s="48" t="n">
        <v>1</v>
      </c>
      <c r="N52" s="62" t="n">
        <v>0.2133</v>
      </c>
      <c r="O52" s="62" t="n">
        <v>0.12</v>
      </c>
      <c r="P52" s="62" t="n">
        <v>0.085</v>
      </c>
      <c r="Q52" s="62" t="n">
        <v>0.85</v>
      </c>
      <c r="R52" s="63" t="n">
        <v>0.002</v>
      </c>
      <c r="S52" s="55" t="n">
        <v>0</v>
      </c>
      <c r="T52" s="62" t="n">
        <v>0.032</v>
      </c>
      <c r="U52" s="62" t="n">
        <v>0.02</v>
      </c>
      <c r="V52" s="62" t="n">
        <v>0.0095</v>
      </c>
      <c r="W52" s="47" t="n">
        <v>26200</v>
      </c>
      <c r="X52" s="47" t="n">
        <v>138000</v>
      </c>
      <c r="Y52" s="62" t="n">
        <v>0.047</v>
      </c>
      <c r="Z52" s="62" t="n">
        <v>0.05</v>
      </c>
      <c r="AA52" s="62" t="n">
        <v>0.03</v>
      </c>
      <c r="AB52" s="47" t="n">
        <v>1</v>
      </c>
      <c r="AC52" s="47" t="n">
        <v>0</v>
      </c>
      <c r="AD52" s="47" t="n">
        <v>3760</v>
      </c>
    </row>
    <row r="53" customFormat="false" ht="14.25" hidden="false" customHeight="true" outlineLevel="0" collapsed="false">
      <c r="A53" s="61" t="n">
        <v>1893</v>
      </c>
      <c r="B53" s="48" t="n">
        <v>0.705</v>
      </c>
      <c r="C53" s="62" t="n">
        <v>0.017429</v>
      </c>
      <c r="D53" s="47" t="n">
        <v>0</v>
      </c>
      <c r="E53" s="47" t="n">
        <v>65000</v>
      </c>
      <c r="F53" s="47" t="n">
        <v>22000</v>
      </c>
      <c r="G53" s="47" t="n">
        <v>8000</v>
      </c>
      <c r="H53" s="47" t="n">
        <v>5000</v>
      </c>
      <c r="I53" s="62" t="n">
        <v>0.2</v>
      </c>
      <c r="J53" s="62" t="n">
        <v>0.3</v>
      </c>
      <c r="K53" s="47" t="n">
        <v>6994331</v>
      </c>
      <c r="L53" s="62" t="n">
        <v>0.018</v>
      </c>
      <c r="M53" s="48" t="n">
        <v>0.95</v>
      </c>
      <c r="N53" s="62" t="n">
        <v>0.2117</v>
      </c>
      <c r="O53" s="62" t="n">
        <v>0.12</v>
      </c>
      <c r="P53" s="62" t="n">
        <v>0.085</v>
      </c>
      <c r="Q53" s="62" t="n">
        <v>0.85</v>
      </c>
      <c r="R53" s="63" t="n">
        <v>0.002</v>
      </c>
      <c r="S53" s="55" t="n">
        <v>0</v>
      </c>
      <c r="T53" s="62" t="n">
        <v>0.0325</v>
      </c>
      <c r="U53" s="62" t="n">
        <v>0.02</v>
      </c>
      <c r="V53" s="62" t="n">
        <v>0.0095</v>
      </c>
      <c r="W53" s="47" t="n">
        <v>26800</v>
      </c>
      <c r="X53" s="47" t="n">
        <v>140000</v>
      </c>
      <c r="Y53" s="62" t="n">
        <v>0.0463</v>
      </c>
      <c r="Z53" s="62" t="n">
        <v>0.05</v>
      </c>
      <c r="AA53" s="62" t="n">
        <v>0.03</v>
      </c>
      <c r="AB53" s="47" t="n">
        <v>1</v>
      </c>
      <c r="AC53" s="47" t="n">
        <v>0</v>
      </c>
      <c r="AD53" s="47" t="n">
        <v>3890</v>
      </c>
    </row>
    <row r="54" customFormat="false" ht="14.25" hidden="false" customHeight="true" outlineLevel="0" collapsed="false">
      <c r="A54" s="61" t="n">
        <v>1894</v>
      </c>
      <c r="B54" s="48" t="n">
        <v>0.6967</v>
      </c>
      <c r="C54" s="62" t="n">
        <v>0.017762</v>
      </c>
      <c r="D54" s="47" t="n">
        <v>0</v>
      </c>
      <c r="E54" s="47" t="n">
        <v>65000</v>
      </c>
      <c r="F54" s="47" t="n">
        <v>22000</v>
      </c>
      <c r="G54" s="47" t="n">
        <v>8000</v>
      </c>
      <c r="H54" s="47" t="n">
        <v>5000</v>
      </c>
      <c r="I54" s="62" t="n">
        <v>0.2</v>
      </c>
      <c r="J54" s="62" t="n">
        <v>0.3</v>
      </c>
      <c r="K54" s="47" t="n">
        <v>7057679</v>
      </c>
      <c r="L54" s="62" t="n">
        <v>0.018</v>
      </c>
      <c r="M54" s="48" t="n">
        <v>0.94</v>
      </c>
      <c r="N54" s="62" t="n">
        <v>0.21</v>
      </c>
      <c r="O54" s="62" t="n">
        <v>0.12</v>
      </c>
      <c r="P54" s="62" t="n">
        <v>0.085</v>
      </c>
      <c r="Q54" s="62" t="n">
        <v>0.85</v>
      </c>
      <c r="R54" s="63" t="n">
        <v>0.002</v>
      </c>
      <c r="S54" s="55" t="n">
        <v>0</v>
      </c>
      <c r="T54" s="62" t="n">
        <v>0.033</v>
      </c>
      <c r="U54" s="62" t="n">
        <v>0.02</v>
      </c>
      <c r="V54" s="62" t="n">
        <v>0.0094</v>
      </c>
      <c r="W54" s="47" t="n">
        <v>27400</v>
      </c>
      <c r="X54" s="47" t="n">
        <v>141000</v>
      </c>
      <c r="Y54" s="62" t="n">
        <v>0.0457</v>
      </c>
      <c r="Z54" s="62" t="n">
        <v>0.05</v>
      </c>
      <c r="AA54" s="62" t="n">
        <v>0.03</v>
      </c>
      <c r="AB54" s="47" t="n">
        <v>1</v>
      </c>
      <c r="AC54" s="47" t="n">
        <v>0</v>
      </c>
      <c r="AD54" s="47" t="n">
        <v>4020</v>
      </c>
    </row>
    <row r="55" customFormat="false" ht="14.25" hidden="false" customHeight="true" outlineLevel="0" collapsed="false">
      <c r="A55" s="61" t="n">
        <v>1895</v>
      </c>
      <c r="B55" s="48" t="n">
        <v>0.6883</v>
      </c>
      <c r="C55" s="62" t="n">
        <v>0.018023</v>
      </c>
      <c r="D55" s="47" t="n">
        <v>0</v>
      </c>
      <c r="E55" s="47" t="n">
        <v>65000</v>
      </c>
      <c r="F55" s="47" t="n">
        <v>22000</v>
      </c>
      <c r="G55" s="47" t="n">
        <v>8000</v>
      </c>
      <c r="H55" s="47" t="n">
        <v>5000</v>
      </c>
      <c r="I55" s="62" t="n">
        <v>0.2</v>
      </c>
      <c r="J55" s="62" t="n">
        <v>0.3</v>
      </c>
      <c r="K55" s="47" t="n">
        <v>7120034</v>
      </c>
      <c r="L55" s="62" t="n">
        <v>0.018</v>
      </c>
      <c r="M55" s="48" t="n">
        <v>0.97</v>
      </c>
      <c r="N55" s="62" t="n">
        <v>0.2083</v>
      </c>
      <c r="O55" s="62" t="n">
        <v>0.12</v>
      </c>
      <c r="P55" s="62" t="n">
        <v>0.085</v>
      </c>
      <c r="Q55" s="62" t="n">
        <v>0.85</v>
      </c>
      <c r="R55" s="63" t="n">
        <v>0.002</v>
      </c>
      <c r="S55" s="55" t="n">
        <v>0</v>
      </c>
      <c r="T55" s="62" t="n">
        <v>0.0335</v>
      </c>
      <c r="U55" s="62" t="n">
        <v>0.02</v>
      </c>
      <c r="V55" s="62" t="n">
        <v>0.0093</v>
      </c>
      <c r="W55" s="47" t="n">
        <v>28000</v>
      </c>
      <c r="X55" s="47" t="n">
        <v>142000</v>
      </c>
      <c r="Y55" s="62" t="n">
        <v>0.045</v>
      </c>
      <c r="Z55" s="62" t="n">
        <v>0.05</v>
      </c>
      <c r="AA55" s="62" t="n">
        <v>0.03</v>
      </c>
      <c r="AB55" s="47" t="n">
        <v>1</v>
      </c>
      <c r="AC55" s="47" t="n">
        <v>0</v>
      </c>
      <c r="AD55" s="47" t="n">
        <v>4150</v>
      </c>
    </row>
    <row r="56" customFormat="false" ht="14.25" hidden="false" customHeight="true" outlineLevel="0" collapsed="false">
      <c r="A56" s="61" t="n">
        <v>1896</v>
      </c>
      <c r="B56" s="48" t="n">
        <v>0.68</v>
      </c>
      <c r="C56" s="62" t="n">
        <v>0.017863</v>
      </c>
      <c r="D56" s="47" t="n">
        <v>0</v>
      </c>
      <c r="E56" s="47" t="n">
        <v>65000</v>
      </c>
      <c r="F56" s="47" t="n">
        <v>22000</v>
      </c>
      <c r="G56" s="47" t="n">
        <v>8000</v>
      </c>
      <c r="H56" s="47" t="n">
        <v>5000</v>
      </c>
      <c r="I56" s="62" t="n">
        <v>0.2</v>
      </c>
      <c r="J56" s="62" t="n">
        <v>0.3</v>
      </c>
      <c r="K56" s="47" t="n">
        <v>7182394</v>
      </c>
      <c r="L56" s="62" t="n">
        <v>0.015</v>
      </c>
      <c r="M56" s="48" t="n">
        <v>0.98</v>
      </c>
      <c r="N56" s="62" t="n">
        <v>0.2067</v>
      </c>
      <c r="O56" s="62" t="n">
        <v>0.12</v>
      </c>
      <c r="P56" s="62" t="n">
        <v>0.074</v>
      </c>
      <c r="Q56" s="62" t="n">
        <v>0.85</v>
      </c>
      <c r="R56" s="63" t="n">
        <v>0.002</v>
      </c>
      <c r="S56" s="55" t="n">
        <v>0</v>
      </c>
      <c r="T56" s="62" t="n">
        <v>0.034</v>
      </c>
      <c r="U56" s="62" t="n">
        <v>0.02</v>
      </c>
      <c r="V56" s="62" t="n">
        <v>0.0093</v>
      </c>
      <c r="W56" s="47" t="n">
        <v>28400</v>
      </c>
      <c r="X56" s="47" t="n">
        <v>144000</v>
      </c>
      <c r="Y56" s="62" t="n">
        <v>0.0445</v>
      </c>
      <c r="Z56" s="62" t="n">
        <v>0.05</v>
      </c>
      <c r="AA56" s="62" t="n">
        <v>0.03</v>
      </c>
      <c r="AB56" s="47" t="n">
        <v>1</v>
      </c>
      <c r="AC56" s="47" t="n">
        <v>0</v>
      </c>
      <c r="AD56" s="47" t="n">
        <v>4280</v>
      </c>
    </row>
    <row r="57" customFormat="false" ht="14.25" hidden="false" customHeight="true" outlineLevel="0" collapsed="false">
      <c r="A57" s="61" t="n">
        <v>1897</v>
      </c>
      <c r="B57" s="48" t="n">
        <v>0.7</v>
      </c>
      <c r="C57" s="62" t="n">
        <v>0.01765</v>
      </c>
      <c r="D57" s="47" t="n">
        <v>0</v>
      </c>
      <c r="E57" s="47" t="n">
        <v>65000</v>
      </c>
      <c r="F57" s="47" t="n">
        <v>22000</v>
      </c>
      <c r="G57" s="47" t="n">
        <v>8000</v>
      </c>
      <c r="H57" s="47" t="n">
        <v>5000</v>
      </c>
      <c r="I57" s="62" t="n">
        <v>0.2</v>
      </c>
      <c r="J57" s="62" t="n">
        <v>0.3</v>
      </c>
      <c r="K57" s="47" t="n">
        <v>7245761</v>
      </c>
      <c r="L57" s="62" t="n">
        <v>0.015</v>
      </c>
      <c r="M57" s="48" t="n">
        <v>1</v>
      </c>
      <c r="N57" s="62" t="n">
        <v>0.205</v>
      </c>
      <c r="O57" s="62" t="n">
        <v>0.12</v>
      </c>
      <c r="P57" s="62" t="n">
        <v>0.074</v>
      </c>
      <c r="Q57" s="62" t="n">
        <v>0.85</v>
      </c>
      <c r="R57" s="63" t="n">
        <v>0.002</v>
      </c>
      <c r="S57" s="55" t="n">
        <v>0</v>
      </c>
      <c r="T57" s="62" t="n">
        <v>0.0345</v>
      </c>
      <c r="U57" s="62" t="n">
        <v>0.02</v>
      </c>
      <c r="V57" s="62" t="n">
        <v>0.0092</v>
      </c>
      <c r="W57" s="47" t="n">
        <v>28800</v>
      </c>
      <c r="X57" s="47" t="n">
        <v>146000</v>
      </c>
      <c r="Y57" s="62" t="n">
        <v>0.044</v>
      </c>
      <c r="Z57" s="62" t="n">
        <v>0.05</v>
      </c>
      <c r="AA57" s="62" t="n">
        <v>0.03</v>
      </c>
      <c r="AB57" s="47" t="n">
        <v>1</v>
      </c>
      <c r="AC57" s="47" t="n">
        <v>0</v>
      </c>
      <c r="AD57" s="47" t="n">
        <v>4410</v>
      </c>
    </row>
    <row r="58" customFormat="false" ht="14.25" hidden="false" customHeight="true" outlineLevel="0" collapsed="false">
      <c r="A58" s="61" t="n">
        <v>1898</v>
      </c>
      <c r="B58" s="48" t="n">
        <v>0.72</v>
      </c>
      <c r="C58" s="62" t="n">
        <v>0.017451</v>
      </c>
      <c r="D58" s="47" t="n">
        <v>0</v>
      </c>
      <c r="E58" s="47" t="n">
        <v>65000</v>
      </c>
      <c r="F58" s="47" t="n">
        <v>22000</v>
      </c>
      <c r="G58" s="47" t="n">
        <v>8000</v>
      </c>
      <c r="H58" s="47" t="n">
        <v>5000</v>
      </c>
      <c r="I58" s="62" t="n">
        <v>0.2</v>
      </c>
      <c r="J58" s="62" t="n">
        <v>0.3</v>
      </c>
      <c r="K58" s="47" t="n">
        <v>7309135</v>
      </c>
      <c r="L58" s="62" t="n">
        <v>0.015</v>
      </c>
      <c r="M58" s="48" t="n">
        <v>1</v>
      </c>
      <c r="N58" s="62" t="n">
        <v>0.2033</v>
      </c>
      <c r="O58" s="62" t="n">
        <v>0.12</v>
      </c>
      <c r="P58" s="62" t="n">
        <v>0.074</v>
      </c>
      <c r="Q58" s="62" t="n">
        <v>0.85</v>
      </c>
      <c r="R58" s="63" t="n">
        <v>0.002</v>
      </c>
      <c r="S58" s="55" t="n">
        <v>0</v>
      </c>
      <c r="T58" s="62" t="n">
        <v>0.035</v>
      </c>
      <c r="U58" s="62" t="n">
        <v>0.02</v>
      </c>
      <c r="V58" s="62" t="n">
        <v>0.0091</v>
      </c>
      <c r="W58" s="47" t="n">
        <v>29200</v>
      </c>
      <c r="X58" s="47" t="n">
        <v>147000</v>
      </c>
      <c r="Y58" s="62" t="n">
        <v>0.0435</v>
      </c>
      <c r="Z58" s="62" t="n">
        <v>0.05</v>
      </c>
      <c r="AA58" s="62" t="n">
        <v>0.03</v>
      </c>
      <c r="AB58" s="47" t="n">
        <v>1</v>
      </c>
      <c r="AC58" s="47" t="n">
        <v>0</v>
      </c>
      <c r="AD58" s="47" t="n">
        <v>4540</v>
      </c>
    </row>
    <row r="59" customFormat="false" ht="14.25" hidden="false" customHeight="true" outlineLevel="0" collapsed="false">
      <c r="A59" s="61" t="n">
        <v>1899</v>
      </c>
      <c r="B59" s="48" t="n">
        <v>0.74</v>
      </c>
      <c r="C59" s="62" t="n">
        <v>0.017261</v>
      </c>
      <c r="D59" s="47" t="n">
        <v>0</v>
      </c>
      <c r="E59" s="47" t="n">
        <v>65000</v>
      </c>
      <c r="F59" s="47" t="n">
        <v>22000</v>
      </c>
      <c r="G59" s="47" t="n">
        <v>8000</v>
      </c>
      <c r="H59" s="47" t="n">
        <v>5000</v>
      </c>
      <c r="I59" s="62" t="n">
        <v>0.2</v>
      </c>
      <c r="J59" s="62" t="n">
        <v>0.3</v>
      </c>
      <c r="K59" s="47" t="n">
        <v>7371515</v>
      </c>
      <c r="L59" s="62" t="n">
        <v>0.015</v>
      </c>
      <c r="M59" s="48" t="n">
        <v>1</v>
      </c>
      <c r="N59" s="62" t="n">
        <v>0.2017</v>
      </c>
      <c r="O59" s="62" t="n">
        <v>0.12</v>
      </c>
      <c r="P59" s="62" t="n">
        <v>0.074</v>
      </c>
      <c r="Q59" s="62" t="n">
        <v>0.85</v>
      </c>
      <c r="R59" s="63" t="n">
        <v>0.002</v>
      </c>
      <c r="S59" s="55" t="n">
        <v>0</v>
      </c>
      <c r="T59" s="62" t="n">
        <v>0.0355</v>
      </c>
      <c r="U59" s="62" t="n">
        <v>0.02</v>
      </c>
      <c r="V59" s="62" t="n">
        <v>0.0091</v>
      </c>
      <c r="W59" s="47" t="n">
        <v>29600</v>
      </c>
      <c r="X59" s="47" t="n">
        <v>148000</v>
      </c>
      <c r="Y59" s="62" t="n">
        <v>0.043</v>
      </c>
      <c r="Z59" s="62" t="n">
        <v>0.05</v>
      </c>
      <c r="AA59" s="62" t="n">
        <v>0.03</v>
      </c>
      <c r="AB59" s="47" t="n">
        <v>1</v>
      </c>
      <c r="AC59" s="47" t="n">
        <v>0</v>
      </c>
      <c r="AD59" s="47" t="n">
        <v>4670</v>
      </c>
    </row>
    <row r="60" customFormat="false" ht="14.25" hidden="false" customHeight="true" outlineLevel="0" collapsed="false">
      <c r="A60" s="61" t="n">
        <v>1900</v>
      </c>
      <c r="B60" s="48" t="n">
        <v>0.76</v>
      </c>
      <c r="C60" s="62" t="n">
        <v>0.01708</v>
      </c>
      <c r="D60" s="47" t="n">
        <v>0</v>
      </c>
      <c r="E60" s="47" t="n">
        <v>90000</v>
      </c>
      <c r="F60" s="47" t="n">
        <v>28000</v>
      </c>
      <c r="G60" s="47" t="n">
        <v>14000</v>
      </c>
      <c r="H60" s="47" t="n">
        <v>9000</v>
      </c>
      <c r="I60" s="62" t="n">
        <v>0.2</v>
      </c>
      <c r="J60" s="62" t="n">
        <v>0.3</v>
      </c>
      <c r="K60" s="47" t="n">
        <v>7433903</v>
      </c>
      <c r="L60" s="62" t="n">
        <v>0.015</v>
      </c>
      <c r="M60" s="48" t="n">
        <v>1</v>
      </c>
      <c r="N60" s="62" t="n">
        <v>0.2</v>
      </c>
      <c r="O60" s="62" t="n">
        <v>0.12</v>
      </c>
      <c r="P60" s="62" t="n">
        <v>0.074</v>
      </c>
      <c r="Q60" s="62" t="n">
        <v>0.85</v>
      </c>
      <c r="R60" s="63" t="n">
        <v>0.002</v>
      </c>
      <c r="S60" s="55" t="n">
        <v>0</v>
      </c>
      <c r="T60" s="62" t="n">
        <v>0.036</v>
      </c>
      <c r="U60" s="62" t="n">
        <v>0.02</v>
      </c>
      <c r="V60" s="62" t="n">
        <v>0.009</v>
      </c>
      <c r="W60" s="47" t="n">
        <v>30000</v>
      </c>
      <c r="X60" s="47" t="n">
        <v>150000</v>
      </c>
      <c r="Y60" s="62" t="n">
        <v>0.0425</v>
      </c>
      <c r="Z60" s="62" t="n">
        <v>0.05</v>
      </c>
      <c r="AA60" s="62" t="n">
        <v>0.03</v>
      </c>
      <c r="AB60" s="47" t="n">
        <v>1</v>
      </c>
      <c r="AC60" s="47" t="n">
        <v>0</v>
      </c>
      <c r="AD60" s="47" t="n">
        <v>4800</v>
      </c>
    </row>
    <row r="61" customFormat="false" ht="14.25" hidden="false" customHeight="true" outlineLevel="0" collapsed="false">
      <c r="A61" s="61" t="n">
        <v>1901</v>
      </c>
      <c r="B61" s="48" t="n">
        <v>0.772</v>
      </c>
      <c r="C61" s="62" t="n">
        <v>0.017491</v>
      </c>
      <c r="D61" s="47" t="n">
        <v>0</v>
      </c>
      <c r="E61" s="47" t="n">
        <v>90000</v>
      </c>
      <c r="F61" s="47" t="n">
        <v>28000</v>
      </c>
      <c r="G61" s="47" t="n">
        <v>14000</v>
      </c>
      <c r="H61" s="47" t="n">
        <v>9000</v>
      </c>
      <c r="I61" s="62" t="n">
        <v>0.2</v>
      </c>
      <c r="J61" s="62" t="n">
        <v>0.3</v>
      </c>
      <c r="K61" s="47" t="n">
        <v>7497297</v>
      </c>
      <c r="L61" s="62" t="n">
        <v>0.015</v>
      </c>
      <c r="M61" s="48" t="n">
        <v>1</v>
      </c>
      <c r="N61" s="62" t="n">
        <v>0.1986</v>
      </c>
      <c r="O61" s="62" t="n">
        <v>0.12</v>
      </c>
      <c r="P61" s="62" t="n">
        <v>0.074</v>
      </c>
      <c r="Q61" s="62" t="n">
        <v>0.85</v>
      </c>
      <c r="R61" s="63" t="n">
        <v>0.002</v>
      </c>
      <c r="S61" s="55" t="n">
        <v>4</v>
      </c>
      <c r="T61" s="62" t="n">
        <v>0.0363</v>
      </c>
      <c r="U61" s="62" t="n">
        <v>0.02</v>
      </c>
      <c r="V61" s="62" t="n">
        <v>0.0089</v>
      </c>
      <c r="W61" s="47" t="n">
        <v>30400</v>
      </c>
      <c r="X61" s="47" t="n">
        <v>152000</v>
      </c>
      <c r="Y61" s="62" t="n">
        <v>0.042</v>
      </c>
      <c r="Z61" s="62" t="n">
        <v>0.05</v>
      </c>
      <c r="AA61" s="62" t="n">
        <v>0.03</v>
      </c>
      <c r="AB61" s="47" t="n">
        <v>1</v>
      </c>
      <c r="AC61" s="47" t="n">
        <v>0</v>
      </c>
      <c r="AD61" s="47" t="n">
        <v>5046</v>
      </c>
    </row>
    <row r="62" customFormat="false" ht="14.25" hidden="false" customHeight="true" outlineLevel="0" collapsed="false">
      <c r="A62" s="61" t="n">
        <v>1902</v>
      </c>
      <c r="B62" s="48" t="n">
        <v>0.784</v>
      </c>
      <c r="C62" s="62" t="n">
        <v>0.017978</v>
      </c>
      <c r="D62" s="47" t="n">
        <v>0</v>
      </c>
      <c r="E62" s="47" t="n">
        <v>90000</v>
      </c>
      <c r="F62" s="47" t="n">
        <v>28000</v>
      </c>
      <c r="G62" s="47" t="n">
        <v>14000</v>
      </c>
      <c r="H62" s="47" t="n">
        <v>9000</v>
      </c>
      <c r="I62" s="62" t="n">
        <v>0.2</v>
      </c>
      <c r="J62" s="62" t="n">
        <v>0.3</v>
      </c>
      <c r="K62" s="47" t="n">
        <v>7560698</v>
      </c>
      <c r="L62" s="62" t="n">
        <v>0.015</v>
      </c>
      <c r="M62" s="48" t="n">
        <v>1</v>
      </c>
      <c r="N62" s="62" t="n">
        <v>0.1972</v>
      </c>
      <c r="O62" s="62" t="n">
        <v>0.12</v>
      </c>
      <c r="P62" s="62" t="n">
        <v>0.074</v>
      </c>
      <c r="Q62" s="62" t="n">
        <v>0.85</v>
      </c>
      <c r="R62" s="63" t="n">
        <v>0.002</v>
      </c>
      <c r="S62" s="55" t="n">
        <v>6</v>
      </c>
      <c r="T62" s="62" t="n">
        <v>0.0366</v>
      </c>
      <c r="U62" s="62" t="n">
        <v>0.02</v>
      </c>
      <c r="V62" s="62" t="n">
        <v>0.0088</v>
      </c>
      <c r="W62" s="47" t="n">
        <v>30800</v>
      </c>
      <c r="X62" s="47" t="n">
        <v>155000</v>
      </c>
      <c r="Y62" s="62" t="n">
        <v>0.0415</v>
      </c>
      <c r="Z62" s="62" t="n">
        <v>0.05</v>
      </c>
      <c r="AA62" s="62" t="n">
        <v>0.03</v>
      </c>
      <c r="AB62" s="47" t="n">
        <v>1</v>
      </c>
      <c r="AC62" s="47" t="n">
        <v>0</v>
      </c>
      <c r="AD62" s="47" t="n">
        <v>5292</v>
      </c>
    </row>
    <row r="63" customFormat="false" ht="14.25" hidden="false" customHeight="true" outlineLevel="0" collapsed="false">
      <c r="A63" s="61" t="n">
        <v>1903</v>
      </c>
      <c r="B63" s="48" t="n">
        <v>0.796</v>
      </c>
      <c r="C63" s="62" t="n">
        <v>0.018502</v>
      </c>
      <c r="D63" s="47" t="n">
        <v>0</v>
      </c>
      <c r="E63" s="47" t="n">
        <v>90000</v>
      </c>
      <c r="F63" s="47" t="n">
        <v>28000</v>
      </c>
      <c r="G63" s="47" t="n">
        <v>14000</v>
      </c>
      <c r="H63" s="47" t="n">
        <v>9000</v>
      </c>
      <c r="I63" s="62" t="n">
        <v>0.2</v>
      </c>
      <c r="J63" s="62" t="n">
        <v>0.3</v>
      </c>
      <c r="K63" s="47" t="n">
        <v>7623107</v>
      </c>
      <c r="L63" s="62" t="n">
        <v>0.015</v>
      </c>
      <c r="M63" s="48" t="n">
        <v>1</v>
      </c>
      <c r="N63" s="62" t="n">
        <v>0.1959</v>
      </c>
      <c r="O63" s="62" t="n">
        <v>0.12</v>
      </c>
      <c r="P63" s="62" t="n">
        <v>0.074</v>
      </c>
      <c r="Q63" s="62" t="n">
        <v>0.85</v>
      </c>
      <c r="R63" s="63" t="n">
        <v>0.002</v>
      </c>
      <c r="S63" s="55" t="n">
        <v>8</v>
      </c>
      <c r="T63" s="62" t="n">
        <v>0.0369</v>
      </c>
      <c r="U63" s="62" t="n">
        <v>0.02</v>
      </c>
      <c r="V63" s="62" t="n">
        <v>0.0088</v>
      </c>
      <c r="W63" s="47" t="n">
        <v>31200</v>
      </c>
      <c r="X63" s="47" t="n">
        <v>157000</v>
      </c>
      <c r="Y63" s="62" t="n">
        <v>0.041</v>
      </c>
      <c r="Z63" s="62" t="n">
        <v>0.05</v>
      </c>
      <c r="AA63" s="62" t="n">
        <v>0.03</v>
      </c>
      <c r="AB63" s="47" t="n">
        <v>1</v>
      </c>
      <c r="AC63" s="47" t="n">
        <v>0</v>
      </c>
      <c r="AD63" s="47" t="n">
        <v>5538</v>
      </c>
    </row>
    <row r="64" customFormat="false" ht="14.25" hidden="false" customHeight="true" outlineLevel="0" collapsed="false">
      <c r="A64" s="61" t="n">
        <v>1904</v>
      </c>
      <c r="B64" s="48" t="n">
        <v>0.808</v>
      </c>
      <c r="C64" s="62" t="n">
        <v>0.019051</v>
      </c>
      <c r="D64" s="47" t="n">
        <v>0</v>
      </c>
      <c r="E64" s="47" t="n">
        <v>90000</v>
      </c>
      <c r="F64" s="47" t="n">
        <v>28000</v>
      </c>
      <c r="G64" s="47" t="n">
        <v>14000</v>
      </c>
      <c r="H64" s="47" t="n">
        <v>9000</v>
      </c>
      <c r="I64" s="62" t="n">
        <v>0.2</v>
      </c>
      <c r="J64" s="62" t="n">
        <v>0.3</v>
      </c>
      <c r="K64" s="47" t="n">
        <v>7912523</v>
      </c>
      <c r="L64" s="62" t="n">
        <v>0.015</v>
      </c>
      <c r="M64" s="48" t="n">
        <v>1</v>
      </c>
      <c r="N64" s="62" t="n">
        <v>0.1945</v>
      </c>
      <c r="O64" s="62" t="n">
        <v>0.12</v>
      </c>
      <c r="P64" s="62" t="n">
        <v>0.074</v>
      </c>
      <c r="Q64" s="62" t="n">
        <v>0.85</v>
      </c>
      <c r="R64" s="63" t="n">
        <v>0.002</v>
      </c>
      <c r="S64" s="55" t="n">
        <v>9</v>
      </c>
      <c r="T64" s="62" t="n">
        <v>0.0372</v>
      </c>
      <c r="U64" s="62" t="n">
        <v>0.02</v>
      </c>
      <c r="V64" s="62" t="n">
        <v>0.0087</v>
      </c>
      <c r="W64" s="47" t="n">
        <v>31600</v>
      </c>
      <c r="X64" s="47" t="n">
        <v>159000</v>
      </c>
      <c r="Y64" s="62" t="n">
        <v>0.0405</v>
      </c>
      <c r="Z64" s="62" t="n">
        <v>0.05</v>
      </c>
      <c r="AA64" s="62" t="n">
        <v>0.03</v>
      </c>
      <c r="AB64" s="47" t="n">
        <v>1</v>
      </c>
      <c r="AC64" s="47" t="n">
        <v>0</v>
      </c>
      <c r="AD64" s="47" t="n">
        <v>5785</v>
      </c>
    </row>
    <row r="65" customFormat="false" ht="14.25" hidden="false" customHeight="true" outlineLevel="0" collapsed="false">
      <c r="A65" s="61" t="n">
        <v>1905</v>
      </c>
      <c r="B65" s="48" t="n">
        <v>0.82</v>
      </c>
      <c r="C65" s="62" t="n">
        <v>0.019607</v>
      </c>
      <c r="D65" s="47" t="n">
        <v>0</v>
      </c>
      <c r="E65" s="47" t="n">
        <v>90000</v>
      </c>
      <c r="F65" s="47" t="n">
        <v>28000</v>
      </c>
      <c r="G65" s="47" t="n">
        <v>14000</v>
      </c>
      <c r="H65" s="47" t="n">
        <v>9000</v>
      </c>
      <c r="I65" s="62" t="n">
        <v>0.2</v>
      </c>
      <c r="J65" s="62" t="n">
        <v>0.3</v>
      </c>
      <c r="K65" s="47" t="n">
        <v>8094908</v>
      </c>
      <c r="L65" s="62" t="n">
        <v>0.015</v>
      </c>
      <c r="M65" s="48" t="n">
        <v>1</v>
      </c>
      <c r="N65" s="62" t="n">
        <v>0.1931</v>
      </c>
      <c r="O65" s="62" t="n">
        <v>0.12</v>
      </c>
      <c r="P65" s="62" t="n">
        <v>0.074</v>
      </c>
      <c r="Q65" s="62" t="n">
        <v>0.85</v>
      </c>
      <c r="R65" s="63" t="n">
        <v>0.002</v>
      </c>
      <c r="S65" s="55" t="n">
        <v>10</v>
      </c>
      <c r="T65" s="62" t="n">
        <v>0.0375</v>
      </c>
      <c r="U65" s="62" t="n">
        <v>0.02</v>
      </c>
      <c r="V65" s="62" t="n">
        <v>0.0086</v>
      </c>
      <c r="W65" s="47" t="n">
        <v>32000</v>
      </c>
      <c r="X65" s="47" t="n">
        <v>162000</v>
      </c>
      <c r="Y65" s="62" t="n">
        <v>0.04</v>
      </c>
      <c r="Z65" s="62" t="n">
        <v>0.05</v>
      </c>
      <c r="AA65" s="62" t="n">
        <v>0.03</v>
      </c>
      <c r="AB65" s="47" t="n">
        <v>1</v>
      </c>
      <c r="AC65" s="47" t="n">
        <v>0</v>
      </c>
      <c r="AD65" s="47" t="n">
        <v>6031</v>
      </c>
    </row>
    <row r="66" customFormat="false" ht="14.25" hidden="false" customHeight="true" outlineLevel="0" collapsed="false">
      <c r="A66" s="61" t="n">
        <v>1906</v>
      </c>
      <c r="B66" s="48" t="n">
        <v>0.844</v>
      </c>
      <c r="C66" s="62" t="n">
        <v>0.020165</v>
      </c>
      <c r="D66" s="47" t="n">
        <v>0</v>
      </c>
      <c r="E66" s="47" t="n">
        <v>90000</v>
      </c>
      <c r="F66" s="47" t="n">
        <v>28000</v>
      </c>
      <c r="G66" s="47" t="n">
        <v>14000</v>
      </c>
      <c r="H66" s="47" t="n">
        <v>9000</v>
      </c>
      <c r="I66" s="62" t="n">
        <v>0.2</v>
      </c>
      <c r="J66" s="62" t="n">
        <v>0.3</v>
      </c>
      <c r="K66" s="47" t="n">
        <v>8277337</v>
      </c>
      <c r="L66" s="62" t="n">
        <v>0.015</v>
      </c>
      <c r="M66" s="48" t="n">
        <v>1</v>
      </c>
      <c r="N66" s="62" t="n">
        <v>0.1917</v>
      </c>
      <c r="O66" s="62" t="n">
        <v>0.12</v>
      </c>
      <c r="P66" s="62" t="n">
        <v>0.074</v>
      </c>
      <c r="Q66" s="62" t="n">
        <v>0.85</v>
      </c>
      <c r="R66" s="63" t="n">
        <v>0.002</v>
      </c>
      <c r="S66" s="55" t="n">
        <v>10.8</v>
      </c>
      <c r="T66" s="62" t="n">
        <v>0.0378</v>
      </c>
      <c r="U66" s="62" t="n">
        <v>0.02</v>
      </c>
      <c r="V66" s="62" t="n">
        <v>0.0085</v>
      </c>
      <c r="W66" s="47" t="n">
        <v>32500</v>
      </c>
      <c r="X66" s="47" t="n">
        <v>164000</v>
      </c>
      <c r="Y66" s="62" t="n">
        <v>0.0411</v>
      </c>
      <c r="Z66" s="62" t="n">
        <v>0.05</v>
      </c>
      <c r="AA66" s="62" t="n">
        <v>0.03</v>
      </c>
      <c r="AB66" s="47" t="n">
        <v>1</v>
      </c>
      <c r="AC66" s="47" t="n">
        <v>0</v>
      </c>
      <c r="AD66" s="47" t="n">
        <v>6277</v>
      </c>
    </row>
    <row r="67" customFormat="false" ht="14.25" hidden="false" customHeight="true" outlineLevel="0" collapsed="false">
      <c r="A67" s="61" t="n">
        <v>1907</v>
      </c>
      <c r="B67" s="48" t="n">
        <v>0.868</v>
      </c>
      <c r="C67" s="62" t="n">
        <v>0.020779</v>
      </c>
      <c r="D67" s="47" t="n">
        <v>0</v>
      </c>
      <c r="E67" s="47" t="n">
        <v>90000</v>
      </c>
      <c r="F67" s="47" t="n">
        <v>28000</v>
      </c>
      <c r="G67" s="47" t="n">
        <v>25000</v>
      </c>
      <c r="H67" s="47" t="n">
        <v>9000</v>
      </c>
      <c r="I67" s="62" t="n">
        <v>0.2</v>
      </c>
      <c r="J67" s="62" t="n">
        <v>0.3</v>
      </c>
      <c r="K67" s="47" t="n">
        <v>8459809</v>
      </c>
      <c r="L67" s="62" t="n">
        <v>0.015</v>
      </c>
      <c r="M67" s="48" t="n">
        <v>0.985</v>
      </c>
      <c r="N67" s="62" t="n">
        <v>0.1903</v>
      </c>
      <c r="O67" s="62" t="n">
        <v>0.12</v>
      </c>
      <c r="P67" s="62" t="n">
        <v>0.074</v>
      </c>
      <c r="Q67" s="62" t="n">
        <v>0.85</v>
      </c>
      <c r="R67" s="63" t="n">
        <v>0.002</v>
      </c>
      <c r="S67" s="55" t="n">
        <v>11.6</v>
      </c>
      <c r="T67" s="62" t="n">
        <v>0.0382</v>
      </c>
      <c r="U67" s="62" t="n">
        <v>0.02</v>
      </c>
      <c r="V67" s="62" t="n">
        <v>0.0085</v>
      </c>
      <c r="W67" s="47" t="n">
        <v>33000</v>
      </c>
      <c r="X67" s="47" t="n">
        <v>166000</v>
      </c>
      <c r="Y67" s="62" t="n">
        <v>0.0422</v>
      </c>
      <c r="Z67" s="62" t="n">
        <v>0.05</v>
      </c>
      <c r="AA67" s="62" t="n">
        <v>0.03</v>
      </c>
      <c r="AB67" s="47" t="n">
        <v>1</v>
      </c>
      <c r="AC67" s="47" t="n">
        <v>0</v>
      </c>
      <c r="AD67" s="47" t="n">
        <v>6523</v>
      </c>
    </row>
    <row r="68" customFormat="false" ht="14.25" hidden="false" customHeight="true" outlineLevel="0" collapsed="false">
      <c r="A68" s="61" t="n">
        <v>1908</v>
      </c>
      <c r="B68" s="48" t="n">
        <v>0.892</v>
      </c>
      <c r="C68" s="62" t="n">
        <v>0.021406</v>
      </c>
      <c r="D68" s="47" t="n">
        <v>0</v>
      </c>
      <c r="E68" s="47" t="n">
        <v>90000</v>
      </c>
      <c r="F68" s="47" t="n">
        <v>28000</v>
      </c>
      <c r="G68" s="47" t="n">
        <v>25000</v>
      </c>
      <c r="H68" s="47" t="n">
        <v>9000</v>
      </c>
      <c r="I68" s="62" t="n">
        <v>0.2</v>
      </c>
      <c r="J68" s="62" t="n">
        <v>0.3</v>
      </c>
      <c r="K68" s="47" t="n">
        <v>8642325</v>
      </c>
      <c r="L68" s="62" t="n">
        <v>0.015</v>
      </c>
      <c r="M68" s="48" t="n">
        <v>0.95</v>
      </c>
      <c r="N68" s="62" t="n">
        <v>0.189</v>
      </c>
      <c r="O68" s="62" t="n">
        <v>0.12</v>
      </c>
      <c r="P68" s="62" t="n">
        <v>0.074</v>
      </c>
      <c r="Q68" s="62" t="n">
        <v>0.85</v>
      </c>
      <c r="R68" s="63" t="n">
        <v>0.002</v>
      </c>
      <c r="S68" s="55" t="n">
        <v>12.4</v>
      </c>
      <c r="T68" s="62" t="n">
        <v>0.0385</v>
      </c>
      <c r="U68" s="62" t="n">
        <v>0.02</v>
      </c>
      <c r="V68" s="62" t="n">
        <v>0.0084</v>
      </c>
      <c r="W68" s="47" t="n">
        <v>33500</v>
      </c>
      <c r="X68" s="47" t="n">
        <v>168000</v>
      </c>
      <c r="Y68" s="62" t="n">
        <v>0.0433</v>
      </c>
      <c r="Z68" s="62" t="n">
        <v>0.05</v>
      </c>
      <c r="AA68" s="62" t="n">
        <v>0.03</v>
      </c>
      <c r="AB68" s="47" t="n">
        <v>1</v>
      </c>
      <c r="AC68" s="47" t="n">
        <v>0</v>
      </c>
      <c r="AD68" s="47" t="n">
        <v>6769</v>
      </c>
    </row>
    <row r="69" customFormat="false" ht="14.25" hidden="false" customHeight="true" outlineLevel="0" collapsed="false">
      <c r="A69" s="61" t="n">
        <v>1909</v>
      </c>
      <c r="B69" s="48" t="n">
        <v>0.916</v>
      </c>
      <c r="C69" s="62" t="n">
        <v>0.021888</v>
      </c>
      <c r="D69" s="47" t="n">
        <v>0</v>
      </c>
      <c r="E69" s="47" t="n">
        <v>90000</v>
      </c>
      <c r="F69" s="47" t="n">
        <v>28000</v>
      </c>
      <c r="G69" s="47" t="n">
        <v>25000</v>
      </c>
      <c r="H69" s="47" t="n">
        <v>9000</v>
      </c>
      <c r="I69" s="62" t="n">
        <v>0.2</v>
      </c>
      <c r="J69" s="62" t="n">
        <v>0.3</v>
      </c>
      <c r="K69" s="47" t="n">
        <v>8824887</v>
      </c>
      <c r="L69" s="62" t="n">
        <v>0.015</v>
      </c>
      <c r="M69" s="48" t="n">
        <v>1</v>
      </c>
      <c r="N69" s="62" t="n">
        <v>0.1876</v>
      </c>
      <c r="O69" s="62" t="n">
        <v>0.12</v>
      </c>
      <c r="P69" s="62" t="n">
        <v>0.074</v>
      </c>
      <c r="Q69" s="62" t="n">
        <v>0.85</v>
      </c>
      <c r="R69" s="63" t="n">
        <v>0.002</v>
      </c>
      <c r="S69" s="55" t="n">
        <v>13.2</v>
      </c>
      <c r="T69" s="62" t="n">
        <v>0.0388</v>
      </c>
      <c r="U69" s="62" t="n">
        <v>0.02</v>
      </c>
      <c r="V69" s="62" t="n">
        <v>0.0083</v>
      </c>
      <c r="W69" s="47" t="n">
        <v>34000</v>
      </c>
      <c r="X69" s="47" t="n">
        <v>171000</v>
      </c>
      <c r="Y69" s="62" t="n">
        <v>0.0444</v>
      </c>
      <c r="Z69" s="62" t="n">
        <v>0.05</v>
      </c>
      <c r="AA69" s="62" t="n">
        <v>0.03</v>
      </c>
      <c r="AB69" s="47" t="n">
        <v>1</v>
      </c>
      <c r="AC69" s="47" t="n">
        <v>0</v>
      </c>
      <c r="AD69" s="47" t="n">
        <v>7015</v>
      </c>
    </row>
    <row r="70" customFormat="false" ht="14.25" hidden="false" customHeight="true" outlineLevel="0" collapsed="false">
      <c r="A70" s="61" t="n">
        <v>1910</v>
      </c>
      <c r="B70" s="48" t="n">
        <v>0.94</v>
      </c>
      <c r="C70" s="62" t="n">
        <v>0.022349</v>
      </c>
      <c r="D70" s="47" t="n">
        <v>0</v>
      </c>
      <c r="E70" s="47" t="n">
        <v>90000</v>
      </c>
      <c r="F70" s="47" t="n">
        <v>28000</v>
      </c>
      <c r="G70" s="47" t="n">
        <v>25000</v>
      </c>
      <c r="H70" s="47" t="n">
        <v>9000</v>
      </c>
      <c r="I70" s="62" t="n">
        <v>0.2</v>
      </c>
      <c r="J70" s="62" t="n">
        <v>0.3</v>
      </c>
      <c r="K70" s="47" t="n">
        <v>9007495</v>
      </c>
      <c r="L70" s="62" t="n">
        <v>0.015</v>
      </c>
      <c r="M70" s="48" t="n">
        <v>1</v>
      </c>
      <c r="N70" s="62" t="n">
        <v>0.1862</v>
      </c>
      <c r="O70" s="62" t="n">
        <v>0.12</v>
      </c>
      <c r="P70" s="62" t="n">
        <v>0.074</v>
      </c>
      <c r="Q70" s="62" t="n">
        <v>0.85</v>
      </c>
      <c r="R70" s="63" t="n">
        <v>0.002</v>
      </c>
      <c r="S70" s="55" t="n">
        <v>14</v>
      </c>
      <c r="T70" s="62" t="n">
        <v>0.0391</v>
      </c>
      <c r="U70" s="62" t="n">
        <v>0.02</v>
      </c>
      <c r="V70" s="62" t="n">
        <v>0.0082</v>
      </c>
      <c r="W70" s="47" t="n">
        <v>34500</v>
      </c>
      <c r="X70" s="47" t="n">
        <v>173000</v>
      </c>
      <c r="Y70" s="62" t="n">
        <v>0.0456</v>
      </c>
      <c r="Z70" s="62" t="n">
        <v>0.05</v>
      </c>
      <c r="AA70" s="62" t="n">
        <v>0.03</v>
      </c>
      <c r="AB70" s="47" t="n">
        <v>1</v>
      </c>
      <c r="AC70" s="47" t="n">
        <v>0</v>
      </c>
      <c r="AD70" s="47" t="n">
        <v>7262</v>
      </c>
    </row>
    <row r="71" customFormat="false" ht="14.25" hidden="false" customHeight="true" outlineLevel="0" collapsed="false">
      <c r="A71" s="61" t="n">
        <v>1911</v>
      </c>
      <c r="B71" s="48" t="n">
        <v>0.96</v>
      </c>
      <c r="C71" s="62" t="n">
        <v>0.022597</v>
      </c>
      <c r="D71" s="47" t="n">
        <v>0</v>
      </c>
      <c r="E71" s="47" t="n">
        <v>90000</v>
      </c>
      <c r="F71" s="47" t="n">
        <v>28000</v>
      </c>
      <c r="G71" s="47" t="n">
        <v>25000</v>
      </c>
      <c r="H71" s="47" t="n">
        <v>9000</v>
      </c>
      <c r="I71" s="62" t="n">
        <v>0.2</v>
      </c>
      <c r="J71" s="62" t="n">
        <v>0.3</v>
      </c>
      <c r="K71" s="47" t="n">
        <v>9190150</v>
      </c>
      <c r="L71" s="62" t="n">
        <v>0.015</v>
      </c>
      <c r="M71" s="48" t="n">
        <v>1</v>
      </c>
      <c r="N71" s="62" t="n">
        <v>0.1848</v>
      </c>
      <c r="O71" s="62" t="n">
        <v>0.12</v>
      </c>
      <c r="P71" s="62" t="n">
        <v>0.074</v>
      </c>
      <c r="Q71" s="62" t="n">
        <v>0.85</v>
      </c>
      <c r="R71" s="63" t="n">
        <v>0.002</v>
      </c>
      <c r="S71" s="55" t="n">
        <v>14.7</v>
      </c>
      <c r="T71" s="62" t="n">
        <v>0.0394</v>
      </c>
      <c r="U71" s="62" t="n">
        <v>0.02</v>
      </c>
      <c r="V71" s="62" t="n">
        <v>0.0082</v>
      </c>
      <c r="W71" s="47" t="n">
        <v>35000</v>
      </c>
      <c r="X71" s="47" t="n">
        <v>175000</v>
      </c>
      <c r="Y71" s="62" t="n">
        <v>0.0467</v>
      </c>
      <c r="Z71" s="62" t="n">
        <v>0.05</v>
      </c>
      <c r="AA71" s="62" t="n">
        <v>0.03</v>
      </c>
      <c r="AB71" s="47" t="n">
        <v>1</v>
      </c>
      <c r="AC71" s="47" t="n">
        <v>0</v>
      </c>
      <c r="AD71" s="47" t="n">
        <v>7508</v>
      </c>
    </row>
    <row r="72" customFormat="false" ht="14.25" hidden="false" customHeight="true" outlineLevel="0" collapsed="false">
      <c r="A72" s="61" t="n">
        <v>1912</v>
      </c>
      <c r="B72" s="48" t="n">
        <v>0.98</v>
      </c>
      <c r="C72" s="62" t="n">
        <v>0.022769</v>
      </c>
      <c r="D72" s="47" t="n">
        <v>0</v>
      </c>
      <c r="E72" s="47" t="n">
        <v>90000</v>
      </c>
      <c r="F72" s="47" t="n">
        <v>28000</v>
      </c>
      <c r="G72" s="47" t="n">
        <v>25000</v>
      </c>
      <c r="H72" s="47" t="n">
        <v>9000</v>
      </c>
      <c r="I72" s="62" t="n">
        <v>0.2</v>
      </c>
      <c r="J72" s="62" t="n">
        <v>0.3</v>
      </c>
      <c r="K72" s="47" t="n">
        <v>9372853</v>
      </c>
      <c r="L72" s="62" t="n">
        <v>0.015</v>
      </c>
      <c r="M72" s="48" t="n">
        <v>1</v>
      </c>
      <c r="N72" s="62" t="n">
        <v>0.1834</v>
      </c>
      <c r="O72" s="62" t="n">
        <v>0.12</v>
      </c>
      <c r="P72" s="62" t="n">
        <v>0.074</v>
      </c>
      <c r="Q72" s="62" t="n">
        <v>0.85</v>
      </c>
      <c r="R72" s="63" t="n">
        <v>0.002</v>
      </c>
      <c r="S72" s="55" t="n">
        <v>15.3</v>
      </c>
      <c r="T72" s="62" t="n">
        <v>0.0397</v>
      </c>
      <c r="U72" s="62" t="n">
        <v>0.02</v>
      </c>
      <c r="V72" s="62" t="n">
        <v>0.0081</v>
      </c>
      <c r="W72" s="47" t="n">
        <v>35500</v>
      </c>
      <c r="X72" s="47" t="n">
        <v>178000</v>
      </c>
      <c r="Y72" s="62" t="n">
        <v>0.0478</v>
      </c>
      <c r="Z72" s="62" t="n">
        <v>0.05</v>
      </c>
      <c r="AA72" s="62" t="n">
        <v>0.03</v>
      </c>
      <c r="AB72" s="47" t="n">
        <v>1</v>
      </c>
      <c r="AC72" s="47" t="n">
        <v>0</v>
      </c>
      <c r="AD72" s="47" t="n">
        <v>7754</v>
      </c>
    </row>
    <row r="73" customFormat="false" ht="14.25" hidden="false" customHeight="true" outlineLevel="0" collapsed="false">
      <c r="A73" s="61" t="n">
        <v>1913</v>
      </c>
      <c r="B73" s="48" t="n">
        <v>1</v>
      </c>
      <c r="C73" s="62" t="n">
        <v>0.022809</v>
      </c>
      <c r="D73" s="47" t="n">
        <v>0</v>
      </c>
      <c r="E73" s="47" t="n">
        <v>90000</v>
      </c>
      <c r="F73" s="47" t="n">
        <v>28000</v>
      </c>
      <c r="G73" s="47" t="n">
        <v>25000</v>
      </c>
      <c r="H73" s="47" t="n">
        <v>9000</v>
      </c>
      <c r="I73" s="62" t="n">
        <v>0.2</v>
      </c>
      <c r="J73" s="62" t="n">
        <v>0.3</v>
      </c>
      <c r="K73" s="47" t="n">
        <v>9555604</v>
      </c>
      <c r="L73" s="62" t="n">
        <v>0.015</v>
      </c>
      <c r="M73" s="48" t="n">
        <v>1</v>
      </c>
      <c r="N73" s="62" t="n">
        <v>0.1821</v>
      </c>
      <c r="O73" s="62" t="n">
        <v>0.12</v>
      </c>
      <c r="P73" s="62" t="n">
        <v>0.074</v>
      </c>
      <c r="Q73" s="62" t="n">
        <v>0.85</v>
      </c>
      <c r="R73" s="63" t="n">
        <v>0.002</v>
      </c>
      <c r="S73" s="55" t="n">
        <v>16</v>
      </c>
      <c r="T73" s="62" t="n">
        <v>0.04</v>
      </c>
      <c r="U73" s="62" t="n">
        <v>0.02</v>
      </c>
      <c r="V73" s="62" t="n">
        <v>0.008</v>
      </c>
      <c r="W73" s="47" t="n">
        <v>36000</v>
      </c>
      <c r="X73" s="47" t="n">
        <v>180000</v>
      </c>
      <c r="Y73" s="62" t="n">
        <v>0.0489</v>
      </c>
      <c r="Z73" s="62" t="n">
        <v>0.05</v>
      </c>
      <c r="AA73" s="62" t="n">
        <v>0.03</v>
      </c>
      <c r="AB73" s="47" t="n">
        <v>1</v>
      </c>
      <c r="AC73" s="47" t="n">
        <v>0</v>
      </c>
      <c r="AD73" s="47" t="n">
        <v>8000</v>
      </c>
    </row>
    <row r="74" customFormat="false" ht="14.25" hidden="false" customHeight="true" outlineLevel="0" collapsed="false">
      <c r="A74" s="64" t="n">
        <v>1914</v>
      </c>
      <c r="B74" s="48" t="n">
        <v>1.01</v>
      </c>
      <c r="C74" s="62" t="n">
        <v>0.022705</v>
      </c>
      <c r="D74" s="47" t="n">
        <v>0</v>
      </c>
      <c r="E74" s="47" t="n">
        <v>35000</v>
      </c>
      <c r="F74" s="47" t="n">
        <v>14000</v>
      </c>
      <c r="G74" s="47" t="n">
        <v>14000</v>
      </c>
      <c r="H74" s="47" t="n">
        <v>7000</v>
      </c>
      <c r="I74" s="62" t="n">
        <v>0.2</v>
      </c>
      <c r="J74" s="62" t="n">
        <v>0.3</v>
      </c>
      <c r="K74" s="47" t="n">
        <v>9738405</v>
      </c>
      <c r="L74" s="62" t="n">
        <v>0.008</v>
      </c>
      <c r="M74" s="48" t="n">
        <v>0.97</v>
      </c>
      <c r="N74" s="62" t="n">
        <v>0.1807</v>
      </c>
      <c r="O74" s="62" t="n">
        <v>0.12</v>
      </c>
      <c r="P74" s="62" t="n">
        <v>0.074</v>
      </c>
      <c r="Q74" s="62" t="n">
        <v>0.85</v>
      </c>
      <c r="R74" s="63" t="n">
        <v>0.002</v>
      </c>
      <c r="S74" s="55" t="n">
        <v>14</v>
      </c>
      <c r="T74" s="62" t="n">
        <v>0.0403</v>
      </c>
      <c r="U74" s="62" t="n">
        <v>0.02</v>
      </c>
      <c r="V74" s="62" t="n">
        <v>0.008</v>
      </c>
      <c r="W74" s="47" t="n">
        <v>40000</v>
      </c>
      <c r="X74" s="47" t="n">
        <v>182000</v>
      </c>
      <c r="Y74" s="62" t="n">
        <v>0.05</v>
      </c>
      <c r="Z74" s="62" t="n">
        <v>0.05</v>
      </c>
      <c r="AA74" s="62" t="n">
        <v>0</v>
      </c>
      <c r="AB74" s="47" t="n">
        <v>1</v>
      </c>
      <c r="AC74" s="47" t="n">
        <v>1</v>
      </c>
      <c r="AD74" s="47" t="n">
        <v>8071</v>
      </c>
    </row>
    <row r="75" customFormat="false" ht="14.25" hidden="false" customHeight="true" outlineLevel="0" collapsed="false">
      <c r="A75" s="64" t="n">
        <v>1915</v>
      </c>
      <c r="B75" s="48" t="n">
        <v>1.04</v>
      </c>
      <c r="C75" s="62" t="n">
        <v>0.022423</v>
      </c>
      <c r="D75" s="47" t="n">
        <v>0</v>
      </c>
      <c r="E75" s="47" t="n">
        <v>35000</v>
      </c>
      <c r="F75" s="47" t="n">
        <v>14000</v>
      </c>
      <c r="G75" s="47" t="n">
        <v>14000</v>
      </c>
      <c r="H75" s="47" t="n">
        <v>7000</v>
      </c>
      <c r="I75" s="62" t="n">
        <v>0.2</v>
      </c>
      <c r="J75" s="62" t="n">
        <v>0.3</v>
      </c>
      <c r="K75" s="47" t="n">
        <v>9921256</v>
      </c>
      <c r="L75" s="62" t="n">
        <v>0.008</v>
      </c>
      <c r="M75" s="48" t="n">
        <v>1</v>
      </c>
      <c r="N75" s="62" t="n">
        <v>0.1793</v>
      </c>
      <c r="O75" s="62" t="n">
        <v>0.12</v>
      </c>
      <c r="P75" s="62" t="n">
        <v>0.095</v>
      </c>
      <c r="Q75" s="62" t="n">
        <v>0.85</v>
      </c>
      <c r="R75" s="63" t="n">
        <v>0.002</v>
      </c>
      <c r="S75" s="55" t="n">
        <v>12</v>
      </c>
      <c r="T75" s="62" t="n">
        <v>0.0406</v>
      </c>
      <c r="U75" s="62" t="n">
        <v>0.02</v>
      </c>
      <c r="V75" s="62" t="n">
        <v>0.008</v>
      </c>
      <c r="W75" s="47" t="n">
        <v>41200</v>
      </c>
      <c r="X75" s="47" t="n">
        <v>185000</v>
      </c>
      <c r="Y75" s="62" t="n">
        <v>0.0498</v>
      </c>
      <c r="Z75" s="62" t="n">
        <v>0.05</v>
      </c>
      <c r="AA75" s="62" t="n">
        <v>0</v>
      </c>
      <c r="AB75" s="47" t="n">
        <v>1</v>
      </c>
      <c r="AC75" s="47" t="n">
        <v>1</v>
      </c>
      <c r="AD75" s="47" t="n">
        <v>8143</v>
      </c>
    </row>
    <row r="76" customFormat="false" ht="14.25" hidden="false" customHeight="true" outlineLevel="0" collapsed="false">
      <c r="A76" s="64" t="n">
        <v>1916</v>
      </c>
      <c r="B76" s="48" t="n">
        <v>1.17</v>
      </c>
      <c r="C76" s="62" t="n">
        <v>0.021789</v>
      </c>
      <c r="D76" s="47" t="n">
        <v>0</v>
      </c>
      <c r="E76" s="47" t="n">
        <v>35000</v>
      </c>
      <c r="F76" s="47" t="n">
        <v>14000</v>
      </c>
      <c r="G76" s="47" t="n">
        <v>14000</v>
      </c>
      <c r="H76" s="47" t="n">
        <v>7000</v>
      </c>
      <c r="I76" s="62" t="n">
        <v>0.2</v>
      </c>
      <c r="J76" s="62" t="n">
        <v>0.3</v>
      </c>
      <c r="K76" s="47" t="n">
        <v>10104159</v>
      </c>
      <c r="L76" s="62" t="n">
        <v>0.008</v>
      </c>
      <c r="M76" s="48" t="n">
        <v>1</v>
      </c>
      <c r="N76" s="62" t="n">
        <v>0.1779</v>
      </c>
      <c r="O76" s="62" t="n">
        <v>0.12</v>
      </c>
      <c r="P76" s="62" t="n">
        <v>0.095</v>
      </c>
      <c r="Q76" s="62" t="n">
        <v>0.85</v>
      </c>
      <c r="R76" s="63" t="n">
        <v>0.002</v>
      </c>
      <c r="S76" s="55" t="n">
        <v>12.7</v>
      </c>
      <c r="T76" s="62" t="n">
        <v>0.0409</v>
      </c>
      <c r="U76" s="62" t="n">
        <v>0.02</v>
      </c>
      <c r="V76" s="62" t="n">
        <v>0.008</v>
      </c>
      <c r="W76" s="47" t="n">
        <v>42500</v>
      </c>
      <c r="X76" s="47" t="n">
        <v>188000</v>
      </c>
      <c r="Y76" s="62" t="n">
        <v>0.0496</v>
      </c>
      <c r="Z76" s="62" t="n">
        <v>0.05</v>
      </c>
      <c r="AA76" s="62" t="n">
        <v>0</v>
      </c>
      <c r="AB76" s="47" t="n">
        <v>1</v>
      </c>
      <c r="AC76" s="47" t="n">
        <v>1</v>
      </c>
      <c r="AD76" s="47" t="n">
        <v>8214</v>
      </c>
    </row>
    <row r="77" customFormat="false" ht="14.25" hidden="false" customHeight="true" outlineLevel="0" collapsed="false">
      <c r="A77" s="64" t="n">
        <v>1917</v>
      </c>
      <c r="B77" s="48" t="n">
        <v>1.42</v>
      </c>
      <c r="C77" s="62" t="n">
        <v>0.021057</v>
      </c>
      <c r="D77" s="47" t="n">
        <v>0</v>
      </c>
      <c r="E77" s="47" t="n">
        <v>35000</v>
      </c>
      <c r="F77" s="47" t="n">
        <v>14000</v>
      </c>
      <c r="G77" s="47" t="n">
        <v>14000</v>
      </c>
      <c r="H77" s="47" t="n">
        <v>7000</v>
      </c>
      <c r="I77" s="62" t="n">
        <v>0.2</v>
      </c>
      <c r="J77" s="62" t="n">
        <v>0.3</v>
      </c>
      <c r="K77" s="47" t="n">
        <v>10287114</v>
      </c>
      <c r="L77" s="62" t="n">
        <v>0.008</v>
      </c>
      <c r="M77" s="48" t="n">
        <v>1</v>
      </c>
      <c r="N77" s="62" t="n">
        <v>0.1766</v>
      </c>
      <c r="O77" s="62" t="n">
        <v>0.12</v>
      </c>
      <c r="P77" s="62" t="n">
        <v>0.095</v>
      </c>
      <c r="Q77" s="62" t="n">
        <v>0.85</v>
      </c>
      <c r="R77" s="63" t="n">
        <v>0.002</v>
      </c>
      <c r="S77" s="55" t="n">
        <v>13.3</v>
      </c>
      <c r="T77" s="62" t="n">
        <v>0.0411</v>
      </c>
      <c r="U77" s="62" t="n">
        <v>0.02</v>
      </c>
      <c r="V77" s="62" t="n">
        <v>0.008</v>
      </c>
      <c r="W77" s="47" t="n">
        <v>43800</v>
      </c>
      <c r="X77" s="47" t="n">
        <v>190000</v>
      </c>
      <c r="Y77" s="62" t="n">
        <v>0.0493</v>
      </c>
      <c r="Z77" s="62" t="n">
        <v>0.05</v>
      </c>
      <c r="AA77" s="62" t="n">
        <v>0</v>
      </c>
      <c r="AB77" s="47" t="n">
        <v>1</v>
      </c>
      <c r="AC77" s="47" t="n">
        <v>1</v>
      </c>
      <c r="AD77" s="47" t="n">
        <v>8286</v>
      </c>
    </row>
    <row r="78" customFormat="false" ht="14.25" hidden="false" customHeight="true" outlineLevel="0" collapsed="false">
      <c r="A78" s="64" t="n">
        <v>1918</v>
      </c>
      <c r="B78" s="48" t="n">
        <v>1.66</v>
      </c>
      <c r="C78" s="62" t="n">
        <v>0.020228</v>
      </c>
      <c r="D78" s="47" t="n">
        <v>0</v>
      </c>
      <c r="E78" s="47" t="n">
        <v>35000</v>
      </c>
      <c r="F78" s="47" t="n">
        <v>14000</v>
      </c>
      <c r="G78" s="47" t="n">
        <v>14000</v>
      </c>
      <c r="H78" s="47" t="n">
        <v>7000</v>
      </c>
      <c r="I78" s="62" t="n">
        <v>0.2</v>
      </c>
      <c r="J78" s="62" t="n">
        <v>0.3</v>
      </c>
      <c r="K78" s="47" t="n">
        <v>10470122</v>
      </c>
      <c r="L78" s="62" t="n">
        <v>0.008</v>
      </c>
      <c r="M78" s="48" t="n">
        <v>1</v>
      </c>
      <c r="N78" s="62" t="n">
        <v>0.1752</v>
      </c>
      <c r="O78" s="62" t="n">
        <v>0.12</v>
      </c>
      <c r="P78" s="62" t="n">
        <v>0.095</v>
      </c>
      <c r="Q78" s="62" t="n">
        <v>0.85</v>
      </c>
      <c r="R78" s="63" t="n">
        <v>0.002</v>
      </c>
      <c r="S78" s="55" t="n">
        <v>14</v>
      </c>
      <c r="T78" s="62" t="n">
        <v>0.0414</v>
      </c>
      <c r="U78" s="62" t="n">
        <v>0.02</v>
      </c>
      <c r="V78" s="62" t="n">
        <v>0.008</v>
      </c>
      <c r="W78" s="47" t="n">
        <v>45000</v>
      </c>
      <c r="X78" s="47" t="n">
        <v>192000</v>
      </c>
      <c r="Y78" s="62" t="n">
        <v>0.0491</v>
      </c>
      <c r="Z78" s="62" t="n">
        <v>0.05</v>
      </c>
      <c r="AA78" s="62" t="n">
        <v>0</v>
      </c>
      <c r="AB78" s="47" t="n">
        <v>1</v>
      </c>
      <c r="AC78" s="47" t="n">
        <v>1</v>
      </c>
      <c r="AD78" s="47" t="n">
        <v>8357</v>
      </c>
    </row>
    <row r="79" customFormat="false" ht="14.25" hidden="false" customHeight="true" outlineLevel="0" collapsed="false">
      <c r="A79" s="64" t="n">
        <v>1919</v>
      </c>
      <c r="B79" s="48" t="n">
        <v>1.83</v>
      </c>
      <c r="C79" s="62" t="n">
        <v>0.019341</v>
      </c>
      <c r="D79" s="47" t="n">
        <v>0</v>
      </c>
      <c r="E79" s="47" t="n">
        <v>110000</v>
      </c>
      <c r="F79" s="47" t="n">
        <v>30000</v>
      </c>
      <c r="G79" s="47" t="n">
        <v>30000</v>
      </c>
      <c r="H79" s="47" t="n">
        <v>20000</v>
      </c>
      <c r="I79" s="62" t="n">
        <v>0.2</v>
      </c>
      <c r="J79" s="62" t="n">
        <v>0.3</v>
      </c>
      <c r="K79" s="47" t="n">
        <v>10666184</v>
      </c>
      <c r="L79" s="62" t="n">
        <v>0.008</v>
      </c>
      <c r="M79" s="48" t="n">
        <v>1</v>
      </c>
      <c r="N79" s="62" t="n">
        <v>0.1738</v>
      </c>
      <c r="O79" s="62" t="n">
        <v>0.12</v>
      </c>
      <c r="P79" s="62" t="n">
        <v>0.095</v>
      </c>
      <c r="Q79" s="62" t="n">
        <v>0.85</v>
      </c>
      <c r="R79" s="63" t="n">
        <v>0.002</v>
      </c>
      <c r="S79" s="55" t="n">
        <v>17</v>
      </c>
      <c r="T79" s="62" t="n">
        <v>0.0417</v>
      </c>
      <c r="U79" s="62" t="n">
        <v>0.02</v>
      </c>
      <c r="V79" s="62" t="n">
        <v>0.008</v>
      </c>
      <c r="W79" s="47" t="n">
        <v>45000</v>
      </c>
      <c r="X79" s="47" t="n">
        <v>195000</v>
      </c>
      <c r="Y79" s="62" t="n">
        <v>0.0489</v>
      </c>
      <c r="Z79" s="62" t="n">
        <v>0.05</v>
      </c>
      <c r="AA79" s="62" t="n">
        <v>0</v>
      </c>
      <c r="AB79" s="47" t="n">
        <v>1</v>
      </c>
      <c r="AC79" s="47" t="n">
        <v>1</v>
      </c>
      <c r="AD79" s="47" t="n">
        <v>8429</v>
      </c>
    </row>
    <row r="80" customFormat="false" ht="14.25" hidden="false" customHeight="true" outlineLevel="0" collapsed="false">
      <c r="A80" s="64" t="n">
        <v>1920</v>
      </c>
      <c r="B80" s="48" t="n">
        <v>2.05</v>
      </c>
      <c r="C80" s="62" t="n">
        <v>0.018745</v>
      </c>
      <c r="D80" s="47" t="n">
        <v>0</v>
      </c>
      <c r="E80" s="47" t="n">
        <v>110000</v>
      </c>
      <c r="F80" s="47" t="n">
        <v>30000</v>
      </c>
      <c r="G80" s="47" t="n">
        <v>30000</v>
      </c>
      <c r="H80" s="47" t="n">
        <v>20000</v>
      </c>
      <c r="I80" s="62" t="n">
        <v>0.2</v>
      </c>
      <c r="J80" s="62" t="n">
        <v>0.3</v>
      </c>
      <c r="K80" s="47" t="n">
        <v>10862301</v>
      </c>
      <c r="L80" s="62" t="n">
        <v>0.008</v>
      </c>
      <c r="M80" s="48" t="n">
        <v>1</v>
      </c>
      <c r="N80" s="62" t="n">
        <v>0.1724</v>
      </c>
      <c r="O80" s="62" t="n">
        <v>0.12</v>
      </c>
      <c r="P80" s="62" t="n">
        <v>0.095</v>
      </c>
      <c r="Q80" s="62" t="n">
        <v>0.85</v>
      </c>
      <c r="R80" s="63" t="n">
        <v>0.002</v>
      </c>
      <c r="S80" s="55" t="n">
        <v>20</v>
      </c>
      <c r="T80" s="62" t="n">
        <v>0.042</v>
      </c>
      <c r="U80" s="62" t="n">
        <v>0.02</v>
      </c>
      <c r="V80" s="62" t="n">
        <v>0.008</v>
      </c>
      <c r="W80" s="47" t="n">
        <v>45000</v>
      </c>
      <c r="X80" s="47" t="n">
        <v>198000</v>
      </c>
      <c r="Y80" s="62" t="n">
        <v>0.0487</v>
      </c>
      <c r="Z80" s="62" t="n">
        <v>0.05</v>
      </c>
      <c r="AA80" s="62" t="n">
        <v>0</v>
      </c>
      <c r="AB80" s="47" t="n">
        <v>1</v>
      </c>
      <c r="AC80" s="47" t="n">
        <v>1</v>
      </c>
      <c r="AD80" s="47" t="n">
        <v>8500</v>
      </c>
    </row>
    <row r="81" customFormat="false" ht="14.25" hidden="false" customHeight="true" outlineLevel="0" collapsed="false">
      <c r="A81" s="64" t="n">
        <v>1921</v>
      </c>
      <c r="B81" s="48" t="n">
        <v>1.7</v>
      </c>
      <c r="C81" s="62" t="n">
        <v>0.018163</v>
      </c>
      <c r="D81" s="47" t="n">
        <v>0</v>
      </c>
      <c r="E81" s="47" t="n">
        <v>110000</v>
      </c>
      <c r="F81" s="47" t="n">
        <v>30000</v>
      </c>
      <c r="G81" s="47" t="n">
        <v>30000</v>
      </c>
      <c r="H81" s="47" t="n">
        <v>20000</v>
      </c>
      <c r="I81" s="62" t="n">
        <v>0.2</v>
      </c>
      <c r="J81" s="62" t="n">
        <v>0.3</v>
      </c>
      <c r="K81" s="47" t="n">
        <v>11058475</v>
      </c>
      <c r="L81" s="62" t="n">
        <v>0.017</v>
      </c>
      <c r="M81" s="48" t="n">
        <v>0.93</v>
      </c>
      <c r="N81" s="62" t="n">
        <v>0.171</v>
      </c>
      <c r="O81" s="62" t="n">
        <v>0.12</v>
      </c>
      <c r="P81" s="62" t="n">
        <v>0.08</v>
      </c>
      <c r="Q81" s="62" t="n">
        <v>0.85</v>
      </c>
      <c r="R81" s="63" t="n">
        <v>0.002</v>
      </c>
      <c r="S81" s="55" t="n">
        <v>21.2</v>
      </c>
      <c r="T81" s="62" t="n">
        <v>0.0423</v>
      </c>
      <c r="U81" s="62" t="n">
        <v>0.02</v>
      </c>
      <c r="V81" s="62" t="n">
        <v>0.008</v>
      </c>
      <c r="W81" s="47" t="n">
        <v>42500</v>
      </c>
      <c r="X81" s="47" t="n">
        <v>200000</v>
      </c>
      <c r="Y81" s="62" t="n">
        <v>0.0484</v>
      </c>
      <c r="Z81" s="62" t="n">
        <v>0.05</v>
      </c>
      <c r="AA81" s="62" t="n">
        <v>0</v>
      </c>
      <c r="AB81" s="47" t="n">
        <v>1</v>
      </c>
      <c r="AC81" s="47" t="n">
        <v>1</v>
      </c>
      <c r="AD81" s="47" t="n">
        <v>8700</v>
      </c>
    </row>
    <row r="82" customFormat="false" ht="14.25" hidden="false" customHeight="true" outlineLevel="0" collapsed="false">
      <c r="A82" s="64" t="n">
        <v>1922</v>
      </c>
      <c r="B82" s="48" t="n">
        <v>1.58</v>
      </c>
      <c r="C82" s="62" t="n">
        <v>0.017842</v>
      </c>
      <c r="D82" s="47" t="n">
        <v>0</v>
      </c>
      <c r="E82" s="47" t="n">
        <v>110000</v>
      </c>
      <c r="F82" s="47" t="n">
        <v>30000</v>
      </c>
      <c r="G82" s="47" t="n">
        <v>30000</v>
      </c>
      <c r="H82" s="47" t="n">
        <v>20000</v>
      </c>
      <c r="I82" s="62" t="n">
        <v>0.2</v>
      </c>
      <c r="J82" s="62" t="n">
        <v>0.3</v>
      </c>
      <c r="K82" s="47" t="n">
        <v>11253705</v>
      </c>
      <c r="L82" s="62" t="n">
        <v>0.017</v>
      </c>
      <c r="M82" s="48" t="n">
        <v>0.97</v>
      </c>
      <c r="N82" s="62" t="n">
        <v>0.1697</v>
      </c>
      <c r="O82" s="62" t="n">
        <v>0.12</v>
      </c>
      <c r="P82" s="62" t="n">
        <v>0.08</v>
      </c>
      <c r="Q82" s="62" t="n">
        <v>0.85</v>
      </c>
      <c r="R82" s="63" t="n">
        <v>0.002</v>
      </c>
      <c r="S82" s="55" t="n">
        <v>22.4</v>
      </c>
      <c r="T82" s="62" t="n">
        <v>0.0427</v>
      </c>
      <c r="U82" s="62" t="n">
        <v>0.02</v>
      </c>
      <c r="V82" s="62" t="n">
        <v>0.008</v>
      </c>
      <c r="W82" s="47" t="n">
        <v>40000</v>
      </c>
      <c r="X82" s="47" t="n">
        <v>202000</v>
      </c>
      <c r="Y82" s="62" t="n">
        <v>0.0482</v>
      </c>
      <c r="Z82" s="62" t="n">
        <v>0.05</v>
      </c>
      <c r="AA82" s="62" t="n">
        <v>0</v>
      </c>
      <c r="AB82" s="47" t="n">
        <v>1</v>
      </c>
      <c r="AC82" s="47" t="n">
        <v>1</v>
      </c>
      <c r="AD82" s="47" t="n">
        <v>8900</v>
      </c>
    </row>
    <row r="83" customFormat="false" ht="14.25" hidden="false" customHeight="true" outlineLevel="0" collapsed="false">
      <c r="A83" s="61" t="n">
        <v>1923</v>
      </c>
      <c r="B83" s="48" t="n">
        <v>1.62</v>
      </c>
      <c r="C83" s="62" t="n">
        <v>0.017674</v>
      </c>
      <c r="D83" s="47" t="n">
        <v>0</v>
      </c>
      <c r="E83" s="47" t="n">
        <v>110000</v>
      </c>
      <c r="F83" s="47" t="n">
        <v>30000</v>
      </c>
      <c r="G83" s="47" t="n">
        <v>30000</v>
      </c>
      <c r="H83" s="47" t="n">
        <v>20000</v>
      </c>
      <c r="I83" s="62" t="n">
        <v>0.2</v>
      </c>
      <c r="J83" s="62" t="n">
        <v>0.3</v>
      </c>
      <c r="K83" s="47" t="n">
        <v>11449994</v>
      </c>
      <c r="L83" s="62" t="n">
        <v>0.017</v>
      </c>
      <c r="M83" s="48" t="n">
        <v>1</v>
      </c>
      <c r="N83" s="62" t="n">
        <v>0.1683</v>
      </c>
      <c r="O83" s="62" t="n">
        <v>0.12</v>
      </c>
      <c r="P83" s="62" t="n">
        <v>0.08</v>
      </c>
      <c r="Q83" s="62" t="n">
        <v>0.85</v>
      </c>
      <c r="R83" s="63" t="n">
        <v>0.002</v>
      </c>
      <c r="S83" s="55" t="n">
        <v>23.6</v>
      </c>
      <c r="T83" s="62" t="n">
        <v>0.043</v>
      </c>
      <c r="U83" s="62" t="n">
        <v>0.02</v>
      </c>
      <c r="V83" s="62" t="n">
        <v>0.008</v>
      </c>
      <c r="W83" s="47" t="n">
        <v>39300</v>
      </c>
      <c r="X83" s="47" t="n">
        <v>205000</v>
      </c>
      <c r="Y83" s="62" t="n">
        <v>0.048</v>
      </c>
      <c r="Z83" s="62" t="n">
        <v>0.033</v>
      </c>
      <c r="AA83" s="62" t="n">
        <v>0.016</v>
      </c>
      <c r="AB83" s="47" t="n">
        <v>1</v>
      </c>
      <c r="AC83" s="47" t="n">
        <v>0</v>
      </c>
      <c r="AD83" s="47" t="n">
        <v>9100</v>
      </c>
    </row>
    <row r="84" customFormat="false" ht="14.25" hidden="false" customHeight="true" outlineLevel="0" collapsed="false">
      <c r="A84" s="61" t="n">
        <v>1924</v>
      </c>
      <c r="B84" s="48" t="n">
        <v>1.62</v>
      </c>
      <c r="C84" s="62" t="n">
        <v>0.017686</v>
      </c>
      <c r="D84" s="47" t="n">
        <v>0</v>
      </c>
      <c r="E84" s="47" t="n">
        <v>110000</v>
      </c>
      <c r="F84" s="47" t="n">
        <v>30000</v>
      </c>
      <c r="G84" s="47" t="n">
        <v>30000</v>
      </c>
      <c r="H84" s="47" t="n">
        <v>20000</v>
      </c>
      <c r="I84" s="62" t="n">
        <v>0.2</v>
      </c>
      <c r="J84" s="62" t="n">
        <v>0.3</v>
      </c>
      <c r="K84" s="47" t="n">
        <v>11646342</v>
      </c>
      <c r="L84" s="62" t="n">
        <v>0.017</v>
      </c>
      <c r="M84" s="48" t="n">
        <v>1</v>
      </c>
      <c r="N84" s="62" t="n">
        <v>0.1669</v>
      </c>
      <c r="O84" s="62" t="n">
        <v>0.12</v>
      </c>
      <c r="P84" s="62" t="n">
        <v>0.08</v>
      </c>
      <c r="Q84" s="62" t="n">
        <v>0.85</v>
      </c>
      <c r="R84" s="63" t="n">
        <v>0.002</v>
      </c>
      <c r="S84" s="55" t="n">
        <v>24.8</v>
      </c>
      <c r="T84" s="62" t="n">
        <v>0.0433</v>
      </c>
      <c r="U84" s="62" t="n">
        <v>0.02</v>
      </c>
      <c r="V84" s="62" t="n">
        <v>0.008</v>
      </c>
      <c r="W84" s="47" t="n">
        <v>38700</v>
      </c>
      <c r="X84" s="47" t="n">
        <v>208000</v>
      </c>
      <c r="Y84" s="62" t="n">
        <v>0.0482</v>
      </c>
      <c r="Z84" s="62" t="n">
        <v>0.033</v>
      </c>
      <c r="AA84" s="62" t="n">
        <v>0.016</v>
      </c>
      <c r="AB84" s="47" t="n">
        <v>1</v>
      </c>
      <c r="AC84" s="47" t="n">
        <v>0</v>
      </c>
      <c r="AD84" s="47" t="n">
        <v>9300</v>
      </c>
    </row>
    <row r="85" customFormat="false" ht="14.25" hidden="false" customHeight="true" outlineLevel="0" collapsed="false">
      <c r="A85" s="61" t="n">
        <v>1925</v>
      </c>
      <c r="B85" s="48" t="n">
        <v>1.65</v>
      </c>
      <c r="C85" s="62" t="n">
        <v>0.017687</v>
      </c>
      <c r="D85" s="47" t="n">
        <v>0</v>
      </c>
      <c r="E85" s="47" t="n">
        <v>110000</v>
      </c>
      <c r="F85" s="47" t="n">
        <v>30000</v>
      </c>
      <c r="G85" s="47" t="n">
        <v>30000</v>
      </c>
      <c r="H85" s="47" t="n">
        <v>20000</v>
      </c>
      <c r="I85" s="62" t="n">
        <v>0.2</v>
      </c>
      <c r="J85" s="62" t="n">
        <v>0.3</v>
      </c>
      <c r="K85" s="47" t="n">
        <v>11842750</v>
      </c>
      <c r="L85" s="62" t="n">
        <v>0.017</v>
      </c>
      <c r="M85" s="48" t="n">
        <v>1</v>
      </c>
      <c r="N85" s="62" t="n">
        <v>0.1655</v>
      </c>
      <c r="O85" s="62" t="n">
        <v>0.12</v>
      </c>
      <c r="P85" s="62" t="n">
        <v>0.08</v>
      </c>
      <c r="Q85" s="62" t="n">
        <v>0.85</v>
      </c>
      <c r="R85" s="63" t="n">
        <v>0.002</v>
      </c>
      <c r="S85" s="55" t="n">
        <v>26</v>
      </c>
      <c r="T85" s="62" t="n">
        <v>0.0437</v>
      </c>
      <c r="U85" s="62" t="n">
        <v>0.02</v>
      </c>
      <c r="V85" s="62" t="n">
        <v>0.008</v>
      </c>
      <c r="W85" s="47" t="n">
        <v>38000</v>
      </c>
      <c r="X85" s="47" t="n">
        <v>210000</v>
      </c>
      <c r="Y85" s="62" t="n">
        <v>0.0484</v>
      </c>
      <c r="Z85" s="62" t="n">
        <v>0.033</v>
      </c>
      <c r="AA85" s="62" t="n">
        <v>0.016</v>
      </c>
      <c r="AB85" s="47" t="n">
        <v>1</v>
      </c>
      <c r="AC85" s="47" t="n">
        <v>0</v>
      </c>
      <c r="AD85" s="47" t="n">
        <v>9500</v>
      </c>
    </row>
    <row r="86" customFormat="false" ht="14.25" hidden="false" customHeight="true" outlineLevel="0" collapsed="false">
      <c r="A86" s="61" t="n">
        <v>1926</v>
      </c>
      <c r="B86" s="48" t="n">
        <v>1.62</v>
      </c>
      <c r="C86" s="62" t="n">
        <v>0.017674</v>
      </c>
      <c r="D86" s="47" t="n">
        <v>0</v>
      </c>
      <c r="E86" s="47" t="n">
        <v>110000</v>
      </c>
      <c r="F86" s="47" t="n">
        <v>30000</v>
      </c>
      <c r="G86" s="47" t="n">
        <v>30000</v>
      </c>
      <c r="H86" s="47" t="n">
        <v>20000</v>
      </c>
      <c r="I86" s="62" t="n">
        <v>0.2</v>
      </c>
      <c r="J86" s="62" t="n">
        <v>0.3</v>
      </c>
      <c r="K86" s="47" t="n">
        <v>12039219</v>
      </c>
      <c r="L86" s="62" t="n">
        <v>0.017</v>
      </c>
      <c r="M86" s="48" t="n">
        <v>1</v>
      </c>
      <c r="N86" s="62" t="n">
        <v>0.1641</v>
      </c>
      <c r="O86" s="62" t="n">
        <v>0.12</v>
      </c>
      <c r="P86" s="62" t="n">
        <v>0.08</v>
      </c>
      <c r="Q86" s="62" t="n">
        <v>0.85</v>
      </c>
      <c r="R86" s="63" t="n">
        <v>0.002</v>
      </c>
      <c r="S86" s="55" t="n">
        <v>27</v>
      </c>
      <c r="T86" s="62" t="n">
        <v>0.044</v>
      </c>
      <c r="U86" s="62" t="n">
        <v>0.02</v>
      </c>
      <c r="V86" s="62" t="n">
        <v>0.008</v>
      </c>
      <c r="W86" s="47" t="n">
        <v>38500</v>
      </c>
      <c r="X86" s="47" t="n">
        <v>212000</v>
      </c>
      <c r="Y86" s="62" t="n">
        <v>0.0487</v>
      </c>
      <c r="Z86" s="62" t="n">
        <v>0.033</v>
      </c>
      <c r="AA86" s="62" t="n">
        <v>0.016</v>
      </c>
      <c r="AB86" s="47" t="n">
        <v>1</v>
      </c>
      <c r="AC86" s="47" t="n">
        <v>0</v>
      </c>
      <c r="AD86" s="47" t="n">
        <v>9700</v>
      </c>
    </row>
    <row r="87" customFormat="false" ht="14.25" hidden="false" customHeight="true" outlineLevel="0" collapsed="false">
      <c r="A87" s="61" t="n">
        <v>1927</v>
      </c>
      <c r="B87" s="48" t="n">
        <v>1.58</v>
      </c>
      <c r="C87" s="62" t="n">
        <v>0.017618</v>
      </c>
      <c r="D87" s="47" t="n">
        <v>0</v>
      </c>
      <c r="E87" s="47" t="n">
        <v>110000</v>
      </c>
      <c r="F87" s="47" t="n">
        <v>30000</v>
      </c>
      <c r="G87" s="47" t="n">
        <v>30000</v>
      </c>
      <c r="H87" s="47" t="n">
        <v>20000</v>
      </c>
      <c r="I87" s="62" t="n">
        <v>0.2</v>
      </c>
      <c r="J87" s="62" t="n">
        <v>0.3</v>
      </c>
      <c r="K87" s="47" t="n">
        <v>12235751</v>
      </c>
      <c r="L87" s="62" t="n">
        <v>0.017</v>
      </c>
      <c r="M87" s="48" t="n">
        <v>1</v>
      </c>
      <c r="N87" s="62" t="n">
        <v>0.1628</v>
      </c>
      <c r="O87" s="62" t="n">
        <v>0.12</v>
      </c>
      <c r="P87" s="62" t="n">
        <v>0.085</v>
      </c>
      <c r="Q87" s="62" t="n">
        <v>0.85</v>
      </c>
      <c r="R87" s="63" t="n">
        <v>0.002</v>
      </c>
      <c r="S87" s="55" t="n">
        <v>28</v>
      </c>
      <c r="T87" s="62" t="n">
        <v>0.0443</v>
      </c>
      <c r="U87" s="62" t="n">
        <v>0.02</v>
      </c>
      <c r="V87" s="62" t="n">
        <v>0.008</v>
      </c>
      <c r="W87" s="47" t="n">
        <v>39000</v>
      </c>
      <c r="X87" s="47" t="n">
        <v>215000</v>
      </c>
      <c r="Y87" s="62" t="n">
        <v>0.0489</v>
      </c>
      <c r="Z87" s="62" t="n">
        <v>0.033</v>
      </c>
      <c r="AA87" s="62" t="n">
        <v>0.016</v>
      </c>
      <c r="AB87" s="47" t="n">
        <v>1</v>
      </c>
      <c r="AC87" s="47" t="n">
        <v>0</v>
      </c>
      <c r="AD87" s="47" t="n">
        <v>9900</v>
      </c>
    </row>
    <row r="88" customFormat="false" ht="14.25" hidden="false" customHeight="true" outlineLevel="0" collapsed="false">
      <c r="A88" s="61" t="n">
        <v>1928</v>
      </c>
      <c r="B88" s="48" t="n">
        <v>1.6</v>
      </c>
      <c r="C88" s="62" t="n">
        <v>0.017508</v>
      </c>
      <c r="D88" s="47" t="n">
        <v>0</v>
      </c>
      <c r="E88" s="47" t="n">
        <v>110000</v>
      </c>
      <c r="F88" s="47" t="n">
        <v>30000</v>
      </c>
      <c r="G88" s="47" t="n">
        <v>30000</v>
      </c>
      <c r="H88" s="47" t="n">
        <v>20000</v>
      </c>
      <c r="I88" s="62" t="n">
        <v>0.2</v>
      </c>
      <c r="J88" s="62" t="n">
        <v>0.3</v>
      </c>
      <c r="K88" s="47" t="n">
        <v>12432347</v>
      </c>
      <c r="L88" s="62" t="n">
        <v>0.017</v>
      </c>
      <c r="M88" s="48" t="n">
        <v>1</v>
      </c>
      <c r="N88" s="62" t="n">
        <v>0.1614</v>
      </c>
      <c r="O88" s="62" t="n">
        <v>0.12</v>
      </c>
      <c r="P88" s="62" t="n">
        <v>0.085</v>
      </c>
      <c r="Q88" s="62" t="n">
        <v>0.85</v>
      </c>
      <c r="R88" s="63" t="n">
        <v>0.002</v>
      </c>
      <c r="S88" s="55" t="n">
        <v>29</v>
      </c>
      <c r="T88" s="62" t="n">
        <v>0.0447</v>
      </c>
      <c r="U88" s="62" t="n">
        <v>0.02</v>
      </c>
      <c r="V88" s="62" t="n">
        <v>0.008</v>
      </c>
      <c r="W88" s="47" t="n">
        <v>39500</v>
      </c>
      <c r="X88" s="47" t="n">
        <v>218000</v>
      </c>
      <c r="Y88" s="62" t="n">
        <v>0.0491</v>
      </c>
      <c r="Z88" s="62" t="n">
        <v>0.033</v>
      </c>
      <c r="AA88" s="62" t="n">
        <v>0.016</v>
      </c>
      <c r="AB88" s="47" t="n">
        <v>1</v>
      </c>
      <c r="AC88" s="47" t="n">
        <v>0</v>
      </c>
      <c r="AD88" s="47" t="n">
        <v>10100</v>
      </c>
    </row>
    <row r="89" customFormat="false" ht="14.25" hidden="false" customHeight="true" outlineLevel="0" collapsed="false">
      <c r="A89" s="61" t="n">
        <v>1929</v>
      </c>
      <c r="B89" s="48" t="n">
        <v>1.6</v>
      </c>
      <c r="C89" s="62" t="n">
        <v>0.01735</v>
      </c>
      <c r="D89" s="47" t="n">
        <v>0</v>
      </c>
      <c r="E89" s="47" t="n">
        <v>110000</v>
      </c>
      <c r="F89" s="47" t="n">
        <v>30000</v>
      </c>
      <c r="G89" s="47" t="n">
        <v>30000</v>
      </c>
      <c r="H89" s="47" t="n">
        <v>20000</v>
      </c>
      <c r="I89" s="62" t="n">
        <v>0.2</v>
      </c>
      <c r="J89" s="62" t="n">
        <v>0.3</v>
      </c>
      <c r="K89" s="47" t="n">
        <v>12628007</v>
      </c>
      <c r="L89" s="62" t="n">
        <v>0.017</v>
      </c>
      <c r="M89" s="48" t="n">
        <v>1</v>
      </c>
      <c r="N89" s="62" t="n">
        <v>0.16</v>
      </c>
      <c r="O89" s="62" t="n">
        <v>0.12</v>
      </c>
      <c r="P89" s="62" t="n">
        <v>0.085</v>
      </c>
      <c r="Q89" s="62" t="n">
        <v>0.85</v>
      </c>
      <c r="R89" s="63" t="n">
        <v>0.002</v>
      </c>
      <c r="S89" s="55" t="n">
        <v>30</v>
      </c>
      <c r="T89" s="62" t="n">
        <v>0.045</v>
      </c>
      <c r="U89" s="62" t="n">
        <v>0.02</v>
      </c>
      <c r="V89" s="62" t="n">
        <v>0.008</v>
      </c>
      <c r="W89" s="47" t="n">
        <v>40000</v>
      </c>
      <c r="X89" s="47" t="n">
        <v>220000</v>
      </c>
      <c r="Y89" s="62" t="n">
        <v>0.0493</v>
      </c>
      <c r="Z89" s="62" t="n">
        <v>0.033</v>
      </c>
      <c r="AA89" s="62" t="n">
        <v>0.016</v>
      </c>
      <c r="AB89" s="47" t="n">
        <v>1</v>
      </c>
      <c r="AC89" s="47" t="n">
        <v>0</v>
      </c>
      <c r="AD89" s="47" t="n">
        <v>10300</v>
      </c>
    </row>
    <row r="90" customFormat="false" ht="14.25" hidden="false" customHeight="true" outlineLevel="0" collapsed="false">
      <c r="A90" s="61" t="n">
        <v>1930</v>
      </c>
      <c r="B90" s="48" t="n">
        <v>1.53</v>
      </c>
      <c r="C90" s="62" t="n">
        <v>0.017197</v>
      </c>
      <c r="D90" s="47" t="n">
        <v>0</v>
      </c>
      <c r="E90" s="47" t="n">
        <v>30000</v>
      </c>
      <c r="F90" s="47" t="n">
        <v>12000</v>
      </c>
      <c r="G90" s="47" t="n">
        <v>12000</v>
      </c>
      <c r="H90" s="47" t="n">
        <v>8000</v>
      </c>
      <c r="I90" s="62" t="n">
        <v>0.2</v>
      </c>
      <c r="J90" s="62" t="n">
        <v>0.3</v>
      </c>
      <c r="K90" s="47" t="n">
        <v>12824733</v>
      </c>
      <c r="L90" s="62" t="n">
        <v>0</v>
      </c>
      <c r="M90" s="48" t="n">
        <v>0.94</v>
      </c>
      <c r="N90" s="62" t="n">
        <v>0.15</v>
      </c>
      <c r="O90" s="62" t="n">
        <v>0.12</v>
      </c>
      <c r="P90" s="62" t="n">
        <v>0.085</v>
      </c>
      <c r="Q90" s="62" t="n">
        <v>0.85</v>
      </c>
      <c r="R90" s="63" t="n">
        <v>0.002</v>
      </c>
      <c r="S90" s="55" t="n">
        <v>27.5</v>
      </c>
      <c r="T90" s="62" t="n">
        <v>0.0457</v>
      </c>
      <c r="U90" s="62" t="n">
        <v>0.024</v>
      </c>
      <c r="V90" s="62" t="n">
        <v>0.008</v>
      </c>
      <c r="W90" s="47" t="n">
        <v>40700</v>
      </c>
      <c r="X90" s="47" t="n">
        <v>220000</v>
      </c>
      <c r="Y90" s="62" t="n">
        <v>0.0496</v>
      </c>
      <c r="Z90" s="62" t="n">
        <v>0.033</v>
      </c>
      <c r="AA90" s="62" t="n">
        <v>0.016</v>
      </c>
      <c r="AB90" s="47" t="n">
        <v>1</v>
      </c>
      <c r="AC90" s="47" t="n">
        <v>0</v>
      </c>
      <c r="AD90" s="47" t="n">
        <v>10833</v>
      </c>
    </row>
    <row r="91" customFormat="false" ht="14.25" hidden="false" customHeight="true" outlineLevel="0" collapsed="false">
      <c r="A91" s="61" t="n">
        <v>1931</v>
      </c>
      <c r="B91" s="48" t="n">
        <v>1.37</v>
      </c>
      <c r="C91" s="62" t="n">
        <v>0.016945</v>
      </c>
      <c r="D91" s="47" t="n">
        <v>0</v>
      </c>
      <c r="E91" s="47" t="n">
        <v>30000</v>
      </c>
      <c r="F91" s="47" t="n">
        <v>12000</v>
      </c>
      <c r="G91" s="47" t="n">
        <v>12000</v>
      </c>
      <c r="H91" s="47" t="n">
        <v>8000</v>
      </c>
      <c r="I91" s="62" t="n">
        <v>0.2</v>
      </c>
      <c r="J91" s="62" t="n">
        <v>0.3</v>
      </c>
      <c r="K91" s="47" t="n">
        <v>13021526</v>
      </c>
      <c r="L91" s="62" t="n">
        <v>0</v>
      </c>
      <c r="M91" s="48" t="n">
        <v>0.89</v>
      </c>
      <c r="N91" s="62" t="n">
        <v>0.14</v>
      </c>
      <c r="O91" s="62" t="n">
        <v>0.12</v>
      </c>
      <c r="P91" s="62" t="n">
        <v>0.085</v>
      </c>
      <c r="Q91" s="62" t="n">
        <v>0.82</v>
      </c>
      <c r="R91" s="63" t="n">
        <v>0.002</v>
      </c>
      <c r="S91" s="55" t="n">
        <v>25</v>
      </c>
      <c r="T91" s="62" t="n">
        <v>0.0463</v>
      </c>
      <c r="U91" s="62" t="n">
        <v>0.026</v>
      </c>
      <c r="V91" s="62" t="n">
        <v>0.008</v>
      </c>
      <c r="W91" s="47" t="n">
        <v>41300</v>
      </c>
      <c r="X91" s="47" t="n">
        <v>220000</v>
      </c>
      <c r="Y91" s="62" t="n">
        <v>0.0498</v>
      </c>
      <c r="Z91" s="62" t="n">
        <v>0.033</v>
      </c>
      <c r="AA91" s="62" t="n">
        <v>0</v>
      </c>
      <c r="AB91" s="47" t="n">
        <v>0</v>
      </c>
      <c r="AC91" s="47" t="n">
        <v>0</v>
      </c>
      <c r="AD91" s="47" t="n">
        <v>11367</v>
      </c>
    </row>
    <row r="92" customFormat="false" ht="14.25" hidden="false" customHeight="true" outlineLevel="0" collapsed="false">
      <c r="A92" s="61" t="n">
        <v>1932</v>
      </c>
      <c r="B92" s="48" t="n">
        <v>1.22</v>
      </c>
      <c r="C92" s="62" t="n">
        <v>0.016532</v>
      </c>
      <c r="D92" s="47" t="n">
        <v>0</v>
      </c>
      <c r="E92" s="47" t="n">
        <v>30000</v>
      </c>
      <c r="F92" s="47" t="n">
        <v>12000</v>
      </c>
      <c r="G92" s="47" t="n">
        <v>12000</v>
      </c>
      <c r="H92" s="47" t="n">
        <v>8000</v>
      </c>
      <c r="I92" s="62" t="n">
        <v>0.2</v>
      </c>
      <c r="J92" s="62" t="n">
        <v>0.3</v>
      </c>
      <c r="K92" s="47" t="n">
        <v>13218388</v>
      </c>
      <c r="L92" s="62" t="n">
        <v>0</v>
      </c>
      <c r="M92" s="48" t="n">
        <v>0.86</v>
      </c>
      <c r="N92" s="62" t="n">
        <v>0.13</v>
      </c>
      <c r="O92" s="62" t="n">
        <v>0.12</v>
      </c>
      <c r="P92" s="62" t="n">
        <v>0.085</v>
      </c>
      <c r="Q92" s="62" t="n">
        <v>0.8</v>
      </c>
      <c r="R92" s="63" t="n">
        <v>0.002</v>
      </c>
      <c r="S92" s="55" t="n">
        <v>22</v>
      </c>
      <c r="T92" s="62" t="n">
        <v>0.047</v>
      </c>
      <c r="U92" s="62" t="n">
        <v>0.026</v>
      </c>
      <c r="V92" s="62" t="n">
        <v>0.008</v>
      </c>
      <c r="W92" s="47" t="n">
        <v>42000</v>
      </c>
      <c r="X92" s="47" t="n">
        <v>220000</v>
      </c>
      <c r="Y92" s="62" t="n">
        <v>0.05</v>
      </c>
      <c r="Z92" s="62" t="n">
        <v>0.033</v>
      </c>
      <c r="AA92" s="62" t="n">
        <v>0</v>
      </c>
      <c r="AB92" s="47" t="n">
        <v>0</v>
      </c>
      <c r="AC92" s="47" t="n">
        <v>0</v>
      </c>
      <c r="AD92" s="47" t="n">
        <v>11900</v>
      </c>
    </row>
  </sheetData>
  <mergeCells count="6">
    <mergeCell ref="B4:D4"/>
    <mergeCell ref="E4:J4"/>
    <mergeCell ref="L4:M4"/>
    <mergeCell ref="N4:S4"/>
    <mergeCell ref="T4:X4"/>
    <mergeCell ref="Y4:A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Z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4" min="2" style="1" width="12.44"/>
    <col collapsed="false" customWidth="true" hidden="false" outlineLevel="0" max="26" min="25" style="1" width="16"/>
  </cols>
  <sheetData>
    <row r="1" customFormat="false" ht="18" hidden="false" customHeight="true" outlineLevel="0" collapsed="false">
      <c r="A1" s="19" t="s">
        <v>1350</v>
      </c>
    </row>
    <row r="2" customFormat="false" ht="14.25" hidden="false" customHeight="true" outlineLevel="0" collapsed="false">
      <c r="A2" s="3" t="s">
        <v>1351</v>
      </c>
    </row>
    <row r="3" customFormat="false" ht="14.25" hidden="false" customHeight="true" outlineLevel="0" collapsed="false">
      <c r="A3" s="20" t="s">
        <v>1315</v>
      </c>
    </row>
    <row r="4" customFormat="false" ht="14.25" hidden="false" customHeight="true" outlineLevel="0" collapsed="false">
      <c r="B4" s="58" t="s">
        <v>1352</v>
      </c>
      <c r="C4" s="58"/>
      <c r="D4" s="58"/>
      <c r="E4" s="58" t="s">
        <v>1353</v>
      </c>
      <c r="F4" s="58"/>
      <c r="G4" s="58"/>
      <c r="H4" s="58"/>
      <c r="I4" s="58"/>
      <c r="J4" s="58"/>
      <c r="K4" s="58"/>
      <c r="L4" s="58" t="s">
        <v>1352</v>
      </c>
      <c r="M4" s="58"/>
      <c r="N4" s="58" t="s">
        <v>1354</v>
      </c>
      <c r="O4" s="58"/>
      <c r="P4" s="58"/>
      <c r="Q4" s="58"/>
      <c r="R4" s="58"/>
      <c r="S4" s="58"/>
      <c r="T4" s="58" t="s">
        <v>717</v>
      </c>
      <c r="U4" s="58"/>
      <c r="V4" s="58" t="s">
        <v>1355</v>
      </c>
      <c r="W4" s="58"/>
      <c r="X4" s="58"/>
      <c r="Y4" s="1" t="s">
        <v>1356</v>
      </c>
    </row>
    <row r="5" customFormat="false" ht="54" hidden="false" customHeight="true" outlineLevel="0" collapsed="false">
      <c r="A5" s="60" t="s">
        <v>103</v>
      </c>
      <c r="B5" s="7" t="s">
        <v>1357</v>
      </c>
      <c r="C5" s="7" t="s">
        <v>1358</v>
      </c>
      <c r="D5" s="7" t="s">
        <v>1322</v>
      </c>
      <c r="E5" s="7" t="s">
        <v>1324</v>
      </c>
      <c r="F5" s="7" t="s">
        <v>1325</v>
      </c>
      <c r="G5" s="7" t="s">
        <v>1326</v>
      </c>
      <c r="H5" s="7" t="s">
        <v>1327</v>
      </c>
      <c r="I5" s="7" t="s">
        <v>1359</v>
      </c>
      <c r="J5" s="7" t="s">
        <v>1360</v>
      </c>
      <c r="K5" s="7" t="s">
        <v>1361</v>
      </c>
      <c r="L5" s="7" t="s">
        <v>1362</v>
      </c>
      <c r="M5" s="7" t="s">
        <v>1363</v>
      </c>
      <c r="N5" s="7" t="s">
        <v>1364</v>
      </c>
      <c r="O5" s="7" t="s">
        <v>1365</v>
      </c>
      <c r="P5" s="7" t="s">
        <v>1366</v>
      </c>
      <c r="Q5" s="7" t="s">
        <v>1367</v>
      </c>
      <c r="R5" s="7" t="s">
        <v>1368</v>
      </c>
      <c r="S5" s="7" t="s">
        <v>1369</v>
      </c>
      <c r="T5" s="7" t="s">
        <v>1370</v>
      </c>
      <c r="U5" s="7" t="s">
        <v>1330</v>
      </c>
      <c r="V5" s="7" t="s">
        <v>1371</v>
      </c>
      <c r="W5" s="7" t="s">
        <v>1372</v>
      </c>
      <c r="X5" s="7" t="s">
        <v>1373</v>
      </c>
      <c r="Y5" s="7" t="s">
        <v>1374</v>
      </c>
      <c r="Z5" s="7" t="s">
        <v>1375</v>
      </c>
    </row>
    <row r="6" customFormat="false" ht="14.25" hidden="false" customHeight="true" outlineLevel="0" collapsed="false">
      <c r="A6" s="61" t="n">
        <v>1846</v>
      </c>
      <c r="B6" s="49" t="n">
        <f aca="false">pop_1846</f>
        <v>170000</v>
      </c>
      <c r="C6" s="65" t="n">
        <f aca="false">Paths!D6</f>
        <v>0</v>
      </c>
      <c r="D6" s="49" t="n">
        <f aca="false">B6*Paths!C6</f>
        <v>-1473.39</v>
      </c>
      <c r="E6" s="49" t="n">
        <f aca="false">Paths!E6*IF($A6&gt;=1896,mig_scale,1)*IF(AND($A6&gt;=1848,$A6&lt;=1860),dem01_mult,1)</f>
        <v>2000</v>
      </c>
      <c r="F6" s="49" t="n">
        <f aca="false">Paths!F6*IF($A6&gt;=1896,mig_scale,1)*IF(AND($A6&gt;=1848,$A6&lt;=1860),dem01_mult,1)</f>
        <v>0</v>
      </c>
      <c r="G6" s="49" t="n">
        <f aca="false">Paths!G6*IF($A6&gt;=1896,mig_scale,1)</f>
        <v>0</v>
      </c>
      <c r="H6" s="49" t="n">
        <f aca="false">Paths!H6*IF($A6&gt;=1896,mig_scale,1)</f>
        <v>0</v>
      </c>
      <c r="I6" s="49" t="n">
        <f aca="false">E6*Paths!I6+(F6+G6+H6)*dep_asia</f>
        <v>400</v>
      </c>
      <c r="J6" s="65" t="n">
        <f aca="false">Labour!AL6</f>
        <v>0</v>
      </c>
      <c r="K6" s="49" t="n">
        <f aca="false">SUM(E6:H6)-I6+J6</f>
        <v>1600</v>
      </c>
      <c r="L6" s="49" t="n">
        <f aca="false">B6+C6+D6+K6</f>
        <v>170126.61</v>
      </c>
      <c r="M6" s="66" t="n">
        <f aca="false">IF(B6&gt;0,L6/B6-1,0)</f>
        <v>0.00074476470588225</v>
      </c>
      <c r="N6" s="49" t="n">
        <f aca="false">0</f>
        <v>0</v>
      </c>
      <c r="O6" s="49" t="n">
        <f aca="false">0</f>
        <v>0</v>
      </c>
      <c r="P6" s="49" t="n">
        <f aca="false">0</f>
        <v>0</v>
      </c>
      <c r="Q6" s="49" t="n">
        <f aca="false">0</f>
        <v>0</v>
      </c>
      <c r="R6" s="49" t="n">
        <f aca="false">0</f>
        <v>0</v>
      </c>
      <c r="S6" s="66" t="n">
        <f aca="false">(N6+O6+P6+Q6+R6)/L6</f>
        <v>0</v>
      </c>
      <c r="T6" s="49" t="n">
        <f aca="false">SUM(E6:H6)*Paths!J6</f>
        <v>400</v>
      </c>
      <c r="U6" s="65" t="n">
        <f aca="false">Paths!K6</f>
        <v>0</v>
      </c>
      <c r="V6" s="49" t="n">
        <f aca="false">IF(Gulf!E6=1,Gulf!B6,0)</f>
        <v>0</v>
      </c>
      <c r="W6" s="49" t="n">
        <f aca="false">L6+V6</f>
        <v>170126.61</v>
      </c>
      <c r="X6" s="49" t="n">
        <f aca="false">W6+Labour!L6</f>
        <v>170126.61</v>
      </c>
      <c r="Y6" s="47" t="n">
        <v>0</v>
      </c>
      <c r="Z6" s="47" t="n">
        <v>148391</v>
      </c>
    </row>
    <row r="7" customFormat="false" ht="14.25" hidden="false" customHeight="true" outlineLevel="0" collapsed="false">
      <c r="A7" s="61" t="n">
        <v>1847</v>
      </c>
      <c r="B7" s="49" t="n">
        <f aca="false">L6</f>
        <v>170126.61</v>
      </c>
      <c r="C7" s="65" t="n">
        <f aca="false">Paths!D7</f>
        <v>0</v>
      </c>
      <c r="D7" s="49" t="n">
        <f aca="false">B7*Paths!C7</f>
        <v>-1386.36174489</v>
      </c>
      <c r="E7" s="49" t="n">
        <f aca="false">Paths!E7*IF($A7&gt;=1896,mig_scale,1)*IF(AND($A7&gt;=1848,$A7&lt;=1860),dem01_mult,1)</f>
        <v>3000</v>
      </c>
      <c r="F7" s="49" t="n">
        <f aca="false">Paths!F7*IF($A7&gt;=1896,mig_scale,1)*IF(AND($A7&gt;=1848,$A7&lt;=1860),dem01_mult,1)</f>
        <v>0</v>
      </c>
      <c r="G7" s="49" t="n">
        <f aca="false">Paths!G7*IF($A7&gt;=1896,mig_scale,1)</f>
        <v>0</v>
      </c>
      <c r="H7" s="49" t="n">
        <f aca="false">Paths!H7*IF($A7&gt;=1896,mig_scale,1)</f>
        <v>0</v>
      </c>
      <c r="I7" s="49" t="n">
        <f aca="false">E7*Paths!I7+(F7+G7+H7)*dep_asia</f>
        <v>600</v>
      </c>
      <c r="J7" s="65" t="n">
        <f aca="false">Labour!AL7</f>
        <v>0</v>
      </c>
      <c r="K7" s="49" t="n">
        <f aca="false">SUM(E7:H7)-I7+J7</f>
        <v>2400</v>
      </c>
      <c r="L7" s="49" t="n">
        <f aca="false">B7+C7+D7+K7</f>
        <v>171140.24825511</v>
      </c>
      <c r="M7" s="66" t="n">
        <f aca="false">IF(B7&gt;0,L7/B7-1,0)</f>
        <v>0.0059581405584348</v>
      </c>
      <c r="N7" s="49" t="n">
        <f aca="false">N6*(1+Paths!C7)+F7*(1-dep_asia)+Labour!AL7*IF($A7&gt;=xo_year,xo_cn2,xo_cn1)</f>
        <v>0</v>
      </c>
      <c r="O7" s="49" t="n">
        <f aca="false">O6*(1+Paths!C7)+G7*(1-dep_asia)+Labour!AL7*IF($A7&gt;=xo_year,xo_jp2,xo_jp1)</f>
        <v>0</v>
      </c>
      <c r="P7" s="49" t="n">
        <f aca="false">P6*(1+Paths!C7)+H7*(1-dep_asia)+Labour!AL7*IF($A7&gt;=xo_year,xo_ph2,xo_ph1)</f>
        <v>0</v>
      </c>
      <c r="Q7" s="49" t="n">
        <f aca="false">0</f>
        <v>0</v>
      </c>
      <c r="R7" s="49" t="n">
        <f aca="false">0</f>
        <v>0</v>
      </c>
      <c r="S7" s="66" t="n">
        <f aca="false">(N7+O7+P7+Q7+R7)/L7</f>
        <v>0</v>
      </c>
      <c r="T7" s="49" t="n">
        <f aca="false">SUM(E7:H7)*Paths!J7</f>
        <v>600</v>
      </c>
      <c r="U7" s="65" t="n">
        <f aca="false">Paths!K7</f>
        <v>0</v>
      </c>
      <c r="V7" s="49" t="n">
        <f aca="false">IF(Gulf!E7=1,Gulf!B7,0)</f>
        <v>0</v>
      </c>
      <c r="W7" s="49" t="n">
        <f aca="false">L7+V7</f>
        <v>171140.24825511</v>
      </c>
      <c r="X7" s="49" t="n">
        <f aca="false">W7+Labour!L7</f>
        <v>171140.24825511</v>
      </c>
      <c r="Y7" s="47" t="n">
        <v>0</v>
      </c>
      <c r="Z7" s="47" t="n">
        <v>146799</v>
      </c>
    </row>
    <row r="8" customFormat="false" ht="14.25" hidden="false" customHeight="true" outlineLevel="0" collapsed="false">
      <c r="A8" s="61" t="n">
        <v>1848</v>
      </c>
      <c r="B8" s="49" t="n">
        <f aca="false">L7</f>
        <v>171140.24825511</v>
      </c>
      <c r="C8" s="65" t="n">
        <f aca="false">Paths!D8</f>
        <v>0</v>
      </c>
      <c r="D8" s="49" t="n">
        <f aca="false">B8*Paths!C8</f>
        <v>-1307.85377716555</v>
      </c>
      <c r="E8" s="49" t="n">
        <f aca="false">Paths!E8*IF($A8&gt;=1896,mig_scale,1)*IF(AND($A8&gt;=1848,$A8&lt;=1860),dem01_mult,1)</f>
        <v>31500</v>
      </c>
      <c r="F8" s="49" t="n">
        <f aca="false">Paths!F8*IF($A8&gt;=1896,mig_scale,1)*IF(AND($A8&gt;=1848,$A8&lt;=1860),dem01_mult,1)</f>
        <v>0</v>
      </c>
      <c r="G8" s="49" t="n">
        <f aca="false">Paths!G8*IF($A8&gt;=1896,mig_scale,1)</f>
        <v>0</v>
      </c>
      <c r="H8" s="49" t="n">
        <f aca="false">Paths!H8*IF($A8&gt;=1896,mig_scale,1)</f>
        <v>0</v>
      </c>
      <c r="I8" s="49" t="n">
        <f aca="false">E8*Paths!I8+(F8+G8+H8)*dep_asia</f>
        <v>6300</v>
      </c>
      <c r="J8" s="65" t="n">
        <f aca="false">Labour!AL8</f>
        <v>0</v>
      </c>
      <c r="K8" s="49" t="n">
        <f aca="false">SUM(E8:H8)-I8+J8</f>
        <v>25200</v>
      </c>
      <c r="L8" s="49" t="n">
        <f aca="false">B8+C8+D8+K8</f>
        <v>195032.394477944</v>
      </c>
      <c r="M8" s="66" t="n">
        <f aca="false">IF(B8&gt;0,L8/B8-1,0)</f>
        <v>0.13960565364624</v>
      </c>
      <c r="N8" s="49" t="n">
        <f aca="false">N7*(1+Paths!C8)+F8*(1-dep_asia)+Labour!AL8*IF($A8&gt;=xo_year,xo_cn2,xo_cn1)</f>
        <v>0</v>
      </c>
      <c r="O8" s="49" t="n">
        <f aca="false">O7*(1+Paths!C8)+G8*(1-dep_asia)+Labour!AL8*IF($A8&gt;=xo_year,xo_jp2,xo_jp1)</f>
        <v>0</v>
      </c>
      <c r="P8" s="49" t="n">
        <f aca="false">P7*(1+Paths!C8)+H8*(1-dep_asia)+Labour!AL8*IF($A8&gt;=xo_year,xo_ph2,xo_ph1)</f>
        <v>0</v>
      </c>
      <c r="Q8" s="49" t="n">
        <f aca="false">0</f>
        <v>0</v>
      </c>
      <c r="R8" s="49" t="n">
        <f aca="false">0</f>
        <v>0</v>
      </c>
      <c r="S8" s="66" t="n">
        <f aca="false">(N8+O8+P8+Q8+R8)/L8</f>
        <v>0</v>
      </c>
      <c r="T8" s="49" t="n">
        <f aca="false">SUM(E8:H8)*Paths!J8</f>
        <v>6300</v>
      </c>
      <c r="U8" s="65" t="n">
        <f aca="false">Paths!K8</f>
        <v>0</v>
      </c>
      <c r="V8" s="49" t="n">
        <f aca="false">IF(Gulf!E8=1,Gulf!B8,0)</f>
        <v>0</v>
      </c>
      <c r="W8" s="49" t="n">
        <f aca="false">L8+V8</f>
        <v>195032.394477944</v>
      </c>
      <c r="X8" s="49" t="n">
        <f aca="false">W8+Labour!L8</f>
        <v>195032.394477944</v>
      </c>
      <c r="Y8" s="47" t="n">
        <v>0</v>
      </c>
      <c r="Z8" s="47" t="n">
        <v>145225</v>
      </c>
    </row>
    <row r="9" customFormat="false" ht="14.25" hidden="false" customHeight="true" outlineLevel="0" collapsed="false">
      <c r="A9" s="61" t="n">
        <v>1849</v>
      </c>
      <c r="B9" s="49" t="n">
        <f aca="false">L8</f>
        <v>195032.394477944</v>
      </c>
      <c r="C9" s="65" t="n">
        <f aca="false">Paths!D9</f>
        <v>0</v>
      </c>
      <c r="D9" s="49" t="n">
        <f aca="false">B9*Paths!C9</f>
        <v>-639.51122149318</v>
      </c>
      <c r="E9" s="49" t="n">
        <f aca="false">Paths!E9*IF($A9&gt;=1896,mig_scale,1)*IF(AND($A9&gt;=1848,$A9&lt;=1860),dem01_mult,1)</f>
        <v>126000</v>
      </c>
      <c r="F9" s="49" t="n">
        <f aca="false">Paths!F9*IF($A9&gt;=1896,mig_scale,1)*IF(AND($A9&gt;=1848,$A9&lt;=1860),dem01_mult,1)</f>
        <v>630</v>
      </c>
      <c r="G9" s="49" t="n">
        <f aca="false">Paths!G9*IF($A9&gt;=1896,mig_scale,1)</f>
        <v>0</v>
      </c>
      <c r="H9" s="49" t="n">
        <f aca="false">Paths!H9*IF($A9&gt;=1896,mig_scale,1)</f>
        <v>0</v>
      </c>
      <c r="I9" s="49" t="n">
        <f aca="false">E9*Paths!I9+(F9+G9+H9)*dep_asia</f>
        <v>44276.4</v>
      </c>
      <c r="J9" s="65" t="n">
        <f aca="false">Labour!AL9</f>
        <v>0</v>
      </c>
      <c r="K9" s="49" t="n">
        <f aca="false">SUM(E9:H9)-I9+J9</f>
        <v>82353.6</v>
      </c>
      <c r="L9" s="49" t="n">
        <f aca="false">B9+C9+D9+K9</f>
        <v>276746.483256451</v>
      </c>
      <c r="M9" s="66" t="n">
        <f aca="false">IF(B9&gt;0,L9/B9-1,0)</f>
        <v>0.418977006344182</v>
      </c>
      <c r="N9" s="49" t="n">
        <f aca="false">N8*(1+Paths!C9)+F9*(1-dep_asia)+Labour!AL9*IF($A9&gt;=xo_year,xo_cn2,xo_cn1)</f>
        <v>453.6</v>
      </c>
      <c r="O9" s="49" t="n">
        <f aca="false">O8*(1+Paths!C9)+G9*(1-dep_asia)+Labour!AL9*IF($A9&gt;=xo_year,xo_jp2,xo_jp1)</f>
        <v>0</v>
      </c>
      <c r="P9" s="49" t="n">
        <f aca="false">P8*(1+Paths!C9)+H9*(1-dep_asia)+Labour!AL9*IF($A9&gt;=xo_year,xo_ph2,xo_ph1)</f>
        <v>0</v>
      </c>
      <c r="Q9" s="49" t="n">
        <f aca="false">0</f>
        <v>0</v>
      </c>
      <c r="R9" s="49" t="n">
        <f aca="false">0</f>
        <v>0</v>
      </c>
      <c r="S9" s="66" t="n">
        <f aca="false">(N9+O9+P9+Q9+R9)/L9</f>
        <v>0.00163904521807298</v>
      </c>
      <c r="T9" s="49" t="n">
        <f aca="false">SUM(E9:H9)*Paths!J9</f>
        <v>25326</v>
      </c>
      <c r="U9" s="65" t="n">
        <f aca="false">Paths!K9</f>
        <v>0</v>
      </c>
      <c r="V9" s="49" t="n">
        <f aca="false">IF(Gulf!E9=1,Gulf!B9,0)</f>
        <v>0</v>
      </c>
      <c r="W9" s="49" t="n">
        <f aca="false">L9+V9</f>
        <v>276746.483256451</v>
      </c>
      <c r="X9" s="49" t="n">
        <f aca="false">W9+Labour!L9</f>
        <v>276746.483256451</v>
      </c>
      <c r="Y9" s="47" t="n">
        <v>0</v>
      </c>
      <c r="Z9" s="47" t="n">
        <v>143667</v>
      </c>
    </row>
    <row r="10" customFormat="false" ht="14.25" hidden="false" customHeight="true" outlineLevel="0" collapsed="false">
      <c r="A10" s="61" t="n">
        <v>1850</v>
      </c>
      <c r="B10" s="49" t="n">
        <f aca="false">L9</f>
        <v>276746.483256451</v>
      </c>
      <c r="C10" s="65" t="n">
        <f aca="false">Paths!D10</f>
        <v>0</v>
      </c>
      <c r="D10" s="49" t="n">
        <f aca="false">B10*Paths!C10</f>
        <v>1758.44715461149</v>
      </c>
      <c r="E10" s="49" t="n">
        <f aca="false">Paths!E10*IF($A10&gt;=1896,mig_scale,1)*IF(AND($A10&gt;=1848,$A10&lt;=1860),dem01_mult,1)</f>
        <v>105000</v>
      </c>
      <c r="F10" s="49" t="n">
        <f aca="false">Paths!F10*IF($A10&gt;=1896,mig_scale,1)*IF(AND($A10&gt;=1848,$A10&lt;=1860),dem01_mult,1)</f>
        <v>8400</v>
      </c>
      <c r="G10" s="49" t="n">
        <f aca="false">Paths!G10*IF($A10&gt;=1896,mig_scale,1)</f>
        <v>0</v>
      </c>
      <c r="H10" s="49" t="n">
        <f aca="false">Paths!H10*IF($A10&gt;=1896,mig_scale,1)</f>
        <v>0</v>
      </c>
      <c r="I10" s="49" t="n">
        <f aca="false">E10*Paths!I10+(F10+G10+H10)*dep_asia</f>
        <v>39102</v>
      </c>
      <c r="J10" s="65" t="n">
        <f aca="false">Labour!AL10</f>
        <v>0</v>
      </c>
      <c r="K10" s="49" t="n">
        <f aca="false">SUM(E10:H10)-I10+J10</f>
        <v>74298</v>
      </c>
      <c r="L10" s="49" t="n">
        <f aca="false">B10+C10+D10+K10</f>
        <v>352802.930411063</v>
      </c>
      <c r="M10" s="66" t="n">
        <f aca="false">IF(B10&gt;0,L10/B10-1,0)</f>
        <v>0.274823536182509</v>
      </c>
      <c r="N10" s="49" t="n">
        <f aca="false">N9*(1+Paths!C10)+F10*(1-dep_asia)+Labour!AL10*IF($A10&gt;=xo_year,xo_cn2,xo_cn1)</f>
        <v>6504.4821744</v>
      </c>
      <c r="O10" s="49" t="n">
        <f aca="false">O9*(1+Paths!C10)+G10*(1-dep_asia)+Labour!AL10*IF($A10&gt;=xo_year,xo_jp2,xo_jp1)</f>
        <v>0</v>
      </c>
      <c r="P10" s="49" t="n">
        <f aca="false">P9*(1+Paths!C10)+H10*(1-dep_asia)+Labour!AL10*IF($A10&gt;=xo_year,xo_ph2,xo_ph1)</f>
        <v>0</v>
      </c>
      <c r="Q10" s="49" t="n">
        <f aca="false">0</f>
        <v>0</v>
      </c>
      <c r="R10" s="49" t="n">
        <f aca="false">0</f>
        <v>0</v>
      </c>
      <c r="S10" s="66" t="n">
        <f aca="false">(N10+O10+P10+Q10+R10)/L10</f>
        <v>0.0184365877200096</v>
      </c>
      <c r="T10" s="49" t="n">
        <f aca="false">SUM(E10:H10)*Paths!J10</f>
        <v>22680</v>
      </c>
      <c r="U10" s="65" t="n">
        <f aca="false">Paths!K10</f>
        <v>0</v>
      </c>
      <c r="V10" s="49" t="n">
        <f aca="false">IF(Gulf!E10=1,Gulf!B10,0)</f>
        <v>0</v>
      </c>
      <c r="W10" s="49" t="n">
        <f aca="false">L10+V10</f>
        <v>352802.930411063</v>
      </c>
      <c r="X10" s="49" t="n">
        <f aca="false">W10+Labour!L10</f>
        <v>352802.930411063</v>
      </c>
      <c r="Y10" s="47" t="n">
        <v>0</v>
      </c>
      <c r="Z10" s="47" t="n">
        <v>142126</v>
      </c>
    </row>
    <row r="11" customFormat="false" ht="14.25" hidden="false" customHeight="true" outlineLevel="0" collapsed="false">
      <c r="A11" s="61" t="n">
        <v>1851</v>
      </c>
      <c r="B11" s="49" t="n">
        <f aca="false">L10</f>
        <v>352802.930411063</v>
      </c>
      <c r="C11" s="65" t="n">
        <f aca="false">Paths!D11</f>
        <v>0</v>
      </c>
      <c r="D11" s="49" t="n">
        <f aca="false">B11*Paths!C11</f>
        <v>3533.6741509972</v>
      </c>
      <c r="E11" s="49" t="n">
        <f aca="false">Paths!E11*IF($A11&gt;=1896,mig_scale,1)*IF(AND($A11&gt;=1848,$A11&lt;=1860),dem01_mult,1)</f>
        <v>84000</v>
      </c>
      <c r="F11" s="49" t="n">
        <f aca="false">Paths!F11*IF($A11&gt;=1896,mig_scale,1)*IF(AND($A11&gt;=1848,$A11&lt;=1860),dem01_mult,1)</f>
        <v>6300</v>
      </c>
      <c r="G11" s="49" t="n">
        <f aca="false">Paths!G11*IF($A11&gt;=1896,mig_scale,1)</f>
        <v>0</v>
      </c>
      <c r="H11" s="49" t="n">
        <f aca="false">Paths!H11*IF($A11&gt;=1896,mig_scale,1)</f>
        <v>0</v>
      </c>
      <c r="I11" s="49" t="n">
        <f aca="false">E11*Paths!I11+(F11+G11+H11)*dep_asia</f>
        <v>31164</v>
      </c>
      <c r="J11" s="65" t="n">
        <f aca="false">Labour!AL11</f>
        <v>0</v>
      </c>
      <c r="K11" s="49" t="n">
        <f aca="false">SUM(E11:H11)-I11+J11</f>
        <v>59136</v>
      </c>
      <c r="L11" s="49" t="n">
        <f aca="false">B11+C11+D11+K11</f>
        <v>415472.60456206</v>
      </c>
      <c r="M11" s="66" t="n">
        <f aca="false">IF(B11&gt;0,L11/B11-1,0)</f>
        <v>0.177633655361022</v>
      </c>
      <c r="N11" s="49" t="n">
        <f aca="false">N10*(1+Paths!C11)+F11*(1-dep_asia)+Labour!AL11*IF($A11&gt;=xo_year,xo_cn2,xo_cn1)</f>
        <v>11105.6310678588</v>
      </c>
      <c r="O11" s="49" t="n">
        <f aca="false">O10*(1+Paths!C11)+G11*(1-dep_asia)+Labour!AL11*IF($A11&gt;=xo_year,xo_jp2,xo_jp1)</f>
        <v>0</v>
      </c>
      <c r="P11" s="49" t="n">
        <f aca="false">P10*(1+Paths!C11)+H11*(1-dep_asia)+Labour!AL11*IF($A11&gt;=xo_year,xo_ph2,xo_ph1)</f>
        <v>0</v>
      </c>
      <c r="Q11" s="49" t="n">
        <f aca="false">0</f>
        <v>0</v>
      </c>
      <c r="R11" s="49" t="n">
        <f aca="false">0</f>
        <v>0</v>
      </c>
      <c r="S11" s="66" t="n">
        <f aca="false">(N11+O11+P11+Q11+R11)/L11</f>
        <v>0.0267301163684787</v>
      </c>
      <c r="T11" s="49" t="n">
        <f aca="false">SUM(E11:H11)*Paths!J11</f>
        <v>18060</v>
      </c>
      <c r="U11" s="65" t="n">
        <f aca="false">Paths!K11</f>
        <v>0</v>
      </c>
      <c r="V11" s="49" t="n">
        <f aca="false">IF(Gulf!E11=1,Gulf!B11,0)</f>
        <v>0</v>
      </c>
      <c r="W11" s="49" t="n">
        <f aca="false">L11+V11</f>
        <v>415472.60456206</v>
      </c>
      <c r="X11" s="49" t="n">
        <f aca="false">W11+Labour!L11</f>
        <v>415472.60456206</v>
      </c>
      <c r="Y11" s="47" t="n">
        <v>0</v>
      </c>
      <c r="Z11" s="47" t="n">
        <v>140601</v>
      </c>
    </row>
    <row r="12" customFormat="false" ht="14.25" hidden="false" customHeight="true" outlineLevel="0" collapsed="false">
      <c r="A12" s="61" t="n">
        <v>1852</v>
      </c>
      <c r="B12" s="49" t="n">
        <f aca="false">L11</f>
        <v>415472.60456206</v>
      </c>
      <c r="C12" s="65" t="n">
        <f aca="false">Paths!D12</f>
        <v>0</v>
      </c>
      <c r="D12" s="49" t="n">
        <f aca="false">B12*Paths!C12</f>
        <v>4858.95211035329</v>
      </c>
      <c r="E12" s="49" t="n">
        <f aca="false">Paths!E12*IF($A12&gt;=1896,mig_scale,1)*IF(AND($A12&gt;=1848,$A12&lt;=1860),dem01_mult,1)</f>
        <v>115500</v>
      </c>
      <c r="F12" s="49" t="n">
        <f aca="false">Paths!F12*IF($A12&gt;=1896,mig_scale,1)*IF(AND($A12&gt;=1848,$A12&lt;=1860),dem01_mult,1)</f>
        <v>42000</v>
      </c>
      <c r="G12" s="49" t="n">
        <f aca="false">Paths!G12*IF($A12&gt;=1896,mig_scale,1)</f>
        <v>0</v>
      </c>
      <c r="H12" s="49" t="n">
        <f aca="false">Paths!H12*IF($A12&gt;=1896,mig_scale,1)</f>
        <v>0</v>
      </c>
      <c r="I12" s="49" t="n">
        <f aca="false">E12*Paths!I12+(F12+G12+H12)*dep_asia</f>
        <v>52185</v>
      </c>
      <c r="J12" s="65" t="n">
        <f aca="false">Labour!AL12</f>
        <v>0</v>
      </c>
      <c r="K12" s="49" t="n">
        <f aca="false">SUM(E12:H12)-I12+J12</f>
        <v>105315</v>
      </c>
      <c r="L12" s="49" t="n">
        <f aca="false">B12+C12+D12+K12</f>
        <v>525646.556672413</v>
      </c>
      <c r="M12" s="66" t="n">
        <f aca="false">IF(B12&gt;0,L12/B12-1,0)</f>
        <v>0.265177416995966</v>
      </c>
      <c r="N12" s="49" t="n">
        <f aca="false">N11*(1+Paths!C12)+F12*(1-dep_asia)+Labour!AL12*IF($A12&gt;=xo_year,xo_cn2,xo_cn1)</f>
        <v>41475.5114231974</v>
      </c>
      <c r="O12" s="49" t="n">
        <f aca="false">O11*(1+Paths!C12)+G12*(1-dep_asia)+Labour!AL12*IF($A12&gt;=xo_year,xo_jp2,xo_jp1)</f>
        <v>0</v>
      </c>
      <c r="P12" s="49" t="n">
        <f aca="false">P11*(1+Paths!C12)+H12*(1-dep_asia)+Labour!AL12*IF($A12&gt;=xo_year,xo_ph2,xo_ph1)</f>
        <v>0</v>
      </c>
      <c r="Q12" s="49" t="n">
        <f aca="false">0</f>
        <v>0</v>
      </c>
      <c r="R12" s="49" t="n">
        <f aca="false">0</f>
        <v>0</v>
      </c>
      <c r="S12" s="66" t="n">
        <f aca="false">(N12+O12+P12+Q12+R12)/L12</f>
        <v>0.0789038012267343</v>
      </c>
      <c r="T12" s="49" t="n">
        <f aca="false">SUM(E12:H12)*Paths!J12</f>
        <v>63000</v>
      </c>
      <c r="U12" s="65" t="n">
        <f aca="false">Paths!K12</f>
        <v>0</v>
      </c>
      <c r="V12" s="49" t="n">
        <f aca="false">IF(Gulf!E12=1,Gulf!B12,0)</f>
        <v>0</v>
      </c>
      <c r="W12" s="49" t="n">
        <f aca="false">L12+V12</f>
        <v>525646.556672413</v>
      </c>
      <c r="X12" s="49" t="n">
        <f aca="false">W12+Labour!L12</f>
        <v>525646.556672413</v>
      </c>
      <c r="Y12" s="47" t="n">
        <v>0</v>
      </c>
      <c r="Z12" s="47" t="n">
        <v>139093</v>
      </c>
    </row>
    <row r="13" customFormat="false" ht="14.25" hidden="false" customHeight="true" outlineLevel="0" collapsed="false">
      <c r="A13" s="61" t="n">
        <v>1853</v>
      </c>
      <c r="B13" s="49" t="n">
        <f aca="false">L12</f>
        <v>525646.556672413</v>
      </c>
      <c r="C13" s="65" t="n">
        <f aca="false">Paths!D13</f>
        <v>0</v>
      </c>
      <c r="D13" s="49" t="n">
        <f aca="false">B13*Paths!C13</f>
        <v>9952.59190403547</v>
      </c>
      <c r="E13" s="49" t="n">
        <f aca="false">Paths!E13*IF($A13&gt;=1896,mig_scale,1)*IF(AND($A13&gt;=1848,$A13&lt;=1860),dem01_mult,1)</f>
        <v>84000</v>
      </c>
      <c r="F13" s="49" t="n">
        <f aca="false">Paths!F13*IF($A13&gt;=1896,mig_scale,1)*IF(AND($A13&gt;=1848,$A13&lt;=1860),dem01_mult,1)</f>
        <v>12600</v>
      </c>
      <c r="G13" s="49" t="n">
        <f aca="false">Paths!G13*IF($A13&gt;=1896,mig_scale,1)</f>
        <v>0</v>
      </c>
      <c r="H13" s="49" t="n">
        <f aca="false">Paths!H13*IF($A13&gt;=1896,mig_scale,1)</f>
        <v>0</v>
      </c>
      <c r="I13" s="49" t="n">
        <f aca="false">E13*Paths!I13+(F13+G13+H13)*dep_asia</f>
        <v>32928</v>
      </c>
      <c r="J13" s="65" t="n">
        <f aca="false">Labour!AL13</f>
        <v>0</v>
      </c>
      <c r="K13" s="49" t="n">
        <f aca="false">SUM(E13:H13)-I13+J13</f>
        <v>63672</v>
      </c>
      <c r="L13" s="49" t="n">
        <f aca="false">B13+C13+D13+K13</f>
        <v>599271.148576449</v>
      </c>
      <c r="M13" s="66" t="n">
        <f aca="false">IF(B13&gt;0,L13/B13-1,0)</f>
        <v>0.140064822967953</v>
      </c>
      <c r="N13" s="49" t="n">
        <f aca="false">N12*(1+Paths!C13)+F13*(1-dep_asia)+Labour!AL13*IF($A13&gt;=xo_year,xo_cn2,xo_cn1)</f>
        <v>51332.8087564842</v>
      </c>
      <c r="O13" s="49" t="n">
        <f aca="false">O12*(1+Paths!C13)+G13*(1-dep_asia)+Labour!AL13*IF($A13&gt;=xo_year,xo_jp2,xo_jp1)</f>
        <v>0</v>
      </c>
      <c r="P13" s="49" t="n">
        <f aca="false">P12*(1+Paths!C13)+H13*(1-dep_asia)+Labour!AL13*IF($A13&gt;=xo_year,xo_ph2,xo_ph1)</f>
        <v>0</v>
      </c>
      <c r="Q13" s="49" t="n">
        <f aca="false">0</f>
        <v>0</v>
      </c>
      <c r="R13" s="49" t="n">
        <f aca="false">0</f>
        <v>0</v>
      </c>
      <c r="S13" s="66" t="n">
        <f aca="false">(N13+O13+P13+Q13+R13)/L13</f>
        <v>0.0856587354128825</v>
      </c>
      <c r="T13" s="49" t="n">
        <f aca="false">SUM(E13:H13)*Paths!J13</f>
        <v>38640</v>
      </c>
      <c r="U13" s="65" t="n">
        <f aca="false">Paths!K13</f>
        <v>0</v>
      </c>
      <c r="V13" s="49" t="n">
        <f aca="false">IF(Gulf!E13=1,Gulf!B13,0)</f>
        <v>0</v>
      </c>
      <c r="W13" s="49" t="n">
        <f aca="false">L13+V13</f>
        <v>599271.148576449</v>
      </c>
      <c r="X13" s="49" t="n">
        <f aca="false">W13+Labour!L13</f>
        <v>599271.148576449</v>
      </c>
      <c r="Y13" s="47" t="n">
        <v>0</v>
      </c>
      <c r="Z13" s="47" t="n">
        <v>137601</v>
      </c>
    </row>
    <row r="14" customFormat="false" ht="14.25" hidden="false" customHeight="true" outlineLevel="0" collapsed="false">
      <c r="A14" s="61" t="n">
        <v>1854</v>
      </c>
      <c r="B14" s="49" t="n">
        <f aca="false">L13</f>
        <v>599271.148576449</v>
      </c>
      <c r="C14" s="65" t="n">
        <f aca="false">Paths!D14</f>
        <v>0</v>
      </c>
      <c r="D14" s="49" t="n">
        <f aca="false">B14*Paths!C14</f>
        <v>12289.2534438572</v>
      </c>
      <c r="E14" s="49" t="n">
        <f aca="false">Paths!E14*IF($A14&gt;=1896,mig_scale,1)*IF(AND($A14&gt;=1848,$A14&lt;=1860),dem01_mult,1)</f>
        <v>73500</v>
      </c>
      <c r="F14" s="49" t="n">
        <f aca="false">Paths!F14*IF($A14&gt;=1896,mig_scale,1)*IF(AND($A14&gt;=1848,$A14&lt;=1860),dem01_mult,1)</f>
        <v>12600</v>
      </c>
      <c r="G14" s="49" t="n">
        <f aca="false">Paths!G14*IF($A14&gt;=1896,mig_scale,1)</f>
        <v>0</v>
      </c>
      <c r="H14" s="49" t="n">
        <f aca="false">Paths!H14*IF($A14&gt;=1896,mig_scale,1)</f>
        <v>0</v>
      </c>
      <c r="I14" s="49" t="n">
        <f aca="false">E14*Paths!I14+(F14+G14+H14)*dep_asia</f>
        <v>29253</v>
      </c>
      <c r="J14" s="65" t="n">
        <f aca="false">Labour!AL14</f>
        <v>0</v>
      </c>
      <c r="K14" s="49" t="n">
        <f aca="false">SUM(E14:H14)-I14+J14</f>
        <v>56847</v>
      </c>
      <c r="L14" s="49" t="n">
        <f aca="false">B14+C14+D14+K14</f>
        <v>668407.402020306</v>
      </c>
      <c r="M14" s="66" t="n">
        <f aca="false">IF(B14&gt;0,L14/B14-1,0)</f>
        <v>0.115367231691511</v>
      </c>
      <c r="N14" s="49" t="n">
        <f aca="false">N13*(1+Paths!C14)+F14*(1-dep_asia)+Labour!AL14*IF($A14&gt;=xo_year,xo_cn2,xo_cn1)</f>
        <v>61457.4906656534</v>
      </c>
      <c r="O14" s="49" t="n">
        <f aca="false">O13*(1+Paths!C14)+G14*(1-dep_asia)+Labour!AL14*IF($A14&gt;=xo_year,xo_jp2,xo_jp1)</f>
        <v>0</v>
      </c>
      <c r="P14" s="49" t="n">
        <f aca="false">P13*(1+Paths!C14)+H14*(1-dep_asia)+Labour!AL14*IF($A14&gt;=xo_year,xo_ph2,xo_ph1)</f>
        <v>0</v>
      </c>
      <c r="Q14" s="49" t="n">
        <f aca="false">0</f>
        <v>0</v>
      </c>
      <c r="R14" s="49" t="n">
        <f aca="false">0</f>
        <v>0</v>
      </c>
      <c r="S14" s="66" t="n">
        <f aca="false">(N14+O14+P14+Q14+R14)/L14</f>
        <v>0.0919461551142224</v>
      </c>
      <c r="T14" s="49" t="n">
        <f aca="false">SUM(E14:H14)*Paths!J14</f>
        <v>34440</v>
      </c>
      <c r="U14" s="65" t="n">
        <f aca="false">Paths!K14</f>
        <v>0</v>
      </c>
      <c r="V14" s="49" t="n">
        <f aca="false">IF(Gulf!E14=1,Gulf!B14,0)</f>
        <v>0</v>
      </c>
      <c r="W14" s="49" t="n">
        <f aca="false">L14+V14</f>
        <v>668407.402020306</v>
      </c>
      <c r="X14" s="49" t="n">
        <f aca="false">W14+Labour!L14</f>
        <v>668407.402020306</v>
      </c>
      <c r="Y14" s="47" t="n">
        <v>0</v>
      </c>
      <c r="Z14" s="47" t="n">
        <v>136125</v>
      </c>
    </row>
    <row r="15" customFormat="false" ht="14.25" hidden="false" customHeight="true" outlineLevel="0" collapsed="false">
      <c r="A15" s="61" t="n">
        <v>1855</v>
      </c>
      <c r="B15" s="49" t="n">
        <f aca="false">L14</f>
        <v>668407.402020306</v>
      </c>
      <c r="C15" s="65" t="n">
        <f aca="false">Paths!D15</f>
        <v>0</v>
      </c>
      <c r="D15" s="49" t="n">
        <f aca="false">B15*Paths!C15</f>
        <v>14480.3779573679</v>
      </c>
      <c r="E15" s="49" t="n">
        <f aca="false">Paths!E15*IF($A15&gt;=1896,mig_scale,1)*IF(AND($A15&gt;=1848,$A15&lt;=1860),dem01_mult,1)</f>
        <v>63000</v>
      </c>
      <c r="F15" s="49" t="n">
        <f aca="false">Paths!F15*IF($A15&gt;=1896,mig_scale,1)*IF(AND($A15&gt;=1848,$A15&lt;=1860),dem01_mult,1)</f>
        <v>12600</v>
      </c>
      <c r="G15" s="49" t="n">
        <f aca="false">Paths!G15*IF($A15&gt;=1896,mig_scale,1)</f>
        <v>0</v>
      </c>
      <c r="H15" s="49" t="n">
        <f aca="false">Paths!H15*IF($A15&gt;=1896,mig_scale,1)</f>
        <v>0</v>
      </c>
      <c r="I15" s="49" t="n">
        <f aca="false">E15*Paths!I15+(F15+G15+H15)*dep_asia</f>
        <v>25578</v>
      </c>
      <c r="J15" s="65" t="n">
        <f aca="false">Labour!AL15</f>
        <v>0</v>
      </c>
      <c r="K15" s="49" t="n">
        <f aca="false">SUM(E15:H15)-I15+J15</f>
        <v>50022</v>
      </c>
      <c r="L15" s="49" t="n">
        <f aca="false">B15+C15+D15+K15</f>
        <v>732909.779977674</v>
      </c>
      <c r="M15" s="66" t="n">
        <f aca="false">IF(B15&gt;0,L15/B15-1,0)</f>
        <v>0.0965015913384639</v>
      </c>
      <c r="N15" s="49" t="n">
        <f aca="false">N14*(1+Paths!C15)+F15*(1-dep_asia)+Labour!AL15*IF($A15&gt;=xo_year,xo_cn2,xo_cn1)</f>
        <v>71860.9057434342</v>
      </c>
      <c r="O15" s="49" t="n">
        <f aca="false">O14*(1+Paths!C15)+G15*(1-dep_asia)+Labour!AL15*IF($A15&gt;=xo_year,xo_jp2,xo_jp1)</f>
        <v>0</v>
      </c>
      <c r="P15" s="49" t="n">
        <f aca="false">P14*(1+Paths!C15)+H15*(1-dep_asia)+Labour!AL15*IF($A15&gt;=xo_year,xo_ph2,xo_ph1)</f>
        <v>0</v>
      </c>
      <c r="Q15" s="49" t="n">
        <f aca="false">0</f>
        <v>0</v>
      </c>
      <c r="R15" s="49" t="n">
        <f aca="false">0</f>
        <v>0</v>
      </c>
      <c r="S15" s="66" t="n">
        <f aca="false">(N15+O15+P15+Q15+R15)/L15</f>
        <v>0.0980487744966689</v>
      </c>
      <c r="T15" s="49" t="n">
        <f aca="false">SUM(E15:H15)*Paths!J15</f>
        <v>30240</v>
      </c>
      <c r="U15" s="65" t="n">
        <f aca="false">Paths!K15</f>
        <v>0</v>
      </c>
      <c r="V15" s="49" t="n">
        <f aca="false">IF(Gulf!E15=1,Gulf!B15,0)</f>
        <v>0</v>
      </c>
      <c r="W15" s="49" t="n">
        <f aca="false">L15+V15</f>
        <v>732909.779977674</v>
      </c>
      <c r="X15" s="49" t="n">
        <f aca="false">W15+Labour!L15</f>
        <v>732909.779977674</v>
      </c>
      <c r="Y15" s="47" t="n">
        <v>0</v>
      </c>
      <c r="Z15" s="47" t="n">
        <v>134664</v>
      </c>
    </row>
    <row r="16" customFormat="false" ht="14.25" hidden="false" customHeight="true" outlineLevel="0" collapsed="false">
      <c r="A16" s="61" t="n">
        <v>1856</v>
      </c>
      <c r="B16" s="49" t="n">
        <f aca="false">L15</f>
        <v>732909.779977674</v>
      </c>
      <c r="C16" s="65" t="n">
        <f aca="false">Paths!D16</f>
        <v>72000</v>
      </c>
      <c r="D16" s="49" t="n">
        <f aca="false">B16*Paths!C16</f>
        <v>15273.8398147347</v>
      </c>
      <c r="E16" s="49" t="n">
        <f aca="false">Paths!E16*IF($A16&gt;=1896,mig_scale,1)*IF(AND($A16&gt;=1848,$A16&lt;=1860),dem01_mult,1)</f>
        <v>63000</v>
      </c>
      <c r="F16" s="49" t="n">
        <f aca="false">Paths!F16*IF($A16&gt;=1896,mig_scale,1)*IF(AND($A16&gt;=1848,$A16&lt;=1860),dem01_mult,1)</f>
        <v>12600</v>
      </c>
      <c r="G16" s="49" t="n">
        <f aca="false">Paths!G16*IF($A16&gt;=1896,mig_scale,1)</f>
        <v>0</v>
      </c>
      <c r="H16" s="49" t="n">
        <f aca="false">Paths!H16*IF($A16&gt;=1896,mig_scale,1)</f>
        <v>0</v>
      </c>
      <c r="I16" s="49" t="n">
        <f aca="false">E16*Paths!I16+(F16+G16+H16)*dep_asia</f>
        <v>16128</v>
      </c>
      <c r="J16" s="65" t="n">
        <f aca="false">Labour!AL16</f>
        <v>4837.20454785265</v>
      </c>
      <c r="K16" s="49" t="n">
        <f aca="false">SUM(E16:H16)-I16+J16</f>
        <v>64309.2045478527</v>
      </c>
      <c r="L16" s="49" t="n">
        <f aca="false">B16+C16+D16+K16</f>
        <v>884492.824340261</v>
      </c>
      <c r="M16" s="66" t="n">
        <f aca="false">IF(B16&gt;0,L16/B16-1,0)</f>
        <v>0.206823607084633</v>
      </c>
      <c r="N16" s="49" t="n">
        <f aca="false">N15*(1+Paths!C16)+F16*(1-dep_asia)+Labour!AL16*IF($A16&gt;=xo_year,xo_cn2,xo_cn1)</f>
        <v>82914.2074739126</v>
      </c>
      <c r="O16" s="49" t="n">
        <f aca="false">O15*(1+Paths!C16)+G16*(1-dep_asia)+Labour!AL16*IF($A16&gt;=xo_year,xo_jp2,xo_jp1)</f>
        <v>967.44090957053</v>
      </c>
      <c r="P16" s="49" t="n">
        <f aca="false">P15*(1+Paths!C16)+H16*(1-dep_asia)+Labour!AL16*IF($A16&gt;=xo_year,xo_ph2,xo_ph1)</f>
        <v>0</v>
      </c>
      <c r="Q16" s="49" t="n">
        <f aca="false">0</f>
        <v>0</v>
      </c>
      <c r="R16" s="49" t="n">
        <f aca="false">0</f>
        <v>0</v>
      </c>
      <c r="S16" s="66" t="n">
        <f aca="false">(N16+O16+P16+Q16+R16)/L16</f>
        <v>0.0948358721237225</v>
      </c>
      <c r="T16" s="49" t="n">
        <f aca="false">SUM(E16:H16)*Paths!J16</f>
        <v>30240</v>
      </c>
      <c r="U16" s="65" t="n">
        <f aca="false">Paths!K16</f>
        <v>0</v>
      </c>
      <c r="V16" s="49" t="n">
        <f aca="false">IF(Gulf!E16=1,Gulf!B16,0)</f>
        <v>0</v>
      </c>
      <c r="W16" s="49" t="n">
        <f aca="false">L16+V16</f>
        <v>884492.824340261</v>
      </c>
      <c r="X16" s="49" t="n">
        <f aca="false">W16+Labour!L16</f>
        <v>884492.824340261</v>
      </c>
      <c r="Y16" s="47" t="n">
        <v>68279</v>
      </c>
      <c r="Z16" s="47" t="n">
        <v>133220</v>
      </c>
    </row>
    <row r="17" customFormat="false" ht="14.25" hidden="false" customHeight="true" outlineLevel="0" collapsed="false">
      <c r="A17" s="61" t="n">
        <v>1857</v>
      </c>
      <c r="B17" s="49" t="n">
        <f aca="false">L16</f>
        <v>884492.824340261</v>
      </c>
      <c r="C17" s="65" t="n">
        <f aca="false">Paths!D17</f>
        <v>0</v>
      </c>
      <c r="D17" s="49" t="n">
        <f aca="false">B17*Paths!C17</f>
        <v>18464.6722009273</v>
      </c>
      <c r="E17" s="49" t="n">
        <f aca="false">Paths!E17*IF($A17&gt;=1896,mig_scale,1)*IF(AND($A17&gt;=1848,$A17&lt;=1860),dem01_mult,1)</f>
        <v>63000</v>
      </c>
      <c r="F17" s="49" t="n">
        <f aca="false">Paths!F17*IF($A17&gt;=1896,mig_scale,1)*IF(AND($A17&gt;=1848,$A17&lt;=1860),dem01_mult,1)</f>
        <v>12600</v>
      </c>
      <c r="G17" s="49" t="n">
        <f aca="false">Paths!G17*IF($A17&gt;=1896,mig_scale,1)</f>
        <v>0</v>
      </c>
      <c r="H17" s="49" t="n">
        <f aca="false">Paths!H17*IF($A17&gt;=1896,mig_scale,1)</f>
        <v>0</v>
      </c>
      <c r="I17" s="49" t="n">
        <f aca="false">E17*Paths!I17+(F17+G17+H17)*dep_asia</f>
        <v>16128</v>
      </c>
      <c r="J17" s="65" t="n">
        <f aca="false">Labour!AL17</f>
        <v>5910.21070886351</v>
      </c>
      <c r="K17" s="49" t="n">
        <f aca="false">SUM(E17:H17)-I17+J17</f>
        <v>65382.2107088635</v>
      </c>
      <c r="L17" s="49" t="n">
        <f aca="false">B17+C17+D17+K17</f>
        <v>968339.707250052</v>
      </c>
      <c r="M17" s="66" t="n">
        <f aca="false">IF(B17&gt;0,L17/B17-1,0)</f>
        <v>0.0947965665773849</v>
      </c>
      <c r="N17" s="49" t="n">
        <f aca="false">N16*(1+Paths!C17)+F17*(1-dep_asia)+Labour!AL17*IF($A17&gt;=xo_year,xo_cn2,xo_cn1)</f>
        <v>94308.1455400243</v>
      </c>
      <c r="O17" s="49" t="n">
        <f aca="false">O16*(1+Paths!C17)+G17*(1-dep_asia)+Labour!AL17*IF($A17&gt;=xo_year,xo_jp2,xo_jp1)</f>
        <v>2169.67934777143</v>
      </c>
      <c r="P17" s="49" t="n">
        <f aca="false">P16*(1+Paths!C17)+H17*(1-dep_asia)+Labour!AL17*IF($A17&gt;=xo_year,xo_ph2,xo_ph1)</f>
        <v>0</v>
      </c>
      <c r="Q17" s="49" t="n">
        <f aca="false">0</f>
        <v>0</v>
      </c>
      <c r="R17" s="49" t="n">
        <f aca="false">0</f>
        <v>0</v>
      </c>
      <c r="S17" s="66" t="n">
        <f aca="false">(N17+O17+P17+Q17+R17)/L17</f>
        <v>0.0996322098179565</v>
      </c>
      <c r="T17" s="49" t="n">
        <f aca="false">SUM(E17:H17)*Paths!J17</f>
        <v>30240</v>
      </c>
      <c r="U17" s="65" t="n">
        <f aca="false">Paths!K17</f>
        <v>0</v>
      </c>
      <c r="V17" s="49" t="n">
        <f aca="false">IF(Gulf!E17=1,Gulf!B17,0)</f>
        <v>0</v>
      </c>
      <c r="W17" s="49" t="n">
        <f aca="false">L17+V17</f>
        <v>968339.707250052</v>
      </c>
      <c r="X17" s="49" t="n">
        <f aca="false">W17+Labour!L17</f>
        <v>968339.707250052</v>
      </c>
      <c r="Y17" s="47" t="n">
        <v>67283</v>
      </c>
      <c r="Z17" s="47" t="n">
        <v>131791</v>
      </c>
    </row>
    <row r="18" customFormat="false" ht="14.25" hidden="false" customHeight="true" outlineLevel="0" collapsed="false">
      <c r="A18" s="61" t="n">
        <v>1858</v>
      </c>
      <c r="B18" s="49" t="n">
        <f aca="false">L17</f>
        <v>968339.707250052</v>
      </c>
      <c r="C18" s="65" t="n">
        <f aca="false">Paths!D18</f>
        <v>0</v>
      </c>
      <c r="D18" s="49" t="n">
        <f aca="false">B18*Paths!C18</f>
        <v>21376.0990375449</v>
      </c>
      <c r="E18" s="49" t="n">
        <f aca="false">Paths!E18*IF($A18&gt;=1896,mig_scale,1)*IF(AND($A18&gt;=1848,$A18&lt;=1860),dem01_mult,1)</f>
        <v>63000</v>
      </c>
      <c r="F18" s="49" t="n">
        <f aca="false">Paths!F18*IF($A18&gt;=1896,mig_scale,1)*IF(AND($A18&gt;=1848,$A18&lt;=1860),dem01_mult,1)</f>
        <v>12600</v>
      </c>
      <c r="G18" s="49" t="n">
        <f aca="false">Paths!G18*IF($A18&gt;=1896,mig_scale,1)</f>
        <v>0</v>
      </c>
      <c r="H18" s="49" t="n">
        <f aca="false">Paths!H18*IF($A18&gt;=1896,mig_scale,1)</f>
        <v>0</v>
      </c>
      <c r="I18" s="49" t="n">
        <f aca="false">E18*Paths!I18+(F18+G18+H18)*dep_asia</f>
        <v>16128</v>
      </c>
      <c r="J18" s="65" t="n">
        <f aca="false">Labour!AL18</f>
        <v>6552.67964790993</v>
      </c>
      <c r="K18" s="49" t="n">
        <f aca="false">SUM(E18:H18)-I18+J18</f>
        <v>66024.6796479099</v>
      </c>
      <c r="L18" s="49" t="n">
        <f aca="false">B18+C18+D18+K18</f>
        <v>1055740.48593551</v>
      </c>
      <c r="M18" s="66" t="n">
        <f aca="false">IF(B18&gt;0,L18/B18-1,0)</f>
        <v>0.0902583855965802</v>
      </c>
      <c r="N18" s="49" t="n">
        <f aca="false">N17*(1+Paths!C18)+F18*(1-dep_asia)+Labour!AL18*IF($A18&gt;=xo_year,xo_cn2,xo_cn1)</f>
        <v>106117.265817611</v>
      </c>
      <c r="O18" s="49" t="n">
        <f aca="false">O17*(1+Paths!C18)+G18*(1-dep_asia)+Labour!AL18*IF($A18&gt;=xo_year,xo_jp2,xo_jp1)</f>
        <v>3528.11094895547</v>
      </c>
      <c r="P18" s="49" t="n">
        <f aca="false">P17*(1+Paths!C18)+H18*(1-dep_asia)+Labour!AL18*IF($A18&gt;=xo_year,xo_ph2,xo_ph1)</f>
        <v>0</v>
      </c>
      <c r="Q18" s="49" t="n">
        <f aca="false">0</f>
        <v>0</v>
      </c>
      <c r="R18" s="49" t="n">
        <f aca="false">0</f>
        <v>0</v>
      </c>
      <c r="S18" s="66" t="n">
        <f aca="false">(N18+O18+P18+Q18+R18)/L18</f>
        <v>0.103856372117252</v>
      </c>
      <c r="T18" s="49" t="n">
        <f aca="false">SUM(E18:H18)*Paths!J18</f>
        <v>30240</v>
      </c>
      <c r="U18" s="65" t="n">
        <f aca="false">Paths!K18</f>
        <v>0</v>
      </c>
      <c r="V18" s="49" t="n">
        <f aca="false">IF(Gulf!E18=1,Gulf!B18,0)</f>
        <v>0</v>
      </c>
      <c r="W18" s="49" t="n">
        <f aca="false">L18+V18</f>
        <v>1055740.48593551</v>
      </c>
      <c r="X18" s="49" t="n">
        <f aca="false">W18+Labour!L18</f>
        <v>1055740.48593551</v>
      </c>
      <c r="Y18" s="47" t="n">
        <v>66301</v>
      </c>
      <c r="Z18" s="47" t="n">
        <v>130377</v>
      </c>
    </row>
    <row r="19" customFormat="false" ht="14.25" hidden="false" customHeight="true" outlineLevel="0" collapsed="false">
      <c r="A19" s="61" t="n">
        <v>1859</v>
      </c>
      <c r="B19" s="49" t="n">
        <f aca="false">L18</f>
        <v>1055740.48593551</v>
      </c>
      <c r="C19" s="65" t="n">
        <f aca="false">Paths!D19</f>
        <v>0</v>
      </c>
      <c r="D19" s="49" t="n">
        <f aca="false">B19*Paths!C19</f>
        <v>24248.2474809667</v>
      </c>
      <c r="E19" s="49" t="n">
        <f aca="false">Paths!E19*IF($A19&gt;=1896,mig_scale,1)*IF(AND($A19&gt;=1848,$A19&lt;=1860),dem01_mult,1)</f>
        <v>63000</v>
      </c>
      <c r="F19" s="49" t="n">
        <f aca="false">Paths!F19*IF($A19&gt;=1896,mig_scale,1)*IF(AND($A19&gt;=1848,$A19&lt;=1860),dem01_mult,1)</f>
        <v>12600</v>
      </c>
      <c r="G19" s="49" t="n">
        <f aca="false">Paths!G19*IF($A19&gt;=1896,mig_scale,1)</f>
        <v>0</v>
      </c>
      <c r="H19" s="49" t="n">
        <f aca="false">Paths!H19*IF($A19&gt;=1896,mig_scale,1)</f>
        <v>0</v>
      </c>
      <c r="I19" s="49" t="n">
        <f aca="false">E19*Paths!I19+(F19+G19+H19)*dep_asia</f>
        <v>16128</v>
      </c>
      <c r="J19" s="65" t="n">
        <f aca="false">Labour!AL19</f>
        <v>7073.75725345629</v>
      </c>
      <c r="K19" s="49" t="n">
        <f aca="false">SUM(E19:H19)-I19+J19</f>
        <v>66545.7572534563</v>
      </c>
      <c r="L19" s="49" t="n">
        <f aca="false">B19+C19+D19+K19</f>
        <v>1146534.49066993</v>
      </c>
      <c r="M19" s="66" t="n">
        <f aca="false">IF(B19&gt;0,L19/B19-1,0)</f>
        <v>0.0860003058933268</v>
      </c>
      <c r="N19" s="49" t="n">
        <f aca="false">N18*(1+Paths!C19)+F19*(1-dep_asia)+Labour!AL19*IF($A19&gt;=xo_year,xo_cn2,xo_cn1)</f>
        <v>118333.942904256</v>
      </c>
      <c r="O19" s="49" t="n">
        <f aca="false">O18*(1+Paths!C19)+G19*(1-dep_asia)+Labour!AL19*IF($A19&gt;=xo_year,xo_jp2,xo_jp1)</f>
        <v>5023.89605192234</v>
      </c>
      <c r="P19" s="49" t="n">
        <f aca="false">P18*(1+Paths!C19)+H19*(1-dep_asia)+Labour!AL19*IF($A19&gt;=xo_year,xo_ph2,xo_ph1)</f>
        <v>0</v>
      </c>
      <c r="Q19" s="49" t="n">
        <f aca="false">0</f>
        <v>0</v>
      </c>
      <c r="R19" s="49" t="n">
        <f aca="false">0</f>
        <v>0</v>
      </c>
      <c r="S19" s="66" t="n">
        <f aca="false">(N19+O19+P19+Q19+R19)/L19</f>
        <v>0.10759191281206</v>
      </c>
      <c r="T19" s="49" t="n">
        <f aca="false">SUM(E19:H19)*Paths!J19</f>
        <v>30240</v>
      </c>
      <c r="U19" s="65" t="n">
        <f aca="false">Paths!K19</f>
        <v>0</v>
      </c>
      <c r="V19" s="49" t="n">
        <f aca="false">IF(Gulf!E19=1,Gulf!B19,0)</f>
        <v>0</v>
      </c>
      <c r="W19" s="49" t="n">
        <f aca="false">L19+V19</f>
        <v>1146534.49066993</v>
      </c>
      <c r="X19" s="49" t="n">
        <f aca="false">W19+Labour!L19</f>
        <v>1146534.49066993</v>
      </c>
      <c r="Y19" s="47" t="n">
        <v>65334</v>
      </c>
      <c r="Z19" s="47" t="n">
        <v>128978</v>
      </c>
    </row>
    <row r="20" customFormat="false" ht="14.25" hidden="false" customHeight="true" outlineLevel="0" collapsed="false">
      <c r="A20" s="61" t="n">
        <v>1860</v>
      </c>
      <c r="B20" s="49" t="n">
        <f aca="false">L19</f>
        <v>1146534.49066993</v>
      </c>
      <c r="C20" s="65" t="n">
        <f aca="false">Paths!D20</f>
        <v>0</v>
      </c>
      <c r="D20" s="49" t="n">
        <f aca="false">B20*Paths!C20</f>
        <v>27030.6971520343</v>
      </c>
      <c r="E20" s="49" t="n">
        <f aca="false">Paths!E20*IF($A20&gt;=1896,mig_scale,1)*IF(AND($A20&gt;=1848,$A20&lt;=1860),dem01_mult,1)</f>
        <v>63000</v>
      </c>
      <c r="F20" s="49" t="n">
        <f aca="false">Paths!F20*IF($A20&gt;=1896,mig_scale,1)*IF(AND($A20&gt;=1848,$A20&lt;=1860),dem01_mult,1)</f>
        <v>16800</v>
      </c>
      <c r="G20" s="49" t="n">
        <f aca="false">Paths!G20*IF($A20&gt;=1896,mig_scale,1)</f>
        <v>0</v>
      </c>
      <c r="H20" s="49" t="n">
        <f aca="false">Paths!H20*IF($A20&gt;=1896,mig_scale,1)</f>
        <v>0</v>
      </c>
      <c r="I20" s="49" t="n">
        <f aca="false">E20*Paths!I20+(F20+G20+H20)*dep_asia</f>
        <v>17304</v>
      </c>
      <c r="J20" s="65" t="n">
        <f aca="false">Labour!AL20</f>
        <v>7189.43564523104</v>
      </c>
      <c r="K20" s="49" t="n">
        <f aca="false">SUM(E20:H20)-I20+J20</f>
        <v>69685.4356452311</v>
      </c>
      <c r="L20" s="49" t="n">
        <f aca="false">B20+C20+D20+K20</f>
        <v>1243250.62346719</v>
      </c>
      <c r="M20" s="66" t="n">
        <f aca="false">IF(B20&gt;0,L20/B20-1,0)</f>
        <v>0.0843551882514699</v>
      </c>
      <c r="N20" s="49" t="n">
        <f aca="false">N19*(1+Paths!C20)+F20*(1-dep_asia)+Labour!AL20*IF($A20&gt;=xo_year,xo_cn2,xo_cn1)</f>
        <v>133938.72750669</v>
      </c>
      <c r="O20" s="49" t="n">
        <f aca="false">O19*(1+Paths!C20)+G20*(1-dep_asia)+Labour!AL20*IF($A20&gt;=xo_year,xo_jp2,xo_jp1)</f>
        <v>6580.22655428867</v>
      </c>
      <c r="P20" s="49" t="n">
        <f aca="false">P19*(1+Paths!C20)+H20*(1-dep_asia)+Labour!AL20*IF($A20&gt;=xo_year,xo_ph2,xo_ph1)</f>
        <v>0</v>
      </c>
      <c r="Q20" s="49" t="n">
        <f aca="false">0</f>
        <v>0</v>
      </c>
      <c r="R20" s="49" t="n">
        <f aca="false">0</f>
        <v>0</v>
      </c>
      <c r="S20" s="66" t="n">
        <f aca="false">(N20+O20+P20+Q20+R20)/L20</f>
        <v>0.113025444273736</v>
      </c>
      <c r="T20" s="49" t="n">
        <f aca="false">SUM(E20:H20)*Paths!J20</f>
        <v>31920</v>
      </c>
      <c r="U20" s="65" t="n">
        <f aca="false">Paths!K20</f>
        <v>0</v>
      </c>
      <c r="V20" s="49" t="n">
        <f aca="false">IF(Gulf!E20=1,Gulf!B20,0)</f>
        <v>0</v>
      </c>
      <c r="W20" s="49" t="n">
        <f aca="false">L20+V20</f>
        <v>1243250.62346719</v>
      </c>
      <c r="X20" s="49" t="n">
        <f aca="false">W20+Labour!L20</f>
        <v>1243250.62346719</v>
      </c>
      <c r="Y20" s="47" t="n">
        <v>64381</v>
      </c>
      <c r="Z20" s="47" t="n">
        <v>127595</v>
      </c>
    </row>
    <row r="21" customFormat="false" ht="14.25" hidden="false" customHeight="true" outlineLevel="0" collapsed="false">
      <c r="A21" s="64" t="n">
        <v>1861</v>
      </c>
      <c r="B21" s="49" t="n">
        <f aca="false">L20</f>
        <v>1243250.62346719</v>
      </c>
      <c r="C21" s="65" t="n">
        <f aca="false">Paths!D21</f>
        <v>0</v>
      </c>
      <c r="D21" s="49" t="n">
        <f aca="false">B21*Paths!C21</f>
        <v>29162.92987467</v>
      </c>
      <c r="E21" s="49" t="n">
        <f aca="false">Paths!E21*IF($A21&gt;=1896,mig_scale,1)*IF(AND($A21&gt;=1848,$A21&lt;=1860),dem01_mult,1)</f>
        <v>35000</v>
      </c>
      <c r="F21" s="49" t="n">
        <f aca="false">Paths!F21*IF($A21&gt;=1896,mig_scale,1)*IF(AND($A21&gt;=1848,$A21&lt;=1860),dem01_mult,1)</f>
        <v>8000</v>
      </c>
      <c r="G21" s="49" t="n">
        <f aca="false">Paths!G21*IF($A21&gt;=1896,mig_scale,1)</f>
        <v>0</v>
      </c>
      <c r="H21" s="49" t="n">
        <f aca="false">Paths!H21*IF($A21&gt;=1896,mig_scale,1)</f>
        <v>0</v>
      </c>
      <c r="I21" s="49" t="n">
        <f aca="false">E21*Paths!I21+(F21+G21+H21)*dep_asia</f>
        <v>9240</v>
      </c>
      <c r="J21" s="65" t="n">
        <f aca="false">Labour!AL21</f>
        <v>7781.377342604</v>
      </c>
      <c r="K21" s="49" t="n">
        <f aca="false">SUM(E21:H21)-I21+J21</f>
        <v>41541.377342604</v>
      </c>
      <c r="L21" s="49" t="n">
        <f aca="false">B21+C21+D21+K21</f>
        <v>1313954.93068447</v>
      </c>
      <c r="M21" s="66" t="n">
        <f aca="false">IF(B21&gt;0,L21/B21-1,0)</f>
        <v>0.0568705182066129</v>
      </c>
      <c r="N21" s="49" t="n">
        <f aca="false">N20*(1+Paths!C21)+F21*(1-dep_asia)+Labour!AL21*IF($A21&gt;=xo_year,xo_cn2,xo_cn1)</f>
        <v>143618.665972075</v>
      </c>
      <c r="O21" s="49" t="n">
        <f aca="false">O20*(1+Paths!C21)+G21*(1-dep_asia)+Labour!AL21*IF($A21&gt;=xo_year,xo_jp2,xo_jp1)</f>
        <v>8290.85439709342</v>
      </c>
      <c r="P21" s="49" t="n">
        <f aca="false">P20*(1+Paths!C21)+H21*(1-dep_asia)+Labour!AL21*IF($A21&gt;=xo_year,xo_ph2,xo_ph1)</f>
        <v>0</v>
      </c>
      <c r="Q21" s="49" t="n">
        <f aca="false">0</f>
        <v>0</v>
      </c>
      <c r="R21" s="49" t="n">
        <f aca="false">0</f>
        <v>0</v>
      </c>
      <c r="S21" s="66" t="n">
        <f aca="false">(N21+O21+P21+Q21+R21)/L21</f>
        <v>0.115612428418709</v>
      </c>
      <c r="T21" s="49" t="n">
        <f aca="false">SUM(E21:H21)*Paths!J21</f>
        <v>17200</v>
      </c>
      <c r="U21" s="65" t="n">
        <f aca="false">Paths!K21</f>
        <v>0</v>
      </c>
      <c r="V21" s="49" t="n">
        <f aca="false">IF(Gulf!E21=1,Gulf!B21,0)</f>
        <v>0</v>
      </c>
      <c r="W21" s="49" t="n">
        <f aca="false">L21+V21</f>
        <v>1313954.93068447</v>
      </c>
      <c r="X21" s="49" t="n">
        <f aca="false">W21+Labour!L21</f>
        <v>1313954.93068447</v>
      </c>
      <c r="Y21" s="47" t="n">
        <v>63441</v>
      </c>
      <c r="Z21" s="47" t="n">
        <v>126226</v>
      </c>
    </row>
    <row r="22" customFormat="false" ht="14.25" hidden="false" customHeight="true" outlineLevel="0" collapsed="false">
      <c r="A22" s="64" t="n">
        <v>1862</v>
      </c>
      <c r="B22" s="49" t="n">
        <f aca="false">L21</f>
        <v>1313954.93068447</v>
      </c>
      <c r="C22" s="65" t="n">
        <f aca="false">Paths!D22</f>
        <v>177000</v>
      </c>
      <c r="D22" s="49" t="n">
        <f aca="false">B22*Paths!C22</f>
        <v>30301.1146565145</v>
      </c>
      <c r="E22" s="49" t="n">
        <f aca="false">Paths!E22*IF($A22&gt;=1896,mig_scale,1)*IF(AND($A22&gt;=1848,$A22&lt;=1860),dem01_mult,1)</f>
        <v>35000</v>
      </c>
      <c r="F22" s="49" t="n">
        <f aca="false">Paths!F22*IF($A22&gt;=1896,mig_scale,1)*IF(AND($A22&gt;=1848,$A22&lt;=1860),dem01_mult,1)</f>
        <v>8000</v>
      </c>
      <c r="G22" s="49" t="n">
        <f aca="false">Paths!G22*IF($A22&gt;=1896,mig_scale,1)</f>
        <v>0</v>
      </c>
      <c r="H22" s="49" t="n">
        <f aca="false">Paths!H22*IF($A22&gt;=1896,mig_scale,1)</f>
        <v>0</v>
      </c>
      <c r="I22" s="49" t="n">
        <f aca="false">E22*Paths!I22+(F22+G22+H22)*dep_asia</f>
        <v>9240</v>
      </c>
      <c r="J22" s="65" t="n">
        <f aca="false">Labour!AL22</f>
        <v>5905.94812151575</v>
      </c>
      <c r="K22" s="49" t="n">
        <f aca="false">SUM(E22:H22)-I22+J22</f>
        <v>39665.9481215157</v>
      </c>
      <c r="L22" s="49" t="n">
        <f aca="false">B22+C22+D22+K22</f>
        <v>1560921.9934625</v>
      </c>
      <c r="M22" s="66" t="n">
        <f aca="false">IF(B22&gt;0,L22/B22-1,0)</f>
        <v>0.187957027300304</v>
      </c>
      <c r="N22" s="49" t="n">
        <f aca="false">N21*(1+Paths!C22)+F22*(1-dep_asia)+Labour!AL22*IF($A22&gt;=xo_year,xo_cn2,xo_cn1)</f>
        <v>153281.250840208</v>
      </c>
      <c r="O22" s="49" t="n">
        <f aca="false">O21*(1+Paths!C22)+G22*(1-dep_asia)+Labour!AL22*IF($A22&gt;=xo_year,xo_jp2,xo_jp1)</f>
        <v>9663.23941464794</v>
      </c>
      <c r="P22" s="49" t="n">
        <f aca="false">P21*(1+Paths!C22)+H22*(1-dep_asia)+Labour!AL22*IF($A22&gt;=xo_year,xo_ph2,xo_ph1)</f>
        <v>0</v>
      </c>
      <c r="Q22" s="49" t="n">
        <f aca="false">0</f>
        <v>0</v>
      </c>
      <c r="R22" s="49" t="n">
        <f aca="false">0</f>
        <v>0</v>
      </c>
      <c r="S22" s="66" t="n">
        <f aca="false">(N22+O22+P22+Q22+R22)/L22</f>
        <v>0.104389899647327</v>
      </c>
      <c r="T22" s="49" t="n">
        <f aca="false">SUM(E22:H22)*Paths!J22</f>
        <v>17200</v>
      </c>
      <c r="U22" s="65" t="n">
        <f aca="false">Paths!K22</f>
        <v>0</v>
      </c>
      <c r="V22" s="49" t="n">
        <f aca="false">IF(Gulf!E22=1,Gulf!B22,0)</f>
        <v>0</v>
      </c>
      <c r="W22" s="49" t="n">
        <f aca="false">L22+V22</f>
        <v>1560921.9934625</v>
      </c>
      <c r="X22" s="49" t="n">
        <f aca="false">W22+Labour!L22</f>
        <v>1560921.9934625</v>
      </c>
      <c r="Y22" s="47" t="n">
        <v>62516</v>
      </c>
      <c r="Z22" s="47" t="n">
        <v>124872</v>
      </c>
    </row>
    <row r="23" customFormat="false" ht="14.25" hidden="false" customHeight="true" outlineLevel="0" collapsed="false">
      <c r="A23" s="64" t="n">
        <v>1863</v>
      </c>
      <c r="B23" s="49" t="n">
        <f aca="false">L22</f>
        <v>1560921.9934625</v>
      </c>
      <c r="C23" s="65" t="n">
        <f aca="false">Paths!D23</f>
        <v>85000</v>
      </c>
      <c r="D23" s="49" t="n">
        <f aca="false">B23*Paths!C23</f>
        <v>31180.9777414069</v>
      </c>
      <c r="E23" s="49" t="n">
        <f aca="false">Paths!E23*IF($A23&gt;=1896,mig_scale,1)*IF(AND($A23&gt;=1848,$A23&lt;=1860),dem01_mult,1)</f>
        <v>35000</v>
      </c>
      <c r="F23" s="49" t="n">
        <f aca="false">Paths!F23*IF($A23&gt;=1896,mig_scale,1)*IF(AND($A23&gt;=1848,$A23&lt;=1860),dem01_mult,1)</f>
        <v>8000</v>
      </c>
      <c r="G23" s="49" t="n">
        <f aca="false">Paths!G23*IF($A23&gt;=1896,mig_scale,1)</f>
        <v>0</v>
      </c>
      <c r="H23" s="49" t="n">
        <f aca="false">Paths!H23*IF($A23&gt;=1896,mig_scale,1)</f>
        <v>0</v>
      </c>
      <c r="I23" s="49" t="n">
        <f aca="false">E23*Paths!I23+(F23+G23+H23)*dep_asia</f>
        <v>9240</v>
      </c>
      <c r="J23" s="65" t="n">
        <f aca="false">Labour!AL23</f>
        <v>5349.52419389358</v>
      </c>
      <c r="K23" s="49" t="n">
        <f aca="false">SUM(E23:H23)-I23+J23</f>
        <v>39109.5241938936</v>
      </c>
      <c r="L23" s="49" t="n">
        <f aca="false">B23+C23+D23+K23</f>
        <v>1716212.4953978</v>
      </c>
      <c r="M23" s="66" t="n">
        <f aca="false">IF(B23&gt;0,L23/B23-1,0)</f>
        <v>0.0994863949548364</v>
      </c>
      <c r="N23" s="49" t="n">
        <f aca="false">N22*(1+Paths!C23)+F23*(1-dep_asia)+Labour!AL23*IF($A23&gt;=xo_year,xo_cn2,xo_cn1)</f>
        <v>162638.149526381</v>
      </c>
      <c r="O23" s="49" t="n">
        <f aca="false">O22*(1+Paths!C23)+G23*(1-dep_asia)+Labour!AL23*IF($A23&gt;=xo_year,xo_jp2,xo_jp1)</f>
        <v>10926.1771239737</v>
      </c>
      <c r="P23" s="49" t="n">
        <f aca="false">P22*(1+Paths!C23)+H23*(1-dep_asia)+Labour!AL23*IF($A23&gt;=xo_year,xo_ph2,xo_ph1)</f>
        <v>0</v>
      </c>
      <c r="Q23" s="49" t="n">
        <f aca="false">0</f>
        <v>0</v>
      </c>
      <c r="R23" s="49" t="n">
        <f aca="false">0</f>
        <v>0</v>
      </c>
      <c r="S23" s="66" t="n">
        <f aca="false">(N23+O23+P23+Q23+R23)/L23</f>
        <v>0.101132189117482</v>
      </c>
      <c r="T23" s="49" t="n">
        <f aca="false">SUM(E23:H23)*Paths!J23</f>
        <v>17200</v>
      </c>
      <c r="U23" s="65" t="n">
        <f aca="false">Paths!K23</f>
        <v>0</v>
      </c>
      <c r="V23" s="49" t="n">
        <f aca="false">IF(Gulf!E23=1,Gulf!B23,0)</f>
        <v>0</v>
      </c>
      <c r="W23" s="49" t="n">
        <f aca="false">L23+V23</f>
        <v>1716212.4953978</v>
      </c>
      <c r="X23" s="49" t="n">
        <f aca="false">W23+Labour!L23</f>
        <v>1716212.4953978</v>
      </c>
      <c r="Y23" s="47" t="n">
        <v>61604</v>
      </c>
      <c r="Z23" s="47" t="n">
        <v>123533</v>
      </c>
    </row>
    <row r="24" customFormat="false" ht="14.25" hidden="false" customHeight="true" outlineLevel="0" collapsed="false">
      <c r="A24" s="64" t="n">
        <v>1864</v>
      </c>
      <c r="B24" s="49" t="n">
        <f aca="false">L23</f>
        <v>1716212.4953978</v>
      </c>
      <c r="C24" s="65" t="n">
        <f aca="false">Paths!D24</f>
        <v>25000</v>
      </c>
      <c r="D24" s="49" t="n">
        <f aca="false">B24*Paths!C24</f>
        <v>31494.215503045</v>
      </c>
      <c r="E24" s="49" t="n">
        <f aca="false">Paths!E24*IF($A24&gt;=1896,mig_scale,1)*IF(AND($A24&gt;=1848,$A24&lt;=1860),dem01_mult,1)</f>
        <v>35000</v>
      </c>
      <c r="F24" s="49" t="n">
        <f aca="false">Paths!F24*IF($A24&gt;=1896,mig_scale,1)*IF(AND($A24&gt;=1848,$A24&lt;=1860),dem01_mult,1)</f>
        <v>8000</v>
      </c>
      <c r="G24" s="49" t="n">
        <f aca="false">Paths!G24*IF($A24&gt;=1896,mig_scale,1)</f>
        <v>0</v>
      </c>
      <c r="H24" s="49" t="n">
        <f aca="false">Paths!H24*IF($A24&gt;=1896,mig_scale,1)</f>
        <v>0</v>
      </c>
      <c r="I24" s="49" t="n">
        <f aca="false">E24*Paths!I24+(F24+G24+H24)*dep_asia</f>
        <v>9240</v>
      </c>
      <c r="J24" s="65" t="n">
        <f aca="false">Labour!AL24</f>
        <v>7980.3750213027</v>
      </c>
      <c r="K24" s="49" t="n">
        <f aca="false">SUM(E24:H24)-I24+J24</f>
        <v>41740.3750213027</v>
      </c>
      <c r="L24" s="49" t="n">
        <f aca="false">B24+C24+D24+K24</f>
        <v>1814447.08592215</v>
      </c>
      <c r="M24" s="66" t="n">
        <f aca="false">IF(B24&gt;0,L24/B24-1,0)</f>
        <v>0.0572391768430622</v>
      </c>
      <c r="N24" s="49" t="n">
        <f aca="false">N23*(1+Paths!C24)+F24*(1-dep_asia)+Labour!AL24*IF($A24&gt;=xo_year,xo_cn2,xo_cn1)</f>
        <v>172180.75971047</v>
      </c>
      <c r="O24" s="49" t="n">
        <f aca="false">O23*(1+Paths!C24)+G24*(1-dep_asia)+Labour!AL24*IF($A24&gt;=xo_year,xo_jp2,xo_jp1)</f>
        <v>12722.7584046362</v>
      </c>
      <c r="P24" s="49" t="n">
        <f aca="false">P23*(1+Paths!C24)+H24*(1-dep_asia)+Labour!AL24*IF($A24&gt;=xo_year,xo_ph2,xo_ph1)</f>
        <v>0</v>
      </c>
      <c r="Q24" s="49" t="n">
        <f aca="false">0</f>
        <v>0</v>
      </c>
      <c r="R24" s="49" t="n">
        <f aca="false">0</f>
        <v>0</v>
      </c>
      <c r="S24" s="66" t="n">
        <f aca="false">(N24+O24+P24+Q24+R24)/L24</f>
        <v>0.10190626089332</v>
      </c>
      <c r="T24" s="49" t="n">
        <f aca="false">SUM(E24:H24)*Paths!J24</f>
        <v>17200</v>
      </c>
      <c r="U24" s="65" t="n">
        <f aca="false">Paths!K24</f>
        <v>0</v>
      </c>
      <c r="V24" s="49" t="n">
        <f aca="false">IF(Gulf!E24=1,Gulf!B24,0)</f>
        <v>0</v>
      </c>
      <c r="W24" s="49" t="n">
        <f aca="false">L24+V24</f>
        <v>1814447.08592215</v>
      </c>
      <c r="X24" s="49" t="n">
        <f aca="false">W24+Labour!L24</f>
        <v>1814447.08592215</v>
      </c>
      <c r="Y24" s="47" t="n">
        <v>60705</v>
      </c>
      <c r="Z24" s="47" t="n">
        <v>122208</v>
      </c>
    </row>
    <row r="25" customFormat="false" ht="14.25" hidden="false" customHeight="true" outlineLevel="0" collapsed="false">
      <c r="A25" s="64" t="n">
        <v>1865</v>
      </c>
      <c r="B25" s="49" t="n">
        <f aca="false">L24</f>
        <v>1814447.08592215</v>
      </c>
      <c r="C25" s="65" t="n">
        <f aca="false">Paths!D25</f>
        <v>10000</v>
      </c>
      <c r="D25" s="49" t="n">
        <f aca="false">B25*Paths!C25</f>
        <v>31656.6583080837</v>
      </c>
      <c r="E25" s="49" t="n">
        <f aca="false">Paths!E25*IF($A25&gt;=1896,mig_scale,1)*IF(AND($A25&gt;=1848,$A25&lt;=1860),dem01_mult,1)</f>
        <v>35000</v>
      </c>
      <c r="F25" s="49" t="n">
        <f aca="false">Paths!F25*IF($A25&gt;=1896,mig_scale,1)*IF(AND($A25&gt;=1848,$A25&lt;=1860),dem01_mult,1)</f>
        <v>8000</v>
      </c>
      <c r="G25" s="49" t="n">
        <f aca="false">Paths!G25*IF($A25&gt;=1896,mig_scale,1)</f>
        <v>0</v>
      </c>
      <c r="H25" s="49" t="n">
        <f aca="false">Paths!H25*IF($A25&gt;=1896,mig_scale,1)</f>
        <v>0</v>
      </c>
      <c r="I25" s="49" t="n">
        <f aca="false">E25*Paths!I25+(F25+G25+H25)*dep_asia</f>
        <v>9240</v>
      </c>
      <c r="J25" s="65" t="n">
        <f aca="false">Labour!AL25</f>
        <v>10729.8389441319</v>
      </c>
      <c r="K25" s="49" t="n">
        <f aca="false">SUM(E25:H25)-I25+J25</f>
        <v>44489.8389441319</v>
      </c>
      <c r="L25" s="49" t="n">
        <f aca="false">B25+C25+D25+K25</f>
        <v>1900593.58317436</v>
      </c>
      <c r="M25" s="66" t="n">
        <f aca="false">IF(B25&gt;0,L25/B25-1,0)</f>
        <v>0.0474780983808265</v>
      </c>
      <c r="N25" s="49" t="n">
        <f aca="false">N24*(1+Paths!C25)+F25*(1-dep_asia)+Labour!AL25*IF($A25&gt;=xo_year,xo_cn2,xo_cn1)</f>
        <v>182017.781319552</v>
      </c>
      <c r="O25" s="49" t="n">
        <f aca="false">O24*(1+Paths!C25)+G25*(1-dep_asia)+Labour!AL25*IF($A25&gt;=xo_year,xo_jp2,xo_jp1)</f>
        <v>15090.7001593483</v>
      </c>
      <c r="P25" s="49" t="n">
        <f aca="false">P24*(1+Paths!C25)+H25*(1-dep_asia)+Labour!AL25*IF($A25&gt;=xo_year,xo_ph2,xo_ph1)</f>
        <v>0</v>
      </c>
      <c r="Q25" s="49" t="n">
        <f aca="false">0</f>
        <v>0</v>
      </c>
      <c r="R25" s="49" t="n">
        <f aca="false">0</f>
        <v>0</v>
      </c>
      <c r="S25" s="66" t="n">
        <f aca="false">(N25+O25+P25+Q25+R25)/L25</f>
        <v>0.103708906114315</v>
      </c>
      <c r="T25" s="49" t="n">
        <f aca="false">SUM(E25:H25)*Paths!J25</f>
        <v>17200</v>
      </c>
      <c r="U25" s="65" t="n">
        <f aca="false">Paths!K25</f>
        <v>0</v>
      </c>
      <c r="V25" s="49" t="n">
        <f aca="false">IF(Gulf!E25=1,Gulf!B25,0)</f>
        <v>0</v>
      </c>
      <c r="W25" s="49" t="n">
        <f aca="false">L25+V25</f>
        <v>1900593.58317436</v>
      </c>
      <c r="X25" s="49" t="n">
        <f aca="false">W25+Labour!L25</f>
        <v>1900593.58317436</v>
      </c>
      <c r="Y25" s="47" t="n">
        <v>59819</v>
      </c>
      <c r="Z25" s="47" t="n">
        <v>120897</v>
      </c>
    </row>
    <row r="26" customFormat="false" ht="14.25" hidden="false" customHeight="true" outlineLevel="0" collapsed="false">
      <c r="A26" s="61" t="n">
        <v>1866</v>
      </c>
      <c r="B26" s="49" t="n">
        <f aca="false">L25</f>
        <v>1900593.58317436</v>
      </c>
      <c r="C26" s="65" t="n">
        <f aca="false">Paths!D26</f>
        <v>0</v>
      </c>
      <c r="D26" s="49" t="n">
        <f aca="false">B26*Paths!C26</f>
        <v>31793.1294593407</v>
      </c>
      <c r="E26" s="49" t="n">
        <f aca="false">Paths!E26*IF($A26&gt;=1896,mig_scale,1)*IF(AND($A26&gt;=1848,$A26&lt;=1860),dem01_mult,1)</f>
        <v>80000</v>
      </c>
      <c r="F26" s="49" t="n">
        <f aca="false">Paths!F26*IF($A26&gt;=1896,mig_scale,1)*IF(AND($A26&gt;=1848,$A26&lt;=1860),dem01_mult,1)</f>
        <v>8000</v>
      </c>
      <c r="G26" s="49" t="n">
        <f aca="false">Paths!G26*IF($A26&gt;=1896,mig_scale,1)</f>
        <v>0</v>
      </c>
      <c r="H26" s="49" t="n">
        <f aca="false">Paths!H26*IF($A26&gt;=1896,mig_scale,1)</f>
        <v>0</v>
      </c>
      <c r="I26" s="49" t="n">
        <f aca="false">E26*Paths!I26+(F26+G26+H26)*dep_asia</f>
        <v>18240</v>
      </c>
      <c r="J26" s="65" t="n">
        <f aca="false">Labour!AL26</f>
        <v>12593.9580774819</v>
      </c>
      <c r="K26" s="49" t="n">
        <f aca="false">SUM(E26:H26)-I26+J26</f>
        <v>82353.9580774819</v>
      </c>
      <c r="L26" s="49" t="n">
        <f aca="false">B26+C26+D26+K26</f>
        <v>2014740.67071119</v>
      </c>
      <c r="M26" s="66" t="n">
        <f aca="false">IF(B26&gt;0,L26/B26-1,0)</f>
        <v>0.0600586514378181</v>
      </c>
      <c r="N26" s="49" t="n">
        <f aca="false">N25*(1+Paths!C26)+F26*(1-dep_asia)+Labour!AL26*IF($A26&gt;=xo_year,xo_cn2,xo_cn1)</f>
        <v>192081.970573214</v>
      </c>
      <c r="O26" s="49" t="n">
        <f aca="false">O25*(1+Paths!C26)+G26*(1-dep_asia)+Labour!AL26*IF($A26&gt;=xo_year,xo_jp2,xo_jp1)</f>
        <v>17861.9290071103</v>
      </c>
      <c r="P26" s="49" t="n">
        <f aca="false">P25*(1+Paths!C26)+H26*(1-dep_asia)+Labour!AL26*IF($A26&gt;=xo_year,xo_ph2,xo_ph1)</f>
        <v>0</v>
      </c>
      <c r="Q26" s="49" t="n">
        <f aca="false">0</f>
        <v>0</v>
      </c>
      <c r="R26" s="49" t="n">
        <f aca="false">0</f>
        <v>0</v>
      </c>
      <c r="S26" s="66" t="n">
        <f aca="false">(N26+O26+P26+Q26+R26)/L26</f>
        <v>0.104203931866931</v>
      </c>
      <c r="T26" s="49" t="n">
        <f aca="false">SUM(E26:H26)*Paths!J26</f>
        <v>35200</v>
      </c>
      <c r="U26" s="65" t="n">
        <f aca="false">Paths!K26</f>
        <v>0</v>
      </c>
      <c r="V26" s="49" t="n">
        <f aca="false">IF(Gulf!E26=1,Gulf!B26,0)</f>
        <v>0</v>
      </c>
      <c r="W26" s="49" t="n">
        <f aca="false">L26+V26</f>
        <v>2014740.67071119</v>
      </c>
      <c r="X26" s="49" t="n">
        <f aca="false">W26+Labour!L26</f>
        <v>2014740.67071119</v>
      </c>
      <c r="Y26" s="47" t="n">
        <v>58947</v>
      </c>
      <c r="Z26" s="47" t="n">
        <v>119600</v>
      </c>
    </row>
    <row r="27" customFormat="false" ht="14.25" hidden="false" customHeight="true" outlineLevel="0" collapsed="false">
      <c r="A27" s="61" t="n">
        <v>1867</v>
      </c>
      <c r="B27" s="49" t="n">
        <f aca="false">L26</f>
        <v>2014740.67071119</v>
      </c>
      <c r="C27" s="65" t="n">
        <f aca="false">Paths!D27</f>
        <v>50000</v>
      </c>
      <c r="D27" s="49" t="n">
        <f aca="false">B27*Paths!C27</f>
        <v>34337.2252509307</v>
      </c>
      <c r="E27" s="49" t="n">
        <f aca="false">Paths!E27*IF($A27&gt;=1896,mig_scale,1)*IF(AND($A27&gt;=1848,$A27&lt;=1860),dem01_mult,1)</f>
        <v>80000</v>
      </c>
      <c r="F27" s="49" t="n">
        <f aca="false">Paths!F27*IF($A27&gt;=1896,mig_scale,1)*IF(AND($A27&gt;=1848,$A27&lt;=1860),dem01_mult,1)</f>
        <v>8000</v>
      </c>
      <c r="G27" s="49" t="n">
        <f aca="false">Paths!G27*IF($A27&gt;=1896,mig_scale,1)</f>
        <v>0</v>
      </c>
      <c r="H27" s="49" t="n">
        <f aca="false">Paths!H27*IF($A27&gt;=1896,mig_scale,1)</f>
        <v>0</v>
      </c>
      <c r="I27" s="49" t="n">
        <f aca="false">E27*Paths!I27+(F27+G27+H27)*dep_asia</f>
        <v>18240</v>
      </c>
      <c r="J27" s="65" t="n">
        <f aca="false">Labour!AL27</f>
        <v>12644.951735885</v>
      </c>
      <c r="K27" s="49" t="n">
        <f aca="false">SUM(E27:H27)-I27+J27</f>
        <v>82404.951735885</v>
      </c>
      <c r="L27" s="49" t="n">
        <f aca="false">B27+C27+D27+K27</f>
        <v>2181482.847698</v>
      </c>
      <c r="M27" s="66" t="n">
        <f aca="false">IF(B27&gt;0,L27/B27-1,0)</f>
        <v>0.0827611113483688</v>
      </c>
      <c r="N27" s="49" t="n">
        <f aca="false">N26*(1+Paths!C27)+F27*(1-dep_asia)+Labour!AL27*IF($A27&gt;=xo_year,xo_cn2,xo_cn1)</f>
        <v>202380.118771282</v>
      </c>
      <c r="O27" s="49" t="n">
        <f aca="false">O26*(1+Paths!C27)+G27*(1-dep_asia)+Labour!AL27*IF($A27&gt;=xo_year,xo_jp2,xo_jp1)</f>
        <v>20695.3402103554</v>
      </c>
      <c r="P27" s="49" t="n">
        <f aca="false">P26*(1+Paths!C27)+H27*(1-dep_asia)+Labour!AL27*IF($A27&gt;=xo_year,xo_ph2,xo_ph1)</f>
        <v>0</v>
      </c>
      <c r="Q27" s="49" t="n">
        <f aca="false">0</f>
        <v>0</v>
      </c>
      <c r="R27" s="49" t="n">
        <f aca="false">0</f>
        <v>0</v>
      </c>
      <c r="S27" s="66" t="n">
        <f aca="false">(N27+O27+P27+Q27+R27)/L27</f>
        <v>0.102258635320941</v>
      </c>
      <c r="T27" s="49" t="n">
        <f aca="false">SUM(E27:H27)*Paths!J27</f>
        <v>35200</v>
      </c>
      <c r="U27" s="65" t="n">
        <f aca="false">Paths!K27</f>
        <v>0</v>
      </c>
      <c r="V27" s="49" t="n">
        <f aca="false">IF(Gulf!E27=1,Gulf!B27,0)</f>
        <v>0</v>
      </c>
      <c r="W27" s="49" t="n">
        <f aca="false">L27+V27</f>
        <v>2181482.847698</v>
      </c>
      <c r="X27" s="49" t="n">
        <f aca="false">W27+Labour!L27</f>
        <v>2181482.847698</v>
      </c>
      <c r="Y27" s="47" t="n">
        <v>58087</v>
      </c>
      <c r="Z27" s="47" t="n">
        <v>118317</v>
      </c>
    </row>
    <row r="28" customFormat="false" ht="14.25" hidden="false" customHeight="true" outlineLevel="0" collapsed="false">
      <c r="A28" s="61" t="n">
        <v>1868</v>
      </c>
      <c r="B28" s="49" t="n">
        <f aca="false">L27</f>
        <v>2181482.847698</v>
      </c>
      <c r="C28" s="65" t="n">
        <f aca="false">Paths!D28</f>
        <v>0</v>
      </c>
      <c r="D28" s="49" t="n">
        <f aca="false">B28*Paths!C28</f>
        <v>36288.9671714563</v>
      </c>
      <c r="E28" s="49" t="n">
        <f aca="false">Paths!E28*IF($A28&gt;=1896,mig_scale,1)*IF(AND($A28&gt;=1848,$A28&lt;=1860),dem01_mult,1)</f>
        <v>80000</v>
      </c>
      <c r="F28" s="49" t="n">
        <f aca="false">Paths!F28*IF($A28&gt;=1896,mig_scale,1)*IF(AND($A28&gt;=1848,$A28&lt;=1860),dem01_mult,1)</f>
        <v>15000</v>
      </c>
      <c r="G28" s="49" t="n">
        <f aca="false">Paths!G28*IF($A28&gt;=1896,mig_scale,1)</f>
        <v>0</v>
      </c>
      <c r="H28" s="49" t="n">
        <f aca="false">Paths!H28*IF($A28&gt;=1896,mig_scale,1)</f>
        <v>0</v>
      </c>
      <c r="I28" s="49" t="n">
        <f aca="false">E28*Paths!I28+(F28+G28+H28)*dep_asia</f>
        <v>20200</v>
      </c>
      <c r="J28" s="65" t="n">
        <f aca="false">Labour!AL28</f>
        <v>12314.5388540467</v>
      </c>
      <c r="K28" s="49" t="n">
        <f aca="false">SUM(E28:H28)-I28+J28</f>
        <v>87114.5388540467</v>
      </c>
      <c r="L28" s="49" t="n">
        <f aca="false">B28+C28+D28+K28</f>
        <v>2304886.3537235</v>
      </c>
      <c r="M28" s="66" t="n">
        <f aca="false">IF(B28&gt;0,L28/B28-1,0)</f>
        <v>0.0565686345669525</v>
      </c>
      <c r="N28" s="49" t="n">
        <f aca="false">N27*(1+Paths!C28)+F28*(1-dep_asia)+Labour!AL28*IF($A28&gt;=xo_year,xo_cn2,xo_cn1)</f>
        <v>217778.165932447</v>
      </c>
      <c r="O28" s="49" t="n">
        <f aca="false">O27*(1+Paths!C28)+G28*(1-dep_asia)+Labour!AL28*IF($A28&gt;=xo_year,xo_jp2,xo_jp1)</f>
        <v>23502.514965564</v>
      </c>
      <c r="P28" s="49" t="n">
        <f aca="false">P27*(1+Paths!C28)+H28*(1-dep_asia)+Labour!AL28*IF($A28&gt;=xo_year,xo_ph2,xo_ph1)</f>
        <v>0</v>
      </c>
      <c r="Q28" s="49" t="n">
        <f aca="false">0</f>
        <v>0</v>
      </c>
      <c r="R28" s="49" t="n">
        <f aca="false">0</f>
        <v>0</v>
      </c>
      <c r="S28" s="66" t="n">
        <f aca="false">(N28+O28+P28+Q28+R28)/L28</f>
        <v>0.104682246267034</v>
      </c>
      <c r="T28" s="49" t="n">
        <f aca="false">SUM(E28:H28)*Paths!J28</f>
        <v>38000</v>
      </c>
      <c r="U28" s="65" t="n">
        <f aca="false">Paths!K28</f>
        <v>0</v>
      </c>
      <c r="V28" s="49" t="n">
        <f aca="false">IF(Gulf!E28=1,Gulf!B28,0)</f>
        <v>0</v>
      </c>
      <c r="W28" s="49" t="n">
        <f aca="false">L28+V28</f>
        <v>2304886.3537235</v>
      </c>
      <c r="X28" s="49" t="n">
        <f aca="false">W28+Labour!L28</f>
        <v>2304886.3537235</v>
      </c>
      <c r="Y28" s="47" t="n">
        <v>57239</v>
      </c>
      <c r="Z28" s="47" t="n">
        <v>117048</v>
      </c>
    </row>
    <row r="29" customFormat="false" ht="14.25" hidden="false" customHeight="true" outlineLevel="0" collapsed="false">
      <c r="A29" s="61" t="n">
        <v>1869</v>
      </c>
      <c r="B29" s="49" t="n">
        <f aca="false">L28</f>
        <v>2304886.3537235</v>
      </c>
      <c r="C29" s="65" t="n">
        <f aca="false">Paths!D29</f>
        <v>0</v>
      </c>
      <c r="D29" s="49" t="n">
        <f aca="false">B29*Paths!C29</f>
        <v>38461.6385845841</v>
      </c>
      <c r="E29" s="49" t="n">
        <f aca="false">Paths!E29*IF($A29&gt;=1896,mig_scale,1)*IF(AND($A29&gt;=1848,$A29&lt;=1860),dem01_mult,1)</f>
        <v>80000</v>
      </c>
      <c r="F29" s="49" t="n">
        <f aca="false">Paths!F29*IF($A29&gt;=1896,mig_scale,1)*IF(AND($A29&gt;=1848,$A29&lt;=1860),dem01_mult,1)</f>
        <v>25000</v>
      </c>
      <c r="G29" s="49" t="n">
        <f aca="false">Paths!G29*IF($A29&gt;=1896,mig_scale,1)</f>
        <v>200</v>
      </c>
      <c r="H29" s="49" t="n">
        <f aca="false">Paths!H29*IF($A29&gt;=1896,mig_scale,1)</f>
        <v>0</v>
      </c>
      <c r="I29" s="49" t="n">
        <f aca="false">E29*Paths!I29+(F29+G29+H29)*dep_asia</f>
        <v>23056</v>
      </c>
      <c r="J29" s="65" t="n">
        <f aca="false">Labour!AL29</f>
        <v>13061.9705088242</v>
      </c>
      <c r="K29" s="49" t="n">
        <f aca="false">SUM(E29:H29)-I29+J29</f>
        <v>95205.9705088242</v>
      </c>
      <c r="L29" s="49" t="n">
        <f aca="false">B29+C29+D29+K29</f>
        <v>2438553.96281691</v>
      </c>
      <c r="M29" s="66" t="n">
        <f aca="false">IF(B29&gt;0,L29/B29-1,0)</f>
        <v>0.0579931452487756</v>
      </c>
      <c r="N29" s="49" t="n">
        <f aca="false">N28*(1+Paths!C29)+F29*(1-dep_asia)+Labour!AL29*IF($A29&gt;=xo_year,xo_cn2,xo_cn1)</f>
        <v>240718.427238244</v>
      </c>
      <c r="O29" s="49" t="n">
        <f aca="false">O28*(1+Paths!C29)+G29*(1-dep_asia)+Labour!AL29*IF($A29&gt;=xo_year,xo_jp2,xo_jp1)</f>
        <v>26651.0955345592</v>
      </c>
      <c r="P29" s="49" t="n">
        <f aca="false">P28*(1+Paths!C29)+H29*(1-dep_asia)+Labour!AL29*IF($A29&gt;=xo_year,xo_ph2,xo_ph1)</f>
        <v>0</v>
      </c>
      <c r="Q29" s="49" t="n">
        <f aca="false">0</f>
        <v>0</v>
      </c>
      <c r="R29" s="49" t="n">
        <f aca="false">0</f>
        <v>0</v>
      </c>
      <c r="S29" s="66" t="n">
        <f aca="false">(N29+O29+P29+Q29+R29)/L29</f>
        <v>0.109642651690164</v>
      </c>
      <c r="T29" s="49" t="n">
        <f aca="false">SUM(E29:H29)*Paths!J29</f>
        <v>42080</v>
      </c>
      <c r="U29" s="65" t="n">
        <f aca="false">Paths!K29</f>
        <v>0</v>
      </c>
      <c r="V29" s="49" t="n">
        <f aca="false">IF(Gulf!E29=1,Gulf!B29,0)</f>
        <v>0</v>
      </c>
      <c r="W29" s="49" t="n">
        <f aca="false">L29+V29</f>
        <v>2438553.96281691</v>
      </c>
      <c r="X29" s="49" t="n">
        <f aca="false">W29+Labour!L29</f>
        <v>2438553.96281691</v>
      </c>
      <c r="Y29" s="47" t="n">
        <v>56404</v>
      </c>
      <c r="Z29" s="47" t="n">
        <v>115792</v>
      </c>
    </row>
    <row r="30" customFormat="false" ht="14.25" hidden="false" customHeight="true" outlineLevel="0" collapsed="false">
      <c r="A30" s="64" t="n">
        <v>1870</v>
      </c>
      <c r="B30" s="49" t="n">
        <f aca="false">L29</f>
        <v>2438553.96281691</v>
      </c>
      <c r="C30" s="65" t="n">
        <f aca="false">Paths!D30</f>
        <v>0</v>
      </c>
      <c r="D30" s="49" t="n">
        <f aca="false">B30*Paths!C30</f>
        <v>40877.4800786999</v>
      </c>
      <c r="E30" s="49" t="n">
        <f aca="false">Paths!E30*IF($A30&gt;=1896,mig_scale,1)*IF(AND($A30&gt;=1848,$A30&lt;=1860),dem01_mult,1)</f>
        <v>80000</v>
      </c>
      <c r="F30" s="49" t="n">
        <f aca="false">Paths!F30*IF($A30&gt;=1896,mig_scale,1)*IF(AND($A30&gt;=1848,$A30&lt;=1860),dem01_mult,1)</f>
        <v>25000</v>
      </c>
      <c r="G30" s="49" t="n">
        <f aca="false">Paths!G30*IF($A30&gt;=1896,mig_scale,1)</f>
        <v>500</v>
      </c>
      <c r="H30" s="49" t="n">
        <f aca="false">Paths!H30*IF($A30&gt;=1896,mig_scale,1)</f>
        <v>0</v>
      </c>
      <c r="I30" s="49" t="n">
        <f aca="false">E30*Paths!I30+(F30+G30+H30)*dep_asia</f>
        <v>23140</v>
      </c>
      <c r="J30" s="65" t="n">
        <f aca="false">Labour!AL30</f>
        <v>17260.9543741773</v>
      </c>
      <c r="K30" s="49" t="n">
        <f aca="false">SUM(E30:H30)-I30+J30</f>
        <v>99620.9543741773</v>
      </c>
      <c r="L30" s="49" t="n">
        <f aca="false">B30+C30+D30+K30</f>
        <v>2579052.39726979</v>
      </c>
      <c r="M30" s="66" t="n">
        <f aca="false">IF(B30&gt;0,L30/B30-1,0)</f>
        <v>0.0576154707237151</v>
      </c>
      <c r="N30" s="49" t="n">
        <f aca="false">N29*(1+Paths!C30)+F30*(1-dep_asia)+Labour!AL30*IF($A30&gt;=xo_year,xo_cn2,xo_cn1)</f>
        <v>264479.685671456</v>
      </c>
      <c r="O30" s="49" t="n">
        <f aca="false">O29*(1+Paths!C30)+G30*(1-dep_asia)+Labour!AL30*IF($A30&gt;=xo_year,xo_jp2,xo_jp1)</f>
        <v>30910.0387238405</v>
      </c>
      <c r="P30" s="49" t="n">
        <f aca="false">P29*(1+Paths!C30)+H30*(1-dep_asia)+Labour!AL30*IF($A30&gt;=xo_year,xo_ph2,xo_ph1)</f>
        <v>0</v>
      </c>
      <c r="Q30" s="49" t="n">
        <f aca="false">0</f>
        <v>0</v>
      </c>
      <c r="R30" s="49" t="n">
        <f aca="false">0</f>
        <v>0</v>
      </c>
      <c r="S30" s="66" t="n">
        <f aca="false">(N30+O30+P30+Q30+R30)/L30</f>
        <v>0.11453420826502</v>
      </c>
      <c r="T30" s="49" t="n">
        <f aca="false">SUM(E30:H30)*Paths!J30</f>
        <v>42200</v>
      </c>
      <c r="U30" s="65" t="n">
        <f aca="false">Paths!K30</f>
        <v>0</v>
      </c>
      <c r="V30" s="49" t="n">
        <f aca="false">IF(Gulf!E30=1,Gulf!B30,0)</f>
        <v>0</v>
      </c>
      <c r="W30" s="49" t="n">
        <f aca="false">L30+V30</f>
        <v>2579052.39726979</v>
      </c>
      <c r="X30" s="49" t="n">
        <f aca="false">W30+Labour!L30</f>
        <v>2579052.39726979</v>
      </c>
      <c r="Y30" s="47" t="n">
        <v>55581</v>
      </c>
      <c r="Z30" s="47" t="n">
        <v>114550</v>
      </c>
    </row>
    <row r="31" customFormat="false" ht="14.25" hidden="false" customHeight="true" outlineLevel="0" collapsed="false">
      <c r="A31" s="64" t="n">
        <v>1871</v>
      </c>
      <c r="B31" s="49" t="n">
        <f aca="false">L30</f>
        <v>2579052.39726979</v>
      </c>
      <c r="C31" s="65" t="n">
        <f aca="false">Paths!D31</f>
        <v>0</v>
      </c>
      <c r="D31" s="49" t="n">
        <f aca="false">B31*Paths!C31</f>
        <v>42820.0069518703</v>
      </c>
      <c r="E31" s="49" t="n">
        <f aca="false">Paths!E31*IF($A31&gt;=1896,mig_scale,1)*IF(AND($A31&gt;=1848,$A31&lt;=1860),dem01_mult,1)</f>
        <v>80000</v>
      </c>
      <c r="F31" s="49" t="n">
        <f aca="false">Paths!F31*IF($A31&gt;=1896,mig_scale,1)*IF(AND($A31&gt;=1848,$A31&lt;=1860),dem01_mult,1)</f>
        <v>25000</v>
      </c>
      <c r="G31" s="49" t="n">
        <f aca="false">Paths!G31*IF($A31&gt;=1896,mig_scale,1)</f>
        <v>500</v>
      </c>
      <c r="H31" s="49" t="n">
        <f aca="false">Paths!H31*IF($A31&gt;=1896,mig_scale,1)</f>
        <v>0</v>
      </c>
      <c r="I31" s="49" t="n">
        <f aca="false">E31*Paths!I31+(F31+G31+H31)*dep_asia</f>
        <v>23140</v>
      </c>
      <c r="J31" s="65" t="n">
        <f aca="false">Labour!AL31</f>
        <v>21004.0295561707</v>
      </c>
      <c r="K31" s="49" t="n">
        <f aca="false">SUM(E31:H31)-I31+J31</f>
        <v>103364.029556171</v>
      </c>
      <c r="L31" s="49" t="n">
        <f aca="false">B31+C31+D31+K31</f>
        <v>2725236.43377783</v>
      </c>
      <c r="M31" s="66" t="n">
        <f aca="false">IF(B31&gt;0,L31/B31-1,0)</f>
        <v>0.056681297620317</v>
      </c>
      <c r="N31" s="49" t="n">
        <f aca="false">N30*(1+Paths!C31)+F31*(1-dep_asia)+Labour!AL31*IF($A31&gt;=xo_year,xo_cn2,xo_cn1)</f>
        <v>288971.244848276</v>
      </c>
      <c r="O31" s="49" t="n">
        <f aca="false">O30*(1+Paths!C31)+G31*(1-dep_asia)+Labour!AL31*IF($A31&gt;=xo_year,xo_jp2,xo_jp1)</f>
        <v>35984.0440080066</v>
      </c>
      <c r="P31" s="49" t="n">
        <f aca="false">P30*(1+Paths!C31)+H31*(1-dep_asia)+Labour!AL31*IF($A31&gt;=xo_year,xo_ph2,xo_ph1)</f>
        <v>0</v>
      </c>
      <c r="Q31" s="49" t="n">
        <f aca="false">0</f>
        <v>0</v>
      </c>
      <c r="R31" s="49" t="n">
        <f aca="false">0</f>
        <v>0</v>
      </c>
      <c r="S31" s="66" t="n">
        <f aca="false">(N31+O31+P31+Q31+R31)/L31</f>
        <v>0.119239301525782</v>
      </c>
      <c r="T31" s="49" t="n">
        <f aca="false">SUM(E31:H31)*Paths!J31</f>
        <v>42200</v>
      </c>
      <c r="U31" s="65" t="n">
        <f aca="false">Paths!K31</f>
        <v>0</v>
      </c>
      <c r="V31" s="49" t="n">
        <f aca="false">IF(Gulf!E31=1,Gulf!B31,0)</f>
        <v>0</v>
      </c>
      <c r="W31" s="49" t="n">
        <f aca="false">L31+V31</f>
        <v>2725236.43377783</v>
      </c>
      <c r="X31" s="49" t="n">
        <f aca="false">W31+Labour!L31</f>
        <v>2725236.43377783</v>
      </c>
      <c r="Y31" s="47" t="n">
        <v>54770</v>
      </c>
      <c r="Z31" s="47" t="n">
        <v>113382</v>
      </c>
    </row>
    <row r="32" customFormat="false" ht="14.25" hidden="false" customHeight="true" outlineLevel="0" collapsed="false">
      <c r="A32" s="61" t="n">
        <v>1872</v>
      </c>
      <c r="B32" s="49" t="n">
        <f aca="false">L31</f>
        <v>2725236.43377783</v>
      </c>
      <c r="C32" s="65" t="n">
        <f aca="false">Paths!D32</f>
        <v>0</v>
      </c>
      <c r="D32" s="49" t="n">
        <f aca="false">B32*Paths!C32</f>
        <v>44584.8680566053</v>
      </c>
      <c r="E32" s="49" t="n">
        <f aca="false">Paths!E32*IF($A32&gt;=1896,mig_scale,1)*IF(AND($A32&gt;=1848,$A32&lt;=1860),dem01_mult,1)</f>
        <v>80000</v>
      </c>
      <c r="F32" s="49" t="n">
        <f aca="false">Paths!F32*IF($A32&gt;=1896,mig_scale,1)*IF(AND($A32&gt;=1848,$A32&lt;=1860),dem01_mult,1)</f>
        <v>25000</v>
      </c>
      <c r="G32" s="49" t="n">
        <f aca="false">Paths!G32*IF($A32&gt;=1896,mig_scale,1)</f>
        <v>500</v>
      </c>
      <c r="H32" s="49" t="n">
        <f aca="false">Paths!H32*IF($A32&gt;=1896,mig_scale,1)</f>
        <v>0</v>
      </c>
      <c r="I32" s="49" t="n">
        <f aca="false">E32*Paths!I32+(F32+G32+H32)*dep_asia</f>
        <v>23140</v>
      </c>
      <c r="J32" s="65" t="n">
        <f aca="false">Labour!AL32</f>
        <v>20935.9661147811</v>
      </c>
      <c r="K32" s="49" t="n">
        <f aca="false">SUM(E32:H32)-I32+J32</f>
        <v>103295.966114781</v>
      </c>
      <c r="L32" s="49" t="n">
        <f aca="false">B32+C32+D32+K32</f>
        <v>2873117.26794922</v>
      </c>
      <c r="M32" s="66" t="n">
        <f aca="false">IF(B32&gt;0,L32/B32-1,0)</f>
        <v>0.0542634878715413</v>
      </c>
      <c r="N32" s="49" t="n">
        <f aca="false">N31*(1+Paths!C32)+F32*(1-dep_asia)+Labour!AL32*IF($A32&gt;=xo_year,xo_cn2,xo_cn1)</f>
        <v>313792.411025472</v>
      </c>
      <c r="O32" s="49" t="n">
        <f aca="false">O31*(1+Paths!C32)+G32*(1-dep_asia)+Labour!AL32*IF($A32&gt;=xo_year,xo_jp2,xo_jp1)</f>
        <v>41119.9361909338</v>
      </c>
      <c r="P32" s="49" t="n">
        <f aca="false">P31*(1+Paths!C32)+H32*(1-dep_asia)+Labour!AL32*IF($A32&gt;=xo_year,xo_ph2,xo_ph1)</f>
        <v>0</v>
      </c>
      <c r="Q32" s="49" t="n">
        <f aca="false">0</f>
        <v>0</v>
      </c>
      <c r="R32" s="49" t="n">
        <f aca="false">0</f>
        <v>0</v>
      </c>
      <c r="S32" s="66" t="n">
        <f aca="false">(N32+O32+P32+Q32+R32)/L32</f>
        <v>0.123528667338294</v>
      </c>
      <c r="T32" s="49" t="n">
        <f aca="false">SUM(E32:H32)*Paths!J32</f>
        <v>42200</v>
      </c>
      <c r="U32" s="65" t="n">
        <f aca="false">Paths!K32</f>
        <v>0</v>
      </c>
      <c r="V32" s="49" t="n">
        <f aca="false">IF(Gulf!E32=1,Gulf!B32,0)</f>
        <v>0</v>
      </c>
      <c r="W32" s="49" t="n">
        <f aca="false">L32+V32</f>
        <v>2873117.26794922</v>
      </c>
      <c r="X32" s="49" t="n">
        <f aca="false">W32+Labour!L32</f>
        <v>2873117.26794922</v>
      </c>
      <c r="Y32" s="47" t="n">
        <v>53971</v>
      </c>
      <c r="Z32" s="47" t="n">
        <v>112276</v>
      </c>
    </row>
    <row r="33" customFormat="false" ht="14.25" hidden="false" customHeight="true" outlineLevel="0" collapsed="false">
      <c r="A33" s="61" t="n">
        <v>1873</v>
      </c>
      <c r="B33" s="49" t="n">
        <f aca="false">L32</f>
        <v>2873117.26794922</v>
      </c>
      <c r="C33" s="65" t="n">
        <f aca="false">Paths!D33</f>
        <v>0</v>
      </c>
      <c r="D33" s="49" t="n">
        <f aca="false">B33*Paths!C33</f>
        <v>46133.6439714606</v>
      </c>
      <c r="E33" s="49" t="n">
        <f aca="false">Paths!E33*IF($A33&gt;=1896,mig_scale,1)*IF(AND($A33&gt;=1848,$A33&lt;=1860),dem01_mult,1)</f>
        <v>110000</v>
      </c>
      <c r="F33" s="49" t="n">
        <f aca="false">Paths!F33*IF($A33&gt;=1896,mig_scale,1)*IF(AND($A33&gt;=1848,$A33&lt;=1860),dem01_mult,1)</f>
        <v>25000</v>
      </c>
      <c r="G33" s="49" t="n">
        <f aca="false">Paths!G33*IF($A33&gt;=1896,mig_scale,1)</f>
        <v>500</v>
      </c>
      <c r="H33" s="49" t="n">
        <f aca="false">Paths!H33*IF($A33&gt;=1896,mig_scale,1)</f>
        <v>0</v>
      </c>
      <c r="I33" s="49" t="n">
        <f aca="false">E33*Paths!I33+(F33+G33+H33)*dep_asia</f>
        <v>29140</v>
      </c>
      <c r="J33" s="65" t="n">
        <f aca="false">Labour!AL33</f>
        <v>22926.5377220145</v>
      </c>
      <c r="K33" s="49" t="n">
        <f aca="false">SUM(E33:H33)-I33+J33</f>
        <v>129286.537722014</v>
      </c>
      <c r="L33" s="49" t="n">
        <f aca="false">B33+C33+D33+K33</f>
        <v>3048537.44964269</v>
      </c>
      <c r="M33" s="66" t="n">
        <f aca="false">IF(B33&gt;0,L33/B33-1,0)</f>
        <v>0.0610556985091968</v>
      </c>
      <c r="N33" s="49" t="n">
        <f aca="false">N32*(1+Paths!C33)+F33*(1-dep_asia)+Labour!AL33*IF($A33&gt;=xo_year,xo_cn2,xo_cn1)</f>
        <v>339123.62954151</v>
      </c>
      <c r="O33" s="49" t="n">
        <f aca="false">O32*(1+Paths!C33)+G33*(1-dep_asia)+Labour!AL33*IF($A33&gt;=xo_year,xo_jp2,xo_jp1)</f>
        <v>46725.5065507545</v>
      </c>
      <c r="P33" s="49" t="n">
        <f aca="false">P32*(1+Paths!C33)+H33*(1-dep_asia)+Labour!AL33*IF($A33&gt;=xo_year,xo_ph2,xo_ph1)</f>
        <v>0</v>
      </c>
      <c r="Q33" s="49" t="n">
        <f aca="false">0</f>
        <v>0</v>
      </c>
      <c r="R33" s="49" t="n">
        <f aca="false">0</f>
        <v>0</v>
      </c>
      <c r="S33" s="66" t="n">
        <f aca="false">(N33+O33+P33+Q33+R33)/L33</f>
        <v>0.126568606246739</v>
      </c>
      <c r="T33" s="49" t="n">
        <f aca="false">SUM(E33:H33)*Paths!J33</f>
        <v>54200</v>
      </c>
      <c r="U33" s="65" t="n">
        <f aca="false">Paths!K33</f>
        <v>0</v>
      </c>
      <c r="V33" s="49" t="n">
        <f aca="false">IF(Gulf!E33=1,Gulf!B33,0)</f>
        <v>0</v>
      </c>
      <c r="W33" s="49" t="n">
        <f aca="false">L33+V33</f>
        <v>3048537.44964269</v>
      </c>
      <c r="X33" s="49" t="n">
        <f aca="false">W33+Labour!L33</f>
        <v>3048537.44964269</v>
      </c>
      <c r="Y33" s="47" t="n">
        <v>53184</v>
      </c>
      <c r="Z33" s="47" t="n">
        <v>111231</v>
      </c>
    </row>
    <row r="34" customFormat="false" ht="14.25" hidden="false" customHeight="true" outlineLevel="0" collapsed="false">
      <c r="A34" s="61" t="n">
        <v>1874</v>
      </c>
      <c r="B34" s="49" t="n">
        <f aca="false">L33</f>
        <v>3048537.44964269</v>
      </c>
      <c r="C34" s="65" t="n">
        <f aca="false">Paths!D34</f>
        <v>0</v>
      </c>
      <c r="D34" s="49" t="n">
        <f aca="false">B34*Paths!C34</f>
        <v>48986.9482783084</v>
      </c>
      <c r="E34" s="49" t="n">
        <f aca="false">Paths!E34*IF($A34&gt;=1896,mig_scale,1)*IF(AND($A34&gt;=1848,$A34&lt;=1860),dem01_mult,1)</f>
        <v>110000</v>
      </c>
      <c r="F34" s="49" t="n">
        <f aca="false">Paths!F34*IF($A34&gt;=1896,mig_scale,1)*IF(AND($A34&gt;=1848,$A34&lt;=1860),dem01_mult,1)</f>
        <v>25000</v>
      </c>
      <c r="G34" s="49" t="n">
        <f aca="false">Paths!G34*IF($A34&gt;=1896,mig_scale,1)</f>
        <v>500</v>
      </c>
      <c r="H34" s="49" t="n">
        <f aca="false">Paths!H34*IF($A34&gt;=1896,mig_scale,1)</f>
        <v>0</v>
      </c>
      <c r="I34" s="49" t="n">
        <f aca="false">E34*Paths!I34+(F34+G34+H34)*dep_asia</f>
        <v>29140</v>
      </c>
      <c r="J34" s="65" t="n">
        <f aca="false">Labour!AL34</f>
        <v>23706.1343078875</v>
      </c>
      <c r="K34" s="49" t="n">
        <f aca="false">SUM(E34:H34)-I34+J34</f>
        <v>130066.134307887</v>
      </c>
      <c r="L34" s="49" t="n">
        <f aca="false">B34+C34+D34+K34</f>
        <v>3227590.53222889</v>
      </c>
      <c r="M34" s="66" t="n">
        <f aca="false">IF(B34&gt;0,L34/B34-1,0)</f>
        <v>0.0587340931656202</v>
      </c>
      <c r="N34" s="49" t="n">
        <f aca="false">N33*(1+Paths!C34)+F34*(1-dep_asia)+Labour!AL34*IF($A34&gt;=xo_year,xo_cn2,xo_cn1)</f>
        <v>364943.620575401</v>
      </c>
      <c r="O34" s="49" t="n">
        <f aca="false">O33*(1+Paths!C34)+G34*(1-dep_asia)+Labour!AL34*IF($A34&gt;=xo_year,xo_jp2,xo_jp1)</f>
        <v>52577.565577096</v>
      </c>
      <c r="P34" s="49" t="n">
        <f aca="false">P33*(1+Paths!C34)+H34*(1-dep_asia)+Labour!AL34*IF($A34&gt;=xo_year,xo_ph2,xo_ph1)</f>
        <v>0</v>
      </c>
      <c r="Q34" s="49" t="n">
        <f aca="false">0</f>
        <v>0</v>
      </c>
      <c r="R34" s="49" t="n">
        <f aca="false">0</f>
        <v>0</v>
      </c>
      <c r="S34" s="66" t="n">
        <f aca="false">(N34+O34+P34+Q34+R34)/L34</f>
        <v>0.129360023207209</v>
      </c>
      <c r="T34" s="49" t="n">
        <f aca="false">SUM(E34:H34)*Paths!J34</f>
        <v>54200</v>
      </c>
      <c r="U34" s="65" t="n">
        <f aca="false">Paths!K34</f>
        <v>0</v>
      </c>
      <c r="V34" s="49" t="n">
        <f aca="false">IF(Gulf!E34=1,Gulf!B34,0)</f>
        <v>0</v>
      </c>
      <c r="W34" s="49" t="n">
        <f aca="false">L34+V34</f>
        <v>3227590.53222889</v>
      </c>
      <c r="X34" s="49" t="n">
        <f aca="false">W34+Labour!L34</f>
        <v>3227590.53222889</v>
      </c>
      <c r="Y34" s="47" t="n">
        <v>52408</v>
      </c>
      <c r="Z34" s="47" t="n">
        <v>110244</v>
      </c>
    </row>
    <row r="35" customFormat="false" ht="14.25" hidden="false" customHeight="true" outlineLevel="0" collapsed="false">
      <c r="A35" s="61" t="n">
        <v>1875</v>
      </c>
      <c r="B35" s="49" t="n">
        <f aca="false">L34</f>
        <v>3227590.53222889</v>
      </c>
      <c r="C35" s="65" t="n">
        <f aca="false">Paths!D35</f>
        <v>0</v>
      </c>
      <c r="D35" s="49" t="n">
        <f aca="false">B35*Paths!C35</f>
        <v>51409.0619973417</v>
      </c>
      <c r="E35" s="49" t="n">
        <f aca="false">Paths!E35*IF($A35&gt;=1896,mig_scale,1)*IF(AND($A35&gt;=1848,$A35&lt;=1860),dem01_mult,1)</f>
        <v>110000</v>
      </c>
      <c r="F35" s="49" t="n">
        <f aca="false">Paths!F35*IF($A35&gt;=1896,mig_scale,1)*IF(AND($A35&gt;=1848,$A35&lt;=1860),dem01_mult,1)</f>
        <v>25000</v>
      </c>
      <c r="G35" s="49" t="n">
        <f aca="false">Paths!G35*IF($A35&gt;=1896,mig_scale,1)</f>
        <v>500</v>
      </c>
      <c r="H35" s="49" t="n">
        <f aca="false">Paths!H35*IF($A35&gt;=1896,mig_scale,1)</f>
        <v>0</v>
      </c>
      <c r="I35" s="49" t="n">
        <f aca="false">E35*Paths!I35+(F35+G35+H35)*dep_asia</f>
        <v>29140</v>
      </c>
      <c r="J35" s="65" t="n">
        <f aca="false">Labour!AL35</f>
        <v>24800.8410683082</v>
      </c>
      <c r="K35" s="49" t="n">
        <f aca="false">SUM(E35:H35)-I35+J35</f>
        <v>131160.841068308</v>
      </c>
      <c r="L35" s="49" t="n">
        <f aca="false">B35+C35+D35+K35</f>
        <v>3410160.43529454</v>
      </c>
      <c r="M35" s="66" t="n">
        <f aca="false">IF(B35&gt;0,L35/B35-1,0)</f>
        <v>0.0565653856158677</v>
      </c>
      <c r="N35" s="49" t="n">
        <f aca="false">N34*(1+Paths!C35)+F35*(1-dep_asia)+Labour!AL35*IF($A35&gt;=xo_year,xo_cn2,xo_cn1)</f>
        <v>391236.526670757</v>
      </c>
      <c r="O35" s="49" t="n">
        <f aca="false">O34*(1+Paths!C35)+G35*(1-dep_asia)+Labour!AL35*IF($A35&gt;=xo_year,xo_jp2,xo_jp1)</f>
        <v>58735.1892552697</v>
      </c>
      <c r="P35" s="49" t="n">
        <f aca="false">P34*(1+Paths!C35)+H35*(1-dep_asia)+Labour!AL35*IF($A35&gt;=xo_year,xo_ph2,xo_ph1)</f>
        <v>0</v>
      </c>
      <c r="Q35" s="49" t="n">
        <f aca="false">0</f>
        <v>0</v>
      </c>
      <c r="R35" s="49" t="n">
        <f aca="false">0</f>
        <v>0</v>
      </c>
      <c r="S35" s="66" t="n">
        <f aca="false">(N35+O35+P35+Q35+R35)/L35</f>
        <v>0.131950306873806</v>
      </c>
      <c r="T35" s="49" t="n">
        <f aca="false">SUM(E35:H35)*Paths!J35</f>
        <v>54200</v>
      </c>
      <c r="U35" s="65" t="n">
        <f aca="false">Paths!K35</f>
        <v>0</v>
      </c>
      <c r="V35" s="49" t="n">
        <f aca="false">IF(Gulf!E35=1,Gulf!B35,0)</f>
        <v>0</v>
      </c>
      <c r="W35" s="49" t="n">
        <f aca="false">L35+V35</f>
        <v>3410160.43529454</v>
      </c>
      <c r="X35" s="49" t="n">
        <f aca="false">W35+Labour!L35</f>
        <v>3410160.43529454</v>
      </c>
      <c r="Y35" s="47" t="n">
        <v>51643</v>
      </c>
      <c r="Z35" s="47" t="n">
        <v>109307</v>
      </c>
    </row>
    <row r="36" customFormat="false" ht="14.25" hidden="false" customHeight="true" outlineLevel="0" collapsed="false">
      <c r="A36" s="61" t="n">
        <v>1876</v>
      </c>
      <c r="B36" s="49" t="n">
        <f aca="false">L35</f>
        <v>3410160.43529454</v>
      </c>
      <c r="C36" s="65" t="n">
        <f aca="false">Paths!D36</f>
        <v>0</v>
      </c>
      <c r="D36" s="49" t="n">
        <f aca="false">B36*Paths!C36</f>
        <v>53573.6204384772</v>
      </c>
      <c r="E36" s="49" t="n">
        <f aca="false">Paths!E36*IF($A36&gt;=1896,mig_scale,1)*IF(AND($A36&gt;=1848,$A36&lt;=1860),dem01_mult,1)</f>
        <v>110000</v>
      </c>
      <c r="F36" s="49" t="n">
        <f aca="false">Paths!F36*IF($A36&gt;=1896,mig_scale,1)*IF(AND($A36&gt;=1848,$A36&lt;=1860),dem01_mult,1)</f>
        <v>25000</v>
      </c>
      <c r="G36" s="49" t="n">
        <f aca="false">Paths!G36*IF($A36&gt;=1896,mig_scale,1)</f>
        <v>500</v>
      </c>
      <c r="H36" s="49" t="n">
        <f aca="false">Paths!H36*IF($A36&gt;=1896,mig_scale,1)</f>
        <v>0</v>
      </c>
      <c r="I36" s="49" t="n">
        <f aca="false">E36*Paths!I36+(F36+G36+H36)*dep_asia</f>
        <v>29140</v>
      </c>
      <c r="J36" s="65" t="n">
        <f aca="false">Labour!AL36</f>
        <v>27367.7363979783</v>
      </c>
      <c r="K36" s="49" t="n">
        <f aca="false">SUM(E36:H36)-I36+J36</f>
        <v>133727.736397978</v>
      </c>
      <c r="L36" s="49" t="n">
        <f aca="false">B36+C36+D36+K36</f>
        <v>3597461.79213099</v>
      </c>
      <c r="M36" s="66" t="n">
        <f aca="false">IF(B36&gt;0,L36/B36-1,0)</f>
        <v>0.0549245000023813</v>
      </c>
      <c r="N36" s="49" t="n">
        <f aca="false">N35*(1+Paths!C36)+F36*(1-dep_asia)+Labour!AL36*IF($A36&gt;=xo_year,xo_cn2,xo_cn1)</f>
        <v>418119.626144552</v>
      </c>
      <c r="O36" s="49" t="n">
        <f aca="false">O35*(1+Paths!C36)+G36*(1-dep_asia)+Labour!AL36*IF($A36&gt;=xo_year,xo_jp2,xo_jp1)</f>
        <v>65491.4663580656</v>
      </c>
      <c r="P36" s="49" t="n">
        <f aca="false">P35*(1+Paths!C36)+H36*(1-dep_asia)+Labour!AL36*IF($A36&gt;=xo_year,xo_ph2,xo_ph1)</f>
        <v>0</v>
      </c>
      <c r="Q36" s="49" t="n">
        <f aca="false">0</f>
        <v>0</v>
      </c>
      <c r="R36" s="49" t="n">
        <f aca="false">0</f>
        <v>0</v>
      </c>
      <c r="S36" s="66" t="n">
        <f aca="false">(N36+O36+P36+Q36+R36)/L36</f>
        <v>0.134431196339724</v>
      </c>
      <c r="T36" s="49" t="n">
        <f aca="false">SUM(E36:H36)*Paths!J36</f>
        <v>54200</v>
      </c>
      <c r="U36" s="65" t="n">
        <f aca="false">Paths!K36</f>
        <v>6000000</v>
      </c>
      <c r="V36" s="49" t="n">
        <f aca="false">IF(Gulf!E36=1,Gulf!B36,0)</f>
        <v>0</v>
      </c>
      <c r="W36" s="49" t="n">
        <f aca="false">L36+V36</f>
        <v>3597461.79213099</v>
      </c>
      <c r="X36" s="49" t="n">
        <f aca="false">W36+Labour!L36</f>
        <v>3597461.79213099</v>
      </c>
      <c r="Y36" s="47" t="n">
        <v>50890</v>
      </c>
      <c r="Z36" s="47" t="n">
        <v>108422</v>
      </c>
    </row>
    <row r="37" customFormat="false" ht="14.25" hidden="false" customHeight="true" outlineLevel="0" collapsed="false">
      <c r="A37" s="61" t="n">
        <v>1877</v>
      </c>
      <c r="B37" s="49" t="n">
        <f aca="false">L36</f>
        <v>3597461.79213099</v>
      </c>
      <c r="C37" s="65" t="n">
        <f aca="false">Paths!D37</f>
        <v>0</v>
      </c>
      <c r="D37" s="49" t="n">
        <f aca="false">B37*Paths!C37</f>
        <v>55483.6532200363</v>
      </c>
      <c r="E37" s="49" t="n">
        <f aca="false">Paths!E37*IF($A37&gt;=1896,mig_scale,1)*IF(AND($A37&gt;=1848,$A37&lt;=1860),dem01_mult,1)</f>
        <v>110000</v>
      </c>
      <c r="F37" s="49" t="n">
        <f aca="false">Paths!F37*IF($A37&gt;=1896,mig_scale,1)*IF(AND($A37&gt;=1848,$A37&lt;=1860),dem01_mult,1)</f>
        <v>25000</v>
      </c>
      <c r="G37" s="49" t="n">
        <f aca="false">Paths!G37*IF($A37&gt;=1896,mig_scale,1)</f>
        <v>500</v>
      </c>
      <c r="H37" s="49" t="n">
        <f aca="false">Paths!H37*IF($A37&gt;=1896,mig_scale,1)</f>
        <v>1000</v>
      </c>
      <c r="I37" s="49" t="n">
        <f aca="false">E37*Paths!I37+(F37+G37+H37)*dep_asia</f>
        <v>29420</v>
      </c>
      <c r="J37" s="65" t="n">
        <f aca="false">Labour!AL37</f>
        <v>27282.6700932776</v>
      </c>
      <c r="K37" s="49" t="n">
        <f aca="false">SUM(E37:H37)-I37+J37</f>
        <v>134362.670093278</v>
      </c>
      <c r="L37" s="49" t="n">
        <f aca="false">B37+C37+D37+K37</f>
        <v>3787308.11544431</v>
      </c>
      <c r="M37" s="66" t="n">
        <f aca="false">IF(B37&gt;0,L37/B37-1,0)</f>
        <v>0.0527722973260145</v>
      </c>
      <c r="N37" s="49" t="n">
        <f aca="false">N36*(1+Paths!C37)+F37*(1-dep_asia)+Labour!AL37*IF($A37&gt;=xo_year,xo_cn2,xo_cn1)</f>
        <v>445296.552147907</v>
      </c>
      <c r="O37" s="49" t="n">
        <f aca="false">O36*(1+Paths!C37)+G37*(1-dep_asia)+Labour!AL37*IF($A37&gt;=xo_year,xo_jp2,xo_jp1)</f>
        <v>72318.0752623616</v>
      </c>
      <c r="P37" s="49" t="n">
        <f aca="false">P36*(1+Paths!C37)+H37*(1-dep_asia)+Labour!AL37*IF($A37&gt;=xo_year,xo_ph2,xo_ph1)</f>
        <v>720</v>
      </c>
      <c r="Q37" s="49" t="n">
        <f aca="false">0</f>
        <v>0</v>
      </c>
      <c r="R37" s="49" t="n">
        <f aca="false">0</f>
        <v>0</v>
      </c>
      <c r="S37" s="66" t="n">
        <f aca="false">(N37+O37+P37+Q37+R37)/L37</f>
        <v>0.136860960769615</v>
      </c>
      <c r="T37" s="49" t="n">
        <f aca="false">SUM(E37:H37)*Paths!J37</f>
        <v>54600</v>
      </c>
      <c r="U37" s="65" t="n">
        <f aca="false">Paths!K37</f>
        <v>6055000</v>
      </c>
      <c r="V37" s="49" t="n">
        <f aca="false">IF(Gulf!E37=1,Gulf!B37,0)</f>
        <v>0</v>
      </c>
      <c r="W37" s="49" t="n">
        <f aca="false">L37+V37</f>
        <v>3787308.11544431</v>
      </c>
      <c r="X37" s="49" t="n">
        <f aca="false">W37+Labour!L37</f>
        <v>3787308.11544431</v>
      </c>
      <c r="Y37" s="47" t="n">
        <v>50147</v>
      </c>
      <c r="Z37" s="47" t="n">
        <v>107586</v>
      </c>
    </row>
    <row r="38" customFormat="false" ht="14.25" hidden="false" customHeight="true" outlineLevel="0" collapsed="false">
      <c r="A38" s="61" t="n">
        <v>1878</v>
      </c>
      <c r="B38" s="49" t="n">
        <f aca="false">L37</f>
        <v>3787308.11544431</v>
      </c>
      <c r="C38" s="65" t="n">
        <f aca="false">Paths!D38</f>
        <v>0</v>
      </c>
      <c r="D38" s="49" t="n">
        <f aca="false">B38*Paths!C38</f>
        <v>57048.2221429376</v>
      </c>
      <c r="E38" s="49" t="n">
        <f aca="false">Paths!E38*IF($A38&gt;=1896,mig_scale,1)*IF(AND($A38&gt;=1848,$A38&lt;=1860),dem01_mult,1)</f>
        <v>110000</v>
      </c>
      <c r="F38" s="49" t="n">
        <f aca="false">Paths!F38*IF($A38&gt;=1896,mig_scale,1)*IF(AND($A38&gt;=1848,$A38&lt;=1860),dem01_mult,1)</f>
        <v>25000</v>
      </c>
      <c r="G38" s="49" t="n">
        <f aca="false">Paths!G38*IF($A38&gt;=1896,mig_scale,1)</f>
        <v>500</v>
      </c>
      <c r="H38" s="49" t="n">
        <f aca="false">Paths!H38*IF($A38&gt;=1896,mig_scale,1)</f>
        <v>1000</v>
      </c>
      <c r="I38" s="49" t="n">
        <f aca="false">E38*Paths!I38+(F38+G38+H38)*dep_asia</f>
        <v>29420</v>
      </c>
      <c r="J38" s="65" t="n">
        <f aca="false">Labour!AL38</f>
        <v>23205.3460568982</v>
      </c>
      <c r="K38" s="49" t="n">
        <f aca="false">SUM(E38:H38)-I38+J38</f>
        <v>130285.346056898</v>
      </c>
      <c r="L38" s="49" t="n">
        <f aca="false">B38+C38+D38+K38</f>
        <v>3974641.68364414</v>
      </c>
      <c r="M38" s="66" t="n">
        <f aca="false">IF(B38&gt;0,L38/B38-1,0)</f>
        <v>0.0494635140552484</v>
      </c>
      <c r="N38" s="49" t="n">
        <f aca="false">N37*(1+Paths!C38)+F38*(1-dep_asia)+Labour!AL38*IF($A38&gt;=xo_year,xo_cn2,xo_cn1)</f>
        <v>472324.588718601</v>
      </c>
      <c r="O38" s="49" t="n">
        <f aca="false">O37*(1+Paths!C38)+G38*(1-dep_asia)+Labour!AL38*IF($A38&gt;=xo_year,xo_jp2,xo_jp1)</f>
        <v>78408.4716414182</v>
      </c>
      <c r="P38" s="49" t="n">
        <f aca="false">P37*(1+Paths!C38)+H38*(1-dep_asia)+Labour!AL38*IF($A38&gt;=xo_year,xo_ph2,xo_ph1)</f>
        <v>1450.84536</v>
      </c>
      <c r="Q38" s="49" t="n">
        <f aca="false">0</f>
        <v>0</v>
      </c>
      <c r="R38" s="49" t="n">
        <f aca="false">0</f>
        <v>0</v>
      </c>
      <c r="S38" s="66" t="n">
        <f aca="false">(N38+O38+P38+Q38+R38)/L38</f>
        <v>0.138926713316646</v>
      </c>
      <c r="T38" s="49" t="n">
        <f aca="false">SUM(E38:H38)*Paths!J38</f>
        <v>54600</v>
      </c>
      <c r="U38" s="65" t="n">
        <f aca="false">Paths!K38</f>
        <v>6109000</v>
      </c>
      <c r="V38" s="49" t="n">
        <f aca="false">IF(Gulf!E38=1,Gulf!B38,0)</f>
        <v>0</v>
      </c>
      <c r="W38" s="49" t="n">
        <f aca="false">L38+V38</f>
        <v>3974641.68364414</v>
      </c>
      <c r="X38" s="49" t="n">
        <f aca="false">W38+Labour!L38</f>
        <v>3974641.68364414</v>
      </c>
      <c r="Y38" s="47" t="n">
        <v>49416</v>
      </c>
      <c r="Z38" s="47" t="n">
        <v>106794</v>
      </c>
    </row>
    <row r="39" customFormat="false" ht="14.25" hidden="false" customHeight="true" outlineLevel="0" collapsed="false">
      <c r="A39" s="61" t="n">
        <v>1879</v>
      </c>
      <c r="B39" s="49" t="n">
        <f aca="false">L38</f>
        <v>3974641.68364414</v>
      </c>
      <c r="C39" s="65" t="n">
        <f aca="false">Paths!D39</f>
        <v>0</v>
      </c>
      <c r="D39" s="49" t="n">
        <f aca="false">B39*Paths!C39</f>
        <v>58101.3121315101</v>
      </c>
      <c r="E39" s="49" t="n">
        <f aca="false">Paths!E39*IF($A39&gt;=1896,mig_scale,1)*IF(AND($A39&gt;=1848,$A39&lt;=1860),dem01_mult,1)</f>
        <v>110000</v>
      </c>
      <c r="F39" s="49" t="n">
        <f aca="false">Paths!F39*IF($A39&gt;=1896,mig_scale,1)*IF(AND($A39&gt;=1848,$A39&lt;=1860),dem01_mult,1)</f>
        <v>25000</v>
      </c>
      <c r="G39" s="49" t="n">
        <f aca="false">Paths!G39*IF($A39&gt;=1896,mig_scale,1)</f>
        <v>500</v>
      </c>
      <c r="H39" s="49" t="n">
        <f aca="false">Paths!H39*IF($A39&gt;=1896,mig_scale,1)</f>
        <v>1000</v>
      </c>
      <c r="I39" s="49" t="n">
        <f aca="false">E39*Paths!I39+(F39+G39+H39)*dep_asia</f>
        <v>29420</v>
      </c>
      <c r="J39" s="65" t="n">
        <f aca="false">Labour!AL39</f>
        <v>21017.3514299333</v>
      </c>
      <c r="K39" s="49" t="n">
        <f aca="false">SUM(E39:H39)-I39+J39</f>
        <v>128097.351429933</v>
      </c>
      <c r="L39" s="49" t="n">
        <f aca="false">B39+C39+D39+K39</f>
        <v>4160840.34720559</v>
      </c>
      <c r="M39" s="66" t="n">
        <f aca="false">IF(B39&gt;0,L39/B39-1,0)</f>
        <v>0.046846653958182</v>
      </c>
      <c r="N39" s="49" t="n">
        <f aca="false">N38*(1+Paths!C39)+F39*(1-dep_asia)+Labour!AL39*IF($A39&gt;=xo_year,xo_cn2,xo_cn1)</f>
        <v>499330.764699483</v>
      </c>
      <c r="O39" s="49" t="n">
        <f aca="false">O38*(1+Paths!C39)+G39*(1-dep_asia)+Labour!AL39*IF($A39&gt;=xo_year,xo_jp2,xo_jp1)</f>
        <v>84118.1169658591</v>
      </c>
      <c r="P39" s="49" t="n">
        <f aca="false">P38*(1+Paths!C39)+H39*(1-dep_asia)+Labour!AL39*IF($A39&gt;=xo_year,xo_ph2,xo_ph1)</f>
        <v>2192.05381747248</v>
      </c>
      <c r="Q39" s="49" t="n">
        <f aca="false">0</f>
        <v>0</v>
      </c>
      <c r="R39" s="49" t="n">
        <f aca="false">0</f>
        <v>0</v>
      </c>
      <c r="S39" s="66" t="n">
        <f aca="false">(N39+O39+P39+Q39+R39)/L39</f>
        <v>0.140750638480068</v>
      </c>
      <c r="T39" s="49" t="n">
        <f aca="false">SUM(E39:H39)*Paths!J39</f>
        <v>54600</v>
      </c>
      <c r="U39" s="65" t="n">
        <f aca="false">Paths!K39</f>
        <v>6164000</v>
      </c>
      <c r="V39" s="49" t="n">
        <f aca="false">IF(Gulf!E39=1,Gulf!B39,0)</f>
        <v>0</v>
      </c>
      <c r="W39" s="49" t="n">
        <f aca="false">L39+V39</f>
        <v>4160840.34720559</v>
      </c>
      <c r="X39" s="49" t="n">
        <f aca="false">W39+Labour!L39</f>
        <v>4160840.34720559</v>
      </c>
      <c r="Y39" s="47" t="n">
        <v>48695</v>
      </c>
      <c r="Z39" s="47" t="n">
        <v>106047</v>
      </c>
    </row>
    <row r="40" customFormat="false" ht="14.25" hidden="false" customHeight="true" outlineLevel="0" collapsed="false">
      <c r="A40" s="61" t="n">
        <v>1880</v>
      </c>
      <c r="B40" s="49" t="n">
        <f aca="false">L39</f>
        <v>4160840.34720559</v>
      </c>
      <c r="C40" s="65" t="n">
        <f aca="false">Paths!D40</f>
        <v>0</v>
      </c>
      <c r="D40" s="49" t="n">
        <f aca="false">B40*Paths!C40</f>
        <v>58746.9048621957</v>
      </c>
      <c r="E40" s="49" t="n">
        <f aca="false">Paths!E40*IF($A40&gt;=1896,mig_scale,1)*IF(AND($A40&gt;=1848,$A40&lt;=1860),dem01_mult,1)</f>
        <v>110000</v>
      </c>
      <c r="F40" s="49" t="n">
        <f aca="false">Paths!F40*IF($A40&gt;=1896,mig_scale,1)*IF(AND($A40&gt;=1848,$A40&lt;=1860),dem01_mult,1)</f>
        <v>25000</v>
      </c>
      <c r="G40" s="49" t="n">
        <f aca="false">Paths!G40*IF($A40&gt;=1896,mig_scale,1)</f>
        <v>500</v>
      </c>
      <c r="H40" s="49" t="n">
        <f aca="false">Paths!H40*IF($A40&gt;=1896,mig_scale,1)</f>
        <v>1000</v>
      </c>
      <c r="I40" s="49" t="n">
        <f aca="false">E40*Paths!I40+(F40+G40+H40)*dep_asia</f>
        <v>29420</v>
      </c>
      <c r="J40" s="65" t="n">
        <f aca="false">Labour!AL40</f>
        <v>33751.3534616152</v>
      </c>
      <c r="K40" s="49" t="n">
        <f aca="false">SUM(E40:H40)-I40+J40</f>
        <v>140831.353461615</v>
      </c>
      <c r="L40" s="49" t="n">
        <f aca="false">B40+C40+D40+K40</f>
        <v>4360418.6055294</v>
      </c>
      <c r="M40" s="66" t="n">
        <f aca="false">IF(B40&gt;0,L40/B40-1,0)</f>
        <v>0.0479658534502163</v>
      </c>
      <c r="N40" s="49" t="n">
        <f aca="false">N39*(1+Paths!C40)+F40*(1-dep_asia)+Labour!AL40*IF($A40&gt;=xo_year,xo_cn2,xo_cn1)</f>
        <v>527755.951112437</v>
      </c>
      <c r="O40" s="49" t="n">
        <f aca="false">O39*(1+Paths!C40)+G40*(1-dep_asia)+Labour!AL40*IF($A40&gt;=xo_year,xo_jp2,xo_jp1)</f>
        <v>92416.0513516231</v>
      </c>
      <c r="P40" s="49" t="n">
        <f aca="false">P39*(1+Paths!C40)+H40*(1-dep_asia)+Labour!AL40*IF($A40&gt;=xo_year,xo_ph2,xo_ph1)</f>
        <v>2943.00342532137</v>
      </c>
      <c r="Q40" s="49" t="n">
        <f aca="false">0</f>
        <v>0</v>
      </c>
      <c r="R40" s="49" t="n">
        <f aca="false">0</f>
        <v>0</v>
      </c>
      <c r="S40" s="66" t="n">
        <f aca="false">(N40+O40+P40+Q40+R40)/L40</f>
        <v>0.142902565615883</v>
      </c>
      <c r="T40" s="49" t="n">
        <f aca="false">SUM(E40:H40)*Paths!J40</f>
        <v>54600</v>
      </c>
      <c r="U40" s="65" t="n">
        <f aca="false">Paths!K40</f>
        <v>6218000</v>
      </c>
      <c r="V40" s="49" t="n">
        <f aca="false">IF(Gulf!E40=1,Gulf!B40,0)</f>
        <v>0</v>
      </c>
      <c r="W40" s="49" t="n">
        <f aca="false">L40+V40</f>
        <v>4360418.6055294</v>
      </c>
      <c r="X40" s="49" t="n">
        <f aca="false">W40+Labour!L40</f>
        <v>4360418.6055294</v>
      </c>
      <c r="Y40" s="47" t="n">
        <v>47984</v>
      </c>
      <c r="Z40" s="47" t="n">
        <v>105343</v>
      </c>
    </row>
    <row r="41" customFormat="false" ht="14.25" hidden="false" customHeight="true" outlineLevel="0" collapsed="false">
      <c r="A41" s="61" t="n">
        <v>1881</v>
      </c>
      <c r="B41" s="49" t="n">
        <f aca="false">L40</f>
        <v>4360418.6055294</v>
      </c>
      <c r="C41" s="65" t="n">
        <f aca="false">Paths!D41</f>
        <v>0</v>
      </c>
      <c r="D41" s="49" t="n">
        <f aca="false">B41*Paths!C41</f>
        <v>63269.6739662316</v>
      </c>
      <c r="E41" s="49" t="n">
        <f aca="false">Paths!E41*IF($A41&gt;=1896,mig_scale,1)*IF(AND($A41&gt;=1848,$A41&lt;=1860),dem01_mult,1)</f>
        <v>110000</v>
      </c>
      <c r="F41" s="49" t="n">
        <f aca="false">Paths!F41*IF($A41&gt;=1896,mig_scale,1)*IF(AND($A41&gt;=1848,$A41&lt;=1860),dem01_mult,1)</f>
        <v>25000</v>
      </c>
      <c r="G41" s="49" t="n">
        <f aca="false">Paths!G41*IF($A41&gt;=1896,mig_scale,1)</f>
        <v>500</v>
      </c>
      <c r="H41" s="49" t="n">
        <f aca="false">Paths!H41*IF($A41&gt;=1896,mig_scale,1)</f>
        <v>1000</v>
      </c>
      <c r="I41" s="49" t="n">
        <f aca="false">E41*Paths!I41+(F41+G41+H41)*dep_asia</f>
        <v>29420</v>
      </c>
      <c r="J41" s="65" t="n">
        <f aca="false">Labour!AL41</f>
        <v>27020.1164669754</v>
      </c>
      <c r="K41" s="49" t="n">
        <f aca="false">SUM(E41:H41)-I41+J41</f>
        <v>134100.116466975</v>
      </c>
      <c r="L41" s="49" t="n">
        <f aca="false">B41+C41+D41+K41</f>
        <v>4557788.3959626</v>
      </c>
      <c r="M41" s="66" t="n">
        <f aca="false">IF(B41&gt;0,L41/B41-1,0)</f>
        <v>0.0452639547457496</v>
      </c>
      <c r="N41" s="49" t="n">
        <f aca="false">N40*(1+Paths!C41)+F41*(1-dep_asia)+Labour!AL41*IF($A41&gt;=xo_year,xo_cn2,xo_cn1)</f>
        <v>556115.701609775</v>
      </c>
      <c r="O41" s="49" t="n">
        <f aca="false">O40*(1+Paths!C41)+G41*(1-dep_asia)+Labour!AL41*IF($A41&gt;=xo_year,xo_jp2,xo_jp1)</f>
        <v>99521.0315501302</v>
      </c>
      <c r="P41" s="49" t="n">
        <f aca="false">P40*(1+Paths!C41)+H41*(1-dep_asia)+Labour!AL41*IF($A41&gt;=xo_year,xo_ph2,xo_ph1)</f>
        <v>3705.70640502279</v>
      </c>
      <c r="Q41" s="49" t="n">
        <f aca="false">0</f>
        <v>0</v>
      </c>
      <c r="R41" s="49" t="n">
        <f aca="false">0</f>
        <v>0</v>
      </c>
      <c r="S41" s="66" t="n">
        <f aca="false">(N41+O41+P41+Q41+R41)/L41</f>
        <v>0.144662801842444</v>
      </c>
      <c r="T41" s="49" t="n">
        <f aca="false">SUM(E41:H41)*Paths!J41</f>
        <v>54600</v>
      </c>
      <c r="U41" s="65" t="n">
        <f aca="false">Paths!K41</f>
        <v>6273000</v>
      </c>
      <c r="V41" s="49" t="n">
        <f aca="false">IF(Gulf!E41=1,Gulf!B41,0)</f>
        <v>0</v>
      </c>
      <c r="W41" s="49" t="n">
        <f aca="false">L41+V41</f>
        <v>4557788.3959626</v>
      </c>
      <c r="X41" s="49" t="n">
        <f aca="false">W41+Labour!L41</f>
        <v>4557788.3959626</v>
      </c>
      <c r="Y41" s="47" t="n">
        <v>47284</v>
      </c>
      <c r="Z41" s="47" t="n">
        <v>104678</v>
      </c>
    </row>
    <row r="42" customFormat="false" ht="14.25" hidden="false" customHeight="true" outlineLevel="0" collapsed="false">
      <c r="A42" s="61" t="n">
        <v>1882</v>
      </c>
      <c r="B42" s="49" t="n">
        <f aca="false">L41</f>
        <v>4557788.3959626</v>
      </c>
      <c r="C42" s="65" t="n">
        <f aca="false">Paths!D42</f>
        <v>0</v>
      </c>
      <c r="D42" s="49" t="n">
        <f aca="false">B42*Paths!C42</f>
        <v>67396.017011099</v>
      </c>
      <c r="E42" s="49" t="n">
        <f aca="false">Paths!E42*IF($A42&gt;=1896,mig_scale,1)*IF(AND($A42&gt;=1848,$A42&lt;=1860),dem01_mult,1)</f>
        <v>110000</v>
      </c>
      <c r="F42" s="49" t="n">
        <f aca="false">Paths!F42*IF($A42&gt;=1896,mig_scale,1)*IF(AND($A42&gt;=1848,$A42&lt;=1860),dem01_mult,1)</f>
        <v>25000</v>
      </c>
      <c r="G42" s="49" t="n">
        <f aca="false">Paths!G42*IF($A42&gt;=1896,mig_scale,1)</f>
        <v>500</v>
      </c>
      <c r="H42" s="49" t="n">
        <f aca="false">Paths!H42*IF($A42&gt;=1896,mig_scale,1)</f>
        <v>1000</v>
      </c>
      <c r="I42" s="49" t="n">
        <f aca="false">E42*Paths!I42+(F42+G42+H42)*dep_asia</f>
        <v>29420</v>
      </c>
      <c r="J42" s="65" t="n">
        <f aca="false">Labour!AL42</f>
        <v>39529.3545271169</v>
      </c>
      <c r="K42" s="49" t="n">
        <f aca="false">SUM(E42:H42)-I42+J42</f>
        <v>146609.354527117</v>
      </c>
      <c r="L42" s="49" t="n">
        <f aca="false">B42+C42+D42+K42</f>
        <v>4771793.76750082</v>
      </c>
      <c r="M42" s="66" t="n">
        <f aca="false">IF(B42&gt;0,L42/B42-1,0)</f>
        <v>0.0469537751528324</v>
      </c>
      <c r="N42" s="49" t="n">
        <f aca="false">N41*(1+Paths!C42)+F42*(1-dep_asia)+Labour!AL42*IF($A42&gt;=xo_year,xo_cn2,xo_cn1)</f>
        <v>586291.919942191</v>
      </c>
      <c r="O42" s="49" t="n">
        <f aca="false">O41*(1+Paths!C42)+G42*(1-dep_asia)+Labour!AL42*IF($A42&gt;=xo_year,xo_jp2,xo_jp1)</f>
        <v>109258.519949085</v>
      </c>
      <c r="P42" s="49" t="n">
        <f aca="false">P41*(1+Paths!C42)+H42*(1-dep_asia)+Labour!AL42*IF($A42&gt;=xo_year,xo_ph2,xo_ph1)</f>
        <v>4480.50268563386</v>
      </c>
      <c r="Q42" s="49" t="n">
        <f aca="false">0</f>
        <v>0</v>
      </c>
      <c r="R42" s="49" t="n">
        <f aca="false">0</f>
        <v>0</v>
      </c>
      <c r="S42" s="66" t="n">
        <f aca="false">(N42+O42+P42+Q42+R42)/L42</f>
        <v>0.146701843517337</v>
      </c>
      <c r="T42" s="49" t="n">
        <f aca="false">SUM(E42:H42)*Paths!J42</f>
        <v>54600</v>
      </c>
      <c r="U42" s="65" t="n">
        <f aca="false">Paths!K42</f>
        <v>6327000</v>
      </c>
      <c r="V42" s="49" t="n">
        <f aca="false">IF(Gulf!E42=1,Gulf!B42,0)</f>
        <v>0</v>
      </c>
      <c r="W42" s="49" t="n">
        <f aca="false">L42+V42</f>
        <v>4771793.76750082</v>
      </c>
      <c r="X42" s="49" t="n">
        <f aca="false">W42+Labour!L42</f>
        <v>4771793.76750082</v>
      </c>
      <c r="Y42" s="47" t="n">
        <v>46595</v>
      </c>
      <c r="Z42" s="47" t="n">
        <v>104053</v>
      </c>
    </row>
    <row r="43" customFormat="false" ht="14.25" hidden="false" customHeight="true" outlineLevel="0" collapsed="false">
      <c r="A43" s="61" t="n">
        <v>1883</v>
      </c>
      <c r="B43" s="49" t="n">
        <f aca="false">L42</f>
        <v>4771793.76750082</v>
      </c>
      <c r="C43" s="65" t="n">
        <f aca="false">Paths!D43</f>
        <v>0</v>
      </c>
      <c r="D43" s="49" t="n">
        <f aca="false">B43*Paths!C43</f>
        <v>71758.2346756773</v>
      </c>
      <c r="E43" s="49" t="n">
        <f aca="false">Paths!E43*IF($A43&gt;=1896,mig_scale,1)*IF(AND($A43&gt;=1848,$A43&lt;=1860),dem01_mult,1)</f>
        <v>110000</v>
      </c>
      <c r="F43" s="49" t="n">
        <f aca="false">Paths!F43*IF($A43&gt;=1896,mig_scale,1)*IF(AND($A43&gt;=1848,$A43&lt;=1860),dem01_mult,1)</f>
        <v>25000</v>
      </c>
      <c r="G43" s="49" t="n">
        <f aca="false">Paths!G43*IF($A43&gt;=1896,mig_scale,1)</f>
        <v>500</v>
      </c>
      <c r="H43" s="49" t="n">
        <f aca="false">Paths!H43*IF($A43&gt;=1896,mig_scale,1)</f>
        <v>1000</v>
      </c>
      <c r="I43" s="49" t="n">
        <f aca="false">E43*Paths!I43+(F43+G43+H43)*dep_asia</f>
        <v>29420</v>
      </c>
      <c r="J43" s="65" t="n">
        <f aca="false">Labour!AL43</f>
        <v>40300.5100611988</v>
      </c>
      <c r="K43" s="49" t="n">
        <f aca="false">SUM(E43:H43)-I43+J43</f>
        <v>147380.510061199</v>
      </c>
      <c r="L43" s="49" t="n">
        <f aca="false">B43+C43+D43+K43</f>
        <v>4990932.5122377</v>
      </c>
      <c r="M43" s="66" t="n">
        <f aca="false">IF(B43&gt;0,L43/B43-1,0)</f>
        <v>0.0459237669132646</v>
      </c>
      <c r="N43" s="49" t="n">
        <f aca="false">N42*(1+Paths!C43)+F43*(1-dep_asia)+Labour!AL43*IF($A43&gt;=xo_year,xo_cn2,xo_cn1)</f>
        <v>617138.628840402</v>
      </c>
      <c r="O43" s="49" t="n">
        <f aca="false">O42*(1+Paths!C43)+G43*(1-dep_asia)+Labour!AL43*IF($A43&gt;=xo_year,xo_jp2,xo_jp1)</f>
        <v>119321.65158432</v>
      </c>
      <c r="P43" s="49" t="n">
        <f aca="false">P42*(1+Paths!C43)+H43*(1-dep_asia)+Labour!AL43*IF($A43&gt;=xo_year,xo_ph2,xo_ph1)</f>
        <v>5267.88048502042</v>
      </c>
      <c r="Q43" s="49" t="n">
        <f aca="false">0</f>
        <v>0</v>
      </c>
      <c r="R43" s="49" t="n">
        <f aca="false">0</f>
        <v>0</v>
      </c>
      <c r="S43" s="66" t="n">
        <f aca="false">(N43+O43+P43+Q43+R43)/L43</f>
        <v>0.148615145384361</v>
      </c>
      <c r="T43" s="49" t="n">
        <f aca="false">SUM(E43:H43)*Paths!J43</f>
        <v>54600</v>
      </c>
      <c r="U43" s="65" t="n">
        <f aca="false">Paths!K43</f>
        <v>6382000</v>
      </c>
      <c r="V43" s="49" t="n">
        <f aca="false">IF(Gulf!E43=1,Gulf!B43,0)</f>
        <v>0</v>
      </c>
      <c r="W43" s="49" t="n">
        <f aca="false">L43+V43</f>
        <v>4990932.5122377</v>
      </c>
      <c r="X43" s="49" t="n">
        <f aca="false">W43+Labour!L43</f>
        <v>4990932.5122377</v>
      </c>
      <c r="Y43" s="47" t="n">
        <v>45915</v>
      </c>
      <c r="Z43" s="47" t="n">
        <v>103466</v>
      </c>
    </row>
    <row r="44" customFormat="false" ht="14.25" hidden="false" customHeight="true" outlineLevel="0" collapsed="false">
      <c r="A44" s="61" t="n">
        <v>1884</v>
      </c>
      <c r="B44" s="49" t="n">
        <f aca="false">L43</f>
        <v>4990932.5122377</v>
      </c>
      <c r="C44" s="65" t="n">
        <f aca="false">Paths!D44</f>
        <v>0</v>
      </c>
      <c r="D44" s="49" t="n">
        <f aca="false">B44*Paths!C44</f>
        <v>75947.020038721</v>
      </c>
      <c r="E44" s="49" t="n">
        <f aca="false">Paths!E44*IF($A44&gt;=1896,mig_scale,1)*IF(AND($A44&gt;=1848,$A44&lt;=1860),dem01_mult,1)</f>
        <v>110000</v>
      </c>
      <c r="F44" s="49" t="n">
        <f aca="false">Paths!F44*IF($A44&gt;=1896,mig_scale,1)*IF(AND($A44&gt;=1848,$A44&lt;=1860),dem01_mult,1)</f>
        <v>25000</v>
      </c>
      <c r="G44" s="49" t="n">
        <f aca="false">Paths!G44*IF($A44&gt;=1896,mig_scale,1)</f>
        <v>500</v>
      </c>
      <c r="H44" s="49" t="n">
        <f aca="false">Paths!H44*IF($A44&gt;=1896,mig_scale,1)</f>
        <v>1000</v>
      </c>
      <c r="I44" s="49" t="n">
        <f aca="false">E44*Paths!I44+(F44+G44+H44)*dep_asia</f>
        <v>29420</v>
      </c>
      <c r="J44" s="65" t="n">
        <f aca="false">Labour!AL44</f>
        <v>42245.6358795932</v>
      </c>
      <c r="K44" s="49" t="n">
        <f aca="false">SUM(E44:H44)-I44+J44</f>
        <v>149325.635879593</v>
      </c>
      <c r="L44" s="49" t="n">
        <f aca="false">B44+C44+D44+K44</f>
        <v>5216205.16815601</v>
      </c>
      <c r="M44" s="66" t="n">
        <f aca="false">IF(B44&gt;0,L44/B44-1,0)</f>
        <v>0.0451363859090357</v>
      </c>
      <c r="N44" s="49" t="n">
        <f aca="false">N43*(1+Paths!C44)+F44*(1-dep_asia)+Labour!AL44*IF($A44&gt;=xo_year,xo_cn2,xo_cn1)</f>
        <v>648754.190943425</v>
      </c>
      <c r="O44" s="49" t="n">
        <f aca="false">O43*(1+Paths!C44)+G44*(1-dep_asia)+Labour!AL44*IF($A44&gt;=xo_year,xo_jp2,xo_jp1)</f>
        <v>129946.496332397</v>
      </c>
      <c r="P44" s="49" t="n">
        <f aca="false">P43*(1+Paths!C44)+H44*(1-dep_asia)+Labour!AL44*IF($A44&gt;=xo_year,xo_ph2,xo_ph1)</f>
        <v>6068.04182236098</v>
      </c>
      <c r="Q44" s="49" t="n">
        <f aca="false">0</f>
        <v>0</v>
      </c>
      <c r="R44" s="49" t="n">
        <f aca="false">0</f>
        <v>0</v>
      </c>
      <c r="S44" s="66" t="n">
        <f aca="false">(N44+O44+P44+Q44+R44)/L44</f>
        <v>0.15044820972324</v>
      </c>
      <c r="T44" s="49" t="n">
        <f aca="false">SUM(E44:H44)*Paths!J44</f>
        <v>54600</v>
      </c>
      <c r="U44" s="65" t="n">
        <f aca="false">Paths!K44</f>
        <v>6436000</v>
      </c>
      <c r="V44" s="49" t="n">
        <f aca="false">IF(Gulf!E44=1,Gulf!B44,0)</f>
        <v>0</v>
      </c>
      <c r="W44" s="49" t="n">
        <f aca="false">L44+V44</f>
        <v>5216205.16815601</v>
      </c>
      <c r="X44" s="49" t="n">
        <f aca="false">W44+Labour!L44</f>
        <v>5216205.16815601</v>
      </c>
      <c r="Y44" s="47" t="n">
        <v>45245</v>
      </c>
      <c r="Z44" s="47" t="n">
        <v>102915</v>
      </c>
    </row>
    <row r="45" customFormat="false" ht="14.25" hidden="false" customHeight="true" outlineLevel="0" collapsed="false">
      <c r="A45" s="61" t="n">
        <v>1885</v>
      </c>
      <c r="B45" s="49" t="n">
        <f aca="false">L44</f>
        <v>5216205.16815601</v>
      </c>
      <c r="C45" s="65" t="n">
        <f aca="false">Paths!D45</f>
        <v>0</v>
      </c>
      <c r="D45" s="49" t="n">
        <f aca="false">B45*Paths!C45</f>
        <v>80063.5331260266</v>
      </c>
      <c r="E45" s="49" t="n">
        <f aca="false">Paths!E45*IF($A45&gt;=1896,mig_scale,1)*IF(AND($A45&gt;=1848,$A45&lt;=1860),dem01_mult,1)</f>
        <v>110000</v>
      </c>
      <c r="F45" s="49" t="n">
        <f aca="false">Paths!F45*IF($A45&gt;=1896,mig_scale,1)*IF(AND($A45&gt;=1848,$A45&lt;=1860),dem01_mult,1)</f>
        <v>25000</v>
      </c>
      <c r="G45" s="49" t="n">
        <f aca="false">Paths!G45*IF($A45&gt;=1896,mig_scale,1)</f>
        <v>3000</v>
      </c>
      <c r="H45" s="49" t="n">
        <f aca="false">Paths!H45*IF($A45&gt;=1896,mig_scale,1)</f>
        <v>1000</v>
      </c>
      <c r="I45" s="49" t="n">
        <f aca="false">E45*Paths!I45+(F45+G45+H45)*dep_asia</f>
        <v>30120</v>
      </c>
      <c r="J45" s="65" t="n">
        <f aca="false">Labour!AL45</f>
        <v>34885.2877623928</v>
      </c>
      <c r="K45" s="49" t="n">
        <f aca="false">SUM(E45:H45)-I45+J45</f>
        <v>143765.287762393</v>
      </c>
      <c r="L45" s="49" t="n">
        <f aca="false">B45+C45+D45+K45</f>
        <v>5440033.98904443</v>
      </c>
      <c r="M45" s="66" t="n">
        <f aca="false">IF(B45&gt;0,L45/B45-1,0)</f>
        <v>0.0429102793453857</v>
      </c>
      <c r="N45" s="49" t="n">
        <f aca="false">N44*(1+Paths!C45)+F45*(1-dep_asia)+Labour!AL45*IF($A45&gt;=xo_year,xo_cn2,xo_cn1)</f>
        <v>680200.447796455</v>
      </c>
      <c r="O45" s="49" t="n">
        <f aca="false">O44*(1+Paths!C45)+G45*(1-dep_asia)+Labour!AL45*IF($A45&gt;=xo_year,xo_jp2,xo_jp1)</f>
        <v>141078.102657081</v>
      </c>
      <c r="P45" s="49" t="n">
        <f aca="false">P44*(1+Paths!C45)+H45*(1-dep_asia)+Labour!AL45*IF($A45&gt;=xo_year,xo_ph2,xo_ph1)</f>
        <v>6881.1801962924</v>
      </c>
      <c r="Q45" s="49" t="n">
        <f aca="false">0</f>
        <v>0</v>
      </c>
      <c r="R45" s="49" t="n">
        <f aca="false">0</f>
        <v>0</v>
      </c>
      <c r="S45" s="66" t="n">
        <f aca="false">(N45+O45+P45+Q45+R45)/L45</f>
        <v>0.152234293446997</v>
      </c>
      <c r="T45" s="49" t="n">
        <f aca="false">SUM(E45:H45)*Paths!J45</f>
        <v>55600</v>
      </c>
      <c r="U45" s="65" t="n">
        <f aca="false">Paths!K45</f>
        <v>6491000</v>
      </c>
      <c r="V45" s="49" t="n">
        <f aca="false">IF(Gulf!E45=1,Gulf!B45,0)</f>
        <v>0</v>
      </c>
      <c r="W45" s="49" t="n">
        <f aca="false">L45+V45</f>
        <v>5440033.98904443</v>
      </c>
      <c r="X45" s="49" t="n">
        <f aca="false">W45+Labour!L45</f>
        <v>5440033.98904443</v>
      </c>
      <c r="Y45" s="47" t="n">
        <v>44585</v>
      </c>
      <c r="Z45" s="47" t="n">
        <v>102399</v>
      </c>
    </row>
    <row r="46" customFormat="false" ht="14.25" hidden="false" customHeight="true" outlineLevel="0" collapsed="false">
      <c r="A46" s="61" t="n">
        <v>1886</v>
      </c>
      <c r="B46" s="49" t="n">
        <f aca="false">L45</f>
        <v>5440033.98904443</v>
      </c>
      <c r="C46" s="65" t="n">
        <f aca="false">Paths!D46</f>
        <v>0</v>
      </c>
      <c r="D46" s="49" t="n">
        <f aca="false">B46*Paths!C46</f>
        <v>83885.3241110651</v>
      </c>
      <c r="E46" s="49" t="n">
        <f aca="false">Paths!E46*IF($A46&gt;=1896,mig_scale,1)*IF(AND($A46&gt;=1848,$A46&lt;=1860),dem01_mult,1)</f>
        <v>110000</v>
      </c>
      <c r="F46" s="49" t="n">
        <f aca="false">Paths!F46*IF($A46&gt;=1896,mig_scale,1)*IF(AND($A46&gt;=1848,$A46&lt;=1860),dem01_mult,1)</f>
        <v>25000</v>
      </c>
      <c r="G46" s="49" t="n">
        <f aca="false">Paths!G46*IF($A46&gt;=1896,mig_scale,1)</f>
        <v>8000</v>
      </c>
      <c r="H46" s="49" t="n">
        <f aca="false">Paths!H46*IF($A46&gt;=1896,mig_scale,1)</f>
        <v>1000</v>
      </c>
      <c r="I46" s="49" t="n">
        <f aca="false">E46*Paths!I46+(F46+G46+H46)*dep_asia</f>
        <v>31520</v>
      </c>
      <c r="J46" s="65" t="n">
        <f aca="false">Labour!AL46</f>
        <v>38402.2477958372</v>
      </c>
      <c r="K46" s="49" t="n">
        <f aca="false">SUM(E46:H46)-I46+J46</f>
        <v>150882.247795837</v>
      </c>
      <c r="L46" s="49" t="n">
        <f aca="false">B46+C46+D46+K46</f>
        <v>5674801.56095133</v>
      </c>
      <c r="M46" s="66" t="n">
        <f aca="false">IF(B46&gt;0,L46/B46-1,0)</f>
        <v>0.0431555340241798</v>
      </c>
      <c r="N46" s="49" t="n">
        <f aca="false">N45*(1+Paths!C46)+F46*(1-dep_asia)+Labour!AL46*IF($A46&gt;=xo_year,xo_cn2,xo_cn1)</f>
        <v>712529.36348106</v>
      </c>
      <c r="O46" s="49" t="n">
        <f aca="false">O45*(1+Paths!C46)+G46*(1-dep_asia)+Labour!AL46*IF($A46&gt;=xo_year,xo_jp2,xo_jp1)</f>
        <v>156693.976559221</v>
      </c>
      <c r="P46" s="49" t="n">
        <f aca="false">P45*(1+Paths!C46)+H46*(1-dep_asia)+Labour!AL46*IF($A46&gt;=xo_year,xo_ph2,xo_ph1)</f>
        <v>7707.28799491923</v>
      </c>
      <c r="Q46" s="49" t="n">
        <f aca="false">0</f>
        <v>0</v>
      </c>
      <c r="R46" s="49" t="n">
        <f aca="false">0</f>
        <v>0</v>
      </c>
      <c r="S46" s="66" t="n">
        <f aca="false">(N46+O46+P46+Q46+R46)/L46</f>
        <v>0.154530624307538</v>
      </c>
      <c r="T46" s="49" t="n">
        <f aca="false">SUM(E46:H46)*Paths!J46</f>
        <v>57600</v>
      </c>
      <c r="U46" s="65" t="n">
        <f aca="false">Paths!K46</f>
        <v>6545000</v>
      </c>
      <c r="V46" s="49" t="n">
        <f aca="false">IF(Gulf!E46=1,Gulf!B46,0)</f>
        <v>0</v>
      </c>
      <c r="W46" s="49" t="n">
        <f aca="false">L46+V46</f>
        <v>5674801.56095133</v>
      </c>
      <c r="X46" s="49" t="n">
        <f aca="false">W46+Labour!L46</f>
        <v>5674801.56095133</v>
      </c>
      <c r="Y46" s="47" t="n">
        <v>43934</v>
      </c>
      <c r="Z46" s="47" t="n">
        <v>101919</v>
      </c>
    </row>
    <row r="47" customFormat="false" ht="14.25" hidden="false" customHeight="true" outlineLevel="0" collapsed="false">
      <c r="A47" s="61" t="n">
        <v>1887</v>
      </c>
      <c r="B47" s="49" t="n">
        <f aca="false">L46</f>
        <v>5674801.56095133</v>
      </c>
      <c r="C47" s="65" t="n">
        <f aca="false">Paths!D47</f>
        <v>0</v>
      </c>
      <c r="D47" s="49" t="n">
        <f aca="false">B47*Paths!C47</f>
        <v>87953.7493931847</v>
      </c>
      <c r="E47" s="49" t="n">
        <f aca="false">Paths!E47*IF($A47&gt;=1896,mig_scale,1)*IF(AND($A47&gt;=1848,$A47&lt;=1860),dem01_mult,1)</f>
        <v>110000</v>
      </c>
      <c r="F47" s="49" t="n">
        <f aca="false">Paths!F47*IF($A47&gt;=1896,mig_scale,1)*IF(AND($A47&gt;=1848,$A47&lt;=1860),dem01_mult,1)</f>
        <v>25000</v>
      </c>
      <c r="G47" s="49" t="n">
        <f aca="false">Paths!G47*IF($A47&gt;=1896,mig_scale,1)</f>
        <v>8000</v>
      </c>
      <c r="H47" s="49" t="n">
        <f aca="false">Paths!H47*IF($A47&gt;=1896,mig_scale,1)</f>
        <v>1000</v>
      </c>
      <c r="I47" s="49" t="n">
        <f aca="false">E47*Paths!I47+(F47+G47+H47)*dep_asia</f>
        <v>31520</v>
      </c>
      <c r="J47" s="65" t="n">
        <f aca="false">Labour!AL47</f>
        <v>54250.3391206172</v>
      </c>
      <c r="K47" s="49" t="n">
        <f aca="false">SUM(E47:H47)-I47+J47</f>
        <v>166730.339120617</v>
      </c>
      <c r="L47" s="49" t="n">
        <f aca="false">B47+C47+D47+K47</f>
        <v>5929485.64946513</v>
      </c>
      <c r="M47" s="66" t="n">
        <f aca="false">IF(B47&gt;0,L47/B47-1,0)</f>
        <v>0.0448798228058402</v>
      </c>
      <c r="N47" s="49" t="n">
        <f aca="false">N46*(1+Paths!C47)+F47*(1-dep_asia)+Labour!AL47*IF($A47&gt;=xo_year,xo_cn2,xo_cn1)</f>
        <v>746997.889997715</v>
      </c>
      <c r="O47" s="49" t="n">
        <f aca="false">O46*(1+Paths!C47)+G47*(1-dep_asia)+Labour!AL47*IF($A47&gt;=xo_year,xo_jp2,xo_jp1)</f>
        <v>175732.644326036</v>
      </c>
      <c r="P47" s="49" t="n">
        <f aca="false">P46*(1+Paths!C47)+H47*(1-dep_asia)+Labour!AL47*IF($A47&gt;=xo_year,xo_ph2,xo_ph1)</f>
        <v>8546.74325155248</v>
      </c>
      <c r="Q47" s="49" t="n">
        <f aca="false">0</f>
        <v>0</v>
      </c>
      <c r="R47" s="49" t="n">
        <f aca="false">0</f>
        <v>0</v>
      </c>
      <c r="S47" s="66" t="n">
        <f aca="false">(N47+O47+P47+Q47+R47)/L47</f>
        <v>0.157058694907088</v>
      </c>
      <c r="T47" s="49" t="n">
        <f aca="false">SUM(E47:H47)*Paths!J47</f>
        <v>57600</v>
      </c>
      <c r="U47" s="65" t="n">
        <f aca="false">Paths!K47</f>
        <v>6600000</v>
      </c>
      <c r="V47" s="49" t="n">
        <f aca="false">IF(Gulf!E47=1,Gulf!B47,0)</f>
        <v>0</v>
      </c>
      <c r="W47" s="49" t="n">
        <f aca="false">L47+V47</f>
        <v>5929485.64946513</v>
      </c>
      <c r="X47" s="49" t="n">
        <f aca="false">W47+Labour!L47</f>
        <v>5929485.64946513</v>
      </c>
      <c r="Y47" s="47" t="n">
        <v>43377</v>
      </c>
      <c r="Z47" s="47" t="n">
        <v>101471</v>
      </c>
    </row>
    <row r="48" customFormat="false" ht="14.25" hidden="false" customHeight="true" outlineLevel="0" collapsed="false">
      <c r="A48" s="61" t="n">
        <v>1888</v>
      </c>
      <c r="B48" s="49" t="n">
        <f aca="false">L47</f>
        <v>5929485.64946513</v>
      </c>
      <c r="C48" s="65" t="n">
        <f aca="false">Paths!D48</f>
        <v>0</v>
      </c>
      <c r="D48" s="49" t="n">
        <f aca="false">B48*Paths!C48</f>
        <v>92381.3864186668</v>
      </c>
      <c r="E48" s="49" t="n">
        <f aca="false">Paths!E48*IF($A48&gt;=1896,mig_scale,1)*IF(AND($A48&gt;=1848,$A48&lt;=1860),dem01_mult,1)</f>
        <v>65000</v>
      </c>
      <c r="F48" s="49" t="n">
        <f aca="false">Paths!F48*IF($A48&gt;=1896,mig_scale,1)*IF(AND($A48&gt;=1848,$A48&lt;=1860),dem01_mult,1)</f>
        <v>22000</v>
      </c>
      <c r="G48" s="49" t="n">
        <f aca="false">Paths!G48*IF($A48&gt;=1896,mig_scale,1)</f>
        <v>8000</v>
      </c>
      <c r="H48" s="49" t="n">
        <f aca="false">Paths!H48*IF($A48&gt;=1896,mig_scale,1)</f>
        <v>1000</v>
      </c>
      <c r="I48" s="49" t="n">
        <f aca="false">E48*Paths!I48+(F48+G48+H48)*dep_asia</f>
        <v>21680</v>
      </c>
      <c r="J48" s="65" t="n">
        <f aca="false">Labour!AL48</f>
        <v>70580.815418411</v>
      </c>
      <c r="K48" s="49" t="n">
        <f aca="false">SUM(E48:H48)-I48+J48</f>
        <v>144900.815418411</v>
      </c>
      <c r="L48" s="49" t="n">
        <f aca="false">B48+C48+D48+K48</f>
        <v>6166767.85130221</v>
      </c>
      <c r="M48" s="66" t="n">
        <f aca="false">IF(B48&gt;0,L48/B48-1,0)</f>
        <v>0.0400173330141176</v>
      </c>
      <c r="N48" s="49" t="n">
        <f aca="false">N47*(1+Paths!C48)+F48*(1-dep_asia)+Labour!AL48*IF($A48&gt;=xo_year,xo_cn2,xo_cn1)</f>
        <v>781534.19866572</v>
      </c>
      <c r="O48" s="49" t="n">
        <f aca="false">O47*(1+Paths!C48)+G48*(1-dep_asia)+Labour!AL48*IF($A48&gt;=xo_year,xo_jp2,xo_jp1)</f>
        <v>198346.722008318</v>
      </c>
      <c r="P48" s="49" t="n">
        <f aca="false">P47*(1+Paths!C48)+H48*(1-dep_asia)+Labour!AL48*IF($A48&gt;=xo_year,xo_ph2,xo_ph1)</f>
        <v>9399.90151141167</v>
      </c>
      <c r="Q48" s="49" t="n">
        <f aca="false">0</f>
        <v>0</v>
      </c>
      <c r="R48" s="49" t="n">
        <f aca="false">0</f>
        <v>0</v>
      </c>
      <c r="S48" s="66" t="n">
        <f aca="false">(N48+O48+P48+Q48+R48)/L48</f>
        <v>0.160421284867493</v>
      </c>
      <c r="T48" s="49" t="n">
        <f aca="false">SUM(E48:H48)*Paths!J48</f>
        <v>28800</v>
      </c>
      <c r="U48" s="65" t="n">
        <f aca="false">Paths!K48</f>
        <v>6662000</v>
      </c>
      <c r="V48" s="49" t="n">
        <f aca="false">IF(Gulf!E48=1,Gulf!B48,0)</f>
        <v>0</v>
      </c>
      <c r="W48" s="49" t="n">
        <f aca="false">L48+V48</f>
        <v>6166767.85130221</v>
      </c>
      <c r="X48" s="49" t="n">
        <f aca="false">W48+Labour!L48</f>
        <v>6166767.85130221</v>
      </c>
      <c r="Y48" s="47" t="n">
        <v>42902</v>
      </c>
      <c r="Z48" s="47" t="n">
        <v>101057</v>
      </c>
    </row>
    <row r="49" customFormat="false" ht="14.25" hidden="false" customHeight="true" outlineLevel="0" collapsed="false">
      <c r="A49" s="61" t="n">
        <v>1889</v>
      </c>
      <c r="B49" s="49" t="n">
        <f aca="false">L48</f>
        <v>6166767.85130221</v>
      </c>
      <c r="C49" s="65" t="n">
        <f aca="false">Paths!D49</f>
        <v>0</v>
      </c>
      <c r="D49" s="49" t="n">
        <f aca="false">B49*Paths!C49</f>
        <v>97767.9375145453</v>
      </c>
      <c r="E49" s="49" t="n">
        <f aca="false">Paths!E49*IF($A49&gt;=1896,mig_scale,1)*IF(AND($A49&gt;=1848,$A49&lt;=1860),dem01_mult,1)</f>
        <v>65000</v>
      </c>
      <c r="F49" s="49" t="n">
        <f aca="false">Paths!F49*IF($A49&gt;=1896,mig_scale,1)*IF(AND($A49&gt;=1848,$A49&lt;=1860),dem01_mult,1)</f>
        <v>22000</v>
      </c>
      <c r="G49" s="49" t="n">
        <f aca="false">Paths!G49*IF($A49&gt;=1896,mig_scale,1)</f>
        <v>8000</v>
      </c>
      <c r="H49" s="49" t="n">
        <f aca="false">Paths!H49*IF($A49&gt;=1896,mig_scale,1)</f>
        <v>1000</v>
      </c>
      <c r="I49" s="49" t="n">
        <f aca="false">E49*Paths!I49+(F49+G49+H49)*dep_asia</f>
        <v>21680</v>
      </c>
      <c r="J49" s="65" t="n">
        <f aca="false">Labour!AL49</f>
        <v>79365.7602316337</v>
      </c>
      <c r="K49" s="49" t="n">
        <f aca="false">SUM(E49:H49)-I49+J49</f>
        <v>153685.760231634</v>
      </c>
      <c r="L49" s="49" t="n">
        <f aca="false">B49+C49+D49+K49</f>
        <v>6418221.54904839</v>
      </c>
      <c r="M49" s="66" t="n">
        <f aca="false">IF(B49&gt;0,L49/B49-1,0)</f>
        <v>0.0407756062510252</v>
      </c>
      <c r="N49" s="49" t="n">
        <f aca="false">N48*(1+Paths!C49)+F49*(1-dep_asia)+Labour!AL49*IF($A49&gt;=xo_year,xo_cn2,xo_cn1)</f>
        <v>817701.21787453</v>
      </c>
      <c r="O49" s="49" t="n">
        <f aca="false">O48*(1+Paths!C49)+G49*(1-dep_asia)+Labour!AL49*IF($A49&gt;=xo_year,xo_jp2,xo_jp1)</f>
        <v>223124.462985364</v>
      </c>
      <c r="P49" s="49" t="n">
        <f aca="false">P48*(1+Paths!C49)+H49*(1-dep_asia)+Labour!AL49*IF($A49&gt;=xo_year,xo_ph2,xo_ph1)</f>
        <v>10268.9275499736</v>
      </c>
      <c r="Q49" s="49" t="n">
        <f aca="false">0</f>
        <v>0</v>
      </c>
      <c r="R49" s="49" t="n">
        <f aca="false">0</f>
        <v>0</v>
      </c>
      <c r="S49" s="66" t="n">
        <f aca="false">(N49+O49+P49+Q49+R49)/L49</f>
        <v>0.163767267984962</v>
      </c>
      <c r="T49" s="49" t="n">
        <f aca="false">SUM(E49:H49)*Paths!J49</f>
        <v>28800</v>
      </c>
      <c r="U49" s="65" t="n">
        <f aca="false">Paths!K49</f>
        <v>6743000</v>
      </c>
      <c r="V49" s="49" t="n">
        <f aca="false">IF(Gulf!E49=1,Gulf!B49,0)</f>
        <v>0</v>
      </c>
      <c r="W49" s="49" t="n">
        <f aca="false">L49+V49</f>
        <v>6418221.54904839</v>
      </c>
      <c r="X49" s="49" t="n">
        <f aca="false">W49+Labour!L49</f>
        <v>6418221.54904839</v>
      </c>
      <c r="Y49" s="47" t="n">
        <v>42509</v>
      </c>
      <c r="Z49" s="47" t="n">
        <v>100676</v>
      </c>
    </row>
    <row r="50" customFormat="false" ht="14.25" hidden="false" customHeight="true" outlineLevel="0" collapsed="false">
      <c r="A50" s="61" t="n">
        <v>1890</v>
      </c>
      <c r="B50" s="49" t="n">
        <f aca="false">L49</f>
        <v>6418221.54904839</v>
      </c>
      <c r="C50" s="65" t="n">
        <f aca="false">Paths!D50</f>
        <v>0</v>
      </c>
      <c r="D50" s="49" t="n">
        <f aca="false">B50*Paths!C50</f>
        <v>103378.294490522</v>
      </c>
      <c r="E50" s="49" t="n">
        <f aca="false">Paths!E50*IF($A50&gt;=1896,mig_scale,1)*IF(AND($A50&gt;=1848,$A50&lt;=1860),dem01_mult,1)</f>
        <v>65000</v>
      </c>
      <c r="F50" s="49" t="n">
        <f aca="false">Paths!F50*IF($A50&gt;=1896,mig_scale,1)*IF(AND($A50&gt;=1848,$A50&lt;=1860),dem01_mult,1)</f>
        <v>22000</v>
      </c>
      <c r="G50" s="49" t="n">
        <f aca="false">Paths!G50*IF($A50&gt;=1896,mig_scale,1)</f>
        <v>8000</v>
      </c>
      <c r="H50" s="49" t="n">
        <f aca="false">Paths!H50*IF($A50&gt;=1896,mig_scale,1)</f>
        <v>5000</v>
      </c>
      <c r="I50" s="49" t="n">
        <f aca="false">E50*Paths!I50+(F50+G50+H50)*dep_asia</f>
        <v>22800</v>
      </c>
      <c r="J50" s="65" t="n">
        <f aca="false">Labour!AL50</f>
        <v>90425.634307167</v>
      </c>
      <c r="K50" s="49" t="n">
        <f aca="false">SUM(E50:H50)-I50+J50</f>
        <v>167625.634307167</v>
      </c>
      <c r="L50" s="49" t="n">
        <f aca="false">B50+C50+D50+K50</f>
        <v>6689225.47784608</v>
      </c>
      <c r="M50" s="66" t="n">
        <f aca="false">IF(B50&gt;0,L50/B50-1,0)</f>
        <v>0.0422241467868727</v>
      </c>
      <c r="N50" s="49" t="n">
        <f aca="false">N49*(1+Paths!C50)+F50*(1-dep_asia)+Labour!AL50*IF($A50&gt;=xo_year,xo_cn2,xo_cn1)</f>
        <v>855754.494821552</v>
      </c>
      <c r="O50" s="49" t="n">
        <f aca="false">O49*(1+Paths!C50)+G50*(1-dep_asia)+Labour!AL50*IF($A50&gt;=xo_year,xo_jp2,xo_jp1)</f>
        <v>250563.455572103</v>
      </c>
      <c r="P50" s="49" t="n">
        <f aca="false">P49*(1+Paths!C50)+H50*(1-dep_asia)+Labour!AL50*IF($A50&gt;=xo_year,xo_ph2,xo_ph1)</f>
        <v>14034.329166021</v>
      </c>
      <c r="Q50" s="49" t="n">
        <f aca="false">0</f>
        <v>0</v>
      </c>
      <c r="R50" s="49" t="n">
        <f aca="false">0</f>
        <v>0</v>
      </c>
      <c r="S50" s="66" t="n">
        <f aca="false">(N50+O50+P50+Q50+R50)/L50</f>
        <v>0.167486098842108</v>
      </c>
      <c r="T50" s="49" t="n">
        <f aca="false">SUM(E50:H50)*Paths!J50</f>
        <v>30000</v>
      </c>
      <c r="U50" s="65" t="n">
        <f aca="false">Paths!K50</f>
        <v>6806324</v>
      </c>
      <c r="V50" s="49" t="n">
        <f aca="false">IF(Gulf!E50=1,Gulf!B50,0)</f>
        <v>0</v>
      </c>
      <c r="W50" s="49" t="n">
        <f aca="false">L50+V50</f>
        <v>6689225.47784608</v>
      </c>
      <c r="X50" s="49" t="n">
        <f aca="false">W50+Labour!L50</f>
        <v>6789389.09565105</v>
      </c>
      <c r="Y50" s="47" t="n">
        <v>42195</v>
      </c>
      <c r="Z50" s="47" t="n">
        <v>100326</v>
      </c>
    </row>
    <row r="51" customFormat="false" ht="14.25" hidden="false" customHeight="true" outlineLevel="0" collapsed="false">
      <c r="A51" s="61" t="n">
        <v>1891</v>
      </c>
      <c r="B51" s="49" t="n">
        <f aca="false">L50</f>
        <v>6689225.47784608</v>
      </c>
      <c r="C51" s="65" t="n">
        <f aca="false">Paths!D51</f>
        <v>0</v>
      </c>
      <c r="D51" s="49" t="n">
        <f aca="false">B51*Paths!C51</f>
        <v>110960.872226511</v>
      </c>
      <c r="E51" s="49" t="n">
        <f aca="false">Paths!E51*IF($A51&gt;=1896,mig_scale,1)*IF(AND($A51&gt;=1848,$A51&lt;=1860),dem01_mult,1)</f>
        <v>65000</v>
      </c>
      <c r="F51" s="49" t="n">
        <f aca="false">Paths!F51*IF($A51&gt;=1896,mig_scale,1)*IF(AND($A51&gt;=1848,$A51&lt;=1860),dem01_mult,1)</f>
        <v>22000</v>
      </c>
      <c r="G51" s="49" t="n">
        <f aca="false">Paths!G51*IF($A51&gt;=1896,mig_scale,1)</f>
        <v>8000</v>
      </c>
      <c r="H51" s="49" t="n">
        <f aca="false">Paths!H51*IF($A51&gt;=1896,mig_scale,1)</f>
        <v>5000</v>
      </c>
      <c r="I51" s="49" t="n">
        <f aca="false">E51*Paths!I51+(F51+G51+H51)*dep_asia</f>
        <v>22800</v>
      </c>
      <c r="J51" s="65" t="n">
        <f aca="false">Labour!AL51</f>
        <v>107224.007130641</v>
      </c>
      <c r="K51" s="49" t="n">
        <f aca="false">SUM(E51:H51)-I51+J51</f>
        <v>184424.007130641</v>
      </c>
      <c r="L51" s="49" t="n">
        <f aca="false">B51+C51+D51+K51</f>
        <v>6984610.35720323</v>
      </c>
      <c r="M51" s="66" t="n">
        <f aca="false">IF(B51&gt;0,L51/B51-1,0)</f>
        <v>0.0441583080635317</v>
      </c>
      <c r="N51" s="49" t="n">
        <f aca="false">N50*(1+Paths!C51)+F51*(1-dep_asia)+Labour!AL51*IF($A51&gt;=xo_year,xo_cn2,xo_cn1)</f>
        <v>896512.151094716</v>
      </c>
      <c r="O51" s="49" t="n">
        <f aca="false">O50*(1+Paths!C51)+G51*(1-dep_asia)+Labour!AL51*IF($A51&gt;=xo_year,xo_jp2,xo_jp1)</f>
        <v>281924.603599261</v>
      </c>
      <c r="P51" s="49" t="n">
        <f aca="false">P50*(1+Paths!C51)+H51*(1-dep_asia)+Labour!AL51*IF($A51&gt;=xo_year,xo_ph2,xo_ph1)</f>
        <v>17867.130618227</v>
      </c>
      <c r="Q51" s="49" t="n">
        <f aca="false">0</f>
        <v>0</v>
      </c>
      <c r="R51" s="49" t="n">
        <f aca="false">0</f>
        <v>0</v>
      </c>
      <c r="S51" s="66" t="n">
        <f aca="false">(N51+O51+P51+Q51+R51)/L51</f>
        <v>0.171277111267697</v>
      </c>
      <c r="T51" s="49" t="n">
        <f aca="false">SUM(E51:H51)*Paths!J51</f>
        <v>30000</v>
      </c>
      <c r="U51" s="65" t="n">
        <f aca="false">Paths!K51</f>
        <v>6868654</v>
      </c>
      <c r="V51" s="49" t="n">
        <f aca="false">IF(Gulf!E51=1,Gulf!B51,0)</f>
        <v>0</v>
      </c>
      <c r="W51" s="49" t="n">
        <f aca="false">L51+V51</f>
        <v>6984610.35720323</v>
      </c>
      <c r="X51" s="49" t="n">
        <f aca="false">W51+Labour!L51</f>
        <v>7147084.78402874</v>
      </c>
      <c r="Y51" s="47" t="n">
        <v>41960</v>
      </c>
      <c r="Z51" s="47" t="n">
        <v>100009</v>
      </c>
    </row>
    <row r="52" customFormat="false" ht="14.25" hidden="false" customHeight="true" outlineLevel="0" collapsed="false">
      <c r="A52" s="61" t="n">
        <v>1892</v>
      </c>
      <c r="B52" s="49" t="n">
        <f aca="false">L51</f>
        <v>6984610.35720323</v>
      </c>
      <c r="C52" s="65" t="n">
        <f aca="false">Paths!D52</f>
        <v>0</v>
      </c>
      <c r="D52" s="49" t="n">
        <f aca="false">B52*Paths!C52</f>
        <v>119010.775876386</v>
      </c>
      <c r="E52" s="49" t="n">
        <f aca="false">Paths!E52*IF($A52&gt;=1896,mig_scale,1)*IF(AND($A52&gt;=1848,$A52&lt;=1860),dem01_mult,1)</f>
        <v>65000</v>
      </c>
      <c r="F52" s="49" t="n">
        <f aca="false">Paths!F52*IF($A52&gt;=1896,mig_scale,1)*IF(AND($A52&gt;=1848,$A52&lt;=1860),dem01_mult,1)</f>
        <v>22000</v>
      </c>
      <c r="G52" s="49" t="n">
        <f aca="false">Paths!G52*IF($A52&gt;=1896,mig_scale,1)</f>
        <v>8000</v>
      </c>
      <c r="H52" s="49" t="n">
        <f aca="false">Paths!H52*IF($A52&gt;=1896,mig_scale,1)</f>
        <v>5000</v>
      </c>
      <c r="I52" s="49" t="n">
        <f aca="false">E52*Paths!I52+(F52+G52+H52)*dep_asia</f>
        <v>22800</v>
      </c>
      <c r="J52" s="65" t="n">
        <f aca="false">Labour!AL52</f>
        <v>122457.628484807</v>
      </c>
      <c r="K52" s="49" t="n">
        <f aca="false">SUM(E52:H52)-I52+J52</f>
        <v>199657.628484807</v>
      </c>
      <c r="L52" s="49" t="n">
        <f aca="false">B52+C52+D52+K52</f>
        <v>7303278.76156443</v>
      </c>
      <c r="M52" s="66" t="n">
        <f aca="false">IF(B52&gt;0,L52/B52-1,0)</f>
        <v>0.045624363860548</v>
      </c>
      <c r="N52" s="49" t="n">
        <f aca="false">N51*(1+Paths!C52)+F52*(1-dep_asia)+Labour!AL52*IF($A52&gt;=xo_year,xo_cn2,xo_cn1)</f>
        <v>939873.5844857</v>
      </c>
      <c r="O52" s="49" t="n">
        <f aca="false">O51*(1+Paths!C52)+G52*(1-dep_asia)+Labour!AL52*IF($A52&gt;=xo_year,xo_jp2,xo_jp1)</f>
        <v>316979.84261695</v>
      </c>
      <c r="P52" s="49" t="n">
        <f aca="false">P51*(1+Paths!C52)+H52*(1-dep_asia)+Labour!AL52*IF($A52&gt;=xo_year,xo_ph2,xo_ph1)</f>
        <v>21771.5686568309</v>
      </c>
      <c r="Q52" s="49" t="n">
        <f aca="false">0</f>
        <v>0</v>
      </c>
      <c r="R52" s="49" t="n">
        <f aca="false">0</f>
        <v>0</v>
      </c>
      <c r="S52" s="66" t="n">
        <f aca="false">(N52+O52+P52+Q52+R52)/L52</f>
        <v>0.175075474660588</v>
      </c>
      <c r="T52" s="49" t="n">
        <f aca="false">SUM(E52:H52)*Paths!J52</f>
        <v>30000</v>
      </c>
      <c r="U52" s="65" t="n">
        <f aca="false">Paths!K52</f>
        <v>6930990</v>
      </c>
      <c r="V52" s="49" t="n">
        <f aca="false">IF(Gulf!E52=1,Gulf!B52,0)</f>
        <v>0</v>
      </c>
      <c r="W52" s="49" t="n">
        <f aca="false">L52+V52</f>
        <v>7303278.76156443</v>
      </c>
      <c r="X52" s="49" t="n">
        <f aca="false">W52+Labour!L52</f>
        <v>7507868.09503812</v>
      </c>
      <c r="Y52" s="47" t="n">
        <v>41803</v>
      </c>
      <c r="Z52" s="47" t="n">
        <v>99758</v>
      </c>
    </row>
    <row r="53" customFormat="false" ht="14.25" hidden="false" customHeight="true" outlineLevel="0" collapsed="false">
      <c r="A53" s="61" t="n">
        <v>1893</v>
      </c>
      <c r="B53" s="49" t="n">
        <f aca="false">L52</f>
        <v>7303278.76156443</v>
      </c>
      <c r="C53" s="65" t="n">
        <f aca="false">Paths!D53</f>
        <v>0</v>
      </c>
      <c r="D53" s="49" t="n">
        <f aca="false">B53*Paths!C53</f>
        <v>127288.845535306</v>
      </c>
      <c r="E53" s="49" t="n">
        <f aca="false">Paths!E53*IF($A53&gt;=1896,mig_scale,1)*IF(AND($A53&gt;=1848,$A53&lt;=1860),dem01_mult,1)</f>
        <v>65000</v>
      </c>
      <c r="F53" s="49" t="n">
        <f aca="false">Paths!F53*IF($A53&gt;=1896,mig_scale,1)*IF(AND($A53&gt;=1848,$A53&lt;=1860),dem01_mult,1)</f>
        <v>22000</v>
      </c>
      <c r="G53" s="49" t="n">
        <f aca="false">Paths!G53*IF($A53&gt;=1896,mig_scale,1)</f>
        <v>8000</v>
      </c>
      <c r="H53" s="49" t="n">
        <f aca="false">Paths!H53*IF($A53&gt;=1896,mig_scale,1)</f>
        <v>5000</v>
      </c>
      <c r="I53" s="49" t="n">
        <f aca="false">E53*Paths!I53+(F53+G53+H53)*dep_asia</f>
        <v>22800</v>
      </c>
      <c r="J53" s="65" t="n">
        <f aca="false">Labour!AL53</f>
        <v>130244.319442529</v>
      </c>
      <c r="K53" s="49" t="n">
        <f aca="false">SUM(E53:H53)-I53+J53</f>
        <v>207444.319442529</v>
      </c>
      <c r="L53" s="49" t="n">
        <f aca="false">B53+C53+D53+K53</f>
        <v>7638011.92654226</v>
      </c>
      <c r="M53" s="66" t="n">
        <f aca="false">IF(B53&gt;0,L53/B53-1,0)</f>
        <v>0.0458332724117643</v>
      </c>
      <c r="N53" s="49" t="n">
        <f aca="false">N52*(1+Paths!C53)+F53*(1-dep_asia)+Labour!AL53*IF($A53&gt;=xo_year,xo_cn2,xo_cn1)</f>
        <v>985119.073133954</v>
      </c>
      <c r="O53" s="49" t="n">
        <f aca="false">O52*(1+Paths!C53)+G53*(1-dep_asia)+Labour!AL53*IF($A53&gt;=xo_year,xo_jp2,xo_jp1)</f>
        <v>354313.348182427</v>
      </c>
      <c r="P53" s="49" t="n">
        <f aca="false">P52*(1+Paths!C53)+H53*(1-dep_asia)+Labour!AL53*IF($A53&gt;=xo_year,xo_ph2,xo_ph1)</f>
        <v>25751.0253269508</v>
      </c>
      <c r="Q53" s="49" t="n">
        <f aca="false">0</f>
        <v>0</v>
      </c>
      <c r="R53" s="49" t="n">
        <f aca="false">0</f>
        <v>0</v>
      </c>
      <c r="S53" s="66" t="n">
        <f aca="false">(N53+O53+P53+Q53+R53)/L53</f>
        <v>0.178735443171971</v>
      </c>
      <c r="T53" s="49" t="n">
        <f aca="false">SUM(E53:H53)*Paths!J53</f>
        <v>30000</v>
      </c>
      <c r="U53" s="65" t="n">
        <f aca="false">Paths!K53</f>
        <v>6994331</v>
      </c>
      <c r="V53" s="49" t="n">
        <f aca="false">IF(Gulf!E53=1,Gulf!B53,0)</f>
        <v>0</v>
      </c>
      <c r="W53" s="49" t="n">
        <f aca="false">L53+V53</f>
        <v>7638011.92654226</v>
      </c>
      <c r="X53" s="49" t="n">
        <f aca="false">W53+Labour!L53</f>
        <v>7854660.31635151</v>
      </c>
      <c r="Y53" s="47" t="n">
        <v>41719</v>
      </c>
      <c r="Z53" s="47" t="n">
        <v>99566</v>
      </c>
    </row>
    <row r="54" customFormat="false" ht="14.25" hidden="false" customHeight="true" outlineLevel="0" collapsed="false">
      <c r="A54" s="61" t="n">
        <v>1894</v>
      </c>
      <c r="B54" s="49" t="n">
        <f aca="false">L53</f>
        <v>7638011.92654226</v>
      </c>
      <c r="C54" s="65" t="n">
        <f aca="false">Paths!D54</f>
        <v>0</v>
      </c>
      <c r="D54" s="49" t="n">
        <f aca="false">B54*Paths!C54</f>
        <v>135666.367839244</v>
      </c>
      <c r="E54" s="49" t="n">
        <f aca="false">Paths!E54*IF($A54&gt;=1896,mig_scale,1)*IF(AND($A54&gt;=1848,$A54&lt;=1860),dem01_mult,1)</f>
        <v>65000</v>
      </c>
      <c r="F54" s="49" t="n">
        <f aca="false">Paths!F54*IF($A54&gt;=1896,mig_scale,1)*IF(AND($A54&gt;=1848,$A54&lt;=1860),dem01_mult,1)</f>
        <v>22000</v>
      </c>
      <c r="G54" s="49" t="n">
        <f aca="false">Paths!G54*IF($A54&gt;=1896,mig_scale,1)</f>
        <v>8000</v>
      </c>
      <c r="H54" s="49" t="n">
        <f aca="false">Paths!H54*IF($A54&gt;=1896,mig_scale,1)</f>
        <v>5000</v>
      </c>
      <c r="I54" s="49" t="n">
        <f aca="false">E54*Paths!I54+(F54+G54+H54)*dep_asia</f>
        <v>22800</v>
      </c>
      <c r="J54" s="65" t="n">
        <f aca="false">Labour!AL54</f>
        <v>129105.048905479</v>
      </c>
      <c r="K54" s="49" t="n">
        <f aca="false">SUM(E54:H54)-I54+J54</f>
        <v>206305.048905479</v>
      </c>
      <c r="L54" s="49" t="n">
        <f aca="false">B54+C54+D54+K54</f>
        <v>7979983.34328698</v>
      </c>
      <c r="M54" s="66" t="n">
        <f aca="false">IF(B54&gt;0,L54/B54-1,0)</f>
        <v>0.044772307248744</v>
      </c>
      <c r="N54" s="49" t="n">
        <f aca="false">N53*(1+Paths!C54)+F54*(1-dep_asia)+Labour!AL54*IF($A54&gt;=xo_year,xo_cn2,xo_cn1)</f>
        <v>1031367.26300151</v>
      </c>
      <c r="O54" s="49" t="n">
        <f aca="false">O53*(1+Paths!C54)+G54*(1-dep_asia)+Labour!AL54*IF($A54&gt;=xo_year,xo_jp2,xo_jp1)</f>
        <v>392187.671653939</v>
      </c>
      <c r="P54" s="49" t="n">
        <f aca="false">P53*(1+Paths!C54)+H54*(1-dep_asia)+Labour!AL54*IF($A54&gt;=xo_year,xo_ph2,xo_ph1)</f>
        <v>29808.4150388081</v>
      </c>
      <c r="Q54" s="49" t="n">
        <f aca="false">0</f>
        <v>0</v>
      </c>
      <c r="R54" s="49" t="n">
        <f aca="false">0</f>
        <v>0</v>
      </c>
      <c r="S54" s="66" t="n">
        <f aca="false">(N54+O54+P54+Q54+R54)/L54</f>
        <v>0.182126113197576</v>
      </c>
      <c r="T54" s="49" t="n">
        <f aca="false">SUM(E54:H54)*Paths!J54</f>
        <v>30000</v>
      </c>
      <c r="U54" s="65" t="n">
        <f aca="false">Paths!K54</f>
        <v>7057679</v>
      </c>
      <c r="V54" s="49" t="n">
        <f aca="false">IF(Gulf!E54=1,Gulf!B54,0)</f>
        <v>0</v>
      </c>
      <c r="W54" s="49" t="n">
        <f aca="false">L54+V54</f>
        <v>7979983.34328698</v>
      </c>
      <c r="X54" s="49" t="n">
        <f aca="false">W54+Labour!L54</f>
        <v>8206740.6621669</v>
      </c>
      <c r="Y54" s="47" t="n">
        <v>41707</v>
      </c>
      <c r="Z54" s="47" t="n">
        <v>99432</v>
      </c>
    </row>
    <row r="55" customFormat="false" ht="14.25" hidden="false" customHeight="true" outlineLevel="0" collapsed="false">
      <c r="A55" s="61" t="n">
        <v>1895</v>
      </c>
      <c r="B55" s="49" t="n">
        <f aca="false">L54</f>
        <v>7979983.34328698</v>
      </c>
      <c r="C55" s="65" t="n">
        <f aca="false">Paths!D55</f>
        <v>0</v>
      </c>
      <c r="D55" s="49" t="n">
        <f aca="false">B55*Paths!C55</f>
        <v>143823.239796061</v>
      </c>
      <c r="E55" s="49" t="n">
        <f aca="false">Paths!E55*IF($A55&gt;=1896,mig_scale,1)*IF(AND($A55&gt;=1848,$A55&lt;=1860),dem01_mult,1)</f>
        <v>65000</v>
      </c>
      <c r="F55" s="49" t="n">
        <f aca="false">Paths!F55*IF($A55&gt;=1896,mig_scale,1)*IF(AND($A55&gt;=1848,$A55&lt;=1860),dem01_mult,1)</f>
        <v>22000</v>
      </c>
      <c r="G55" s="49" t="n">
        <f aca="false">Paths!G55*IF($A55&gt;=1896,mig_scale,1)</f>
        <v>8000</v>
      </c>
      <c r="H55" s="49" t="n">
        <f aca="false">Paths!H55*IF($A55&gt;=1896,mig_scale,1)</f>
        <v>5000</v>
      </c>
      <c r="I55" s="49" t="n">
        <f aca="false">E55*Paths!I55+(F55+G55+H55)*dep_asia</f>
        <v>22800</v>
      </c>
      <c r="J55" s="65" t="n">
        <f aca="false">Labour!AL55</f>
        <v>128663.328315257</v>
      </c>
      <c r="K55" s="49" t="n">
        <f aca="false">SUM(E55:H55)-I55+J55</f>
        <v>205863.328315257</v>
      </c>
      <c r="L55" s="49" t="n">
        <f aca="false">B55+C55+D55+K55</f>
        <v>8329669.9113983</v>
      </c>
      <c r="M55" s="66" t="n">
        <f aca="false">IF(B55&gt;0,L55/B55-1,0)</f>
        <v>0.0438204634105515</v>
      </c>
      <c r="N55" s="49" t="n">
        <f aca="false">N54*(1+Paths!C55)+F55*(1-dep_asia)+Labour!AL55*IF($A55&gt;=xo_year,xo_cn2,xo_cn1)</f>
        <v>1078661.92801411</v>
      </c>
      <c r="O55" s="49" t="n">
        <f aca="false">O54*(1+Paths!C55)+G55*(1-dep_asia)+Labour!AL55*IF($A55&gt;=xo_year,xo_jp2,xo_jp1)</f>
        <v>430748.735723209</v>
      </c>
      <c r="P55" s="49" t="n">
        <f aca="false">P54*(1+Paths!C55)+H55*(1-dep_asia)+Labour!AL55*IF($A55&gt;=xo_year,xo_ph2,xo_ph1)</f>
        <v>33945.6521030526</v>
      </c>
      <c r="Q55" s="49" t="n">
        <f aca="false">0</f>
        <v>0</v>
      </c>
      <c r="R55" s="49" t="n">
        <f aca="false">0</f>
        <v>0</v>
      </c>
      <c r="S55" s="66" t="n">
        <f aca="false">(N55+O55+P55+Q55+R55)/L55</f>
        <v>0.185284210809896</v>
      </c>
      <c r="T55" s="49" t="n">
        <f aca="false">SUM(E55:H55)*Paths!J55</f>
        <v>30000</v>
      </c>
      <c r="U55" s="65" t="n">
        <f aca="false">Paths!K55</f>
        <v>7120034</v>
      </c>
      <c r="V55" s="49" t="n">
        <f aca="false">IF(Gulf!E55=1,Gulf!B55,0)</f>
        <v>0</v>
      </c>
      <c r="W55" s="49" t="n">
        <f aca="false">L55+V55</f>
        <v>8329669.9113983</v>
      </c>
      <c r="X55" s="49" t="n">
        <f aca="false">W55+Labour!L55</f>
        <v>8581277.49878791</v>
      </c>
      <c r="Y55" s="47" t="n">
        <v>41764</v>
      </c>
      <c r="Z55" s="47" t="n">
        <v>99357</v>
      </c>
    </row>
    <row r="56" customFormat="false" ht="14.25" hidden="false" customHeight="true" outlineLevel="0" collapsed="false">
      <c r="A56" s="61" t="n">
        <v>1896</v>
      </c>
      <c r="B56" s="49" t="n">
        <f aca="false">L55</f>
        <v>8329669.9113983</v>
      </c>
      <c r="C56" s="65" t="n">
        <f aca="false">Paths!D56</f>
        <v>0</v>
      </c>
      <c r="D56" s="49" t="n">
        <f aca="false">B56*Paths!C56</f>
        <v>148792.893627308</v>
      </c>
      <c r="E56" s="49" t="n">
        <f aca="false">Paths!E56*IF($A56&gt;=1896,mig_scale,1)*IF(AND($A56&gt;=1848,$A56&lt;=1860),dem01_mult,1)</f>
        <v>65000</v>
      </c>
      <c r="F56" s="49" t="n">
        <f aca="false">Paths!F56*IF($A56&gt;=1896,mig_scale,1)*IF(AND($A56&gt;=1848,$A56&lt;=1860),dem01_mult,1)</f>
        <v>22000</v>
      </c>
      <c r="G56" s="49" t="n">
        <f aca="false">Paths!G56*IF($A56&gt;=1896,mig_scale,1)</f>
        <v>8000</v>
      </c>
      <c r="H56" s="49" t="n">
        <f aca="false">Paths!H56*IF($A56&gt;=1896,mig_scale,1)</f>
        <v>5000</v>
      </c>
      <c r="I56" s="49" t="n">
        <f aca="false">E56*Paths!I56+(F56+G56+H56)*dep_asia</f>
        <v>22800</v>
      </c>
      <c r="J56" s="65" t="n">
        <f aca="false">Labour!AL56</f>
        <v>136066.351309151</v>
      </c>
      <c r="K56" s="49" t="n">
        <f aca="false">SUM(E56:H56)-I56+J56</f>
        <v>213266.351309151</v>
      </c>
      <c r="L56" s="49" t="n">
        <f aca="false">B56+C56+D56+K56</f>
        <v>8691729.15633476</v>
      </c>
      <c r="M56" s="66" t="n">
        <f aca="false">IF(B56&gt;0,L56/B56-1,0)</f>
        <v>0.0434662176037752</v>
      </c>
      <c r="N56" s="49" t="n">
        <f aca="false">N55*(1+Paths!C56)+F56*(1-dep_asia)+Labour!AL56*IF($A56&gt;=xo_year,xo_cn2,xo_cn1)</f>
        <v>1127376.70116514</v>
      </c>
      <c r="O56" s="49" t="n">
        <f aca="false">O55*(1+Paths!C56)+G56*(1-dep_asia)+Labour!AL56*IF($A56&gt;=xo_year,xo_jp2,xo_jp1)</f>
        <v>471416.470651263</v>
      </c>
      <c r="P56" s="49" t="n">
        <f aca="false">P55*(1+Paths!C56)+H56*(1-dep_asia)+Labour!AL56*IF($A56&gt;=xo_year,xo_ph2,xo_ph1)</f>
        <v>38152.0232865694</v>
      </c>
      <c r="Q56" s="49" t="n">
        <f aca="false">0</f>
        <v>0</v>
      </c>
      <c r="R56" s="49" t="n">
        <f aca="false">0</f>
        <v>0</v>
      </c>
      <c r="S56" s="66" t="n">
        <f aca="false">(N56+O56+P56+Q56+R56)/L56</f>
        <v>0.188333663608227</v>
      </c>
      <c r="T56" s="49" t="n">
        <f aca="false">SUM(E56:H56)*Paths!J56</f>
        <v>30000</v>
      </c>
      <c r="U56" s="65" t="n">
        <f aca="false">Paths!K56</f>
        <v>7182394</v>
      </c>
      <c r="V56" s="49" t="n">
        <f aca="false">IF(Gulf!E56=1,Gulf!B56,0)</f>
        <v>0</v>
      </c>
      <c r="W56" s="49" t="n">
        <f aca="false">L56+V56</f>
        <v>8691729.15633476</v>
      </c>
      <c r="X56" s="49" t="n">
        <f aca="false">W56+Labour!L56</f>
        <v>8967690.48026437</v>
      </c>
      <c r="Y56" s="47" t="n">
        <v>41873</v>
      </c>
      <c r="Z56" s="47" t="n">
        <v>99336</v>
      </c>
    </row>
    <row r="57" customFormat="false" ht="14.25" hidden="false" customHeight="true" outlineLevel="0" collapsed="false">
      <c r="A57" s="61" t="n">
        <v>1897</v>
      </c>
      <c r="B57" s="49" t="n">
        <f aca="false">L56</f>
        <v>8691729.15633476</v>
      </c>
      <c r="C57" s="65" t="n">
        <f aca="false">Paths!D57</f>
        <v>0</v>
      </c>
      <c r="D57" s="49" t="n">
        <f aca="false">B57*Paths!C57</f>
        <v>153409.019609308</v>
      </c>
      <c r="E57" s="49" t="n">
        <f aca="false">Paths!E57*IF($A57&gt;=1896,mig_scale,1)*IF(AND($A57&gt;=1848,$A57&lt;=1860),dem01_mult,1)</f>
        <v>65000</v>
      </c>
      <c r="F57" s="49" t="n">
        <f aca="false">Paths!F57*IF($A57&gt;=1896,mig_scale,1)*IF(AND($A57&gt;=1848,$A57&lt;=1860),dem01_mult,1)</f>
        <v>22000</v>
      </c>
      <c r="G57" s="49" t="n">
        <f aca="false">Paths!G57*IF($A57&gt;=1896,mig_scale,1)</f>
        <v>8000</v>
      </c>
      <c r="H57" s="49" t="n">
        <f aca="false">Paths!H57*IF($A57&gt;=1896,mig_scale,1)</f>
        <v>5000</v>
      </c>
      <c r="I57" s="49" t="n">
        <f aca="false">E57*Paths!I57+(F57+G57+H57)*dep_asia</f>
        <v>22800</v>
      </c>
      <c r="J57" s="65" t="n">
        <f aca="false">Labour!AL57</f>
        <v>137633.299071944</v>
      </c>
      <c r="K57" s="49" t="n">
        <f aca="false">SUM(E57:H57)-I57+J57</f>
        <v>214833.299071944</v>
      </c>
      <c r="L57" s="49" t="n">
        <f aca="false">B57+C57+D57+K57</f>
        <v>9059971.47501601</v>
      </c>
      <c r="M57" s="66" t="n">
        <f aca="false">IF(B57&gt;0,L57/B57-1,0)</f>
        <v>0.0423669803853548</v>
      </c>
      <c r="N57" s="49" t="n">
        <f aca="false">N56*(1+Paths!C57)+F57*(1-dep_asia)+Labour!AL57*IF($A57&gt;=xo_year,xo_cn2,xo_cn1)</f>
        <v>1176878.2298479</v>
      </c>
      <c r="O57" s="49" t="n">
        <f aca="false">O56*(1+Paths!C57)+G57*(1-dep_asia)+Labour!AL57*IF($A57&gt;=xo_year,xo_jp2,xo_jp1)</f>
        <v>513023.631172647</v>
      </c>
      <c r="P57" s="49" t="n">
        <f aca="false">P56*(1+Paths!C57)+H57*(1-dep_asia)+Labour!AL57*IF($A57&gt;=xo_year,xo_ph2,xo_ph1)</f>
        <v>42425.4064975774</v>
      </c>
      <c r="Q57" s="49" t="n">
        <f aca="false">0</f>
        <v>0</v>
      </c>
      <c r="R57" s="49" t="n">
        <f aca="false">0</f>
        <v>0</v>
      </c>
      <c r="S57" s="66" t="n">
        <f aca="false">(N57+O57+P57+Q57+R57)/L57</f>
        <v>0.191206702172874</v>
      </c>
      <c r="T57" s="49" t="n">
        <f aca="false">SUM(E57:H57)*Paths!J57</f>
        <v>30000</v>
      </c>
      <c r="U57" s="65" t="n">
        <f aca="false">Paths!K57</f>
        <v>7245761</v>
      </c>
      <c r="V57" s="49" t="n">
        <f aca="false">IF(Gulf!E57=1,Gulf!B57,0)</f>
        <v>0</v>
      </c>
      <c r="W57" s="49" t="n">
        <f aca="false">L57+V57</f>
        <v>9059971.47501601</v>
      </c>
      <c r="X57" s="49" t="n">
        <f aca="false">W57+Labour!L57</f>
        <v>9366581.58353823</v>
      </c>
      <c r="Y57" s="47" t="n">
        <v>42031</v>
      </c>
      <c r="Z57" s="47" t="n">
        <v>99372</v>
      </c>
    </row>
    <row r="58" customFormat="false" ht="14.25" hidden="false" customHeight="true" outlineLevel="0" collapsed="false">
      <c r="A58" s="61" t="n">
        <v>1898</v>
      </c>
      <c r="B58" s="49" t="n">
        <f aca="false">L57</f>
        <v>9059971.47501601</v>
      </c>
      <c r="C58" s="65" t="n">
        <f aca="false">Paths!D58</f>
        <v>0</v>
      </c>
      <c r="D58" s="49" t="n">
        <f aca="false">B58*Paths!C58</f>
        <v>158105.562210504</v>
      </c>
      <c r="E58" s="49" t="n">
        <f aca="false">Paths!E58*IF($A58&gt;=1896,mig_scale,1)*IF(AND($A58&gt;=1848,$A58&lt;=1860),dem01_mult,1)</f>
        <v>65000</v>
      </c>
      <c r="F58" s="49" t="n">
        <f aca="false">Paths!F58*IF($A58&gt;=1896,mig_scale,1)*IF(AND($A58&gt;=1848,$A58&lt;=1860),dem01_mult,1)</f>
        <v>22000</v>
      </c>
      <c r="G58" s="49" t="n">
        <f aca="false">Paths!G58*IF($A58&gt;=1896,mig_scale,1)</f>
        <v>8000</v>
      </c>
      <c r="H58" s="49" t="n">
        <f aca="false">Paths!H58*IF($A58&gt;=1896,mig_scale,1)</f>
        <v>5000</v>
      </c>
      <c r="I58" s="49" t="n">
        <f aca="false">E58*Paths!I58+(F58+G58+H58)*dep_asia</f>
        <v>22800</v>
      </c>
      <c r="J58" s="65" t="n">
        <f aca="false">Labour!AL58</f>
        <v>142205.834959058</v>
      </c>
      <c r="K58" s="49" t="n">
        <f aca="false">SUM(E58:H58)-I58+J58</f>
        <v>219405.834959058</v>
      </c>
      <c r="L58" s="49" t="n">
        <f aca="false">B58+C58+D58+K58</f>
        <v>9437482.87218557</v>
      </c>
      <c r="M58" s="66" t="n">
        <f aca="false">IF(B58&gt;0,L58/B58-1,0)</f>
        <v>0.0416680558223166</v>
      </c>
      <c r="N58" s="49" t="n">
        <f aca="false">N57*(1+Paths!C58)+F58*(1-dep_asia)+Labour!AL58*IF($A58&gt;=xo_year,xo_cn2,xo_cn1)</f>
        <v>1227476.51533288</v>
      </c>
      <c r="O58" s="49" t="n">
        <f aca="false">O57*(1+Paths!C58)+G58*(1-dep_asia)+Labour!AL58*IF($A58&gt;=xo_year,xo_jp2,xo_jp1)</f>
        <v>556177.573552052</v>
      </c>
      <c r="P58" s="49" t="n">
        <f aca="false">P57*(1+Paths!C58)+H58*(1-dep_asia)+Labour!AL58*IF($A58&gt;=xo_year,xo_ph2,xo_ph1)</f>
        <v>46765.7722663666</v>
      </c>
      <c r="Q58" s="49" t="n">
        <f aca="false">0</f>
        <v>0</v>
      </c>
      <c r="R58" s="49" t="n">
        <f aca="false">0</f>
        <v>0</v>
      </c>
      <c r="S58" s="66" t="n">
        <f aca="false">(N58+O58+P58+Q58+R58)/L58</f>
        <v>0.193952125364483</v>
      </c>
      <c r="T58" s="49" t="n">
        <f aca="false">SUM(E58:H58)*Paths!J58</f>
        <v>30000</v>
      </c>
      <c r="U58" s="65" t="n">
        <f aca="false">Paths!K58</f>
        <v>7309135</v>
      </c>
      <c r="V58" s="49" t="n">
        <f aca="false">IF(Gulf!E58=1,Gulf!B58,0)</f>
        <v>0</v>
      </c>
      <c r="W58" s="49" t="n">
        <f aca="false">L58+V58</f>
        <v>9437482.87218557</v>
      </c>
      <c r="X58" s="49" t="n">
        <f aca="false">W58+Labour!L58</f>
        <v>9767675.66504324</v>
      </c>
      <c r="Y58" s="47" t="n">
        <v>42235</v>
      </c>
      <c r="Z58" s="47" t="n">
        <v>99461</v>
      </c>
    </row>
    <row r="59" customFormat="false" ht="14.25" hidden="false" customHeight="true" outlineLevel="0" collapsed="false">
      <c r="A59" s="61" t="n">
        <v>1899</v>
      </c>
      <c r="B59" s="49" t="n">
        <f aca="false">L58</f>
        <v>9437482.87218557</v>
      </c>
      <c r="C59" s="65" t="n">
        <f aca="false">Paths!D59</f>
        <v>0</v>
      </c>
      <c r="D59" s="49" t="n">
        <f aca="false">B59*Paths!C59</f>
        <v>162900.391856795</v>
      </c>
      <c r="E59" s="49" t="n">
        <f aca="false">Paths!E59*IF($A59&gt;=1896,mig_scale,1)*IF(AND($A59&gt;=1848,$A59&lt;=1860),dem01_mult,1)</f>
        <v>65000</v>
      </c>
      <c r="F59" s="49" t="n">
        <f aca="false">Paths!F59*IF($A59&gt;=1896,mig_scale,1)*IF(AND($A59&gt;=1848,$A59&lt;=1860),dem01_mult,1)</f>
        <v>22000</v>
      </c>
      <c r="G59" s="49" t="n">
        <f aca="false">Paths!G59*IF($A59&gt;=1896,mig_scale,1)</f>
        <v>8000</v>
      </c>
      <c r="H59" s="49" t="n">
        <f aca="false">Paths!H59*IF($A59&gt;=1896,mig_scale,1)</f>
        <v>5000</v>
      </c>
      <c r="I59" s="49" t="n">
        <f aca="false">E59*Paths!I59+(F59+G59+H59)*dep_asia</f>
        <v>22800</v>
      </c>
      <c r="J59" s="65" t="n">
        <f aca="false">Labour!AL59</f>
        <v>146547.767769702</v>
      </c>
      <c r="K59" s="49" t="n">
        <f aca="false">SUM(E59:H59)-I59+J59</f>
        <v>223747.767769702</v>
      </c>
      <c r="L59" s="49" t="n">
        <f aca="false">B59+C59+D59+K59</f>
        <v>9824131.03181207</v>
      </c>
      <c r="M59" s="66" t="n">
        <f aca="false">IF(B59&gt;0,L59/B59-1,0)</f>
        <v>0.0409694157714486</v>
      </c>
      <c r="N59" s="49" t="n">
        <f aca="false">N58*(1+Paths!C59)+F59*(1-dep_asia)+Labour!AL59*IF($A59&gt;=xo_year,xo_cn2,xo_cn1)</f>
        <v>1279158.76424101</v>
      </c>
      <c r="O59" s="49" t="n">
        <f aca="false">O58*(1+Paths!C59)+G59*(1-dep_asia)+Labour!AL59*IF($A59&gt;=xo_year,xo_jp2,xo_jp1)</f>
        <v>600847.308203075</v>
      </c>
      <c r="P59" s="49" t="n">
        <f aca="false">P58*(1+Paths!C59)+H59*(1-dep_asia)+Labour!AL59*IF($A59&gt;=xo_year,xo_ph2,xo_ph1)</f>
        <v>51172.9962614563</v>
      </c>
      <c r="Q59" s="49" t="n">
        <f aca="false">0</f>
        <v>0</v>
      </c>
      <c r="R59" s="49" t="n">
        <f aca="false">0</f>
        <v>0</v>
      </c>
      <c r="S59" s="66" t="n">
        <f aca="false">(N59+O59+P59+Q59+R59)/L59</f>
        <v>0.196575052027715</v>
      </c>
      <c r="T59" s="49" t="n">
        <f aca="false">SUM(E59:H59)*Paths!J59</f>
        <v>30000</v>
      </c>
      <c r="U59" s="65" t="n">
        <f aca="false">Paths!K59</f>
        <v>7371515</v>
      </c>
      <c r="V59" s="49" t="n">
        <f aca="false">IF(Gulf!E59=1,Gulf!B59,0)</f>
        <v>0</v>
      </c>
      <c r="W59" s="49" t="n">
        <f aca="false">L59+V59</f>
        <v>9824131.03181207</v>
      </c>
      <c r="X59" s="49" t="n">
        <f aca="false">W59+Labour!L59</f>
        <v>10173961.3768805</v>
      </c>
      <c r="Y59" s="47" t="n">
        <v>42482</v>
      </c>
      <c r="Z59" s="47" t="n">
        <v>99603</v>
      </c>
    </row>
    <row r="60" customFormat="false" ht="14.25" hidden="false" customHeight="true" outlineLevel="0" collapsed="false">
      <c r="A60" s="61" t="n">
        <v>1900</v>
      </c>
      <c r="B60" s="49" t="n">
        <f aca="false">L59</f>
        <v>9824131.03181207</v>
      </c>
      <c r="C60" s="65" t="n">
        <f aca="false">Paths!D60</f>
        <v>0</v>
      </c>
      <c r="D60" s="49" t="n">
        <f aca="false">B60*Paths!C60</f>
        <v>167796.15802335</v>
      </c>
      <c r="E60" s="49" t="n">
        <f aca="false">Paths!E60*IF($A60&gt;=1896,mig_scale,1)*IF(AND($A60&gt;=1848,$A60&lt;=1860),dem01_mult,1)</f>
        <v>90000</v>
      </c>
      <c r="F60" s="49" t="n">
        <f aca="false">Paths!F60*IF($A60&gt;=1896,mig_scale,1)*IF(AND($A60&gt;=1848,$A60&lt;=1860),dem01_mult,1)</f>
        <v>28000</v>
      </c>
      <c r="G60" s="49" t="n">
        <f aca="false">Paths!G60*IF($A60&gt;=1896,mig_scale,1)</f>
        <v>14000</v>
      </c>
      <c r="H60" s="49" t="n">
        <f aca="false">Paths!H60*IF($A60&gt;=1896,mig_scale,1)</f>
        <v>9000</v>
      </c>
      <c r="I60" s="49" t="n">
        <f aca="false">E60*Paths!I60+(F60+G60+H60)*dep_asia</f>
        <v>32280</v>
      </c>
      <c r="J60" s="65" t="n">
        <f aca="false">Labour!AL60</f>
        <v>174601.17643792</v>
      </c>
      <c r="K60" s="49" t="n">
        <f aca="false">SUM(E60:H60)-I60+J60</f>
        <v>283321.17643792</v>
      </c>
      <c r="L60" s="49" t="n">
        <f aca="false">B60+C60+D60+K60</f>
        <v>10275248.3662733</v>
      </c>
      <c r="M60" s="66" t="n">
        <f aca="false">IF(B60&gt;0,L60/B60-1,0)</f>
        <v>0.0459193116419643</v>
      </c>
      <c r="N60" s="49" t="n">
        <f aca="false">N59*(1+Paths!C60)+F60*(1-dep_asia)+Labour!AL60*IF($A60&gt;=xo_year,xo_cn2,xo_cn1)</f>
        <v>1338626.91357804</v>
      </c>
      <c r="O60" s="49" t="n">
        <f aca="false">O59*(1+Paths!C60)+G60*(1-dep_asia)+Labour!AL60*IF($A60&gt;=xo_year,xo_jp2,xo_jp1)</f>
        <v>656110.015514767</v>
      </c>
      <c r="P60" s="49" t="n">
        <f aca="false">P59*(1+Paths!C60)+H60*(1-dep_asia)+Labour!AL60*IF($A60&gt;=xo_year,xo_ph2,xo_ph1)</f>
        <v>58527.031037602</v>
      </c>
      <c r="Q60" s="49" t="n">
        <f aca="false">0</f>
        <v>0</v>
      </c>
      <c r="R60" s="49" t="n">
        <f aca="false">0</f>
        <v>0</v>
      </c>
      <c r="S60" s="66" t="n">
        <f aca="false">(N60+O60+P60+Q60+R60)/L60</f>
        <v>0.199826212169224</v>
      </c>
      <c r="T60" s="49" t="n">
        <f aca="false">SUM(E60:H60)*Paths!J60</f>
        <v>42300</v>
      </c>
      <c r="U60" s="65" t="n">
        <f aca="false">Paths!K60</f>
        <v>7433903</v>
      </c>
      <c r="V60" s="49" t="n">
        <f aca="false">IF(Gulf!E60=1,Gulf!B60,0)</f>
        <v>0</v>
      </c>
      <c r="W60" s="49" t="n">
        <f aca="false">L60+V60</f>
        <v>10275248.3662733</v>
      </c>
      <c r="X60" s="49" t="n">
        <f aca="false">W60+Labour!L60</f>
        <v>10642621.4223113</v>
      </c>
      <c r="Y60" s="47" t="n">
        <v>42771</v>
      </c>
      <c r="Z60" s="47" t="n">
        <v>99798</v>
      </c>
    </row>
    <row r="61" customFormat="false" ht="14.25" hidden="false" customHeight="true" outlineLevel="0" collapsed="false">
      <c r="A61" s="61" t="n">
        <v>1901</v>
      </c>
      <c r="B61" s="49" t="n">
        <f aca="false">L60</f>
        <v>10275248.3662733</v>
      </c>
      <c r="C61" s="65" t="n">
        <f aca="false">Paths!D61</f>
        <v>0</v>
      </c>
      <c r="D61" s="49" t="n">
        <f aca="false">B61*Paths!C61</f>
        <v>179724.369174487</v>
      </c>
      <c r="E61" s="49" t="n">
        <f aca="false">Paths!E61*IF($A61&gt;=1896,mig_scale,1)*IF(AND($A61&gt;=1848,$A61&lt;=1860),dem01_mult,1)</f>
        <v>90000</v>
      </c>
      <c r="F61" s="49" t="n">
        <f aca="false">Paths!F61*IF($A61&gt;=1896,mig_scale,1)*IF(AND($A61&gt;=1848,$A61&lt;=1860),dem01_mult,1)</f>
        <v>28000</v>
      </c>
      <c r="G61" s="49" t="n">
        <f aca="false">Paths!G61*IF($A61&gt;=1896,mig_scale,1)</f>
        <v>14000</v>
      </c>
      <c r="H61" s="49" t="n">
        <f aca="false">Paths!H61*IF($A61&gt;=1896,mig_scale,1)</f>
        <v>9000</v>
      </c>
      <c r="I61" s="49" t="n">
        <f aca="false">E61*Paths!I61+(F61+G61+H61)*dep_asia</f>
        <v>32280</v>
      </c>
      <c r="J61" s="65" t="n">
        <f aca="false">Labour!AL61</f>
        <v>206263.980654687</v>
      </c>
      <c r="K61" s="49" t="n">
        <f aca="false">SUM(E61:H61)-I61+J61</f>
        <v>314983.980654687</v>
      </c>
      <c r="L61" s="49" t="n">
        <f aca="false">B61+C61+D61+K61</f>
        <v>10769956.7161025</v>
      </c>
      <c r="M61" s="66" t="n">
        <f aca="false">IF(B61&gt;0,L61/B61-1,0)</f>
        <v>0.0481456342654416</v>
      </c>
      <c r="N61" s="49" t="n">
        <f aca="false">N60*(1+Paths!C61)+F61*(1-dep_asia)+Labour!AL61*IF($A61&gt;=xo_year,xo_cn2,xo_cn1)</f>
        <v>1402827.2349889</v>
      </c>
      <c r="O61" s="49" t="n">
        <f aca="false">O60*(1+Paths!C61)+G61*(1-dep_asia)+Labour!AL61*IF($A61&gt;=xo_year,xo_jp2,xo_jp1)</f>
        <v>718918.831927073</v>
      </c>
      <c r="P61" s="49" t="n">
        <f aca="false">P60*(1+Paths!C61)+H61*(1-dep_asia)+Labour!AL61*IF($A61&gt;=xo_year,xo_ph2,xo_ph1)</f>
        <v>66030.7273374807</v>
      </c>
      <c r="Q61" s="49" t="n">
        <f aca="false">0</f>
        <v>0</v>
      </c>
      <c r="R61" s="49" t="n">
        <f aca="false">0</f>
        <v>0</v>
      </c>
      <c r="S61" s="66" t="n">
        <f aca="false">(N61+O61+P61+Q61+R61)/L61</f>
        <v>0.203137008989316</v>
      </c>
      <c r="T61" s="49" t="n">
        <f aca="false">SUM(E61:H61)*Paths!J61</f>
        <v>42300</v>
      </c>
      <c r="U61" s="65" t="n">
        <f aca="false">Paths!K61</f>
        <v>7497297</v>
      </c>
      <c r="V61" s="49" t="n">
        <f aca="false">IF(Gulf!E61=1,Gulf!B61,0)</f>
        <v>0</v>
      </c>
      <c r="W61" s="49" t="n">
        <f aca="false">L61+V61</f>
        <v>10769956.7161025</v>
      </c>
      <c r="X61" s="49" t="n">
        <f aca="false">W61+Labour!L61</f>
        <v>11154804.5609814</v>
      </c>
      <c r="Y61" s="47" t="n">
        <v>43108</v>
      </c>
      <c r="Z61" s="47" t="n">
        <v>100045</v>
      </c>
    </row>
    <row r="62" customFormat="false" ht="14.25" hidden="false" customHeight="true" outlineLevel="0" collapsed="false">
      <c r="A62" s="61" t="n">
        <v>1902</v>
      </c>
      <c r="B62" s="49" t="n">
        <f aca="false">L61</f>
        <v>10769956.7161025</v>
      </c>
      <c r="C62" s="65" t="n">
        <f aca="false">Paths!D62</f>
        <v>0</v>
      </c>
      <c r="D62" s="49" t="n">
        <f aca="false">B62*Paths!C62</f>
        <v>193622.281842091</v>
      </c>
      <c r="E62" s="49" t="n">
        <f aca="false">Paths!E62*IF($A62&gt;=1896,mig_scale,1)*IF(AND($A62&gt;=1848,$A62&lt;=1860),dem01_mult,1)</f>
        <v>90000</v>
      </c>
      <c r="F62" s="49" t="n">
        <f aca="false">Paths!F62*IF($A62&gt;=1896,mig_scale,1)*IF(AND($A62&gt;=1848,$A62&lt;=1860),dem01_mult,1)</f>
        <v>28000</v>
      </c>
      <c r="G62" s="49" t="n">
        <f aca="false">Paths!G62*IF($A62&gt;=1896,mig_scale,1)</f>
        <v>14000</v>
      </c>
      <c r="H62" s="49" t="n">
        <f aca="false">Paths!H62*IF($A62&gt;=1896,mig_scale,1)</f>
        <v>9000</v>
      </c>
      <c r="I62" s="49" t="n">
        <f aca="false">E62*Paths!I62+(F62+G62+H62)*dep_asia</f>
        <v>32280</v>
      </c>
      <c r="J62" s="65" t="n">
        <f aca="false">Labour!AL62</f>
        <v>240855.838697552</v>
      </c>
      <c r="K62" s="49" t="n">
        <f aca="false">SUM(E62:H62)-I62+J62</f>
        <v>349575.838697552</v>
      </c>
      <c r="L62" s="49" t="n">
        <f aca="false">B62+C62+D62+K62</f>
        <v>11313154.8366422</v>
      </c>
      <c r="M62" s="66" t="n">
        <f aca="false">IF(B62&gt;0,L62/B62-1,0)</f>
        <v>0.0504364255918957</v>
      </c>
      <c r="N62" s="49" t="n">
        <f aca="false">N61*(1+Paths!C62)+F62*(1-dep_asia)+Labour!AL62*IF($A62&gt;=xo_year,xo_cn2,xo_cn1)</f>
        <v>1472292.84688929</v>
      </c>
      <c r="O62" s="49" t="n">
        <f aca="false">O61*(1+Paths!C62)+G62*(1-dep_asia)+Labour!AL62*IF($A62&gt;=xo_year,xo_jp2,xo_jp1)</f>
        <v>790094.722426969</v>
      </c>
      <c r="P62" s="49" t="n">
        <f aca="false">P61*(1+Paths!C62)+H62*(1-dep_asia)+Labour!AL62*IF($A62&gt;=xo_year,xo_ph2,xo_ph1)</f>
        <v>73697.8277535539</v>
      </c>
      <c r="Q62" s="49" t="n">
        <f aca="false">0</f>
        <v>0</v>
      </c>
      <c r="R62" s="49" t="n">
        <f aca="false">0</f>
        <v>0</v>
      </c>
      <c r="S62" s="66" t="n">
        <f aca="false">(N62+O62+P62+Q62+R62)/L62</f>
        <v>0.206492833414024</v>
      </c>
      <c r="T62" s="49" t="n">
        <f aca="false">SUM(E62:H62)*Paths!J62</f>
        <v>42300</v>
      </c>
      <c r="U62" s="65" t="n">
        <f aca="false">Paths!K62</f>
        <v>7560698</v>
      </c>
      <c r="V62" s="49" t="n">
        <f aca="false">IF(Gulf!E62=1,Gulf!B62,0)</f>
        <v>0</v>
      </c>
      <c r="W62" s="49" t="n">
        <f aca="false">L62+V62</f>
        <v>11313154.8366422</v>
      </c>
      <c r="X62" s="49" t="n">
        <f aca="false">W62+Labour!L62</f>
        <v>11718330.2481644</v>
      </c>
      <c r="Y62" s="47" t="n">
        <v>43494</v>
      </c>
      <c r="Z62" s="47" t="n">
        <v>100345</v>
      </c>
    </row>
    <row r="63" customFormat="false" ht="14.25" hidden="false" customHeight="true" outlineLevel="0" collapsed="false">
      <c r="A63" s="61" t="n">
        <v>1903</v>
      </c>
      <c r="B63" s="49" t="n">
        <f aca="false">L62</f>
        <v>11313154.8366422</v>
      </c>
      <c r="C63" s="65" t="n">
        <f aca="false">Paths!D63</f>
        <v>0</v>
      </c>
      <c r="D63" s="49" t="n">
        <f aca="false">B63*Paths!C63</f>
        <v>209315.990787553</v>
      </c>
      <c r="E63" s="49" t="n">
        <f aca="false">Paths!E63*IF($A63&gt;=1896,mig_scale,1)*IF(AND($A63&gt;=1848,$A63&lt;=1860),dem01_mult,1)</f>
        <v>90000</v>
      </c>
      <c r="F63" s="49" t="n">
        <f aca="false">Paths!F63*IF($A63&gt;=1896,mig_scale,1)*IF(AND($A63&gt;=1848,$A63&lt;=1860),dem01_mult,1)</f>
        <v>28000</v>
      </c>
      <c r="G63" s="49" t="n">
        <f aca="false">Paths!G63*IF($A63&gt;=1896,mig_scale,1)</f>
        <v>14000</v>
      </c>
      <c r="H63" s="49" t="n">
        <f aca="false">Paths!H63*IF($A63&gt;=1896,mig_scale,1)</f>
        <v>9000</v>
      </c>
      <c r="I63" s="49" t="n">
        <f aca="false">E63*Paths!I63+(F63+G63+H63)*dep_asia</f>
        <v>32280</v>
      </c>
      <c r="J63" s="65" t="n">
        <f aca="false">Labour!AL63</f>
        <v>270827.566857656</v>
      </c>
      <c r="K63" s="49" t="n">
        <f aca="false">SUM(E63:H63)-I63+J63</f>
        <v>379547.566857656</v>
      </c>
      <c r="L63" s="49" t="n">
        <f aca="false">B63+C63+D63+K63</f>
        <v>11902018.3942874</v>
      </c>
      <c r="M63" s="66" t="n">
        <f aca="false">IF(B63&gt;0,L63/B63-1,0)</f>
        <v>0.0520512240969195</v>
      </c>
      <c r="N63" s="49" t="n">
        <f aca="false">N62*(1+Paths!C63)+F63*(1-dep_asia)+Labour!AL63*IF($A63&gt;=xo_year,xo_cn2,xo_cn1)</f>
        <v>1546775.9658282</v>
      </c>
      <c r="O63" s="49" t="n">
        <f aca="false">O62*(1+Paths!C63)+G63*(1-dep_asia)+Labour!AL63*IF($A63&gt;=xo_year,xo_jp2,xo_jp1)</f>
        <v>868958.568352844</v>
      </c>
      <c r="P63" s="49" t="n">
        <f aca="false">P62*(1+Paths!C63)+H63*(1-dep_asia)+Labour!AL63*IF($A63&gt;=xo_year,xo_ph2,xo_ph1)</f>
        <v>81541.3849626502</v>
      </c>
      <c r="Q63" s="49" t="n">
        <f aca="false">0</f>
        <v>0</v>
      </c>
      <c r="R63" s="49" t="n">
        <f aca="false">0</f>
        <v>0</v>
      </c>
      <c r="S63" s="66" t="n">
        <f aca="false">(N63+O63+P63+Q63+R63)/L63</f>
        <v>0.209819531142912</v>
      </c>
      <c r="T63" s="49" t="n">
        <f aca="false">SUM(E63:H63)*Paths!J63</f>
        <v>42300</v>
      </c>
      <c r="U63" s="65" t="n">
        <f aca="false">Paths!K63</f>
        <v>7623107</v>
      </c>
      <c r="V63" s="49" t="n">
        <f aca="false">IF(Gulf!E63=1,Gulf!B63,0)</f>
        <v>0</v>
      </c>
      <c r="W63" s="49" t="n">
        <f aca="false">L63+V63</f>
        <v>11902018.3942874</v>
      </c>
      <c r="X63" s="49" t="n">
        <f aca="false">W63+Labour!L63</f>
        <v>12329609.8385008</v>
      </c>
      <c r="Y63" s="47" t="n">
        <v>43928</v>
      </c>
      <c r="Z63" s="47" t="n">
        <v>100695</v>
      </c>
    </row>
    <row r="64" customFormat="false" ht="14.25" hidden="false" customHeight="true" outlineLevel="0" collapsed="false">
      <c r="A64" s="61" t="n">
        <v>1904</v>
      </c>
      <c r="B64" s="49" t="n">
        <f aca="false">L63</f>
        <v>11902018.3942874</v>
      </c>
      <c r="C64" s="65" t="n">
        <f aca="false">Paths!D64</f>
        <v>0</v>
      </c>
      <c r="D64" s="49" t="n">
        <f aca="false">B64*Paths!C64</f>
        <v>226745.352429569</v>
      </c>
      <c r="E64" s="49" t="n">
        <f aca="false">Paths!E64*IF($A64&gt;=1896,mig_scale,1)*IF(AND($A64&gt;=1848,$A64&lt;=1860),dem01_mult,1)</f>
        <v>90000</v>
      </c>
      <c r="F64" s="49" t="n">
        <f aca="false">Paths!F64*IF($A64&gt;=1896,mig_scale,1)*IF(AND($A64&gt;=1848,$A64&lt;=1860),dem01_mult,1)</f>
        <v>28000</v>
      </c>
      <c r="G64" s="49" t="n">
        <f aca="false">Paths!G64*IF($A64&gt;=1896,mig_scale,1)</f>
        <v>14000</v>
      </c>
      <c r="H64" s="49" t="n">
        <f aca="false">Paths!H64*IF($A64&gt;=1896,mig_scale,1)</f>
        <v>9000</v>
      </c>
      <c r="I64" s="49" t="n">
        <f aca="false">E64*Paths!I64+(F64+G64+H64)*dep_asia</f>
        <v>32280</v>
      </c>
      <c r="J64" s="65" t="n">
        <f aca="false">Labour!AL64</f>
        <v>291833.546004026</v>
      </c>
      <c r="K64" s="49" t="n">
        <f aca="false">SUM(E64:H64)-I64+J64</f>
        <v>400553.546004026</v>
      </c>
      <c r="L64" s="49" t="n">
        <f aca="false">B64+C64+D64+K64</f>
        <v>12529317.292721</v>
      </c>
      <c r="M64" s="66" t="n">
        <f aca="false">IF(B64&gt;0,L64/B64-1,0)</f>
        <v>0.0527052536513204</v>
      </c>
      <c r="N64" s="49" t="n">
        <f aca="false">N63*(1+Paths!C64)+F64*(1-dep_asia)+Labour!AL64*IF($A64&gt;=xo_year,xo_cn2,xo_cn1)</f>
        <v>1625586.94935359</v>
      </c>
      <c r="O64" s="49" t="n">
        <f aca="false">O63*(1+Paths!C64)+G64*(1-dep_asia)+Labour!AL64*IF($A64&gt;=xo_year,xo_jp2,xo_jp1)</f>
        <v>953959.807239339</v>
      </c>
      <c r="P64" s="49" t="n">
        <f aca="false">P63*(1+Paths!C64)+H64*(1-dep_asia)+Labour!AL64*IF($A64&gt;=xo_year,xo_ph2,xo_ph1)</f>
        <v>89574.8298875736</v>
      </c>
      <c r="Q64" s="49" t="n">
        <f aca="false">0</f>
        <v>0</v>
      </c>
      <c r="R64" s="49" t="n">
        <f aca="false">0</f>
        <v>0</v>
      </c>
      <c r="S64" s="66" t="n">
        <f aca="false">(N64+O64+P64+Q64+R64)/L64</f>
        <v>0.213030089678642</v>
      </c>
      <c r="T64" s="49" t="n">
        <f aca="false">SUM(E64:H64)*Paths!J64</f>
        <v>42300</v>
      </c>
      <c r="U64" s="65" t="n">
        <f aca="false">Paths!K64</f>
        <v>7912523</v>
      </c>
      <c r="V64" s="49" t="n">
        <f aca="false">IF(Gulf!E64=1,Gulf!B64,0)</f>
        <v>0</v>
      </c>
      <c r="W64" s="49" t="n">
        <f aca="false">L64+V64</f>
        <v>12529317.292721</v>
      </c>
      <c r="X64" s="49" t="n">
        <f aca="false">W64+Labour!L64</f>
        <v>12980881.4936783</v>
      </c>
      <c r="Y64" s="47" t="n">
        <v>44412</v>
      </c>
      <c r="Z64" s="47" t="n">
        <v>101096</v>
      </c>
    </row>
    <row r="65" customFormat="false" ht="14.25" hidden="false" customHeight="true" outlineLevel="0" collapsed="false">
      <c r="A65" s="61" t="n">
        <v>1905</v>
      </c>
      <c r="B65" s="49" t="n">
        <f aca="false">L64</f>
        <v>12529317.292721</v>
      </c>
      <c r="C65" s="65" t="n">
        <f aca="false">Paths!D65</f>
        <v>0</v>
      </c>
      <c r="D65" s="49" t="n">
        <f aca="false">B65*Paths!C65</f>
        <v>245662.32415838</v>
      </c>
      <c r="E65" s="49" t="n">
        <f aca="false">Paths!E65*IF($A65&gt;=1896,mig_scale,1)*IF(AND($A65&gt;=1848,$A65&lt;=1860),dem01_mult,1)</f>
        <v>90000</v>
      </c>
      <c r="F65" s="49" t="n">
        <f aca="false">Paths!F65*IF($A65&gt;=1896,mig_scale,1)*IF(AND($A65&gt;=1848,$A65&lt;=1860),dem01_mult,1)</f>
        <v>28000</v>
      </c>
      <c r="G65" s="49" t="n">
        <f aca="false">Paths!G65*IF($A65&gt;=1896,mig_scale,1)</f>
        <v>14000</v>
      </c>
      <c r="H65" s="49" t="n">
        <f aca="false">Paths!H65*IF($A65&gt;=1896,mig_scale,1)</f>
        <v>9000</v>
      </c>
      <c r="I65" s="49" t="n">
        <f aca="false">E65*Paths!I65+(F65+G65+H65)*dep_asia</f>
        <v>32280</v>
      </c>
      <c r="J65" s="65" t="n">
        <f aca="false">Labour!AL65</f>
        <v>311422.174417433</v>
      </c>
      <c r="K65" s="49" t="n">
        <f aca="false">SUM(E65:H65)-I65+J65</f>
        <v>420142.174417433</v>
      </c>
      <c r="L65" s="49" t="n">
        <f aca="false">B65+C65+D65+K65</f>
        <v>13195121.7912968</v>
      </c>
      <c r="M65" s="66" t="n">
        <f aca="false">IF(B65&gt;0,L65/B65-1,0)</f>
        <v>0.0531397268518867</v>
      </c>
      <c r="N65" s="49" t="n">
        <f aca="false">N64*(1+Paths!C65)+F65*(1-dep_asia)+Labour!AL65*IF($A65&gt;=xo_year,xo_cn2,xo_cn1)</f>
        <v>1708762.05011131</v>
      </c>
      <c r="O65" s="49" t="n">
        <f aca="false">O64*(1+Paths!C65)+G65*(1-dep_asia)+Labour!AL65*IF($A65&gt;=xo_year,xo_jp2,xo_jp1)</f>
        <v>1045028.53206337</v>
      </c>
      <c r="P65" s="49" t="n">
        <f aca="false">P64*(1+Paths!C65)+H65*(1-dep_asia)+Labour!AL65*IF($A65&gt;=xo_year,xo_ph2,xo_ph1)</f>
        <v>97811.1235771793</v>
      </c>
      <c r="Q65" s="49" t="n">
        <f aca="false">0</f>
        <v>0</v>
      </c>
      <c r="R65" s="49" t="n">
        <f aca="false">0</f>
        <v>0</v>
      </c>
      <c r="S65" s="66" t="n">
        <f aca="false">(N65+O65+P65+Q65+R65)/L65</f>
        <v>0.216110298249215</v>
      </c>
      <c r="T65" s="49" t="n">
        <f aca="false">SUM(E65:H65)*Paths!J65</f>
        <v>42300</v>
      </c>
      <c r="U65" s="65" t="n">
        <f aca="false">Paths!K65</f>
        <v>8094908</v>
      </c>
      <c r="V65" s="49" t="n">
        <f aca="false">IF(Gulf!E65=1,Gulf!B65,0)</f>
        <v>0</v>
      </c>
      <c r="W65" s="49" t="n">
        <f aca="false">L65+V65</f>
        <v>13195121.7912968</v>
      </c>
      <c r="X65" s="49" t="n">
        <f aca="false">W65+Labour!L65</f>
        <v>13672297.2080479</v>
      </c>
      <c r="Y65" s="47" t="n">
        <v>44945</v>
      </c>
      <c r="Z65" s="47" t="n">
        <v>101549</v>
      </c>
    </row>
    <row r="66" customFormat="false" ht="14.25" hidden="false" customHeight="true" outlineLevel="0" collapsed="false">
      <c r="A66" s="61" t="n">
        <v>1906</v>
      </c>
      <c r="B66" s="49" t="n">
        <f aca="false">L65</f>
        <v>13195121.7912968</v>
      </c>
      <c r="C66" s="65" t="n">
        <f aca="false">Paths!D66</f>
        <v>0</v>
      </c>
      <c r="D66" s="49" t="n">
        <f aca="false">B66*Paths!C66</f>
        <v>266079.630921499</v>
      </c>
      <c r="E66" s="49" t="n">
        <f aca="false">Paths!E66*IF($A66&gt;=1896,mig_scale,1)*IF(AND($A66&gt;=1848,$A66&lt;=1860),dem01_mult,1)</f>
        <v>90000</v>
      </c>
      <c r="F66" s="49" t="n">
        <f aca="false">Paths!F66*IF($A66&gt;=1896,mig_scale,1)*IF(AND($A66&gt;=1848,$A66&lt;=1860),dem01_mult,1)</f>
        <v>28000</v>
      </c>
      <c r="G66" s="49" t="n">
        <f aca="false">Paths!G66*IF($A66&gt;=1896,mig_scale,1)</f>
        <v>14000</v>
      </c>
      <c r="H66" s="49" t="n">
        <f aca="false">Paths!H66*IF($A66&gt;=1896,mig_scale,1)</f>
        <v>9000</v>
      </c>
      <c r="I66" s="49" t="n">
        <f aca="false">E66*Paths!I66+(F66+G66+H66)*dep_asia</f>
        <v>32280</v>
      </c>
      <c r="J66" s="65" t="n">
        <f aca="false">Labour!AL66</f>
        <v>326591.587738102</v>
      </c>
      <c r="K66" s="49" t="n">
        <f aca="false">SUM(E66:H66)-I66+J66</f>
        <v>435311.587738102</v>
      </c>
      <c r="L66" s="49" t="n">
        <f aca="false">B66+C66+D66+K66</f>
        <v>13896513.0099564</v>
      </c>
      <c r="M66" s="66" t="n">
        <f aca="false">IF(B66&gt;0,L66/B66-1,0)</f>
        <v>0.0531553425389544</v>
      </c>
      <c r="N66" s="49" t="n">
        <f aca="false">N65*(1+Paths!C66)+F66*(1-dep_asia)+Labour!AL66*IF($A66&gt;=xo_year,xo_cn2,xo_cn1)</f>
        <v>1796038.39562562</v>
      </c>
      <c r="O66" s="49" t="n">
        <f aca="false">O65*(1+Paths!C66)+G66*(1-dep_asia)+Labour!AL66*IF($A66&gt;=xo_year,xo_jp2,xo_jp1)</f>
        <v>1141499.84996005</v>
      </c>
      <c r="P66" s="49" t="n">
        <f aca="false">P65*(1+Paths!C66)+H66*(1-dep_asia)+Labour!AL66*IF($A66&gt;=xo_year,xo_ph2,xo_ph1)</f>
        <v>106263.484884113</v>
      </c>
      <c r="Q66" s="49" t="n">
        <f aca="false">0</f>
        <v>0</v>
      </c>
      <c r="R66" s="49" t="n">
        <f aca="false">0</f>
        <v>0</v>
      </c>
      <c r="S66" s="66" t="n">
        <f aca="false">(N66+O66+P66+Q66+R66)/L66</f>
        <v>0.219033489069452</v>
      </c>
      <c r="T66" s="49" t="n">
        <f aca="false">SUM(E66:H66)*Paths!J66</f>
        <v>42300</v>
      </c>
      <c r="U66" s="65" t="n">
        <f aca="false">Paths!K66</f>
        <v>8277337</v>
      </c>
      <c r="V66" s="49" t="n">
        <f aca="false">IF(Gulf!E66=1,Gulf!B66,0)</f>
        <v>0</v>
      </c>
      <c r="W66" s="49" t="n">
        <f aca="false">L66+V66</f>
        <v>13896513.0099564</v>
      </c>
      <c r="X66" s="49" t="n">
        <f aca="false">W66+Labour!L66</f>
        <v>14399851.2053098</v>
      </c>
      <c r="Y66" s="47" t="n">
        <v>45527</v>
      </c>
      <c r="Z66" s="47" t="n">
        <v>102054</v>
      </c>
    </row>
    <row r="67" customFormat="false" ht="14.25" hidden="false" customHeight="true" outlineLevel="0" collapsed="false">
      <c r="A67" s="61" t="n">
        <v>1907</v>
      </c>
      <c r="B67" s="49" t="n">
        <f aca="false">L66</f>
        <v>13896513.0099564</v>
      </c>
      <c r="C67" s="65" t="n">
        <f aca="false">Paths!D67</f>
        <v>0</v>
      </c>
      <c r="D67" s="49" t="n">
        <f aca="false">B67*Paths!C67</f>
        <v>288755.643833883</v>
      </c>
      <c r="E67" s="49" t="n">
        <f aca="false">Paths!E67*IF($A67&gt;=1896,mig_scale,1)*IF(AND($A67&gt;=1848,$A67&lt;=1860),dem01_mult,1)</f>
        <v>90000</v>
      </c>
      <c r="F67" s="49" t="n">
        <f aca="false">Paths!F67*IF($A67&gt;=1896,mig_scale,1)*IF(AND($A67&gt;=1848,$A67&lt;=1860),dem01_mult,1)</f>
        <v>28000</v>
      </c>
      <c r="G67" s="49" t="n">
        <f aca="false">Paths!G67*IF($A67&gt;=1896,mig_scale,1)</f>
        <v>25000</v>
      </c>
      <c r="H67" s="49" t="n">
        <f aca="false">Paths!H67*IF($A67&gt;=1896,mig_scale,1)</f>
        <v>9000</v>
      </c>
      <c r="I67" s="49" t="n">
        <f aca="false">E67*Paths!I67+(F67+G67+H67)*dep_asia</f>
        <v>35360</v>
      </c>
      <c r="J67" s="65" t="n">
        <f aca="false">Labour!AL67</f>
        <v>332904.339546703</v>
      </c>
      <c r="K67" s="49" t="n">
        <f aca="false">SUM(E67:H67)-I67+J67</f>
        <v>449544.339546703</v>
      </c>
      <c r="L67" s="49" t="n">
        <f aca="false">B67+C67+D67+K67</f>
        <v>14634812.993337</v>
      </c>
      <c r="M67" s="66" t="n">
        <f aca="false">IF(B67&gt;0,L67/B67-1,0)</f>
        <v>0.0531284346549108</v>
      </c>
      <c r="N67" s="49" t="n">
        <f aca="false">N66*(1+Paths!C67)+F67*(1-dep_asia)+Labour!AL67*IF($A67&gt;=xo_year,xo_cn2,xo_cn1)</f>
        <v>1886808.71140299</v>
      </c>
      <c r="O67" s="49" t="n">
        <f aca="false">O66*(1+Paths!C67)+G67*(1-dep_asia)+Labour!AL67*IF($A67&gt;=xo_year,xo_jp2,xo_jp1)</f>
        <v>1249799.94325171</v>
      </c>
      <c r="P67" s="49" t="n">
        <f aca="false">P66*(1+Paths!C67)+H67*(1-dep_asia)+Labour!AL67*IF($A67&gt;=xo_year,xo_ph2,xo_ph1)</f>
        <v>114951.53383652</v>
      </c>
      <c r="Q67" s="49" t="n">
        <f aca="false">0</f>
        <v>0</v>
      </c>
      <c r="R67" s="49" t="n">
        <f aca="false">0</f>
        <v>0</v>
      </c>
      <c r="S67" s="66" t="n">
        <f aca="false">(N67+O67+P67+Q67+R67)/L67</f>
        <v>0.222179824912803</v>
      </c>
      <c r="T67" s="49" t="n">
        <f aca="false">SUM(E67:H67)*Paths!J67</f>
        <v>45600</v>
      </c>
      <c r="U67" s="65" t="n">
        <f aca="false">Paths!K67</f>
        <v>8459809</v>
      </c>
      <c r="V67" s="49" t="n">
        <f aca="false">IF(Gulf!E67=1,Gulf!B67,0)</f>
        <v>0</v>
      </c>
      <c r="W67" s="49" t="n">
        <f aca="false">L67+V67</f>
        <v>14634812.993337</v>
      </c>
      <c r="X67" s="49" t="n">
        <f aca="false">W67+Labour!L67</f>
        <v>15151098.4943568</v>
      </c>
      <c r="Y67" s="47" t="n">
        <v>46163</v>
      </c>
      <c r="Z67" s="47" t="n">
        <v>102609</v>
      </c>
    </row>
    <row r="68" customFormat="false" ht="14.25" hidden="false" customHeight="true" outlineLevel="0" collapsed="false">
      <c r="A68" s="61" t="n">
        <v>1908</v>
      </c>
      <c r="B68" s="49" t="n">
        <f aca="false">L67</f>
        <v>14634812.993337</v>
      </c>
      <c r="C68" s="65" t="n">
        <f aca="false">Paths!D68</f>
        <v>0</v>
      </c>
      <c r="D68" s="49" t="n">
        <f aca="false">B68*Paths!C68</f>
        <v>313272.806935371</v>
      </c>
      <c r="E68" s="49" t="n">
        <f aca="false">Paths!E68*IF($A68&gt;=1896,mig_scale,1)*IF(AND($A68&gt;=1848,$A68&lt;=1860),dem01_mult,1)</f>
        <v>90000</v>
      </c>
      <c r="F68" s="49" t="n">
        <f aca="false">Paths!F68*IF($A68&gt;=1896,mig_scale,1)*IF(AND($A68&gt;=1848,$A68&lt;=1860),dem01_mult,1)</f>
        <v>28000</v>
      </c>
      <c r="G68" s="49" t="n">
        <f aca="false">Paths!G68*IF($A68&gt;=1896,mig_scale,1)</f>
        <v>25000</v>
      </c>
      <c r="H68" s="49" t="n">
        <f aca="false">Paths!H68*IF($A68&gt;=1896,mig_scale,1)</f>
        <v>9000</v>
      </c>
      <c r="I68" s="49" t="n">
        <f aca="false">E68*Paths!I68+(F68+G68+H68)*dep_asia</f>
        <v>35360</v>
      </c>
      <c r="J68" s="65" t="n">
        <f aca="false">Labour!AL68</f>
        <v>250140.739837392</v>
      </c>
      <c r="K68" s="49" t="n">
        <f aca="false">SUM(E68:H68)-I68+J68</f>
        <v>366780.739837392</v>
      </c>
      <c r="L68" s="49" t="n">
        <f aca="false">B68+C68+D68+K68</f>
        <v>15314866.5401097</v>
      </c>
      <c r="M68" s="66" t="n">
        <f aca="false">IF(B68&gt;0,L68/B68-1,0)</f>
        <v>0.0464682088580415</v>
      </c>
      <c r="N68" s="49" t="n">
        <f aca="false">N67*(1+Paths!C68)+F68*(1-dep_asia)+Labour!AL68*IF($A68&gt;=xo_year,xo_cn2,xo_cn1)</f>
        <v>1972371.81266303</v>
      </c>
      <c r="O68" s="49" t="n">
        <f aca="false">O67*(1+Paths!C68)+G68*(1-dep_asia)+Labour!AL68*IF($A68&gt;=xo_year,xo_jp2,xo_jp1)</f>
        <v>1344581.30880443</v>
      </c>
      <c r="P68" s="49" t="n">
        <f aca="false">P67*(1+Paths!C68)+H68*(1-dep_asia)+Labour!AL68*IF($A68&gt;=xo_year,xo_ph2,xo_ph1)</f>
        <v>123892.186369825</v>
      </c>
      <c r="Q68" s="49" t="n">
        <f aca="false">0</f>
        <v>0</v>
      </c>
      <c r="R68" s="49" t="n">
        <f aca="false">0</f>
        <v>0</v>
      </c>
      <c r="S68" s="66" t="n">
        <f aca="false">(N68+O68+P68+Q68+R68)/L68</f>
        <v>0.224673541804996</v>
      </c>
      <c r="T68" s="49" t="n">
        <f aca="false">SUM(E68:H68)*Paths!J68</f>
        <v>45600</v>
      </c>
      <c r="U68" s="65" t="n">
        <f aca="false">Paths!K68</f>
        <v>8642325</v>
      </c>
      <c r="V68" s="49" t="n">
        <f aca="false">IF(Gulf!E68=1,Gulf!B68,0)</f>
        <v>0</v>
      </c>
      <c r="W68" s="49" t="n">
        <f aca="false">L68+V68</f>
        <v>15314866.5401097</v>
      </c>
      <c r="X68" s="49" t="n">
        <f aca="false">W68+Labour!L68</f>
        <v>15820172.4134458</v>
      </c>
      <c r="Y68" s="47" t="n">
        <v>46855</v>
      </c>
      <c r="Z68" s="47" t="n">
        <v>103216</v>
      </c>
    </row>
    <row r="69" customFormat="false" ht="14.25" hidden="false" customHeight="true" outlineLevel="0" collapsed="false">
      <c r="A69" s="61" t="n">
        <v>1909</v>
      </c>
      <c r="B69" s="49" t="n">
        <f aca="false">L68</f>
        <v>15314866.5401097</v>
      </c>
      <c r="C69" s="65" t="n">
        <f aca="false">Paths!D69</f>
        <v>0</v>
      </c>
      <c r="D69" s="49" t="n">
        <f aca="false">B69*Paths!C69</f>
        <v>335211.798829922</v>
      </c>
      <c r="E69" s="49" t="n">
        <f aca="false">Paths!E69*IF($A69&gt;=1896,mig_scale,1)*IF(AND($A69&gt;=1848,$A69&lt;=1860),dem01_mult,1)</f>
        <v>90000</v>
      </c>
      <c r="F69" s="49" t="n">
        <f aca="false">Paths!F69*IF($A69&gt;=1896,mig_scale,1)*IF(AND($A69&gt;=1848,$A69&lt;=1860),dem01_mult,1)</f>
        <v>28000</v>
      </c>
      <c r="G69" s="49" t="n">
        <f aca="false">Paths!G69*IF($A69&gt;=1896,mig_scale,1)</f>
        <v>25000</v>
      </c>
      <c r="H69" s="49" t="n">
        <f aca="false">Paths!H69*IF($A69&gt;=1896,mig_scale,1)</f>
        <v>9000</v>
      </c>
      <c r="I69" s="49" t="n">
        <f aca="false">E69*Paths!I69+(F69+G69+H69)*dep_asia</f>
        <v>35360</v>
      </c>
      <c r="J69" s="65" t="n">
        <f aca="false">Labour!AL69</f>
        <v>239363.478897036</v>
      </c>
      <c r="K69" s="49" t="n">
        <f aca="false">SUM(E69:H69)-I69+J69</f>
        <v>356003.478897036</v>
      </c>
      <c r="L69" s="49" t="n">
        <f aca="false">B69+C69+D69+K69</f>
        <v>16006081.8178367</v>
      </c>
      <c r="M69" s="66" t="n">
        <f aca="false">IF(B69&gt;0,L69/B69-1,0)</f>
        <v>0.0451336141857104</v>
      </c>
      <c r="N69" s="49" t="n">
        <f aca="false">N68*(1+Paths!C69)+F69*(1-dep_asia)+Labour!AL69*IF($A69&gt;=xo_year,xo_cn2,xo_cn1)</f>
        <v>2059639.4347883</v>
      </c>
      <c r="O69" s="49" t="n">
        <f aca="false">O68*(1+Paths!C69)+G69*(1-dep_asia)+Labour!AL69*IF($A69&gt;=xo_year,xo_jp2,xo_jp1)</f>
        <v>1439884.20027095</v>
      </c>
      <c r="P69" s="49" t="n">
        <f aca="false">P68*(1+Paths!C69)+H69*(1-dep_asia)+Labour!AL69*IF($A69&gt;=xo_year,xo_ph2,xo_ph1)</f>
        <v>133083.938545087</v>
      </c>
      <c r="Q69" s="49" t="n">
        <f aca="false">0</f>
        <v>0</v>
      </c>
      <c r="R69" s="49" t="n">
        <f aca="false">0</f>
        <v>0</v>
      </c>
      <c r="S69" s="66" t="n">
        <f aca="false">(N69+O69+P69+Q69+R69)/L69</f>
        <v>0.226951705916951</v>
      </c>
      <c r="T69" s="49" t="n">
        <f aca="false">SUM(E69:H69)*Paths!J69</f>
        <v>45600</v>
      </c>
      <c r="U69" s="65" t="n">
        <f aca="false">Paths!K69</f>
        <v>8824887</v>
      </c>
      <c r="V69" s="49" t="n">
        <f aca="false">IF(Gulf!E69=1,Gulf!B69,0)</f>
        <v>0</v>
      </c>
      <c r="W69" s="49" t="n">
        <f aca="false">L69+V69</f>
        <v>16006081.8178367</v>
      </c>
      <c r="X69" s="49" t="n">
        <f aca="false">W69+Labour!L69</f>
        <v>16562880.0222261</v>
      </c>
      <c r="Y69" s="47" t="n">
        <v>47606</v>
      </c>
      <c r="Z69" s="47" t="n">
        <v>103875</v>
      </c>
    </row>
    <row r="70" customFormat="false" ht="14.25" hidden="false" customHeight="true" outlineLevel="0" collapsed="false">
      <c r="A70" s="61" t="n">
        <v>1910</v>
      </c>
      <c r="B70" s="49" t="n">
        <f aca="false">L69</f>
        <v>16006081.8178367</v>
      </c>
      <c r="C70" s="65" t="n">
        <f aca="false">Paths!D70</f>
        <v>0</v>
      </c>
      <c r="D70" s="49" t="n">
        <f aca="false">B70*Paths!C70</f>
        <v>357719.922546832</v>
      </c>
      <c r="E70" s="49" t="n">
        <f aca="false">Paths!E70*IF($A70&gt;=1896,mig_scale,1)*IF(AND($A70&gt;=1848,$A70&lt;=1860),dem01_mult,1)</f>
        <v>90000</v>
      </c>
      <c r="F70" s="49" t="n">
        <f aca="false">Paths!F70*IF($A70&gt;=1896,mig_scale,1)*IF(AND($A70&gt;=1848,$A70&lt;=1860),dem01_mult,1)</f>
        <v>28000</v>
      </c>
      <c r="G70" s="49" t="n">
        <f aca="false">Paths!G70*IF($A70&gt;=1896,mig_scale,1)</f>
        <v>25000</v>
      </c>
      <c r="H70" s="49" t="n">
        <f aca="false">Paths!H70*IF($A70&gt;=1896,mig_scale,1)</f>
        <v>9000</v>
      </c>
      <c r="I70" s="49" t="n">
        <f aca="false">E70*Paths!I70+(F70+G70+H70)*dep_asia</f>
        <v>35360</v>
      </c>
      <c r="J70" s="65" t="n">
        <f aca="false">Labour!AL70</f>
        <v>266527.210450897</v>
      </c>
      <c r="K70" s="49" t="n">
        <f aca="false">SUM(E70:H70)-I70+J70</f>
        <v>383167.210450897</v>
      </c>
      <c r="L70" s="49" t="n">
        <f aca="false">B70+C70+D70+K70</f>
        <v>16746968.9508344</v>
      </c>
      <c r="M70" s="66" t="n">
        <f aca="false">IF(B70&gt;0,L70/B70-1,0)</f>
        <v>0.046287851169929</v>
      </c>
      <c r="N70" s="49" t="n">
        <f aca="false">N69*(1+Paths!C70)+F70*(1-dep_asia)+Labour!AL70*IF($A70&gt;=xo_year,xo_cn2,xo_cn1)</f>
        <v>2152483.03756147</v>
      </c>
      <c r="O70" s="49" t="n">
        <f aca="false">O69*(1+Paths!C70)+G70*(1-dep_asia)+Labour!AL70*IF($A70&gt;=xo_year,xo_jp2,xo_jp1)</f>
        <v>1543369.61435298</v>
      </c>
      <c r="P70" s="49" t="n">
        <f aca="false">P69*(1+Paths!C70)+H70*(1-dep_asia)+Labour!AL70*IF($A70&gt;=xo_year,xo_ph2,xo_ph1)</f>
        <v>142538.231487632</v>
      </c>
      <c r="Q70" s="49" t="n">
        <f aca="false">0</f>
        <v>0</v>
      </c>
      <c r="R70" s="49" t="n">
        <f aca="false">0</f>
        <v>0</v>
      </c>
      <c r="S70" s="66" t="n">
        <f aca="false">(N70+O70+P70+Q70+R70)/L70</f>
        <v>0.229199140135197</v>
      </c>
      <c r="T70" s="49" t="n">
        <f aca="false">SUM(E70:H70)*Paths!J70</f>
        <v>45600</v>
      </c>
      <c r="U70" s="65" t="n">
        <f aca="false">Paths!K70</f>
        <v>9007495</v>
      </c>
      <c r="V70" s="49" t="n">
        <f aca="false">IF(Gulf!E70=1,Gulf!B70,0)</f>
        <v>0</v>
      </c>
      <c r="W70" s="49" t="n">
        <f aca="false">L70+V70</f>
        <v>16746968.9508344</v>
      </c>
      <c r="X70" s="49" t="n">
        <f aca="false">W70+Labour!L70</f>
        <v>17340808.1511759</v>
      </c>
      <c r="Y70" s="47" t="n">
        <v>48420</v>
      </c>
      <c r="Z70" s="47" t="n">
        <v>104586</v>
      </c>
    </row>
    <row r="71" customFormat="false" ht="14.25" hidden="false" customHeight="true" outlineLevel="0" collapsed="false">
      <c r="A71" s="61" t="n">
        <v>1911</v>
      </c>
      <c r="B71" s="49" t="n">
        <f aca="false">L70</f>
        <v>16746968.9508344</v>
      </c>
      <c r="C71" s="65" t="n">
        <f aca="false">Paths!D71</f>
        <v>0</v>
      </c>
      <c r="D71" s="49" t="n">
        <f aca="false">B71*Paths!C71</f>
        <v>378431.257382005</v>
      </c>
      <c r="E71" s="49" t="n">
        <f aca="false">Paths!E71*IF($A71&gt;=1896,mig_scale,1)*IF(AND($A71&gt;=1848,$A71&lt;=1860),dem01_mult,1)</f>
        <v>90000</v>
      </c>
      <c r="F71" s="49" t="n">
        <f aca="false">Paths!F71*IF($A71&gt;=1896,mig_scale,1)*IF(AND($A71&gt;=1848,$A71&lt;=1860),dem01_mult,1)</f>
        <v>28000</v>
      </c>
      <c r="G71" s="49" t="n">
        <f aca="false">Paths!G71*IF($A71&gt;=1896,mig_scale,1)</f>
        <v>25000</v>
      </c>
      <c r="H71" s="49" t="n">
        <f aca="false">Paths!H71*IF($A71&gt;=1896,mig_scale,1)</f>
        <v>9000</v>
      </c>
      <c r="I71" s="49" t="n">
        <f aca="false">E71*Paths!I71+(F71+G71+H71)*dep_asia</f>
        <v>35360</v>
      </c>
      <c r="J71" s="65" t="n">
        <f aca="false">Labour!AL71</f>
        <v>292839.554248144</v>
      </c>
      <c r="K71" s="49" t="n">
        <f aca="false">SUM(E71:H71)-I71+J71</f>
        <v>409479.554248144</v>
      </c>
      <c r="L71" s="49" t="n">
        <f aca="false">B71+C71+D71+K71</f>
        <v>17534879.7624646</v>
      </c>
      <c r="M71" s="66" t="n">
        <f aca="false">IF(B71&gt;0,L71/B71-1,0)</f>
        <v>0.0470479651537714</v>
      </c>
      <c r="N71" s="49" t="n">
        <f aca="false">N70*(1+Paths!C71)+F71*(1-dep_asia)+Labour!AL71*IF($A71&gt;=xo_year,xo_cn2,xo_cn1)</f>
        <v>2250566.65218606</v>
      </c>
      <c r="O71" s="49" t="n">
        <f aca="false">O70*(1+Paths!C71)+G71*(1-dep_asia)+Labour!AL71*IF($A71&gt;=xo_year,xo_jp2,xo_jp1)</f>
        <v>1654813.04837815</v>
      </c>
      <c r="P71" s="49" t="n">
        <f aca="false">P70*(1+Paths!C71)+H71*(1-dep_asia)+Labour!AL71*IF($A71&gt;=xo_year,xo_ph2,xo_ph1)</f>
        <v>152239.167904558</v>
      </c>
      <c r="Q71" s="49" t="n">
        <f aca="false">0</f>
        <v>0</v>
      </c>
      <c r="R71" s="49" t="n">
        <f aca="false">0</f>
        <v>0</v>
      </c>
      <c r="S71" s="66" t="n">
        <f aca="false">(N71+O71+P71+Q71+R71)/L71</f>
        <v>0.231402719803906</v>
      </c>
      <c r="T71" s="49" t="n">
        <f aca="false">SUM(E71:H71)*Paths!J71</f>
        <v>45600</v>
      </c>
      <c r="U71" s="65" t="n">
        <f aca="false">Paths!K71</f>
        <v>9190150</v>
      </c>
      <c r="V71" s="49" t="n">
        <f aca="false">IF(Gulf!E71=1,Gulf!B71,0)</f>
        <v>0</v>
      </c>
      <c r="W71" s="49" t="n">
        <f aca="false">L71+V71</f>
        <v>17534879.7624646</v>
      </c>
      <c r="X71" s="49" t="n">
        <f aca="false">W71+Labour!L71</f>
        <v>18162402.3408873</v>
      </c>
      <c r="Y71" s="47" t="n">
        <v>49289</v>
      </c>
      <c r="Z71" s="47" t="n">
        <v>105350</v>
      </c>
    </row>
    <row r="72" customFormat="false" ht="14.25" hidden="false" customHeight="true" outlineLevel="0" collapsed="false">
      <c r="A72" s="61" t="n">
        <v>1912</v>
      </c>
      <c r="B72" s="49" t="n">
        <f aca="false">L71</f>
        <v>17534879.7624646</v>
      </c>
      <c r="C72" s="65" t="n">
        <f aca="false">Paths!D72</f>
        <v>0</v>
      </c>
      <c r="D72" s="49" t="n">
        <f aca="false">B72*Paths!C72</f>
        <v>399251.677311555</v>
      </c>
      <c r="E72" s="49" t="n">
        <f aca="false">Paths!E72*IF($A72&gt;=1896,mig_scale,1)*IF(AND($A72&gt;=1848,$A72&lt;=1860),dem01_mult,1)</f>
        <v>90000</v>
      </c>
      <c r="F72" s="49" t="n">
        <f aca="false">Paths!F72*IF($A72&gt;=1896,mig_scale,1)*IF(AND($A72&gt;=1848,$A72&lt;=1860),dem01_mult,1)</f>
        <v>28000</v>
      </c>
      <c r="G72" s="49" t="n">
        <f aca="false">Paths!G72*IF($A72&gt;=1896,mig_scale,1)</f>
        <v>25000</v>
      </c>
      <c r="H72" s="49" t="n">
        <f aca="false">Paths!H72*IF($A72&gt;=1896,mig_scale,1)</f>
        <v>9000</v>
      </c>
      <c r="I72" s="49" t="n">
        <f aca="false">E72*Paths!I72+(F72+G72+H72)*dep_asia</f>
        <v>35360</v>
      </c>
      <c r="J72" s="65" t="n">
        <f aca="false">Labour!AL72</f>
        <v>309321.275919565</v>
      </c>
      <c r="K72" s="49" t="n">
        <f aca="false">SUM(E72:H72)-I72+J72</f>
        <v>425961.275919565</v>
      </c>
      <c r="L72" s="49" t="n">
        <f aca="false">B72+C72+D72+K72</f>
        <v>18360092.7156957</v>
      </c>
      <c r="M72" s="66" t="n">
        <f aca="false">IF(B72&gt;0,L72/B72-1,0)</f>
        <v>0.0470612267896802</v>
      </c>
      <c r="N72" s="49" t="n">
        <f aca="false">N71*(1+Paths!C72)+F72*(1-dep_asia)+Labour!AL72*IF($A72&gt;=xo_year,xo_cn2,xo_cn1)</f>
        <v>2352901.93188164</v>
      </c>
      <c r="O72" s="49" t="n">
        <f aca="false">O71*(1+Paths!C72)+G72*(1-dep_asia)+Labour!AL72*IF($A72&gt;=xo_year,xo_jp2,xo_jp1)</f>
        <v>1772355.74186058</v>
      </c>
      <c r="P72" s="49" t="n">
        <f aca="false">P71*(1+Paths!C72)+H72*(1-dep_asia)+Labour!AL72*IF($A72&gt;=xo_year,xo_ph2,xo_ph1)</f>
        <v>162185.501518576</v>
      </c>
      <c r="Q72" s="49" t="n">
        <f aca="false">0</f>
        <v>0</v>
      </c>
      <c r="R72" s="49" t="n">
        <f aca="false">0</f>
        <v>0</v>
      </c>
      <c r="S72" s="66" t="n">
        <f aca="false">(N72+O72+P72+Q72+R72)/L72</f>
        <v>0.233519690867114</v>
      </c>
      <c r="T72" s="49" t="n">
        <f aca="false">SUM(E72:H72)*Paths!J72</f>
        <v>45600</v>
      </c>
      <c r="U72" s="65" t="n">
        <f aca="false">Paths!K72</f>
        <v>9372853</v>
      </c>
      <c r="V72" s="49" t="n">
        <f aca="false">IF(Gulf!E72=1,Gulf!B72,0)</f>
        <v>0</v>
      </c>
      <c r="W72" s="49" t="n">
        <f aca="false">L72+V72</f>
        <v>18360092.7156957</v>
      </c>
      <c r="X72" s="49" t="n">
        <f aca="false">W72+Labour!L72</f>
        <v>19020152.8809932</v>
      </c>
      <c r="Y72" s="47" t="n">
        <v>50211</v>
      </c>
      <c r="Z72" s="47" t="n">
        <v>106186</v>
      </c>
    </row>
    <row r="73" customFormat="false" ht="14.25" hidden="false" customHeight="true" outlineLevel="0" collapsed="false">
      <c r="A73" s="61" t="n">
        <v>1913</v>
      </c>
      <c r="B73" s="49" t="n">
        <f aca="false">L72</f>
        <v>18360092.7156957</v>
      </c>
      <c r="C73" s="65" t="n">
        <f aca="false">Paths!D73</f>
        <v>0</v>
      </c>
      <c r="D73" s="49" t="n">
        <f aca="false">B73*Paths!C73</f>
        <v>418775.354752303</v>
      </c>
      <c r="E73" s="49" t="n">
        <f aca="false">Paths!E73*IF($A73&gt;=1896,mig_scale,1)*IF(AND($A73&gt;=1848,$A73&lt;=1860),dem01_mult,1)</f>
        <v>90000</v>
      </c>
      <c r="F73" s="49" t="n">
        <f aca="false">Paths!F73*IF($A73&gt;=1896,mig_scale,1)*IF(AND($A73&gt;=1848,$A73&lt;=1860),dem01_mult,1)</f>
        <v>28000</v>
      </c>
      <c r="G73" s="49" t="n">
        <f aca="false">Paths!G73*IF($A73&gt;=1896,mig_scale,1)</f>
        <v>25000</v>
      </c>
      <c r="H73" s="49" t="n">
        <f aca="false">Paths!H73*IF($A73&gt;=1896,mig_scale,1)</f>
        <v>9000</v>
      </c>
      <c r="I73" s="49" t="n">
        <f aca="false">E73*Paths!I73+(F73+G73+H73)*dep_asia</f>
        <v>35360</v>
      </c>
      <c r="J73" s="65" t="n">
        <f aca="false">Labour!AL73</f>
        <v>332155.665496083</v>
      </c>
      <c r="K73" s="49" t="n">
        <f aca="false">SUM(E73:H73)-I73+J73</f>
        <v>448795.665496083</v>
      </c>
      <c r="L73" s="49" t="n">
        <f aca="false">B73+C73+D73+K73</f>
        <v>19227663.7359441</v>
      </c>
      <c r="M73" s="66" t="n">
        <f aca="false">IF(B73&gt;0,L73/B73-1,0)</f>
        <v>0.0472530849207922</v>
      </c>
      <c r="N73" s="49" t="n">
        <f aca="false">N72*(1+Paths!C73)+F73*(1-dep_asia)+Labour!AL73*IF($A73&gt;=xo_year,xo_cn2,xo_cn1)</f>
        <v>2459944.83859554</v>
      </c>
      <c r="O73" s="49" t="n">
        <f aca="false">O72*(1+Paths!C73)+G73*(1-dep_asia)+Labour!AL73*IF($A73&gt;=xo_year,xo_jp2,xo_jp1)</f>
        <v>1897212.5370759</v>
      </c>
      <c r="P73" s="49" t="n">
        <f aca="false">P72*(1+Paths!C73)+H73*(1-dep_asia)+Labour!AL73*IF($A73&gt;=xo_year,xo_ph2,xo_ph1)</f>
        <v>172364.790622714</v>
      </c>
      <c r="Q73" s="49" t="n">
        <f aca="false">0</f>
        <v>0</v>
      </c>
      <c r="R73" s="49" t="n">
        <f aca="false">0</f>
        <v>0</v>
      </c>
      <c r="S73" s="66" t="n">
        <f aca="false">(N73+O73+P73+Q73+R73)/L73</f>
        <v>0.235573194356769</v>
      </c>
      <c r="T73" s="49" t="n">
        <f aca="false">SUM(E73:H73)*Paths!J73</f>
        <v>45600</v>
      </c>
      <c r="U73" s="65" t="n">
        <f aca="false">Paths!K73</f>
        <v>9555604</v>
      </c>
      <c r="V73" s="49" t="n">
        <f aca="false">IF(Gulf!E73=1,Gulf!B73,0)</f>
        <v>0</v>
      </c>
      <c r="W73" s="49" t="n">
        <f aca="false">L73+V73</f>
        <v>19227663.7359441</v>
      </c>
      <c r="X73" s="49" t="n">
        <f aca="false">W73+Labour!L73</f>
        <v>19922874.1704334</v>
      </c>
      <c r="Y73" s="47" t="n">
        <v>51141</v>
      </c>
      <c r="Z73" s="47" t="n">
        <v>107093</v>
      </c>
    </row>
    <row r="74" customFormat="false" ht="14.25" hidden="false" customHeight="true" outlineLevel="0" collapsed="false">
      <c r="A74" s="64" t="n">
        <v>1914</v>
      </c>
      <c r="B74" s="49" t="n">
        <f aca="false">L73</f>
        <v>19227663.7359441</v>
      </c>
      <c r="C74" s="65" t="n">
        <f aca="false">Paths!D74</f>
        <v>0</v>
      </c>
      <c r="D74" s="49" t="n">
        <f aca="false">B74*Paths!C74</f>
        <v>436564.10512461</v>
      </c>
      <c r="E74" s="49" t="n">
        <f aca="false">Paths!E74*IF($A74&gt;=1896,mig_scale,1)*IF(AND($A74&gt;=1848,$A74&lt;=1860),dem01_mult,1)</f>
        <v>35000</v>
      </c>
      <c r="F74" s="49" t="n">
        <f aca="false">Paths!F74*IF($A74&gt;=1896,mig_scale,1)*IF(AND($A74&gt;=1848,$A74&lt;=1860),dem01_mult,1)</f>
        <v>14000</v>
      </c>
      <c r="G74" s="49" t="n">
        <f aca="false">Paths!G74*IF($A74&gt;=1896,mig_scale,1)</f>
        <v>14000</v>
      </c>
      <c r="H74" s="49" t="n">
        <f aca="false">Paths!H74*IF($A74&gt;=1896,mig_scale,1)</f>
        <v>7000</v>
      </c>
      <c r="I74" s="49" t="n">
        <f aca="false">E74*Paths!I74+(F74+G74+H74)*dep_asia</f>
        <v>16800</v>
      </c>
      <c r="J74" s="65" t="n">
        <f aca="false">Labour!AL74</f>
        <v>314343.419484077</v>
      </c>
      <c r="K74" s="49" t="n">
        <f aca="false">SUM(E74:H74)-I74+J74</f>
        <v>367543.419484077</v>
      </c>
      <c r="L74" s="49" t="n">
        <f aca="false">B74+C74+D74+K74</f>
        <v>20031771.2605527</v>
      </c>
      <c r="M74" s="66" t="n">
        <f aca="false">IF(B74&gt;0,L74/B74-1,0)</f>
        <v>0.0418203446685774</v>
      </c>
      <c r="N74" s="49" t="n">
        <f aca="false">N73*(1+Paths!C74)+F74*(1-dep_asia)+Labour!AL74*IF($A74&gt;=xo_year,xo_cn2,xo_cn1)</f>
        <v>2566742.53068878</v>
      </c>
      <c r="O74" s="49" t="n">
        <f aca="false">O73*(1+Paths!C74)+G74*(1-dep_asia)+Labour!AL74*IF($A74&gt;=xo_year,xo_jp2,xo_jp1)</f>
        <v>2050958.64196511</v>
      </c>
      <c r="P74" s="49" t="n">
        <f aca="false">P73*(1+Paths!C74)+H74*(1-dep_asia)+Labour!AL74*IF($A74&gt;=xo_year,xo_ph2,xo_ph1)</f>
        <v>197035.504168006</v>
      </c>
      <c r="Q74" s="49" t="n">
        <f aca="false">0</f>
        <v>0</v>
      </c>
      <c r="R74" s="49" t="n">
        <f aca="false">0</f>
        <v>0</v>
      </c>
      <c r="S74" s="66" t="n">
        <f aca="false">(N74+O74+P74+Q74+R74)/L74</f>
        <v>0.240355014751154</v>
      </c>
      <c r="T74" s="49" t="n">
        <f aca="false">SUM(E74:H74)*Paths!J74</f>
        <v>21000</v>
      </c>
      <c r="U74" s="65" t="n">
        <f aca="false">Paths!K74</f>
        <v>9738405</v>
      </c>
      <c r="V74" s="49" t="n">
        <f aca="false">IF(Gulf!E74=1,Gulf!B74,0)</f>
        <v>0</v>
      </c>
      <c r="W74" s="49" t="n">
        <f aca="false">L74+V74</f>
        <v>20031771.2605527</v>
      </c>
      <c r="X74" s="49" t="n">
        <f aca="false">W74+Labour!L74</f>
        <v>20727808.196219</v>
      </c>
      <c r="Y74" s="47" t="n">
        <v>52075</v>
      </c>
      <c r="Z74" s="47" t="n">
        <v>108072</v>
      </c>
    </row>
    <row r="75" customFormat="false" ht="14.25" hidden="false" customHeight="true" outlineLevel="0" collapsed="false">
      <c r="A75" s="64" t="n">
        <v>1915</v>
      </c>
      <c r="B75" s="49" t="n">
        <f aca="false">L74</f>
        <v>20031771.2605527</v>
      </c>
      <c r="C75" s="65" t="n">
        <f aca="false">Paths!D75</f>
        <v>0</v>
      </c>
      <c r="D75" s="49" t="n">
        <f aca="false">B75*Paths!C75</f>
        <v>449172.406975374</v>
      </c>
      <c r="E75" s="49" t="n">
        <f aca="false">Paths!E75*IF($A75&gt;=1896,mig_scale,1)*IF(AND($A75&gt;=1848,$A75&lt;=1860),dem01_mult,1)</f>
        <v>35000</v>
      </c>
      <c r="F75" s="49" t="n">
        <f aca="false">Paths!F75*IF($A75&gt;=1896,mig_scale,1)*IF(AND($A75&gt;=1848,$A75&lt;=1860),dem01_mult,1)</f>
        <v>14000</v>
      </c>
      <c r="G75" s="49" t="n">
        <f aca="false">Paths!G75*IF($A75&gt;=1896,mig_scale,1)</f>
        <v>14000</v>
      </c>
      <c r="H75" s="49" t="n">
        <f aca="false">Paths!H75*IF($A75&gt;=1896,mig_scale,1)</f>
        <v>7000</v>
      </c>
      <c r="I75" s="49" t="n">
        <f aca="false">E75*Paths!I75+(F75+G75+H75)*dep_asia</f>
        <v>16800</v>
      </c>
      <c r="J75" s="65" t="n">
        <f aca="false">Labour!AL75</f>
        <v>251746.487712729</v>
      </c>
      <c r="K75" s="49" t="n">
        <f aca="false">SUM(E75:H75)-I75+J75</f>
        <v>304946.487712729</v>
      </c>
      <c r="L75" s="49" t="n">
        <f aca="false">B75+C75+D75+K75</f>
        <v>20785890.1552408</v>
      </c>
      <c r="M75" s="66" t="n">
        <f aca="false">IF(B75&gt;0,L75/B75-1,0)</f>
        <v>0.0376461414659393</v>
      </c>
      <c r="N75" s="49" t="n">
        <f aca="false">N74*(1+Paths!C75)+F75*(1-dep_asia)+Labour!AL75*IF($A75&gt;=xo_year,xo_cn2,xo_cn1)</f>
        <v>2667103.64185707</v>
      </c>
      <c r="O75" s="49" t="n">
        <f aca="false">O74*(1+Paths!C75)+G75*(1-dep_asia)+Labour!AL75*IF($A75&gt;=xo_year,xo_jp2,xo_jp1)</f>
        <v>2187586.16366197</v>
      </c>
      <c r="P75" s="49" t="n">
        <f aca="false">P74*(1+Paths!C75)+H75*(1-dep_asia)+Labour!AL75*IF($A75&gt;=xo_year,xo_ph2,xo_ph1)</f>
        <v>219080.955663602</v>
      </c>
      <c r="Q75" s="49" t="n">
        <f aca="false">0</f>
        <v>0</v>
      </c>
      <c r="R75" s="49" t="n">
        <f aca="false">0</f>
        <v>0</v>
      </c>
      <c r="S75" s="66" t="n">
        <f aca="false">(N75+O75+P75+Q75+R75)/L75</f>
        <v>0.244096871641716</v>
      </c>
      <c r="T75" s="49" t="n">
        <f aca="false">SUM(E75:H75)*Paths!J75</f>
        <v>21000</v>
      </c>
      <c r="U75" s="65" t="n">
        <f aca="false">Paths!K75</f>
        <v>9921256</v>
      </c>
      <c r="V75" s="49" t="n">
        <f aca="false">IF(Gulf!E75=1,Gulf!B75,0)</f>
        <v>0</v>
      </c>
      <c r="W75" s="49" t="n">
        <f aca="false">L75+V75</f>
        <v>20785890.1552408</v>
      </c>
      <c r="X75" s="49" t="n">
        <f aca="false">W75+Labour!L75</f>
        <v>21549069.679547</v>
      </c>
      <c r="Y75" s="47" t="n">
        <v>53015</v>
      </c>
      <c r="Z75" s="47" t="n">
        <v>109123</v>
      </c>
    </row>
    <row r="76" customFormat="false" ht="14.25" hidden="false" customHeight="true" outlineLevel="0" collapsed="false">
      <c r="A76" s="64" t="n">
        <v>1916</v>
      </c>
      <c r="B76" s="49" t="n">
        <f aca="false">L75</f>
        <v>20785890.1552408</v>
      </c>
      <c r="C76" s="65" t="n">
        <f aca="false">Paths!D76</f>
        <v>0</v>
      </c>
      <c r="D76" s="49" t="n">
        <f aca="false">B76*Paths!C76</f>
        <v>452903.760592543</v>
      </c>
      <c r="E76" s="49" t="n">
        <f aca="false">Paths!E76*IF($A76&gt;=1896,mig_scale,1)*IF(AND($A76&gt;=1848,$A76&lt;=1860),dem01_mult,1)</f>
        <v>35000</v>
      </c>
      <c r="F76" s="49" t="n">
        <f aca="false">Paths!F76*IF($A76&gt;=1896,mig_scale,1)*IF(AND($A76&gt;=1848,$A76&lt;=1860),dem01_mult,1)</f>
        <v>14000</v>
      </c>
      <c r="G76" s="49" t="n">
        <f aca="false">Paths!G76*IF($A76&gt;=1896,mig_scale,1)</f>
        <v>14000</v>
      </c>
      <c r="H76" s="49" t="n">
        <f aca="false">Paths!H76*IF($A76&gt;=1896,mig_scale,1)</f>
        <v>7000</v>
      </c>
      <c r="I76" s="49" t="n">
        <f aca="false">E76*Paths!I76+(F76+G76+H76)*dep_asia</f>
        <v>16800</v>
      </c>
      <c r="J76" s="65" t="n">
        <f aca="false">Labour!AL76</f>
        <v>221152.583186813</v>
      </c>
      <c r="K76" s="49" t="n">
        <f aca="false">SUM(E76:H76)-I76+J76</f>
        <v>274352.583186813</v>
      </c>
      <c r="L76" s="49" t="n">
        <f aca="false">B76+C76+D76+K76</f>
        <v>21513146.4990202</v>
      </c>
      <c r="M76" s="66" t="n">
        <f aca="false">IF(B76&gt;0,L76/B76-1,0)</f>
        <v>0.034987981671595</v>
      </c>
      <c r="N76" s="49" t="n">
        <f aca="false">N75*(1+Paths!C76)+F76*(1-dep_asia)+Labour!AL76*IF($A76&gt;=xo_year,xo_cn2,xo_cn1)</f>
        <v>2764046.99892378</v>
      </c>
      <c r="O76" s="49" t="n">
        <f aca="false">O75*(1+Paths!C76)+G76*(1-dep_asia)+Labour!AL76*IF($A76&gt;=xo_year,xo_jp2,xo_jp1)</f>
        <v>2316100.30520178</v>
      </c>
      <c r="P76" s="49" t="n">
        <f aca="false">P75*(1+Paths!C76)+H76*(1-dep_asia)+Labour!AL76*IF($A76&gt;=xo_year,xo_ph2,xo_ph1)</f>
        <v>239952.139765897</v>
      </c>
      <c r="Q76" s="49" t="n">
        <f aca="false">0</f>
        <v>0</v>
      </c>
      <c r="R76" s="49" t="n">
        <f aca="false">0</f>
        <v>0</v>
      </c>
      <c r="S76" s="66" t="n">
        <f aca="false">(N76+O76+P76+Q76+R76)/L76</f>
        <v>0.247295273340594</v>
      </c>
      <c r="T76" s="49" t="n">
        <f aca="false">SUM(E76:H76)*Paths!J76</f>
        <v>21000</v>
      </c>
      <c r="U76" s="65" t="n">
        <f aca="false">Paths!K76</f>
        <v>10104159</v>
      </c>
      <c r="V76" s="49" t="n">
        <f aca="false">IF(Gulf!E76=1,Gulf!B76,0)</f>
        <v>0</v>
      </c>
      <c r="W76" s="49" t="n">
        <f aca="false">L76+V76</f>
        <v>21513146.4990202</v>
      </c>
      <c r="X76" s="49" t="n">
        <f aca="false">W76+Labour!L76</f>
        <v>22339248.8287324</v>
      </c>
      <c r="Y76" s="47" t="n">
        <v>53954</v>
      </c>
      <c r="Z76" s="47" t="n">
        <v>110205</v>
      </c>
    </row>
    <row r="77" customFormat="false" ht="14.25" hidden="false" customHeight="true" outlineLevel="0" collapsed="false">
      <c r="A77" s="64" t="n">
        <v>1917</v>
      </c>
      <c r="B77" s="49" t="n">
        <f aca="false">L76</f>
        <v>21513146.4990202</v>
      </c>
      <c r="C77" s="65" t="n">
        <f aca="false">Paths!D77</f>
        <v>0</v>
      </c>
      <c r="D77" s="49" t="n">
        <f aca="false">B77*Paths!C77</f>
        <v>453002.325829868</v>
      </c>
      <c r="E77" s="49" t="n">
        <f aca="false">Paths!E77*IF($A77&gt;=1896,mig_scale,1)*IF(AND($A77&gt;=1848,$A77&lt;=1860),dem01_mult,1)</f>
        <v>35000</v>
      </c>
      <c r="F77" s="49" t="n">
        <f aca="false">Paths!F77*IF($A77&gt;=1896,mig_scale,1)*IF(AND($A77&gt;=1848,$A77&lt;=1860),dem01_mult,1)</f>
        <v>14000</v>
      </c>
      <c r="G77" s="49" t="n">
        <f aca="false">Paths!G77*IF($A77&gt;=1896,mig_scale,1)</f>
        <v>14000</v>
      </c>
      <c r="H77" s="49" t="n">
        <f aca="false">Paths!H77*IF($A77&gt;=1896,mig_scale,1)</f>
        <v>7000</v>
      </c>
      <c r="I77" s="49" t="n">
        <f aca="false">E77*Paths!I77+(F77+G77+H77)*dep_asia</f>
        <v>16800</v>
      </c>
      <c r="J77" s="65" t="n">
        <f aca="false">Labour!AL77</f>
        <v>203832.979663739</v>
      </c>
      <c r="K77" s="49" t="n">
        <f aca="false">SUM(E77:H77)-I77+J77</f>
        <v>257032.979663739</v>
      </c>
      <c r="L77" s="49" t="n">
        <f aca="false">B77+C77+D77+K77</f>
        <v>22223181.8045138</v>
      </c>
      <c r="M77" s="66" t="n">
        <f aca="false">IF(B77&gt;0,L77/B77-1,0)</f>
        <v>0.0330047166985055</v>
      </c>
      <c r="N77" s="49" t="n">
        <f aca="false">N76*(1+Paths!C77)+F77*(1-dep_asia)+Labour!AL77*IF($A77&gt;=xo_year,xo_cn2,xo_cn1)</f>
        <v>2858827.8239364</v>
      </c>
      <c r="O77" s="49" t="n">
        <f aca="false">O76*(1+Paths!C77)+G77*(1-dep_asia)+Labour!AL77*IF($A77&gt;=xo_year,xo_jp2,xo_jp1)</f>
        <v>2440176.98282081</v>
      </c>
      <c r="P77" s="49" t="n">
        <f aca="false">P76*(1+Paths!C77)+H77*(1-dep_asia)+Labour!AL77*IF($A77&gt;=xo_year,xo_ph2,xo_ph1)</f>
        <v>260236.460956134</v>
      </c>
      <c r="Q77" s="49" t="n">
        <f aca="false">0</f>
        <v>0</v>
      </c>
      <c r="R77" s="49" t="n">
        <f aca="false">0</f>
        <v>0</v>
      </c>
      <c r="S77" s="66" t="n">
        <f aca="false">(N77+O77+P77+Q77+R77)/L77</f>
        <v>0.250155055050857</v>
      </c>
      <c r="T77" s="49" t="n">
        <f aca="false">SUM(E77:H77)*Paths!J77</f>
        <v>21000</v>
      </c>
      <c r="U77" s="65" t="n">
        <f aca="false">Paths!K77</f>
        <v>10287114</v>
      </c>
      <c r="V77" s="49" t="n">
        <f aca="false">IF(Gulf!E77=1,Gulf!B77,0)</f>
        <v>0</v>
      </c>
      <c r="W77" s="49" t="n">
        <f aca="false">L77+V77</f>
        <v>22223181.8045138</v>
      </c>
      <c r="X77" s="49" t="n">
        <f aca="false">W77+Labour!L77</f>
        <v>23102589.3183418</v>
      </c>
      <c r="Y77" s="47" t="n">
        <v>54886</v>
      </c>
      <c r="Z77" s="47" t="n">
        <v>111324</v>
      </c>
    </row>
    <row r="78" customFormat="false" ht="14.25" hidden="false" customHeight="true" outlineLevel="0" collapsed="false">
      <c r="A78" s="64" t="n">
        <v>1918</v>
      </c>
      <c r="B78" s="49" t="n">
        <f aca="false">L77</f>
        <v>22223181.8045138</v>
      </c>
      <c r="C78" s="65" t="n">
        <f aca="false">Paths!D78</f>
        <v>0</v>
      </c>
      <c r="D78" s="49" t="n">
        <f aca="false">B78*Paths!C78</f>
        <v>449530.521541705</v>
      </c>
      <c r="E78" s="49" t="n">
        <f aca="false">Paths!E78*IF($A78&gt;=1896,mig_scale,1)*IF(AND($A78&gt;=1848,$A78&lt;=1860),dem01_mult,1)</f>
        <v>35000</v>
      </c>
      <c r="F78" s="49" t="n">
        <f aca="false">Paths!F78*IF($A78&gt;=1896,mig_scale,1)*IF(AND($A78&gt;=1848,$A78&lt;=1860),dem01_mult,1)</f>
        <v>14000</v>
      </c>
      <c r="G78" s="49" t="n">
        <f aca="false">Paths!G78*IF($A78&gt;=1896,mig_scale,1)</f>
        <v>14000</v>
      </c>
      <c r="H78" s="49" t="n">
        <f aca="false">Paths!H78*IF($A78&gt;=1896,mig_scale,1)</f>
        <v>7000</v>
      </c>
      <c r="I78" s="49" t="n">
        <f aca="false">E78*Paths!I78+(F78+G78+H78)*dep_asia</f>
        <v>16800</v>
      </c>
      <c r="J78" s="65" t="n">
        <f aca="false">Labour!AL78</f>
        <v>165282.00935384</v>
      </c>
      <c r="K78" s="49" t="n">
        <f aca="false">SUM(E78:H78)-I78+J78</f>
        <v>218482.00935384</v>
      </c>
      <c r="L78" s="49" t="n">
        <f aca="false">B78+C78+D78+K78</f>
        <v>22891194.3354093</v>
      </c>
      <c r="M78" s="66" t="n">
        <f aca="false">IF(B78&gt;0,L78/B78-1,0)</f>
        <v>0.0300592658950332</v>
      </c>
      <c r="N78" s="49" t="n">
        <f aca="false">N77*(1+Paths!C78)+F78*(1-dep_asia)+Labour!AL78*IF($A78&gt;=xo_year,xo_cn2,xo_cn1)</f>
        <v>2948222.85437499</v>
      </c>
      <c r="O78" s="49" t="n">
        <f aca="false">O77*(1+Paths!C78)+G78*(1-dep_asia)+Labour!AL78*IF($A78&gt;=xo_year,xo_jp2,xo_jp1)</f>
        <v>2552507.12582254</v>
      </c>
      <c r="P78" s="49" t="n">
        <f aca="false">P77*(1+Paths!C78)+H78*(1-dep_asia)+Labour!AL78*IF($A78&gt;=xo_year,xo_ph2,xo_ph1)</f>
        <v>278804.624556047</v>
      </c>
      <c r="Q78" s="49" t="n">
        <f aca="false">0</f>
        <v>0</v>
      </c>
      <c r="R78" s="49" t="n">
        <f aca="false">0</f>
        <v>0</v>
      </c>
      <c r="S78" s="66" t="n">
        <f aca="false">(N78+O78+P78+Q78+R78)/L78</f>
        <v>0.252478508550927</v>
      </c>
      <c r="T78" s="49" t="n">
        <f aca="false">SUM(E78:H78)*Paths!J78</f>
        <v>21000</v>
      </c>
      <c r="U78" s="65" t="n">
        <f aca="false">Paths!K78</f>
        <v>10470122</v>
      </c>
      <c r="V78" s="49" t="n">
        <f aca="false">IF(Gulf!E78=1,Gulf!B78,0)</f>
        <v>0</v>
      </c>
      <c r="W78" s="49" t="n">
        <f aca="false">L78+V78</f>
        <v>22891194.3354093</v>
      </c>
      <c r="X78" s="49" t="n">
        <f aca="false">W78+Labour!L78</f>
        <v>23803644.9382162</v>
      </c>
      <c r="Y78" s="47" t="n">
        <v>55807</v>
      </c>
      <c r="Z78" s="47" t="n">
        <v>112480</v>
      </c>
    </row>
    <row r="79" customFormat="false" ht="14.25" hidden="false" customHeight="true" outlineLevel="0" collapsed="false">
      <c r="A79" s="64" t="n">
        <v>1919</v>
      </c>
      <c r="B79" s="49" t="n">
        <f aca="false">L78</f>
        <v>22891194.3354093</v>
      </c>
      <c r="C79" s="65" t="n">
        <f aca="false">Paths!D79</f>
        <v>0</v>
      </c>
      <c r="D79" s="49" t="n">
        <f aca="false">B79*Paths!C79</f>
        <v>442738.589641152</v>
      </c>
      <c r="E79" s="49" t="n">
        <f aca="false">Paths!E79*IF($A79&gt;=1896,mig_scale,1)*IF(AND($A79&gt;=1848,$A79&lt;=1860),dem01_mult,1)</f>
        <v>110000</v>
      </c>
      <c r="F79" s="49" t="n">
        <f aca="false">Paths!F79*IF($A79&gt;=1896,mig_scale,1)*IF(AND($A79&gt;=1848,$A79&lt;=1860),dem01_mult,1)</f>
        <v>30000</v>
      </c>
      <c r="G79" s="49" t="n">
        <f aca="false">Paths!G79*IF($A79&gt;=1896,mig_scale,1)</f>
        <v>30000</v>
      </c>
      <c r="H79" s="49" t="n">
        <f aca="false">Paths!H79*IF($A79&gt;=1896,mig_scale,1)</f>
        <v>20000</v>
      </c>
      <c r="I79" s="49" t="n">
        <f aca="false">E79*Paths!I79+(F79+G79+H79)*dep_asia</f>
        <v>44400</v>
      </c>
      <c r="J79" s="65" t="n">
        <f aca="false">Labour!AL79</f>
        <v>226568.18794382</v>
      </c>
      <c r="K79" s="49" t="n">
        <f aca="false">SUM(E79:H79)-I79+J79</f>
        <v>372168.18794382</v>
      </c>
      <c r="L79" s="49" t="n">
        <f aca="false">B79+C79+D79+K79</f>
        <v>23706101.1129943</v>
      </c>
      <c r="M79" s="66" t="n">
        <f aca="false">IF(B79&gt;0,L79/B79-1,0)</f>
        <v>0.0355991376266651</v>
      </c>
      <c r="N79" s="49" t="n">
        <f aca="false">N78*(1+Paths!C79)+F79*(1-dep_asia)+Labour!AL79*IF($A79&gt;=xo_year,xo_cn2,xo_cn1)</f>
        <v>3056298.29703415</v>
      </c>
      <c r="O79" s="49" t="n">
        <f aca="false">O78*(1+Paths!C79)+G79*(1-dep_asia)+Labour!AL79*IF($A79&gt;=xo_year,xo_jp2,xo_jp1)</f>
        <v>2695976.98628509</v>
      </c>
      <c r="P79" s="49" t="n">
        <f aca="false">P78*(1+Paths!C79)+H79*(1-dep_asia)+Labour!AL79*IF($A79&gt;=xo_year,xo_ph2,xo_ph1)</f>
        <v>309925.394196776</v>
      </c>
      <c r="Q79" s="49" t="n">
        <f aca="false">0</f>
        <v>0</v>
      </c>
      <c r="R79" s="49" t="n">
        <f aca="false">0</f>
        <v>0</v>
      </c>
      <c r="S79" s="66" t="n">
        <f aca="false">(N79+O79+P79+Q79+R79)/L79</f>
        <v>0.255723227055379</v>
      </c>
      <c r="T79" s="49" t="n">
        <f aca="false">SUM(E79:H79)*Paths!J79</f>
        <v>57000</v>
      </c>
      <c r="U79" s="65" t="n">
        <f aca="false">Paths!K79</f>
        <v>10666184</v>
      </c>
      <c r="V79" s="49" t="n">
        <f aca="false">IF(Gulf!E79=1,Gulf!B79,0)</f>
        <v>0</v>
      </c>
      <c r="W79" s="49" t="n">
        <f aca="false">L79+V79</f>
        <v>23706101.1129943</v>
      </c>
      <c r="X79" s="49" t="n">
        <f aca="false">W79+Labour!L79</f>
        <v>24641979.4402324</v>
      </c>
      <c r="Y79" s="47" t="n">
        <v>56716</v>
      </c>
      <c r="Z79" s="47" t="n">
        <v>113669</v>
      </c>
    </row>
    <row r="80" customFormat="false" ht="14.25" hidden="false" customHeight="true" outlineLevel="0" collapsed="false">
      <c r="A80" s="64" t="n">
        <v>1920</v>
      </c>
      <c r="B80" s="49" t="n">
        <f aca="false">L79</f>
        <v>23706101.1129943</v>
      </c>
      <c r="C80" s="65" t="n">
        <f aca="false">Paths!D80</f>
        <v>0</v>
      </c>
      <c r="D80" s="49" t="n">
        <f aca="false">B80*Paths!C80</f>
        <v>444370.865363079</v>
      </c>
      <c r="E80" s="49" t="n">
        <f aca="false">Paths!E80*IF($A80&gt;=1896,mig_scale,1)*IF(AND($A80&gt;=1848,$A80&lt;=1860),dem01_mult,1)</f>
        <v>110000</v>
      </c>
      <c r="F80" s="49" t="n">
        <f aca="false">Paths!F80*IF($A80&gt;=1896,mig_scale,1)*IF(AND($A80&gt;=1848,$A80&lt;=1860),dem01_mult,1)</f>
        <v>30000</v>
      </c>
      <c r="G80" s="49" t="n">
        <f aca="false">Paths!G80*IF($A80&gt;=1896,mig_scale,1)</f>
        <v>30000</v>
      </c>
      <c r="H80" s="49" t="n">
        <f aca="false">Paths!H80*IF($A80&gt;=1896,mig_scale,1)</f>
        <v>20000</v>
      </c>
      <c r="I80" s="49" t="n">
        <f aca="false">E80*Paths!I80+(F80+G80+H80)*dep_asia</f>
        <v>44400</v>
      </c>
      <c r="J80" s="65" t="n">
        <f aca="false">Labour!AL80</f>
        <v>257168.368101935</v>
      </c>
      <c r="K80" s="49" t="n">
        <f aca="false">SUM(E80:H80)-I80+J80</f>
        <v>402768.368101935</v>
      </c>
      <c r="L80" s="49" t="n">
        <f aca="false">B80+C80+D80+K80</f>
        <v>24553240.3464593</v>
      </c>
      <c r="M80" s="66" t="n">
        <f aca="false">IF(B80&gt;0,L80/B80-1,0)</f>
        <v>0.0357350721414356</v>
      </c>
      <c r="N80" s="49" t="n">
        <f aca="false">N79*(1+Paths!C80)+F80*(1-dep_asia)+Labour!AL80*IF($A80&gt;=xo_year,xo_cn2,xo_cn1)</f>
        <v>3168620.49646531</v>
      </c>
      <c r="O80" s="49" t="n">
        <f aca="false">O79*(1+Paths!C80)+G80*(1-dep_asia)+Labour!AL80*IF($A80&gt;=xo_year,xo_jp2,xo_jp1)</f>
        <v>2850406.95268562</v>
      </c>
      <c r="P80" s="49" t="n">
        <f aca="false">P79*(1+Paths!C80)+H80*(1-dep_asia)+Labour!AL80*IF($A80&gt;=xo_year,xo_ph2,xo_ph1)</f>
        <v>342993.364116092</v>
      </c>
      <c r="Q80" s="49" t="n">
        <f aca="false">0</f>
        <v>0</v>
      </c>
      <c r="R80" s="49" t="n">
        <f aca="false">0</f>
        <v>0</v>
      </c>
      <c r="S80" s="66" t="n">
        <f aca="false">(N80+O80+P80+Q80+R80)/L80</f>
        <v>0.259111250633135</v>
      </c>
      <c r="T80" s="49" t="n">
        <f aca="false">SUM(E80:H80)*Paths!J80</f>
        <v>57000</v>
      </c>
      <c r="U80" s="65" t="n">
        <f aca="false">Paths!K80</f>
        <v>10862301</v>
      </c>
      <c r="V80" s="49" t="n">
        <f aca="false">IF(Gulf!E80=1,Gulf!B80,0)</f>
        <v>0</v>
      </c>
      <c r="W80" s="49" t="n">
        <f aca="false">L80+V80</f>
        <v>24553240.3464593</v>
      </c>
      <c r="X80" s="49" t="n">
        <f aca="false">W80+Labour!L80</f>
        <v>25506340.3464599</v>
      </c>
      <c r="Y80" s="47" t="n">
        <v>57612</v>
      </c>
      <c r="Z80" s="47" t="n">
        <v>114891</v>
      </c>
    </row>
    <row r="81" customFormat="false" ht="14.25" hidden="false" customHeight="true" outlineLevel="0" collapsed="false">
      <c r="A81" s="64" t="n">
        <v>1921</v>
      </c>
      <c r="B81" s="49" t="n">
        <f aca="false">L80</f>
        <v>24553240.3464593</v>
      </c>
      <c r="C81" s="65" t="n">
        <f aca="false">Paths!D81</f>
        <v>0</v>
      </c>
      <c r="D81" s="49" t="n">
        <f aca="false">B81*Paths!C81</f>
        <v>445960.504412741</v>
      </c>
      <c r="E81" s="49" t="n">
        <f aca="false">Paths!E81*IF($A81&gt;=1896,mig_scale,1)*IF(AND($A81&gt;=1848,$A81&lt;=1860),dem01_mult,1)</f>
        <v>110000</v>
      </c>
      <c r="F81" s="49" t="n">
        <f aca="false">Paths!F81*IF($A81&gt;=1896,mig_scale,1)*IF(AND($A81&gt;=1848,$A81&lt;=1860),dem01_mult,1)</f>
        <v>30000</v>
      </c>
      <c r="G81" s="49" t="n">
        <f aca="false">Paths!G81*IF($A81&gt;=1896,mig_scale,1)</f>
        <v>30000</v>
      </c>
      <c r="H81" s="49" t="n">
        <f aca="false">Paths!H81*IF($A81&gt;=1896,mig_scale,1)</f>
        <v>20000</v>
      </c>
      <c r="I81" s="49" t="n">
        <f aca="false">E81*Paths!I81+(F81+G81+H81)*dep_asia</f>
        <v>44400</v>
      </c>
      <c r="J81" s="65" t="n">
        <f aca="false">Labour!AL81</f>
        <v>329544.463289544</v>
      </c>
      <c r="K81" s="49" t="n">
        <f aca="false">SUM(E81:H81)-I81+J81</f>
        <v>475144.463289544</v>
      </c>
      <c r="L81" s="49" t="n">
        <f aca="false">B81+C81+D81+K81</f>
        <v>25474345.3141616</v>
      </c>
      <c r="M81" s="66" t="n">
        <f aca="false">IF(B81&gt;0,L81/B81-1,0)</f>
        <v>0.037514599079592</v>
      </c>
      <c r="N81" s="49" t="n">
        <f aca="false">N80*(1+Paths!C81)+F81*(1-dep_asia)+Labour!AL81*IF($A81&gt;=xo_year,xo_cn2,xo_cn1)</f>
        <v>3290612.93077025</v>
      </c>
      <c r="O81" s="49" t="n">
        <f aca="false">O80*(1+Paths!C81)+G81*(1-dep_asia)+Labour!AL81*IF($A81&gt;=xo_year,xo_jp2,xo_jp1)</f>
        <v>3029233.12241991</v>
      </c>
      <c r="P81" s="49" t="n">
        <f aca="false">P80*(1+Paths!C81)+H81*(1-dep_asia)+Labour!AL81*IF($A81&gt;=xo_year,xo_ph2,xo_ph1)</f>
        <v>380100.375753009</v>
      </c>
      <c r="Q81" s="49" t="n">
        <f aca="false">0</f>
        <v>0</v>
      </c>
      <c r="R81" s="49" t="n">
        <f aca="false">0</f>
        <v>0</v>
      </c>
      <c r="S81" s="66" t="n">
        <f aca="false">(N81+O81+P81+Q81+R81)/L81</f>
        <v>0.263007600247083</v>
      </c>
      <c r="T81" s="49" t="n">
        <f aca="false">SUM(E81:H81)*Paths!J81</f>
        <v>57000</v>
      </c>
      <c r="U81" s="65" t="n">
        <f aca="false">Paths!K81</f>
        <v>11058475</v>
      </c>
      <c r="V81" s="49" t="n">
        <f aca="false">IF(Gulf!E81=1,Gulf!B81,0)</f>
        <v>0</v>
      </c>
      <c r="W81" s="49" t="n">
        <f aca="false">L81+V81</f>
        <v>25474345.3141616</v>
      </c>
      <c r="X81" s="49" t="n">
        <f aca="false">W81+Labour!L81</f>
        <v>26332458.2682795</v>
      </c>
      <c r="Y81" s="47" t="n">
        <v>58493</v>
      </c>
      <c r="Z81" s="47" t="n">
        <v>116145</v>
      </c>
    </row>
    <row r="82" customFormat="false" ht="14.25" hidden="false" customHeight="true" outlineLevel="0" collapsed="false">
      <c r="A82" s="64" t="n">
        <v>1922</v>
      </c>
      <c r="B82" s="49" t="n">
        <f aca="false">L81</f>
        <v>25474345.3141616</v>
      </c>
      <c r="C82" s="65" t="n">
        <f aca="false">Paths!D82</f>
        <v>0</v>
      </c>
      <c r="D82" s="49" t="n">
        <f aca="false">B82*Paths!C82</f>
        <v>454513.269095272</v>
      </c>
      <c r="E82" s="49" t="n">
        <f aca="false">Paths!E82*IF($A82&gt;=1896,mig_scale,1)*IF(AND($A82&gt;=1848,$A82&lt;=1860),dem01_mult,1)</f>
        <v>110000</v>
      </c>
      <c r="F82" s="49" t="n">
        <f aca="false">Paths!F82*IF($A82&gt;=1896,mig_scale,1)*IF(AND($A82&gt;=1848,$A82&lt;=1860),dem01_mult,1)</f>
        <v>30000</v>
      </c>
      <c r="G82" s="49" t="n">
        <f aca="false">Paths!G82*IF($A82&gt;=1896,mig_scale,1)</f>
        <v>30000</v>
      </c>
      <c r="H82" s="49" t="n">
        <f aca="false">Paths!H82*IF($A82&gt;=1896,mig_scale,1)</f>
        <v>20000</v>
      </c>
      <c r="I82" s="49" t="n">
        <f aca="false">E82*Paths!I82+(F82+G82+H82)*dep_asia</f>
        <v>44400</v>
      </c>
      <c r="J82" s="65" t="n">
        <f aca="false">Labour!AL82</f>
        <v>328439.068341815</v>
      </c>
      <c r="K82" s="49" t="n">
        <f aca="false">SUM(E82:H82)-I82+J82</f>
        <v>474039.068341815</v>
      </c>
      <c r="L82" s="49" t="n">
        <f aca="false">B82+C82+D82+K82</f>
        <v>26402897.6515987</v>
      </c>
      <c r="M82" s="66" t="n">
        <f aca="false">IF(B82&gt;0,L82/B82-1,0)</f>
        <v>0.0364504887558734</v>
      </c>
      <c r="N82" s="49" t="n">
        <f aca="false">N81*(1+Paths!C82)+F82*(1-dep_asia)+Labour!AL82*IF($A82&gt;=xo_year,xo_cn2,xo_cn1)</f>
        <v>3413621.12556549</v>
      </c>
      <c r="O82" s="49" t="n">
        <f aca="false">O81*(1+Paths!C82)+G82*(1-dep_asia)+Labour!AL82*IF($A82&gt;=xo_year,xo_jp2,xo_jp1)</f>
        <v>3209981.2016595</v>
      </c>
      <c r="P82" s="49" t="n">
        <f aca="false">P81*(1+Paths!C82)+H82*(1-dep_asia)+Labour!AL82*IF($A82&gt;=xo_year,xo_ph2,xo_ph1)</f>
        <v>417704.080074285</v>
      </c>
      <c r="Q82" s="49" t="n">
        <f aca="false">0</f>
        <v>0</v>
      </c>
      <c r="R82" s="49" t="n">
        <f aca="false">0</f>
        <v>0</v>
      </c>
      <c r="S82" s="66" t="n">
        <f aca="false">(N82+O82+P82+Q82+R82)/L82</f>
        <v>0.266686880364925</v>
      </c>
      <c r="T82" s="49" t="n">
        <f aca="false">SUM(E82:H82)*Paths!J82</f>
        <v>57000</v>
      </c>
      <c r="U82" s="65" t="n">
        <f aca="false">Paths!K82</f>
        <v>11253705</v>
      </c>
      <c r="V82" s="49" t="n">
        <f aca="false">IF(Gulf!E82=1,Gulf!B82,0)</f>
        <v>0</v>
      </c>
      <c r="W82" s="49" t="n">
        <f aca="false">L82+V82</f>
        <v>26402897.6515987</v>
      </c>
      <c r="X82" s="49" t="n">
        <f aca="false">W82+Labour!L82</f>
        <v>27295253.8305674</v>
      </c>
      <c r="Y82" s="47" t="n">
        <v>59371</v>
      </c>
      <c r="Z82" s="47" t="n">
        <v>117426</v>
      </c>
    </row>
    <row r="83" customFormat="false" ht="14.25" hidden="false" customHeight="true" outlineLevel="0" collapsed="false">
      <c r="A83" s="61" t="n">
        <v>1923</v>
      </c>
      <c r="B83" s="49" t="n">
        <f aca="false">L82</f>
        <v>26402897.6515987</v>
      </c>
      <c r="C83" s="65" t="n">
        <f aca="false">Paths!D83</f>
        <v>0</v>
      </c>
      <c r="D83" s="49" t="n">
        <f aca="false">B83*Paths!C83</f>
        <v>466644.813094356</v>
      </c>
      <c r="E83" s="49" t="n">
        <f aca="false">Paths!E83*IF($A83&gt;=1896,mig_scale,1)*IF(AND($A83&gt;=1848,$A83&lt;=1860),dem01_mult,1)</f>
        <v>110000</v>
      </c>
      <c r="F83" s="49" t="n">
        <f aca="false">Paths!F83*IF($A83&gt;=1896,mig_scale,1)*IF(AND($A83&gt;=1848,$A83&lt;=1860),dem01_mult,1)</f>
        <v>30000</v>
      </c>
      <c r="G83" s="49" t="n">
        <f aca="false">Paths!G83*IF($A83&gt;=1896,mig_scale,1)</f>
        <v>30000</v>
      </c>
      <c r="H83" s="49" t="n">
        <f aca="false">Paths!H83*IF($A83&gt;=1896,mig_scale,1)</f>
        <v>20000</v>
      </c>
      <c r="I83" s="49" t="n">
        <f aca="false">E83*Paths!I83+(F83+G83+H83)*dep_asia</f>
        <v>44400</v>
      </c>
      <c r="J83" s="65" t="n">
        <f aca="false">Labour!AL83</f>
        <v>361410.989591968</v>
      </c>
      <c r="K83" s="49" t="n">
        <f aca="false">SUM(E83:H83)-I83+J83</f>
        <v>507010.989591968</v>
      </c>
      <c r="L83" s="49" t="n">
        <f aca="false">B83+C83+D83+K83</f>
        <v>27376553.454285</v>
      </c>
      <c r="M83" s="66" t="n">
        <f aca="false">IF(B83&gt;0,L83/B83-1,0)</f>
        <v>0.0368768540307305</v>
      </c>
      <c r="N83" s="49" t="n">
        <f aca="false">N82*(1+Paths!C83)+F83*(1-dep_asia)+Labour!AL83*IF($A83&gt;=xo_year,xo_cn2,xo_cn1)</f>
        <v>3542536.89398569</v>
      </c>
      <c r="O83" s="49" t="n">
        <f aca="false">O82*(1+Paths!C83)+G83*(1-dep_asia)+Labour!AL83*IF($A83&gt;=xo_year,xo_jp2,xo_jp1)</f>
        <v>3403965.92608706</v>
      </c>
      <c r="P83" s="49" t="n">
        <f aca="false">P82*(1+Paths!C83)+H83*(1-dep_asia)+Labour!AL83*IF($A83&gt;=xo_year,xo_ph2,xo_ph1)</f>
        <v>457557.131465117</v>
      </c>
      <c r="Q83" s="49" t="n">
        <f aca="false">0</f>
        <v>0</v>
      </c>
      <c r="R83" s="49" t="n">
        <f aca="false">0</f>
        <v>0</v>
      </c>
      <c r="S83" s="66" t="n">
        <f aca="false">(N83+O83+P83+Q83+R83)/L83</f>
        <v>0.270452596010729</v>
      </c>
      <c r="T83" s="49" t="n">
        <f aca="false">SUM(E83:H83)*Paths!J83</f>
        <v>57000</v>
      </c>
      <c r="U83" s="65" t="n">
        <f aca="false">Paths!K83</f>
        <v>11449994</v>
      </c>
      <c r="V83" s="49" t="n">
        <f aca="false">IF(Gulf!E83=1,Gulf!B83,0)</f>
        <v>0</v>
      </c>
      <c r="W83" s="49" t="n">
        <f aca="false">L83+V83</f>
        <v>27376553.454285</v>
      </c>
      <c r="X83" s="49" t="n">
        <f aca="false">W83+Labour!L83</f>
        <v>28367414.9935703</v>
      </c>
      <c r="Y83" s="47" t="n">
        <v>60252</v>
      </c>
      <c r="Z83" s="47" t="n">
        <v>118738</v>
      </c>
    </row>
    <row r="84" customFormat="false" ht="14.25" hidden="false" customHeight="true" outlineLevel="0" collapsed="false">
      <c r="A84" s="61" t="n">
        <v>1924</v>
      </c>
      <c r="B84" s="49" t="n">
        <f aca="false">L83</f>
        <v>27376553.454285</v>
      </c>
      <c r="C84" s="65" t="n">
        <f aca="false">Paths!D84</f>
        <v>0</v>
      </c>
      <c r="D84" s="49" t="n">
        <f aca="false">B84*Paths!C84</f>
        <v>484181.724392485</v>
      </c>
      <c r="E84" s="49" t="n">
        <f aca="false">Paths!E84*IF($A84&gt;=1896,mig_scale,1)*IF(AND($A84&gt;=1848,$A84&lt;=1860),dem01_mult,1)</f>
        <v>110000</v>
      </c>
      <c r="F84" s="49" t="n">
        <f aca="false">Paths!F84*IF($A84&gt;=1896,mig_scale,1)*IF(AND($A84&gt;=1848,$A84&lt;=1860),dem01_mult,1)</f>
        <v>30000</v>
      </c>
      <c r="G84" s="49" t="n">
        <f aca="false">Paths!G84*IF($A84&gt;=1896,mig_scale,1)</f>
        <v>30000</v>
      </c>
      <c r="H84" s="49" t="n">
        <f aca="false">Paths!H84*IF($A84&gt;=1896,mig_scale,1)</f>
        <v>20000</v>
      </c>
      <c r="I84" s="49" t="n">
        <f aca="false">E84*Paths!I84+(F84+G84+H84)*dep_asia</f>
        <v>44400</v>
      </c>
      <c r="J84" s="65" t="n">
        <f aca="false">Labour!AL84</f>
        <v>352481.553168308</v>
      </c>
      <c r="K84" s="49" t="n">
        <f aca="false">SUM(E84:H84)-I84+J84</f>
        <v>498081.553168308</v>
      </c>
      <c r="L84" s="49" t="n">
        <f aca="false">B84+C84+D84+K84</f>
        <v>28358816.7318458</v>
      </c>
      <c r="M84" s="66" t="n">
        <f aca="false">IF(B84&gt;0,L84/B84-1,0)</f>
        <v>0.0358797274902056</v>
      </c>
      <c r="N84" s="49" t="n">
        <f aca="false">N83*(1+Paths!C84)+F84*(1-dep_asia)+Labour!AL84*IF($A84&gt;=xo_year,xo_cn2,xo_cn1)</f>
        <v>3672612.8034046</v>
      </c>
      <c r="O84" s="49" t="n">
        <f aca="false">O83*(1+Paths!C84)+G84*(1-dep_asia)+Labour!AL84*IF($A84&gt;=xo_year,xo_jp2,xo_jp1)</f>
        <v>3598562.5644697</v>
      </c>
      <c r="P84" s="49" t="n">
        <f aca="false">P83*(1+Paths!C84)+H84*(1-dep_asia)+Labour!AL84*IF($A84&gt;=xo_year,xo_ph2,xo_ph1)</f>
        <v>497673.564550624</v>
      </c>
      <c r="Q84" s="49" t="n">
        <f aca="false">0</f>
        <v>0</v>
      </c>
      <c r="R84" s="49" t="n">
        <f aca="false">0</f>
        <v>0</v>
      </c>
      <c r="S84" s="66" t="n">
        <f aca="false">(N84+O84+P84+Q84+R84)/L84</f>
        <v>0.273948275271331</v>
      </c>
      <c r="T84" s="49" t="n">
        <f aca="false">SUM(E84:H84)*Paths!J84</f>
        <v>57000</v>
      </c>
      <c r="U84" s="65" t="n">
        <f aca="false">Paths!K84</f>
        <v>11646342</v>
      </c>
      <c r="V84" s="49" t="n">
        <f aca="false">IF(Gulf!E84=1,Gulf!B84,0)</f>
        <v>0</v>
      </c>
      <c r="W84" s="49" t="n">
        <f aca="false">L84+V84</f>
        <v>28358816.7318458</v>
      </c>
      <c r="X84" s="49" t="n">
        <f aca="false">W84+Labour!L84</f>
        <v>29429324.5413522</v>
      </c>
      <c r="Y84" s="47" t="n">
        <v>61143</v>
      </c>
      <c r="Z84" s="47" t="n">
        <v>120083</v>
      </c>
    </row>
    <row r="85" customFormat="false" ht="14.25" hidden="false" customHeight="true" outlineLevel="0" collapsed="false">
      <c r="A85" s="61" t="n">
        <v>1925</v>
      </c>
      <c r="B85" s="49" t="n">
        <f aca="false">L84</f>
        <v>28358816.7318458</v>
      </c>
      <c r="C85" s="65" t="n">
        <f aca="false">Paths!D85</f>
        <v>0</v>
      </c>
      <c r="D85" s="49" t="n">
        <f aca="false">B85*Paths!C85</f>
        <v>501582.391536157</v>
      </c>
      <c r="E85" s="49" t="n">
        <f aca="false">Paths!E85*IF($A85&gt;=1896,mig_scale,1)*IF(AND($A85&gt;=1848,$A85&lt;=1860),dem01_mult,1)</f>
        <v>110000</v>
      </c>
      <c r="F85" s="49" t="n">
        <f aca="false">Paths!F85*IF($A85&gt;=1896,mig_scale,1)*IF(AND($A85&gt;=1848,$A85&lt;=1860),dem01_mult,1)</f>
        <v>30000</v>
      </c>
      <c r="G85" s="49" t="n">
        <f aca="false">Paths!G85*IF($A85&gt;=1896,mig_scale,1)</f>
        <v>30000</v>
      </c>
      <c r="H85" s="49" t="n">
        <f aca="false">Paths!H85*IF($A85&gt;=1896,mig_scale,1)</f>
        <v>20000</v>
      </c>
      <c r="I85" s="49" t="n">
        <f aca="false">E85*Paths!I85+(F85+G85+H85)*dep_asia</f>
        <v>44400</v>
      </c>
      <c r="J85" s="65" t="n">
        <f aca="false">Labour!AL85</f>
        <v>322571.924948225</v>
      </c>
      <c r="K85" s="49" t="n">
        <f aca="false">SUM(E85:H85)-I85+J85</f>
        <v>468171.924948225</v>
      </c>
      <c r="L85" s="49" t="n">
        <f aca="false">B85+C85+D85+K85</f>
        <v>29328571.0483302</v>
      </c>
      <c r="M85" s="66" t="n">
        <f aca="false">IF(B85&gt;0,L85/B85-1,0)</f>
        <v>0.0341958666912707</v>
      </c>
      <c r="N85" s="49" t="n">
        <f aca="false">N84*(1+Paths!C85)+F85*(1-dep_asia)+Labour!AL85*IF($A85&gt;=xo_year,xo_cn2,xo_cn1)</f>
        <v>3801104.65630168</v>
      </c>
      <c r="O85" s="49" t="n">
        <f aca="false">O84*(1+Paths!C85)+G85*(1-dep_asia)+Labour!AL85*IF($A85&gt;=xo_year,xo_jp2,xo_jp1)</f>
        <v>3787033.35653091</v>
      </c>
      <c r="P85" s="49" t="n">
        <f aca="false">P84*(1+Paths!C85)+H85*(1-dep_asia)+Labour!AL85*IF($A85&gt;=xo_year,xo_ph2,xo_ph1)</f>
        <v>537004.513134242</v>
      </c>
      <c r="Q85" s="49" t="n">
        <f aca="false">0</f>
        <v>0</v>
      </c>
      <c r="R85" s="49" t="n">
        <f aca="false">0</f>
        <v>0</v>
      </c>
      <c r="S85" s="66" t="n">
        <f aca="false">(N85+O85+P85+Q85+R85)/L85</f>
        <v>0.277038472572615</v>
      </c>
      <c r="T85" s="49" t="n">
        <f aca="false">SUM(E85:H85)*Paths!J85</f>
        <v>57000</v>
      </c>
      <c r="U85" s="65" t="n">
        <f aca="false">Paths!K85</f>
        <v>11842750</v>
      </c>
      <c r="V85" s="49" t="n">
        <f aca="false">IF(Gulf!E85=1,Gulf!B85,0)</f>
        <v>0</v>
      </c>
      <c r="W85" s="49" t="n">
        <f aca="false">L85+V85</f>
        <v>29328571.0483302</v>
      </c>
      <c r="X85" s="49" t="n">
        <f aca="false">W85+Labour!L85</f>
        <v>30470329.2672331</v>
      </c>
      <c r="Y85" s="47" t="n">
        <v>62043</v>
      </c>
      <c r="Z85" s="47" t="n">
        <v>121458</v>
      </c>
    </row>
    <row r="86" customFormat="false" ht="14.25" hidden="false" customHeight="true" outlineLevel="0" collapsed="false">
      <c r="A86" s="61" t="n">
        <v>1926</v>
      </c>
      <c r="B86" s="49" t="n">
        <f aca="false">L85</f>
        <v>29328571.0483302</v>
      </c>
      <c r="C86" s="65" t="n">
        <f aca="false">Paths!D86</f>
        <v>0</v>
      </c>
      <c r="D86" s="49" t="n">
        <f aca="false">B86*Paths!C86</f>
        <v>518353.164708188</v>
      </c>
      <c r="E86" s="49" t="n">
        <f aca="false">Paths!E86*IF($A86&gt;=1896,mig_scale,1)*IF(AND($A86&gt;=1848,$A86&lt;=1860),dem01_mult,1)</f>
        <v>110000</v>
      </c>
      <c r="F86" s="49" t="n">
        <f aca="false">Paths!F86*IF($A86&gt;=1896,mig_scale,1)*IF(AND($A86&gt;=1848,$A86&lt;=1860),dem01_mult,1)</f>
        <v>30000</v>
      </c>
      <c r="G86" s="49" t="n">
        <f aca="false">Paths!G86*IF($A86&gt;=1896,mig_scale,1)</f>
        <v>30000</v>
      </c>
      <c r="H86" s="49" t="n">
        <f aca="false">Paths!H86*IF($A86&gt;=1896,mig_scale,1)</f>
        <v>20000</v>
      </c>
      <c r="I86" s="49" t="n">
        <f aca="false">E86*Paths!I86+(F86+G86+H86)*dep_asia</f>
        <v>44400</v>
      </c>
      <c r="J86" s="65" t="n">
        <f aca="false">Labour!AL86</f>
        <v>316190.680498734</v>
      </c>
      <c r="K86" s="49" t="n">
        <f aca="false">SUM(E86:H86)-I86+J86</f>
        <v>461790.680498734</v>
      </c>
      <c r="L86" s="49" t="n">
        <f aca="false">B86+C86+D86+K86</f>
        <v>30308714.8935371</v>
      </c>
      <c r="M86" s="66" t="n">
        <f aca="false">IF(B86&gt;0,L86/B86-1,0)</f>
        <v>0.0334194203867537</v>
      </c>
      <c r="N86" s="49" t="n">
        <f aca="false">N85*(1+Paths!C86)+F86*(1-dep_asia)+Labour!AL86*IF($A86&gt;=xo_year,xo_cn2,xo_cn1)</f>
        <v>3930990.16846199</v>
      </c>
      <c r="O86" s="49" t="n">
        <f aca="false">O85*(1+Paths!C86)+G86*(1-dep_asia)+Labour!AL86*IF($A86&gt;=xo_year,xo_jp2,xo_jp1)</f>
        <v>3976746.40183383</v>
      </c>
      <c r="P86" s="49" t="n">
        <f aca="false">P85*(1+Paths!C86)+H86*(1-dep_asia)+Labour!AL86*IF($A86&gt;=xo_year,xo_ph2,xo_ph1)</f>
        <v>576705.064924314</v>
      </c>
      <c r="Q86" s="49" t="n">
        <f aca="false">0</f>
        <v>0</v>
      </c>
      <c r="R86" s="49" t="n">
        <f aca="false">0</f>
        <v>0</v>
      </c>
      <c r="S86" s="66" t="n">
        <f aca="false">(N86+O86+P86+Q86+R86)/L86</f>
        <v>0.27993406071563</v>
      </c>
      <c r="T86" s="49" t="n">
        <f aca="false">SUM(E86:H86)*Paths!J86</f>
        <v>57000</v>
      </c>
      <c r="U86" s="65" t="n">
        <f aca="false">Paths!K86</f>
        <v>12039219</v>
      </c>
      <c r="V86" s="49" t="n">
        <f aca="false">IF(Gulf!E86=1,Gulf!B86,0)</f>
        <v>0</v>
      </c>
      <c r="W86" s="49" t="n">
        <f aca="false">L86+V86</f>
        <v>30308714.8935371</v>
      </c>
      <c r="X86" s="49" t="n">
        <f aca="false">W86+Labour!L86</f>
        <v>31511146.2681596</v>
      </c>
      <c r="Y86" s="47" t="n">
        <v>62953</v>
      </c>
      <c r="Z86" s="47" t="n">
        <v>122863</v>
      </c>
    </row>
    <row r="87" customFormat="false" ht="14.25" hidden="false" customHeight="true" outlineLevel="0" collapsed="false">
      <c r="A87" s="61" t="n">
        <v>1927</v>
      </c>
      <c r="B87" s="49" t="n">
        <f aca="false">L86</f>
        <v>30308714.8935371</v>
      </c>
      <c r="C87" s="65" t="n">
        <f aca="false">Paths!D87</f>
        <v>0</v>
      </c>
      <c r="D87" s="49" t="n">
        <f aca="false">B87*Paths!C87</f>
        <v>533978.938994337</v>
      </c>
      <c r="E87" s="49" t="n">
        <f aca="false">Paths!E87*IF($A87&gt;=1896,mig_scale,1)*IF(AND($A87&gt;=1848,$A87&lt;=1860),dem01_mult,1)</f>
        <v>110000</v>
      </c>
      <c r="F87" s="49" t="n">
        <f aca="false">Paths!F87*IF($A87&gt;=1896,mig_scale,1)*IF(AND($A87&gt;=1848,$A87&lt;=1860),dem01_mult,1)</f>
        <v>30000</v>
      </c>
      <c r="G87" s="49" t="n">
        <f aca="false">Paths!G87*IF($A87&gt;=1896,mig_scale,1)</f>
        <v>30000</v>
      </c>
      <c r="H87" s="49" t="n">
        <f aca="false">Paths!H87*IF($A87&gt;=1896,mig_scale,1)</f>
        <v>20000</v>
      </c>
      <c r="I87" s="49" t="n">
        <f aca="false">E87*Paths!I87+(F87+G87+H87)*dep_asia</f>
        <v>44400</v>
      </c>
      <c r="J87" s="65" t="n">
        <f aca="false">Labour!AL87</f>
        <v>323956.449741382</v>
      </c>
      <c r="K87" s="49" t="n">
        <f aca="false">SUM(E87:H87)-I87+J87</f>
        <v>469556.449741382</v>
      </c>
      <c r="L87" s="49" t="n">
        <f aca="false">B87+C87+D87+K87</f>
        <v>31312250.2822728</v>
      </c>
      <c r="M87" s="66" t="n">
        <f aca="false">IF(B87&gt;0,L87/B87-1,0)</f>
        <v>0.0331104565885012</v>
      </c>
      <c r="N87" s="49" t="n">
        <f aca="false">N86*(1+Paths!C87)+F87*(1-dep_asia)+Labour!AL87*IF($A87&gt;=xo_year,xo_cn2,xo_cn1)</f>
        <v>4063960.69171634</v>
      </c>
      <c r="O87" s="49" t="n">
        <f aca="false">O86*(1+Paths!C87)+G87*(1-dep_asia)+Labour!AL87*IF($A87&gt;=xo_year,xo_jp2,xo_jp1)</f>
        <v>4172074.78385858</v>
      </c>
      <c r="P87" s="49" t="n">
        <f aca="false">P86*(1+Paths!C87)+H87*(1-dep_asia)+Labour!AL87*IF($A87&gt;=xo_year,xo_ph2,xo_ph1)</f>
        <v>617463.277245219</v>
      </c>
      <c r="Q87" s="49" t="n">
        <f aca="false">0</f>
        <v>0</v>
      </c>
      <c r="R87" s="49" t="n">
        <f aca="false">0</f>
        <v>0</v>
      </c>
      <c r="S87" s="66" t="n">
        <f aca="false">(N87+O87+P87+Q87+R87)/L87</f>
        <v>0.282748722081864</v>
      </c>
      <c r="T87" s="49" t="n">
        <f aca="false">SUM(E87:H87)*Paths!J87</f>
        <v>57000</v>
      </c>
      <c r="U87" s="65" t="n">
        <f aca="false">Paths!K87</f>
        <v>12235751</v>
      </c>
      <c r="V87" s="49" t="n">
        <f aca="false">IF(Gulf!E87=1,Gulf!B87,0)</f>
        <v>0</v>
      </c>
      <c r="W87" s="49" t="n">
        <f aca="false">L87+V87</f>
        <v>31312250.2822728</v>
      </c>
      <c r="X87" s="49" t="n">
        <f aca="false">W87+Labour!L87</f>
        <v>32574288.7729978</v>
      </c>
      <c r="Y87" s="47" t="n">
        <v>63867</v>
      </c>
      <c r="Z87" s="47" t="n">
        <v>124276</v>
      </c>
    </row>
    <row r="88" customFormat="false" ht="14.25" hidden="false" customHeight="true" outlineLevel="0" collapsed="false">
      <c r="A88" s="61" t="n">
        <v>1928</v>
      </c>
      <c r="B88" s="49" t="n">
        <f aca="false">L87</f>
        <v>31312250.2822728</v>
      </c>
      <c r="C88" s="65" t="n">
        <f aca="false">Paths!D88</f>
        <v>0</v>
      </c>
      <c r="D88" s="49" t="n">
        <f aca="false">B88*Paths!C88</f>
        <v>548214.877942033</v>
      </c>
      <c r="E88" s="49" t="n">
        <f aca="false">Paths!E88*IF($A88&gt;=1896,mig_scale,1)*IF(AND($A88&gt;=1848,$A88&lt;=1860),dem01_mult,1)</f>
        <v>110000</v>
      </c>
      <c r="F88" s="49" t="n">
        <f aca="false">Paths!F88*IF($A88&gt;=1896,mig_scale,1)*IF(AND($A88&gt;=1848,$A88&lt;=1860),dem01_mult,1)</f>
        <v>30000</v>
      </c>
      <c r="G88" s="49" t="n">
        <f aca="false">Paths!G88*IF($A88&gt;=1896,mig_scale,1)</f>
        <v>30000</v>
      </c>
      <c r="H88" s="49" t="n">
        <f aca="false">Paths!H88*IF($A88&gt;=1896,mig_scale,1)</f>
        <v>20000</v>
      </c>
      <c r="I88" s="49" t="n">
        <f aca="false">E88*Paths!I88+(F88+G88+H88)*dep_asia</f>
        <v>44400</v>
      </c>
      <c r="J88" s="65" t="n">
        <f aca="false">Labour!AL88</f>
        <v>344092.074537932</v>
      </c>
      <c r="K88" s="49" t="n">
        <f aca="false">SUM(E88:H88)-I88+J88</f>
        <v>489692.074537932</v>
      </c>
      <c r="L88" s="49" t="n">
        <f aca="false">B88+C88+D88+K88</f>
        <v>32350157.2347528</v>
      </c>
      <c r="M88" s="66" t="n">
        <f aca="false">IF(B88&gt;0,L88/B88-1,0)</f>
        <v>0.0331469933691597</v>
      </c>
      <c r="N88" s="49" t="n">
        <f aca="false">N87*(1+Paths!C88)+F88*(1-dep_asia)+Labour!AL88*IF($A88&gt;=xo_year,xo_cn2,xo_cn1)</f>
        <v>4201444.48519684</v>
      </c>
      <c r="O88" s="49" t="n">
        <f aca="false">O87*(1+Paths!C88)+G88*(1-dep_asia)+Labour!AL88*IF($A88&gt;=xo_year,xo_jp2,xo_jp1)</f>
        <v>4376828.93302651</v>
      </c>
      <c r="P88" s="49" t="n">
        <f aca="false">P87*(1+Paths!C88)+H88*(1-dep_asia)+Labour!AL88*IF($A88&gt;=xo_year,xo_ph2,xo_ph1)</f>
        <v>659878.428030125</v>
      </c>
      <c r="Q88" s="49" t="n">
        <f aca="false">0</f>
        <v>0</v>
      </c>
      <c r="R88" s="49" t="n">
        <f aca="false">0</f>
        <v>0</v>
      </c>
      <c r="S88" s="66" t="n">
        <f aca="false">(N88+O88+P88+Q88+R88)/L88</f>
        <v>0.285567448071912</v>
      </c>
      <c r="T88" s="49" t="n">
        <f aca="false">SUM(E88:H88)*Paths!J88</f>
        <v>57000</v>
      </c>
      <c r="U88" s="65" t="n">
        <f aca="false">Paths!K88</f>
        <v>12432347</v>
      </c>
      <c r="V88" s="49" t="n">
        <f aca="false">IF(Gulf!E88=1,Gulf!B88,0)</f>
        <v>0</v>
      </c>
      <c r="W88" s="49" t="n">
        <f aca="false">L88+V88</f>
        <v>32350157.2347528</v>
      </c>
      <c r="X88" s="49" t="n">
        <f aca="false">W88+Labour!L88</f>
        <v>33674325.3184553</v>
      </c>
      <c r="Y88" s="47" t="n">
        <v>64782</v>
      </c>
      <c r="Z88" s="47" t="n">
        <v>125697</v>
      </c>
    </row>
    <row r="89" customFormat="false" ht="14.25" hidden="false" customHeight="true" outlineLevel="0" collapsed="false">
      <c r="A89" s="61" t="n">
        <v>1929</v>
      </c>
      <c r="B89" s="49" t="n">
        <f aca="false">L88</f>
        <v>32350157.2347528</v>
      </c>
      <c r="C89" s="65" t="n">
        <f aca="false">Paths!D89</f>
        <v>0</v>
      </c>
      <c r="D89" s="49" t="n">
        <f aca="false">B89*Paths!C89</f>
        <v>561275.228022961</v>
      </c>
      <c r="E89" s="49" t="n">
        <f aca="false">Paths!E89*IF($A89&gt;=1896,mig_scale,1)*IF(AND($A89&gt;=1848,$A89&lt;=1860),dem01_mult,1)</f>
        <v>110000</v>
      </c>
      <c r="F89" s="49" t="n">
        <f aca="false">Paths!F89*IF($A89&gt;=1896,mig_scale,1)*IF(AND($A89&gt;=1848,$A89&lt;=1860),dem01_mult,1)</f>
        <v>30000</v>
      </c>
      <c r="G89" s="49" t="n">
        <f aca="false">Paths!G89*IF($A89&gt;=1896,mig_scale,1)</f>
        <v>30000</v>
      </c>
      <c r="H89" s="49" t="n">
        <f aca="false">Paths!H89*IF($A89&gt;=1896,mig_scale,1)</f>
        <v>20000</v>
      </c>
      <c r="I89" s="49" t="n">
        <f aca="false">E89*Paths!I89+(F89+G89+H89)*dep_asia</f>
        <v>44400</v>
      </c>
      <c r="J89" s="65" t="n">
        <f aca="false">Labour!AL89</f>
        <v>339606.570057177</v>
      </c>
      <c r="K89" s="49" t="n">
        <f aca="false">SUM(E89:H89)-I89+J89</f>
        <v>485206.570057177</v>
      </c>
      <c r="L89" s="49" t="n">
        <f aca="false">B89+C89+D89+K89</f>
        <v>33396639.032833</v>
      </c>
      <c r="M89" s="66" t="n">
        <f aca="false">IF(B89&gt;0,L89/B89-1,0)</f>
        <v>0.032348584598406</v>
      </c>
      <c r="N89" s="49" t="n">
        <f aca="false">N88*(1+Paths!C89)+F89*(1-dep_asia)+Labour!AL89*IF($A89&gt;=xo_year,xo_cn2,xo_cn1)</f>
        <v>4340088.40112244</v>
      </c>
      <c r="O89" s="49" t="n">
        <f aca="false">O88*(1+Paths!C89)+G89*(1-dep_asia)+Labour!AL89*IF($A89&gt;=xo_year,xo_jp2,xo_jp1)</f>
        <v>4583041.01743282</v>
      </c>
      <c r="P89" s="49" t="n">
        <f aca="false">P88*(1+Paths!C89)+H89*(1-dep_asia)+Labour!AL89*IF($A89&gt;=xo_year,xo_ph2,xo_ph1)</f>
        <v>702707.647259307</v>
      </c>
      <c r="Q89" s="49" t="n">
        <f aca="false">0</f>
        <v>0</v>
      </c>
      <c r="R89" s="49" t="n">
        <f aca="false">0</f>
        <v>0</v>
      </c>
      <c r="S89" s="66" t="n">
        <f aca="false">(N89+O89+P89+Q89+R89)/L89</f>
        <v>0.288227718254858</v>
      </c>
      <c r="T89" s="49" t="n">
        <f aca="false">SUM(E89:H89)*Paths!J89</f>
        <v>57000</v>
      </c>
      <c r="U89" s="65" t="n">
        <f aca="false">Paths!K89</f>
        <v>12628007</v>
      </c>
      <c r="V89" s="49" t="n">
        <f aca="false">IF(Gulf!E89=1,Gulf!B89,0)</f>
        <v>0</v>
      </c>
      <c r="W89" s="49" t="n">
        <f aca="false">L89+V89</f>
        <v>33396639.032833</v>
      </c>
      <c r="X89" s="49" t="n">
        <f aca="false">W89+Labour!L89</f>
        <v>34777855.5426341</v>
      </c>
      <c r="Y89" s="47" t="n">
        <v>65692</v>
      </c>
      <c r="Z89" s="47" t="n">
        <v>127121</v>
      </c>
    </row>
    <row r="90" customFormat="false" ht="14.25" hidden="false" customHeight="true" outlineLevel="0" collapsed="false">
      <c r="A90" s="61" t="n">
        <v>1930</v>
      </c>
      <c r="B90" s="49" t="n">
        <f aca="false">L89</f>
        <v>33396639.032833</v>
      </c>
      <c r="C90" s="65" t="n">
        <f aca="false">Paths!D90</f>
        <v>0</v>
      </c>
      <c r="D90" s="49" t="n">
        <f aca="false">B90*Paths!C90</f>
        <v>574322.001447628</v>
      </c>
      <c r="E90" s="49" t="n">
        <f aca="false">Paths!E90*IF($A90&gt;=1896,mig_scale,1)*IF(AND($A90&gt;=1848,$A90&lt;=1860),dem01_mult,1)</f>
        <v>30000</v>
      </c>
      <c r="F90" s="49" t="n">
        <f aca="false">Paths!F90*IF($A90&gt;=1896,mig_scale,1)*IF(AND($A90&gt;=1848,$A90&lt;=1860),dem01_mult,1)</f>
        <v>12000</v>
      </c>
      <c r="G90" s="49" t="n">
        <f aca="false">Paths!G90*IF($A90&gt;=1896,mig_scale,1)</f>
        <v>12000</v>
      </c>
      <c r="H90" s="49" t="n">
        <f aca="false">Paths!H90*IF($A90&gt;=1896,mig_scale,1)</f>
        <v>8000</v>
      </c>
      <c r="I90" s="49" t="n">
        <f aca="false">E90*Paths!I90+(F90+G90+H90)*dep_asia</f>
        <v>14960</v>
      </c>
      <c r="J90" s="65" t="n">
        <f aca="false">Labour!AL90</f>
        <v>331897.399061923</v>
      </c>
      <c r="K90" s="49" t="n">
        <f aca="false">SUM(E90:H90)-I90+J90</f>
        <v>378937.399061923</v>
      </c>
      <c r="L90" s="49" t="n">
        <f aca="false">B90+C90+D90+K90</f>
        <v>34349898.4333425</v>
      </c>
      <c r="M90" s="66" t="n">
        <f aca="false">IF(B90&gt;0,L90/B90-1,0)</f>
        <v>0.0285435728898462</v>
      </c>
      <c r="N90" s="49" t="n">
        <f aca="false">N89*(1+Paths!C90)+F90*(1-dep_asia)+Labour!AL90*IF($A90&gt;=xo_year,xo_cn2,xo_cn1)</f>
        <v>4466511.56323459</v>
      </c>
      <c r="O90" s="49" t="n">
        <f aca="false">O89*(1+Paths!C90)+G90*(1-dep_asia)+Labour!AL90*IF($A90&gt;=xo_year,xo_jp2,xo_jp1)</f>
        <v>4776702.74150943</v>
      </c>
      <c r="P90" s="49" t="n">
        <f aca="false">P89*(1+Paths!C90)+H90*(1-dep_asia)+Labour!AL90*IF($A90&gt;=xo_year,xo_ph2,xo_ph1)</f>
        <v>737146.980622321</v>
      </c>
      <c r="Q90" s="49" t="n">
        <f aca="false">0</f>
        <v>0</v>
      </c>
      <c r="R90" s="49" t="n">
        <f aca="false">0</f>
        <v>0</v>
      </c>
      <c r="S90" s="66" t="n">
        <f aca="false">(N90+O90+P90+Q90+R90)/L90</f>
        <v>0.290549950380018</v>
      </c>
      <c r="T90" s="49" t="n">
        <f aca="false">SUM(E90:H90)*Paths!J90</f>
        <v>18600</v>
      </c>
      <c r="U90" s="65" t="n">
        <f aca="false">Paths!K90</f>
        <v>12824733</v>
      </c>
      <c r="V90" s="49" t="n">
        <f aca="false">IF(Gulf!E90=1,Gulf!B90,0)</f>
        <v>0</v>
      </c>
      <c r="W90" s="49" t="n">
        <f aca="false">L90+V90</f>
        <v>34349898.4333425</v>
      </c>
      <c r="X90" s="49" t="n">
        <f aca="false">W90+Labour!L90</f>
        <v>35648550.4436636</v>
      </c>
      <c r="Y90" s="47" t="n">
        <v>66595</v>
      </c>
      <c r="Z90" s="47" t="n">
        <v>128546</v>
      </c>
    </row>
    <row r="91" customFormat="false" ht="14.25" hidden="false" customHeight="true" outlineLevel="0" collapsed="false">
      <c r="A91" s="61" t="n">
        <v>1931</v>
      </c>
      <c r="B91" s="49" t="n">
        <f aca="false">L90</f>
        <v>34349898.4333425</v>
      </c>
      <c r="C91" s="65" t="n">
        <f aca="false">Paths!D91</f>
        <v>0</v>
      </c>
      <c r="D91" s="49" t="n">
        <f aca="false">B91*Paths!C91</f>
        <v>582059.028952989</v>
      </c>
      <c r="E91" s="49" t="n">
        <f aca="false">Paths!E91*IF($A91&gt;=1896,mig_scale,1)*IF(AND($A91&gt;=1848,$A91&lt;=1860),dem01_mult,1)</f>
        <v>30000</v>
      </c>
      <c r="F91" s="49" t="n">
        <f aca="false">Paths!F91*IF($A91&gt;=1896,mig_scale,1)*IF(AND($A91&gt;=1848,$A91&lt;=1860),dem01_mult,1)</f>
        <v>12000</v>
      </c>
      <c r="G91" s="49" t="n">
        <f aca="false">Paths!G91*IF($A91&gt;=1896,mig_scale,1)</f>
        <v>12000</v>
      </c>
      <c r="H91" s="49" t="n">
        <f aca="false">Paths!H91*IF($A91&gt;=1896,mig_scale,1)</f>
        <v>8000</v>
      </c>
      <c r="I91" s="49" t="n">
        <f aca="false">E91*Paths!I91+(F91+G91+H91)*dep_asia</f>
        <v>14960</v>
      </c>
      <c r="J91" s="65" t="n">
        <f aca="false">Labour!AL91</f>
        <v>267951.667125391</v>
      </c>
      <c r="K91" s="49" t="n">
        <f aca="false">SUM(E91:H91)-I91+J91</f>
        <v>314991.667125391</v>
      </c>
      <c r="L91" s="49" t="n">
        <f aca="false">B91+C91+D91+K91</f>
        <v>35246949.1294209</v>
      </c>
      <c r="M91" s="66" t="n">
        <f aca="false">IF(B91&gt;0,L91/B91-1,0)</f>
        <v>0.0261150902038079</v>
      </c>
      <c r="N91" s="49" t="n">
        <f aca="false">N90*(1+Paths!C91)+F91*(1-dep_asia)+Labour!AL91*IF($A91&gt;=xo_year,xo_cn2,xo_cn1)</f>
        <v>4585670.3183999</v>
      </c>
      <c r="O91" s="49" t="n">
        <f aca="false">O90*(1+Paths!C91)+G91*(1-dep_asia)+Labour!AL91*IF($A91&gt;=xo_year,xo_jp2,xo_jp1)</f>
        <v>4952028.50294443</v>
      </c>
      <c r="P91" s="49" t="n">
        <f aca="false">P90*(1+Paths!C91)+H91*(1-dep_asia)+Labour!AL91*IF($A91&gt;=xo_year,xo_ph2,xo_ph1)</f>
        <v>768795.519565236</v>
      </c>
      <c r="Q91" s="49" t="n">
        <f aca="false">0</f>
        <v>0</v>
      </c>
      <c r="R91" s="49" t="n">
        <f aca="false">0</f>
        <v>0</v>
      </c>
      <c r="S91" s="66" t="n">
        <f aca="false">(N91+O91+P91+Q91+R91)/L91</f>
        <v>0.292408125964771</v>
      </c>
      <c r="T91" s="49" t="n">
        <f aca="false">SUM(E91:H91)*Paths!J91</f>
        <v>18600</v>
      </c>
      <c r="U91" s="65" t="n">
        <f aca="false">Paths!K91</f>
        <v>13021526</v>
      </c>
      <c r="V91" s="49" t="n">
        <f aca="false">IF(Gulf!E91=1,Gulf!B91,0)</f>
        <v>0</v>
      </c>
      <c r="W91" s="49" t="n">
        <f aca="false">L91+V91</f>
        <v>35246949.1294209</v>
      </c>
      <c r="X91" s="49" t="n">
        <f aca="false">W91+Labour!L91</f>
        <v>36390502.4051125</v>
      </c>
      <c r="Y91" s="47" t="n">
        <v>67514</v>
      </c>
      <c r="Z91" s="47" t="n">
        <v>129970</v>
      </c>
    </row>
    <row r="92" customFormat="false" ht="14.25" hidden="false" customHeight="true" outlineLevel="0" collapsed="false">
      <c r="A92" s="61" t="n">
        <v>1932</v>
      </c>
      <c r="B92" s="49" t="n">
        <f aca="false">L91</f>
        <v>35246949.1294209</v>
      </c>
      <c r="C92" s="65" t="n">
        <f aca="false">Paths!D92</f>
        <v>0</v>
      </c>
      <c r="D92" s="49" t="n">
        <f aca="false">B92*Paths!C92</f>
        <v>582702.563007586</v>
      </c>
      <c r="E92" s="49" t="n">
        <f aca="false">Paths!E92*IF($A92&gt;=1896,mig_scale,1)*IF(AND($A92&gt;=1848,$A92&lt;=1860),dem01_mult,1)</f>
        <v>30000</v>
      </c>
      <c r="F92" s="49" t="n">
        <f aca="false">Paths!F92*IF($A92&gt;=1896,mig_scale,1)*IF(AND($A92&gt;=1848,$A92&lt;=1860),dem01_mult,1)</f>
        <v>12000</v>
      </c>
      <c r="G92" s="49" t="n">
        <f aca="false">Paths!G92*IF($A92&gt;=1896,mig_scale,1)</f>
        <v>12000</v>
      </c>
      <c r="H92" s="49" t="n">
        <f aca="false">Paths!H92*IF($A92&gt;=1896,mig_scale,1)</f>
        <v>8000</v>
      </c>
      <c r="I92" s="49" t="n">
        <f aca="false">E92*Paths!I92+(F92+G92+H92)*dep_asia</f>
        <v>14960</v>
      </c>
      <c r="J92" s="65" t="n">
        <f aca="false">Labour!AL92</f>
        <v>304486.38489907</v>
      </c>
      <c r="K92" s="49" t="n">
        <f aca="false">SUM(E92:H92)-I92+J92</f>
        <v>351526.38489907</v>
      </c>
      <c r="L92" s="49" t="n">
        <f aca="false">B92+C92+D92+K92</f>
        <v>36181178.0773275</v>
      </c>
      <c r="M92" s="66" t="n">
        <f aca="false">IF(B92&gt;0,L92/B92-1,0)</f>
        <v>0.0265052428928338</v>
      </c>
      <c r="N92" s="49" t="n">
        <f aca="false">N91*(1+Paths!C92)+F92*(1-dep_asia)+Labour!AL92*IF($A92&gt;=xo_year,xo_cn2,xo_cn1)</f>
        <v>4709703.85014057</v>
      </c>
      <c r="O92" s="49" t="n">
        <f aca="false">O91*(1+Paths!C92)+G92*(1-dep_asia)+Labour!AL92*IF($A92&gt;=xo_year,xo_jp2,xo_jp1)</f>
        <v>5139971.08132281</v>
      </c>
      <c r="P92" s="49" t="n">
        <f aca="false">P91*(1+Paths!C92)+H92*(1-dep_asia)+Labour!AL92*IF($A92&gt;=xo_year,xo_ph2,xo_ph1)</f>
        <v>802489.566339642</v>
      </c>
      <c r="Q92" s="49" t="n">
        <f aca="false">0</f>
        <v>0</v>
      </c>
      <c r="R92" s="49" t="n">
        <f aca="false">0</f>
        <v>0</v>
      </c>
      <c r="S92" s="66" t="n">
        <f aca="false">(N92+O92+P92+Q92+R92)/L92</f>
        <v>0.294411765007675</v>
      </c>
      <c r="T92" s="49" t="n">
        <f aca="false">SUM(E92:H92)*Paths!J92</f>
        <v>18600</v>
      </c>
      <c r="U92" s="65" t="n">
        <f aca="false">Paths!K92</f>
        <v>13218388</v>
      </c>
      <c r="V92" s="49" t="n">
        <f aca="false">IF(Gulf!E92=1,Gulf!B92,0)</f>
        <v>0</v>
      </c>
      <c r="W92" s="49" t="n">
        <f aca="false">L92+V92</f>
        <v>36181178.0773275</v>
      </c>
      <c r="X92" s="49" t="n">
        <f aca="false">W92+Labour!L92</f>
        <v>37191858.4332533</v>
      </c>
      <c r="Y92" s="47" t="n">
        <v>68435</v>
      </c>
      <c r="Z92" s="47" t="n">
        <v>131392</v>
      </c>
    </row>
  </sheetData>
  <mergeCells count="6">
    <mergeCell ref="B4:D4"/>
    <mergeCell ref="E4:K4"/>
    <mergeCell ref="L4:M4"/>
    <mergeCell ref="N4:S4"/>
    <mergeCell ref="T4:U4"/>
    <mergeCell ref="V4:X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S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9" min="2" style="1" width="12.44"/>
  </cols>
  <sheetData>
    <row r="1" customFormat="false" ht="18" hidden="false" customHeight="true" outlineLevel="0" collapsed="false">
      <c r="A1" s="19" t="s">
        <v>65</v>
      </c>
    </row>
    <row r="2" customFormat="false" ht="14.25" hidden="false" customHeight="true" outlineLevel="0" collapsed="false">
      <c r="A2" s="3" t="s">
        <v>1376</v>
      </c>
    </row>
    <row r="3" customFormat="false" ht="14.25" hidden="false" customHeight="true" outlineLevel="0" collapsed="false">
      <c r="A3" s="20" t="s">
        <v>1315</v>
      </c>
    </row>
    <row r="4" customFormat="false" ht="14.25" hidden="false" customHeight="true" outlineLevel="0" collapsed="false">
      <c r="B4" s="58" t="s">
        <v>1377</v>
      </c>
      <c r="C4" s="58"/>
      <c r="D4" s="58"/>
      <c r="E4" s="58"/>
      <c r="F4" s="58"/>
      <c r="G4" s="58"/>
      <c r="H4" s="58"/>
      <c r="I4" s="58" t="s">
        <v>1378</v>
      </c>
      <c r="J4" s="58"/>
      <c r="K4" s="58"/>
      <c r="L4" s="58"/>
      <c r="M4" s="58"/>
      <c r="N4" s="58"/>
      <c r="O4" s="58"/>
      <c r="P4" s="58"/>
      <c r="Q4" s="58" t="s">
        <v>1379</v>
      </c>
      <c r="R4" s="58"/>
      <c r="S4" s="58"/>
    </row>
    <row r="5" customFormat="false" ht="54" hidden="false" customHeight="true" outlineLevel="0" collapsed="false">
      <c r="A5" s="60" t="s">
        <v>103</v>
      </c>
      <c r="B5" s="7" t="s">
        <v>1380</v>
      </c>
      <c r="C5" s="7" t="s">
        <v>1381</v>
      </c>
      <c r="D5" s="7" t="s">
        <v>1382</v>
      </c>
      <c r="E5" s="7" t="s">
        <v>1383</v>
      </c>
      <c r="F5" s="7" t="s">
        <v>1384</v>
      </c>
      <c r="G5" s="7" t="s">
        <v>1385</v>
      </c>
      <c r="H5" s="7" t="s">
        <v>1386</v>
      </c>
      <c r="I5" s="7" t="s">
        <v>1387</v>
      </c>
      <c r="J5" s="7" t="s">
        <v>1388</v>
      </c>
      <c r="K5" s="7" t="s">
        <v>1389</v>
      </c>
      <c r="L5" s="7" t="s">
        <v>1390</v>
      </c>
      <c r="M5" s="7" t="s">
        <v>1391</v>
      </c>
      <c r="N5" s="7" t="s">
        <v>1392</v>
      </c>
      <c r="O5" s="7" t="s">
        <v>1393</v>
      </c>
      <c r="P5" s="7" t="s">
        <v>1394</v>
      </c>
      <c r="Q5" s="7" t="s">
        <v>1395</v>
      </c>
      <c r="R5" s="7" t="s">
        <v>1396</v>
      </c>
      <c r="S5" s="7" t="s">
        <v>1397</v>
      </c>
    </row>
    <row r="6" customFormat="false" ht="14.25" hidden="false" customHeight="true" outlineLevel="0" collapsed="false">
      <c r="A6" s="61" t="n">
        <v>1846</v>
      </c>
      <c r="B6" s="49" t="n">
        <f aca="false">(People!B6+People!L6)/2</f>
        <v>170063.305</v>
      </c>
      <c r="C6" s="66" t="n">
        <f aca="false">Paths!L6*IF($A6&gt;=1896,prod_factor,1)</f>
        <v>0</v>
      </c>
      <c r="D6" s="67" t="n">
        <f aca="false">0</f>
        <v>0</v>
      </c>
      <c r="E6" s="66" t="n">
        <f aca="false">C6+D6</f>
        <v>0</v>
      </c>
      <c r="F6" s="49" t="n">
        <f aca="false">real_pc_1846</f>
        <v>150</v>
      </c>
      <c r="G6" s="68" t="n">
        <f aca="false">1-(1-Paths!M6)*IF($A6&gt;=1930,dep_severity,1)</f>
        <v>1</v>
      </c>
      <c r="H6" s="68" t="n">
        <f aca="false">IF($A6&gt;=1930,Paths!B$89+(Paths!B6-Paths!B$89)*slump_price,Paths!B6)</f>
        <v>0.74</v>
      </c>
      <c r="I6" s="69" t="n">
        <f aca="false">Labour!AO6</f>
        <v>0</v>
      </c>
      <c r="J6" s="49" t="n">
        <f aca="false">B6*F6*(1+I6)*G6*H6/1000000</f>
        <v>18.877026855</v>
      </c>
      <c r="K6" s="65" t="n">
        <f aca="false">Resources!O6</f>
        <v>0</v>
      </c>
      <c r="L6" s="49" t="n">
        <f aca="false">Labour!L6*gw_rel*J6/Labour!B6</f>
        <v>0</v>
      </c>
      <c r="M6" s="65" t="n">
        <f aca="false">Champions!AQ6</f>
        <v>0</v>
      </c>
      <c r="N6" s="49" t="n">
        <f aca="false">IF(Gulf!E6=1,Gulf!D6,0)</f>
        <v>0</v>
      </c>
      <c r="O6" s="49" t="n">
        <f aca="false">J6+K6+L6+M6+N6</f>
        <v>18.877026855</v>
      </c>
      <c r="P6" s="49" t="n">
        <f aca="false">O6*1000000/(B6+People!V6+Labour!L6)</f>
        <v>111</v>
      </c>
      <c r="Q6" s="47" t="n">
        <v>95</v>
      </c>
      <c r="R6" s="70" t="n">
        <f aca="false">P6/Q6</f>
        <v>1.16842105263158</v>
      </c>
      <c r="S6" s="49" t="n">
        <f aca="false">O6/H6</f>
        <v>25.50949575</v>
      </c>
    </row>
    <row r="7" customFormat="false" ht="14.25" hidden="false" customHeight="true" outlineLevel="0" collapsed="false">
      <c r="A7" s="61" t="n">
        <v>1847</v>
      </c>
      <c r="B7" s="49" t="n">
        <f aca="false">(People!B7+People!L7)/2</f>
        <v>170633.429127555</v>
      </c>
      <c r="C7" s="66" t="n">
        <f aca="false">Paths!L7*IF($A7&gt;=1896,prod_factor,1)</f>
        <v>0.04</v>
      </c>
      <c r="D7" s="67" t="n">
        <f aca="false">IF(O6&gt;0,MIN(dev_cap,dev_return*'Debt &amp; cash'!N6/O6),0)</f>
        <v>0</v>
      </c>
      <c r="E7" s="66" t="n">
        <f aca="false">C7+D7</f>
        <v>0.04</v>
      </c>
      <c r="F7" s="49" t="n">
        <f aca="false">F6*(1+E7)</f>
        <v>156</v>
      </c>
      <c r="G7" s="68" t="n">
        <f aca="false">1-(1-Paths!M7)*IF($A7&gt;=1930,dep_severity,1)</f>
        <v>1</v>
      </c>
      <c r="H7" s="68" t="n">
        <f aca="false">IF($A7&gt;=1930,Paths!B$89+(Paths!B7-Paths!B$89)*slump_price,Paths!B7)</f>
        <v>0.74</v>
      </c>
      <c r="I7" s="69" t="n">
        <f aca="false">Labour!AO7</f>
        <v>0</v>
      </c>
      <c r="J7" s="49" t="n">
        <f aca="false">B7*F7*(1+I7)*G7*H7/1000000</f>
        <v>19.6979230584849</v>
      </c>
      <c r="K7" s="65" t="n">
        <f aca="false">Resources!O7</f>
        <v>0</v>
      </c>
      <c r="L7" s="49" t="n">
        <f aca="false">Labour!L7*gw_rel*J7/Labour!B7</f>
        <v>0</v>
      </c>
      <c r="M7" s="65" t="n">
        <f aca="false">Champions!AQ7</f>
        <v>0</v>
      </c>
      <c r="N7" s="49" t="n">
        <f aca="false">IF(Gulf!E7=1,Gulf!D7,0)</f>
        <v>0</v>
      </c>
      <c r="O7" s="49" t="n">
        <f aca="false">J7+K7+L7+M7+N7</f>
        <v>19.6979230584849</v>
      </c>
      <c r="P7" s="49" t="n">
        <f aca="false">O7*1000000/(B7+People!V7+Labour!L7)</f>
        <v>115.44</v>
      </c>
      <c r="Q7" s="47" t="n">
        <v>98</v>
      </c>
      <c r="R7" s="70" t="n">
        <f aca="false">P7/Q7</f>
        <v>1.17795918367347</v>
      </c>
      <c r="S7" s="49" t="n">
        <f aca="false">O7/H7</f>
        <v>26.6188149438986</v>
      </c>
    </row>
    <row r="8" customFormat="false" ht="14.25" hidden="false" customHeight="true" outlineLevel="0" collapsed="false">
      <c r="A8" s="61" t="n">
        <v>1848</v>
      </c>
      <c r="B8" s="49" t="n">
        <f aca="false">(People!B8+People!L8)/2</f>
        <v>183086.321366527</v>
      </c>
      <c r="C8" s="66" t="n">
        <f aca="false">Paths!L8*IF($A8&gt;=1896,prod_factor,1)</f>
        <v>0.04</v>
      </c>
      <c r="D8" s="67" t="n">
        <f aca="false">IF(O7&gt;0,MIN(dev_cap,dev_return*'Debt &amp; cash'!N7/O7),0)</f>
        <v>0</v>
      </c>
      <c r="E8" s="66" t="n">
        <f aca="false">C8+D8</f>
        <v>0.04</v>
      </c>
      <c r="F8" s="49" t="n">
        <f aca="false">F7*(1+E8)</f>
        <v>162.24</v>
      </c>
      <c r="G8" s="68" t="n">
        <f aca="false">1-(1-Paths!M8)*IF($A8&gt;=1930,dep_severity,1)</f>
        <v>1</v>
      </c>
      <c r="H8" s="68" t="n">
        <f aca="false">IF($A8&gt;=1930,Paths!B$89+(Paths!B8-Paths!B$89)*slump_price,Paths!B8)</f>
        <v>0.74</v>
      </c>
      <c r="I8" s="69" t="n">
        <f aca="false">Labour!AO8</f>
        <v>0</v>
      </c>
      <c r="J8" s="49" t="n">
        <f aca="false">B8*F8*(1+I8)*G8*H8/1000000</f>
        <v>21.980904336094</v>
      </c>
      <c r="K8" s="65" t="n">
        <f aca="false">Resources!O8</f>
        <v>7</v>
      </c>
      <c r="L8" s="49" t="n">
        <f aca="false">Labour!L8*gw_rel*J8/Labour!B8</f>
        <v>0</v>
      </c>
      <c r="M8" s="65" t="n">
        <f aca="false">Champions!AQ8</f>
        <v>0</v>
      </c>
      <c r="N8" s="49" t="n">
        <f aca="false">IF(Gulf!E8=1,Gulf!D8,0)</f>
        <v>0</v>
      </c>
      <c r="O8" s="49" t="n">
        <f aca="false">J8+K8+L8+M8+N8</f>
        <v>28.980904336094</v>
      </c>
      <c r="P8" s="49" t="n">
        <f aca="false">O8*1000000/(B8+People!V8+Labour!L8)</f>
        <v>158.290931402112</v>
      </c>
      <c r="Q8" s="47" t="n">
        <v>100</v>
      </c>
      <c r="R8" s="70" t="n">
        <f aca="false">P8/Q8</f>
        <v>1.58290931402112</v>
      </c>
      <c r="S8" s="49" t="n">
        <f aca="false">O8/H8</f>
        <v>39.1633842379648</v>
      </c>
    </row>
    <row r="9" customFormat="false" ht="14.25" hidden="false" customHeight="true" outlineLevel="0" collapsed="false">
      <c r="A9" s="61" t="n">
        <v>1849</v>
      </c>
      <c r="B9" s="49" t="n">
        <f aca="false">(People!B9+People!L9)/2</f>
        <v>235889.438867198</v>
      </c>
      <c r="C9" s="66" t="n">
        <f aca="false">Paths!L9*IF($A9&gt;=1896,prod_factor,1)</f>
        <v>0.04</v>
      </c>
      <c r="D9" s="67" t="n">
        <f aca="false">IF(O8&gt;0,MIN(dev_cap,dev_return*'Debt &amp; cash'!N8/O8),0)</f>
        <v>0</v>
      </c>
      <c r="E9" s="66" t="n">
        <f aca="false">C9+D9</f>
        <v>0.04</v>
      </c>
      <c r="F9" s="49" t="n">
        <f aca="false">F8*(1+E9)</f>
        <v>168.7296</v>
      </c>
      <c r="G9" s="68" t="n">
        <f aca="false">1-(1-Paths!M9)*IF($A9&gt;=1930,dep_severity,1)</f>
        <v>1</v>
      </c>
      <c r="H9" s="68" t="n">
        <f aca="false">IF($A9&gt;=1930,Paths!B$89+(Paths!B9-Paths!B$89)*slump_price,Paths!B9)</f>
        <v>1.18</v>
      </c>
      <c r="I9" s="69" t="n">
        <f aca="false">Labour!AO9</f>
        <v>0</v>
      </c>
      <c r="J9" s="49" t="n">
        <f aca="false">B9*F9*(1+I9)*G9*H9/1000000</f>
        <v>46.9658061838584</v>
      </c>
      <c r="K9" s="65" t="n">
        <f aca="false">Resources!O9</f>
        <v>28</v>
      </c>
      <c r="L9" s="49" t="n">
        <f aca="false">Labour!L9*gw_rel*J9/Labour!B9</f>
        <v>0</v>
      </c>
      <c r="M9" s="65" t="n">
        <f aca="false">Champions!AQ9</f>
        <v>0</v>
      </c>
      <c r="N9" s="49" t="n">
        <f aca="false">IF(Gulf!E9=1,Gulf!D9,0)</f>
        <v>0</v>
      </c>
      <c r="O9" s="49" t="n">
        <f aca="false">J9+K9+L9+M9+N9</f>
        <v>74.9658061838584</v>
      </c>
      <c r="P9" s="49" t="n">
        <f aca="false">O9*1000000/(B9+People!V9+Labour!L9)</f>
        <v>317.800604146856</v>
      </c>
      <c r="Q9" s="47" t="n">
        <v>102</v>
      </c>
      <c r="R9" s="70" t="n">
        <f aca="false">P9/Q9</f>
        <v>3.1156921975182</v>
      </c>
      <c r="S9" s="49" t="n">
        <f aca="false">O9/H9</f>
        <v>63.5303442236088</v>
      </c>
    </row>
    <row r="10" customFormat="false" ht="14.25" hidden="false" customHeight="true" outlineLevel="0" collapsed="false">
      <c r="A10" s="61" t="n">
        <v>1850</v>
      </c>
      <c r="B10" s="49" t="n">
        <f aca="false">(People!B10+People!L10)/2</f>
        <v>314774.706833757</v>
      </c>
      <c r="C10" s="66" t="n">
        <f aca="false">Paths!L10*IF($A10&gt;=1896,prod_factor,1)</f>
        <v>0.04</v>
      </c>
      <c r="D10" s="67" t="n">
        <f aca="false">IF(O9&gt;0,MIN(dev_cap,dev_return*'Debt &amp; cash'!N9/O9),0)</f>
        <v>0</v>
      </c>
      <c r="E10" s="66" t="n">
        <f aca="false">C10+D10</f>
        <v>0.04</v>
      </c>
      <c r="F10" s="49" t="n">
        <f aca="false">F9*(1+E10)</f>
        <v>175.478784</v>
      </c>
      <c r="G10" s="68" t="n">
        <f aca="false">1-(1-Paths!M10)*IF($A10&gt;=1930,dep_severity,1)</f>
        <v>1</v>
      </c>
      <c r="H10" s="68" t="n">
        <f aca="false">IF($A10&gt;=1930,Paths!B$89+(Paths!B10-Paths!B$89)*slump_price,Paths!B10)</f>
        <v>1.1</v>
      </c>
      <c r="I10" s="69" t="n">
        <f aca="false">Labour!AO10</f>
        <v>0</v>
      </c>
      <c r="J10" s="49" t="n">
        <f aca="false">B10*F10*(1+I10)*G10*H10/1000000</f>
        <v>60.7599110680586</v>
      </c>
      <c r="K10" s="65" t="n">
        <f aca="false">Resources!O10</f>
        <v>28.7</v>
      </c>
      <c r="L10" s="49" t="n">
        <f aca="false">Labour!L10*gw_rel*J10/Labour!B10</f>
        <v>0</v>
      </c>
      <c r="M10" s="65" t="n">
        <f aca="false">Champions!AQ10</f>
        <v>0</v>
      </c>
      <c r="N10" s="49" t="n">
        <f aca="false">IF(Gulf!E10=1,Gulf!D10,0)</f>
        <v>0</v>
      </c>
      <c r="O10" s="49" t="n">
        <f aca="false">J10+K10+L10+M10+N10</f>
        <v>89.4599110680586</v>
      </c>
      <c r="P10" s="49" t="n">
        <f aca="false">O10*1000000/(B10+People!V10+Labour!L10)</f>
        <v>284.202984311905</v>
      </c>
      <c r="Q10" s="47" t="n">
        <v>105</v>
      </c>
      <c r="R10" s="70" t="n">
        <f aca="false">P10/Q10</f>
        <v>2.70669508868481</v>
      </c>
      <c r="S10" s="49" t="n">
        <f aca="false">O10/H10</f>
        <v>81.3271918800533</v>
      </c>
    </row>
    <row r="11" customFormat="false" ht="14.25" hidden="false" customHeight="true" outlineLevel="0" collapsed="false">
      <c r="A11" s="61" t="n">
        <v>1851</v>
      </c>
      <c r="B11" s="49" t="n">
        <f aca="false">(People!B11+People!L11)/2</f>
        <v>384137.767486561</v>
      </c>
      <c r="C11" s="66" t="n">
        <f aca="false">Paths!L11*IF($A11&gt;=1896,prod_factor,1)</f>
        <v>0.04</v>
      </c>
      <c r="D11" s="67" t="n">
        <f aca="false">IF(O10&gt;0,MIN(dev_cap,dev_return*'Debt &amp; cash'!N10/O10),0)</f>
        <v>0</v>
      </c>
      <c r="E11" s="66" t="n">
        <f aca="false">C11+D11</f>
        <v>0.04</v>
      </c>
      <c r="F11" s="49" t="n">
        <f aca="false">F10*(1+E11)</f>
        <v>182.49793536</v>
      </c>
      <c r="G11" s="68" t="n">
        <f aca="false">1-(1-Paths!M11)*IF($A11&gt;=1930,dep_severity,1)</f>
        <v>1</v>
      </c>
      <c r="H11" s="68" t="n">
        <f aca="false">IF($A11&gt;=1930,Paths!B$89+(Paths!B11-Paths!B$89)*slump_price,Paths!B11)</f>
        <v>1.02</v>
      </c>
      <c r="I11" s="69" t="n">
        <f aca="false">Labour!AO11</f>
        <v>0</v>
      </c>
      <c r="J11" s="49" t="n">
        <f aca="false">B11*F11*(1+I11)*G11*H11/1000000</f>
        <v>71.5064364492991</v>
      </c>
      <c r="K11" s="65" t="n">
        <f aca="false">Resources!O11</f>
        <v>52.5</v>
      </c>
      <c r="L11" s="49" t="n">
        <f aca="false">Labour!L11*gw_rel*J11/Labour!B11</f>
        <v>0</v>
      </c>
      <c r="M11" s="65" t="n">
        <f aca="false">Champions!AQ11</f>
        <v>0</v>
      </c>
      <c r="N11" s="49" t="n">
        <f aca="false">IF(Gulf!E11=1,Gulf!D11,0)</f>
        <v>0</v>
      </c>
      <c r="O11" s="49" t="n">
        <f aca="false">J11+K11+L11+M11+N11</f>
        <v>124.006436449299</v>
      </c>
      <c r="P11" s="49" t="n">
        <f aca="false">O11*1000000/(B11+People!V11+Labour!L11)</f>
        <v>322.817611141652</v>
      </c>
      <c r="Q11" s="47" t="n">
        <v>109</v>
      </c>
      <c r="R11" s="70" t="n">
        <f aca="false">P11/Q11</f>
        <v>2.96162946001516</v>
      </c>
      <c r="S11" s="49" t="n">
        <f aca="false">O11/H11</f>
        <v>121.574937695391</v>
      </c>
    </row>
    <row r="12" customFormat="false" ht="14.25" hidden="false" customHeight="true" outlineLevel="0" collapsed="false">
      <c r="A12" s="61" t="n">
        <v>1852</v>
      </c>
      <c r="B12" s="49" t="n">
        <f aca="false">(People!B12+People!L12)/2</f>
        <v>470559.580617237</v>
      </c>
      <c r="C12" s="66" t="n">
        <f aca="false">Paths!L12*IF($A12&gt;=1896,prod_factor,1)</f>
        <v>0.04</v>
      </c>
      <c r="D12" s="67" t="n">
        <f aca="false">IF(O11&gt;0,MIN(dev_cap,dev_return*'Debt &amp; cash'!N11/O11),0)</f>
        <v>0</v>
      </c>
      <c r="E12" s="66" t="n">
        <f aca="false">C12+D12</f>
        <v>0.04</v>
      </c>
      <c r="F12" s="49" t="n">
        <f aca="false">F11*(1+E12)</f>
        <v>189.7978527744</v>
      </c>
      <c r="G12" s="68" t="n">
        <f aca="false">1-(1-Paths!M12)*IF($A12&gt;=1930,dep_severity,1)</f>
        <v>1</v>
      </c>
      <c r="H12" s="68" t="n">
        <f aca="false">IF($A12&gt;=1930,Paths!B$89+(Paths!B12-Paths!B$89)*slump_price,Paths!B12)</f>
        <v>1</v>
      </c>
      <c r="I12" s="69" t="n">
        <f aca="false">Labour!AO12</f>
        <v>0</v>
      </c>
      <c r="J12" s="49" t="n">
        <f aca="false">B12*F12*(1+I12)*G12*H12/1000000</f>
        <v>89.3111980035737</v>
      </c>
      <c r="K12" s="65" t="n">
        <f aca="false">Resources!O12</f>
        <v>56.7</v>
      </c>
      <c r="L12" s="49" t="n">
        <f aca="false">Labour!L12*gw_rel*J12/Labour!B12</f>
        <v>0</v>
      </c>
      <c r="M12" s="65" t="n">
        <f aca="false">Champions!AQ12</f>
        <v>0</v>
      </c>
      <c r="N12" s="49" t="n">
        <f aca="false">IF(Gulf!E12=1,Gulf!D12,0)</f>
        <v>0</v>
      </c>
      <c r="O12" s="49" t="n">
        <f aca="false">J12+K12+L12+M12+N12</f>
        <v>146.011198003574</v>
      </c>
      <c r="P12" s="49" t="n">
        <f aca="false">O12*1000000/(B12+People!V12+Labour!L12)</f>
        <v>310.292689848222</v>
      </c>
      <c r="Q12" s="47" t="n">
        <v>113</v>
      </c>
      <c r="R12" s="70" t="n">
        <f aca="false">P12/Q12</f>
        <v>2.74595300750639</v>
      </c>
      <c r="S12" s="49" t="n">
        <f aca="false">O12/H12</f>
        <v>146.011198003574</v>
      </c>
    </row>
    <row r="13" customFormat="false" ht="14.25" hidden="false" customHeight="true" outlineLevel="0" collapsed="false">
      <c r="A13" s="61" t="n">
        <v>1853</v>
      </c>
      <c r="B13" s="49" t="n">
        <f aca="false">(People!B13+People!L13)/2</f>
        <v>562458.852624431</v>
      </c>
      <c r="C13" s="66" t="n">
        <f aca="false">Paths!L13*IF($A13&gt;=1896,prod_factor,1)</f>
        <v>0.04</v>
      </c>
      <c r="D13" s="67" t="n">
        <f aca="false">IF(O12&gt;0,MIN(dev_cap,dev_return*'Debt &amp; cash'!N12/O12),0)</f>
        <v>0</v>
      </c>
      <c r="E13" s="66" t="n">
        <f aca="false">C13+D13</f>
        <v>0.04</v>
      </c>
      <c r="F13" s="49" t="n">
        <f aca="false">F12*(1+E13)</f>
        <v>197.389766885376</v>
      </c>
      <c r="G13" s="68" t="n">
        <f aca="false">1-(1-Paths!M13)*IF($A13&gt;=1930,dep_severity,1)</f>
        <v>1</v>
      </c>
      <c r="H13" s="68" t="n">
        <f aca="false">IF($A13&gt;=1930,Paths!B$89+(Paths!B13-Paths!B$89)*slump_price,Paths!B13)</f>
        <v>0.99</v>
      </c>
      <c r="I13" s="69" t="n">
        <f aca="false">Labour!AO13</f>
        <v>0</v>
      </c>
      <c r="J13" s="49" t="n">
        <f aca="false">B13*F13*(1+I13)*G13*H13/1000000</f>
        <v>109.913385584131</v>
      </c>
      <c r="K13" s="65" t="n">
        <f aca="false">Resources!O13</f>
        <v>46.9</v>
      </c>
      <c r="L13" s="49" t="n">
        <f aca="false">Labour!L13*gw_rel*J13/Labour!B13</f>
        <v>0</v>
      </c>
      <c r="M13" s="65" t="n">
        <f aca="false">Champions!AQ13</f>
        <v>0</v>
      </c>
      <c r="N13" s="49" t="n">
        <f aca="false">IF(Gulf!E13=1,Gulf!D13,0)</f>
        <v>0</v>
      </c>
      <c r="O13" s="49" t="n">
        <f aca="false">J13+K13+L13+M13+N13</f>
        <v>156.813385584131</v>
      </c>
      <c r="P13" s="49" t="n">
        <f aca="false">O13*1000000/(B13+People!V13+Labour!L13)</f>
        <v>278.799746599134</v>
      </c>
      <c r="Q13" s="47" t="n">
        <v>117</v>
      </c>
      <c r="R13" s="70" t="n">
        <f aca="false">P13/Q13</f>
        <v>2.38290381708661</v>
      </c>
      <c r="S13" s="49" t="n">
        <f aca="false">O13/H13</f>
        <v>158.39735917589</v>
      </c>
    </row>
    <row r="14" customFormat="false" ht="14.25" hidden="false" customHeight="true" outlineLevel="0" collapsed="false">
      <c r="A14" s="61" t="n">
        <v>1854</v>
      </c>
      <c r="B14" s="49" t="n">
        <f aca="false">(People!B14+People!L14)/2</f>
        <v>633839.275298377</v>
      </c>
      <c r="C14" s="66" t="n">
        <f aca="false">Paths!L14*IF($A14&gt;=1896,prod_factor,1)</f>
        <v>0.04</v>
      </c>
      <c r="D14" s="67" t="n">
        <f aca="false">IF(O13&gt;0,MIN(dev_cap,dev_return*'Debt &amp; cash'!N13/O13),0)</f>
        <v>0</v>
      </c>
      <c r="E14" s="66" t="n">
        <f aca="false">C14+D14</f>
        <v>0.04</v>
      </c>
      <c r="F14" s="49" t="n">
        <f aca="false">F13*(1+E14)</f>
        <v>205.285357560791</v>
      </c>
      <c r="G14" s="68" t="n">
        <f aca="false">1-(1-Paths!M14)*IF($A14&gt;=1930,dep_severity,1)</f>
        <v>1</v>
      </c>
      <c r="H14" s="68" t="n">
        <f aca="false">IF($A14&gt;=1930,Paths!B$89+(Paths!B14-Paths!B$89)*slump_price,Paths!B14)</f>
        <v>0.97</v>
      </c>
      <c r="I14" s="69" t="n">
        <f aca="false">Labour!AO14</f>
        <v>0</v>
      </c>
      <c r="J14" s="49" t="n">
        <f aca="false">B14*F14*(1+I14)*G14*H14/1000000</f>
        <v>126.214384597729</v>
      </c>
      <c r="K14" s="65" t="n">
        <f aca="false">Resources!O14</f>
        <v>48.3</v>
      </c>
      <c r="L14" s="49" t="n">
        <f aca="false">Labour!L14*gw_rel*J14/Labour!B14</f>
        <v>0</v>
      </c>
      <c r="M14" s="65" t="n">
        <f aca="false">Champions!AQ14</f>
        <v>0</v>
      </c>
      <c r="N14" s="49" t="n">
        <f aca="false">IF(Gulf!E14=1,Gulf!D14,0)</f>
        <v>0</v>
      </c>
      <c r="O14" s="49" t="n">
        <f aca="false">J14+K14+L14+M14+N14</f>
        <v>174.514384597729</v>
      </c>
      <c r="P14" s="49" t="n">
        <f aca="false">O14*1000000/(B14+People!V14+Labour!L14)</f>
        <v>275.329080097754</v>
      </c>
      <c r="Q14" s="47" t="n">
        <v>121</v>
      </c>
      <c r="R14" s="70" t="n">
        <f aca="false">P14/Q14</f>
        <v>2.27544694295664</v>
      </c>
      <c r="S14" s="49" t="n">
        <f aca="false">O14/H14</f>
        <v>179.91173669869</v>
      </c>
    </row>
    <row r="15" customFormat="false" ht="14.25" hidden="false" customHeight="true" outlineLevel="0" collapsed="false">
      <c r="A15" s="61" t="n">
        <v>1855</v>
      </c>
      <c r="B15" s="49" t="n">
        <f aca="false">(People!B15+People!L15)/2</f>
        <v>700658.59099899</v>
      </c>
      <c r="C15" s="66" t="n">
        <f aca="false">Paths!L15*IF($A15&gt;=1896,prod_factor,1)</f>
        <v>0.04</v>
      </c>
      <c r="D15" s="67" t="n">
        <f aca="false">IF(O14&gt;0,MIN(dev_cap,dev_return*'Debt &amp; cash'!N14/O14),0)</f>
        <v>0</v>
      </c>
      <c r="E15" s="66" t="n">
        <f aca="false">C15+D15</f>
        <v>0.04</v>
      </c>
      <c r="F15" s="49" t="n">
        <f aca="false">F14*(1+E15)</f>
        <v>213.496771863223</v>
      </c>
      <c r="G15" s="68" t="n">
        <f aca="false">1-(1-Paths!M15)*IF($A15&gt;=1930,dep_severity,1)</f>
        <v>1</v>
      </c>
      <c r="H15" s="68" t="n">
        <f aca="false">IF($A15&gt;=1930,Paths!B$89+(Paths!B15-Paths!B$89)*slump_price,Paths!B15)</f>
        <v>0.95</v>
      </c>
      <c r="I15" s="69" t="n">
        <f aca="false">Labour!AO15</f>
        <v>0</v>
      </c>
      <c r="J15" s="49" t="n">
        <f aca="false">B15*F15*(1+I15)*G15*H15/1000000</f>
        <v>142.108929988692</v>
      </c>
      <c r="K15" s="65" t="n">
        <f aca="false">Resources!O15</f>
        <v>38.5</v>
      </c>
      <c r="L15" s="49" t="n">
        <f aca="false">Labour!L15*gw_rel*J15/Labour!B15</f>
        <v>0</v>
      </c>
      <c r="M15" s="65" t="n">
        <f aca="false">Champions!AQ15</f>
        <v>0</v>
      </c>
      <c r="N15" s="49" t="n">
        <f aca="false">IF(Gulf!E15=1,Gulf!D15,0)</f>
        <v>0</v>
      </c>
      <c r="O15" s="49" t="n">
        <f aca="false">J15+K15+L15+M15+N15</f>
        <v>180.608929988692</v>
      </c>
      <c r="P15" s="49" t="n">
        <f aca="false">O15*1000000/(B15+People!V15+Labour!L15)</f>
        <v>257.770235474003</v>
      </c>
      <c r="Q15" s="47" t="n">
        <v>125</v>
      </c>
      <c r="R15" s="70" t="n">
        <f aca="false">P15/Q15</f>
        <v>2.06216188379202</v>
      </c>
      <c r="S15" s="49" t="n">
        <f aca="false">O15/H15</f>
        <v>190.114663145992</v>
      </c>
    </row>
    <row r="16" customFormat="false" ht="14.25" hidden="false" customHeight="true" outlineLevel="0" collapsed="false">
      <c r="A16" s="61" t="n">
        <v>1856</v>
      </c>
      <c r="B16" s="49" t="n">
        <f aca="false">(People!B16+People!L16)/2</f>
        <v>808701.302158967</v>
      </c>
      <c r="C16" s="66" t="n">
        <f aca="false">Paths!L16*IF($A16&gt;=1896,prod_factor,1)</f>
        <v>0.025</v>
      </c>
      <c r="D16" s="67" t="n">
        <f aca="false">IF(O15&gt;0,MIN(dev_cap,dev_return*'Debt &amp; cash'!N15/O15),0)</f>
        <v>0</v>
      </c>
      <c r="E16" s="66" t="n">
        <f aca="false">C16+D16</f>
        <v>0.025</v>
      </c>
      <c r="F16" s="49" t="n">
        <f aca="false">F15*(1+E16)</f>
        <v>218.834191159803</v>
      </c>
      <c r="G16" s="68" t="n">
        <f aca="false">1-(1-Paths!M16)*IF($A16&gt;=1930,dep_severity,1)</f>
        <v>1</v>
      </c>
      <c r="H16" s="68" t="n">
        <f aca="false">IF($A16&gt;=1930,Paths!B$89+(Paths!B16-Paths!B$89)*slump_price,Paths!B16)</f>
        <v>0.935</v>
      </c>
      <c r="I16" s="69" t="n">
        <f aca="false">Labour!AO16</f>
        <v>0</v>
      </c>
      <c r="J16" s="49" t="n">
        <f aca="false">B16*F16*(1+I16)*G16*H16/1000000</f>
        <v>165.468348150228</v>
      </c>
      <c r="K16" s="65" t="n">
        <f aca="false">Resources!O16</f>
        <v>39.9</v>
      </c>
      <c r="L16" s="49" t="n">
        <f aca="false">Labour!L16*gw_rel*J16/Labour!B16</f>
        <v>0</v>
      </c>
      <c r="M16" s="65" t="n">
        <f aca="false">Champions!AQ16</f>
        <v>0</v>
      </c>
      <c r="N16" s="49" t="n">
        <f aca="false">IF(Gulf!E16=1,Gulf!D16,0)</f>
        <v>0</v>
      </c>
      <c r="O16" s="49" t="n">
        <f aca="false">J16+K16+L16+M16+N16</f>
        <v>205.368348150228</v>
      </c>
      <c r="P16" s="49" t="n">
        <f aca="false">O16*1000000/(B16+People!V16+Labour!L16)</f>
        <v>253.948333707342</v>
      </c>
      <c r="Q16" s="47" t="n">
        <v>128</v>
      </c>
      <c r="R16" s="70" t="n">
        <f aca="false">P16/Q16</f>
        <v>1.98397135708861</v>
      </c>
      <c r="S16" s="49" t="n">
        <f aca="false">O16/H16</f>
        <v>219.645292139281</v>
      </c>
    </row>
    <row r="17" customFormat="false" ht="14.25" hidden="false" customHeight="true" outlineLevel="0" collapsed="false">
      <c r="A17" s="61" t="n">
        <v>1857</v>
      </c>
      <c r="B17" s="49" t="n">
        <f aca="false">(People!B17+People!L17)/2</f>
        <v>926416.265795157</v>
      </c>
      <c r="C17" s="66" t="n">
        <f aca="false">Paths!L17*IF($A17&gt;=1896,prod_factor,1)</f>
        <v>0.025</v>
      </c>
      <c r="D17" s="67" t="n">
        <f aca="false">IF(O16&gt;0,MIN(dev_cap,dev_return*'Debt &amp; cash'!N16/O16),0)</f>
        <v>0</v>
      </c>
      <c r="E17" s="66" t="n">
        <f aca="false">C17+D17</f>
        <v>0.025</v>
      </c>
      <c r="F17" s="49" t="n">
        <f aca="false">F16*(1+E17)</f>
        <v>224.305045938798</v>
      </c>
      <c r="G17" s="68" t="n">
        <f aca="false">1-(1-Paths!M17)*IF($A17&gt;=1930,dep_severity,1)</f>
        <v>0.97</v>
      </c>
      <c r="H17" s="68" t="n">
        <f aca="false">IF($A17&gt;=1930,Paths!B$89+(Paths!B17-Paths!B$89)*slump_price,Paths!B17)</f>
        <v>0.92</v>
      </c>
      <c r="I17" s="69" t="n">
        <f aca="false">Labour!AO17</f>
        <v>0.00841545672785453</v>
      </c>
      <c r="J17" s="49" t="n">
        <f aca="false">B17*F17*(1+I17)*G17*H17/1000000</f>
        <v>187.001147120744</v>
      </c>
      <c r="K17" s="65" t="n">
        <f aca="false">Resources!O17</f>
        <v>30.1</v>
      </c>
      <c r="L17" s="49" t="n">
        <f aca="false">Labour!L17*gw_rel*J17/Labour!B17</f>
        <v>0</v>
      </c>
      <c r="M17" s="65" t="n">
        <f aca="false">Champions!AQ17</f>
        <v>0</v>
      </c>
      <c r="N17" s="49" t="n">
        <f aca="false">IF(Gulf!E17=1,Gulf!D17,0)</f>
        <v>0</v>
      </c>
      <c r="O17" s="49" t="n">
        <f aca="false">J17+K17+L17+M17+N17</f>
        <v>217.101147120744</v>
      </c>
      <c r="P17" s="49" t="n">
        <f aca="false">O17*1000000/(B17+People!V17+Labour!L17)</f>
        <v>234.34513742524</v>
      </c>
      <c r="Q17" s="47" t="n">
        <v>131</v>
      </c>
      <c r="R17" s="70" t="n">
        <f aca="false">P17/Q17</f>
        <v>1.78889417881863</v>
      </c>
      <c r="S17" s="49" t="n">
        <f aca="false">O17/H17</f>
        <v>235.979507739939</v>
      </c>
    </row>
    <row r="18" customFormat="false" ht="14.25" hidden="false" customHeight="true" outlineLevel="0" collapsed="false">
      <c r="A18" s="61" t="n">
        <v>1858</v>
      </c>
      <c r="B18" s="49" t="n">
        <f aca="false">(People!B18+People!L18)/2</f>
        <v>1012040.09659278</v>
      </c>
      <c r="C18" s="66" t="n">
        <f aca="false">Paths!L18*IF($A18&gt;=1896,prod_factor,1)</f>
        <v>0.025</v>
      </c>
      <c r="D18" s="67" t="n">
        <f aca="false">IF(O17&gt;0,MIN(dev_cap,dev_return*'Debt &amp; cash'!N17/O17),0)</f>
        <v>0</v>
      </c>
      <c r="E18" s="66" t="n">
        <f aca="false">C18+D18</f>
        <v>0.025</v>
      </c>
      <c r="F18" s="49" t="n">
        <f aca="false">F17*(1+E18)</f>
        <v>229.912672087268</v>
      </c>
      <c r="G18" s="68" t="n">
        <f aca="false">1-(1-Paths!M18)*IF($A18&gt;=1930,dep_severity,1)</f>
        <v>0.98</v>
      </c>
      <c r="H18" s="68" t="n">
        <f aca="false">IF($A18&gt;=1930,Paths!B$89+(Paths!B18-Paths!B$89)*slump_price,Paths!B18)</f>
        <v>0.9067</v>
      </c>
      <c r="I18" s="69" t="n">
        <f aca="false">Labour!AO18</f>
        <v>0.0160279986940534</v>
      </c>
      <c r="J18" s="49" t="n">
        <f aca="false">B18*F18*(1+I18)*G18*H18/1000000</f>
        <v>210.066111190215</v>
      </c>
      <c r="K18" s="65" t="n">
        <f aca="false">Resources!O18</f>
        <v>32.9</v>
      </c>
      <c r="L18" s="49" t="n">
        <f aca="false">Labour!L18*gw_rel*J18/Labour!B18</f>
        <v>0</v>
      </c>
      <c r="M18" s="65" t="n">
        <f aca="false">Champions!AQ18</f>
        <v>0</v>
      </c>
      <c r="N18" s="49" t="n">
        <f aca="false">IF(Gulf!E18=1,Gulf!D18,0)</f>
        <v>0</v>
      </c>
      <c r="O18" s="49" t="n">
        <f aca="false">J18+K18+L18+M18+N18</f>
        <v>242.966111190215</v>
      </c>
      <c r="P18" s="49" t="n">
        <f aca="false">O18*1000000/(B18+People!V18+Labour!L18)</f>
        <v>240.075578041033</v>
      </c>
      <c r="Q18" s="47" t="n">
        <v>134</v>
      </c>
      <c r="R18" s="70" t="n">
        <f aca="false">P18/Q18</f>
        <v>1.79160879135099</v>
      </c>
      <c r="S18" s="49" t="n">
        <f aca="false">O18/H18</f>
        <v>267.96747677315</v>
      </c>
    </row>
    <row r="19" customFormat="false" ht="14.25" hidden="false" customHeight="true" outlineLevel="0" collapsed="false">
      <c r="A19" s="61" t="n">
        <v>1859</v>
      </c>
      <c r="B19" s="49" t="n">
        <f aca="false">(People!B19+People!L19)/2</f>
        <v>1101137.48830272</v>
      </c>
      <c r="C19" s="66" t="n">
        <f aca="false">Paths!L19*IF($A19&gt;=1896,prod_factor,1)</f>
        <v>0.025</v>
      </c>
      <c r="D19" s="67" t="n">
        <f aca="false">IF(O18&gt;0,MIN(dev_cap,dev_return*'Debt &amp; cash'!N18/O18),0)</f>
        <v>0</v>
      </c>
      <c r="E19" s="66" t="n">
        <f aca="false">C19+D19</f>
        <v>0.025</v>
      </c>
      <c r="F19" s="49" t="n">
        <f aca="false">F18*(1+E19)</f>
        <v>235.66048888945</v>
      </c>
      <c r="G19" s="68" t="n">
        <f aca="false">1-(1-Paths!M19)*IF($A19&gt;=1930,dep_severity,1)</f>
        <v>1</v>
      </c>
      <c r="H19" s="68" t="n">
        <f aca="false">IF($A19&gt;=1930,Paths!B$89+(Paths!B19-Paths!B$89)*slump_price,Paths!B19)</f>
        <v>0.8933</v>
      </c>
      <c r="I19" s="69" t="n">
        <f aca="false">Labour!AO19</f>
        <v>0.0231899009366388</v>
      </c>
      <c r="J19" s="49" t="n">
        <f aca="false">B19*F19*(1+I19)*G19*H19/1000000</f>
        <v>237.182095487281</v>
      </c>
      <c r="K19" s="65" t="n">
        <f aca="false">Resources!O19</f>
        <v>32.2</v>
      </c>
      <c r="L19" s="49" t="n">
        <f aca="false">Labour!L19*gw_rel*J19/Labour!B19</f>
        <v>0</v>
      </c>
      <c r="M19" s="65" t="n">
        <f aca="false">Champions!AQ19</f>
        <v>0</v>
      </c>
      <c r="N19" s="49" t="n">
        <f aca="false">IF(Gulf!E19=1,Gulf!D19,0)</f>
        <v>0</v>
      </c>
      <c r="O19" s="49" t="n">
        <f aca="false">J19+K19+L19+M19+N19</f>
        <v>269.382095487281</v>
      </c>
      <c r="P19" s="49" t="n">
        <f aca="false">O19*1000000/(B19+People!V19+Labour!L19)</f>
        <v>244.639836849532</v>
      </c>
      <c r="Q19" s="47" t="n">
        <v>137</v>
      </c>
      <c r="R19" s="70" t="n">
        <f aca="false">P19/Q19</f>
        <v>1.78569223977761</v>
      </c>
      <c r="S19" s="49" t="n">
        <f aca="false">O19/H19</f>
        <v>301.558373992254</v>
      </c>
    </row>
    <row r="20" customFormat="false" ht="14.25" hidden="false" customHeight="true" outlineLevel="0" collapsed="false">
      <c r="A20" s="61" t="n">
        <v>1860</v>
      </c>
      <c r="B20" s="49" t="n">
        <f aca="false">(People!B20+People!L20)/2</f>
        <v>1194892.55706856</v>
      </c>
      <c r="C20" s="66" t="n">
        <f aca="false">Paths!L20*IF($A20&gt;=1896,prod_factor,1)</f>
        <v>0.025</v>
      </c>
      <c r="D20" s="67" t="n">
        <f aca="false">IF(O19&gt;0,MIN(dev_cap,dev_return*'Debt &amp; cash'!N19/O19),0)</f>
        <v>0</v>
      </c>
      <c r="E20" s="66" t="n">
        <f aca="false">C20+D20</f>
        <v>0.025</v>
      </c>
      <c r="F20" s="49" t="n">
        <f aca="false">F19*(1+E20)</f>
        <v>241.552001111686</v>
      </c>
      <c r="G20" s="68" t="n">
        <f aca="false">1-(1-Paths!M20)*IF($A20&gt;=1930,dep_severity,1)</f>
        <v>1</v>
      </c>
      <c r="H20" s="68" t="n">
        <f aca="false">IF($A20&gt;=1930,Paths!B$89+(Paths!B20-Paths!B$89)*slump_price,Paths!B20)</f>
        <v>0.88</v>
      </c>
      <c r="I20" s="69" t="n">
        <f aca="false">Labour!AO20</f>
        <v>0.0294852639873468</v>
      </c>
      <c r="J20" s="49" t="n">
        <f aca="false">B20*F20*(1+I20)*G20*H20/1000000</f>
        <v>261.482303580461</v>
      </c>
      <c r="K20" s="65" t="n">
        <f aca="false">Resources!O20</f>
        <v>31.5</v>
      </c>
      <c r="L20" s="49" t="n">
        <f aca="false">Labour!L20*gw_rel*J20/Labour!B20</f>
        <v>0</v>
      </c>
      <c r="M20" s="65" t="n">
        <f aca="false">Champions!AQ20</f>
        <v>0.725945794858277</v>
      </c>
      <c r="N20" s="49" t="n">
        <f aca="false">IF(Gulf!E20=1,Gulf!D20,0)</f>
        <v>0</v>
      </c>
      <c r="O20" s="49" t="n">
        <f aca="false">J20+K20+L20+M20+N20</f>
        <v>293.708249375319</v>
      </c>
      <c r="P20" s="49" t="n">
        <f aca="false">O20*1000000/(B20+People!V20+Labour!L20)</f>
        <v>245.80306207269</v>
      </c>
      <c r="Q20" s="47" t="n">
        <v>140</v>
      </c>
      <c r="R20" s="70" t="n">
        <f aca="false">P20/Q20</f>
        <v>1.75573615766207</v>
      </c>
      <c r="S20" s="49" t="n">
        <f aca="false">O20/H20</f>
        <v>333.759374290135</v>
      </c>
    </row>
    <row r="21" customFormat="false" ht="14.25" hidden="false" customHeight="true" outlineLevel="0" collapsed="false">
      <c r="A21" s="64" t="n">
        <v>1861</v>
      </c>
      <c r="B21" s="49" t="n">
        <f aca="false">(People!B21+People!L21)/2</f>
        <v>1278602.77707583</v>
      </c>
      <c r="C21" s="66" t="n">
        <f aca="false">Paths!L21*IF($A21&gt;=1896,prod_factor,1)</f>
        <v>0.02</v>
      </c>
      <c r="D21" s="67" t="n">
        <f aca="false">IF(O20&gt;0,MIN(dev_cap,dev_return*'Debt &amp; cash'!N20/O20),0)</f>
        <v>0</v>
      </c>
      <c r="E21" s="66" t="n">
        <f aca="false">C21+D21</f>
        <v>0.02</v>
      </c>
      <c r="F21" s="49" t="n">
        <f aca="false">F20*(1+E21)</f>
        <v>246.38304113392</v>
      </c>
      <c r="G21" s="68" t="n">
        <f aca="false">1-(1-Paths!M21)*IF($A21&gt;=1930,dep_severity,1)</f>
        <v>0.98</v>
      </c>
      <c r="H21" s="68" t="n">
        <f aca="false">IF($A21&gt;=1930,Paths!B$89+(Paths!B21-Paths!B$89)*slump_price,Paths!B21)</f>
        <v>0.88</v>
      </c>
      <c r="I21" s="69" t="n">
        <f aca="false">Labour!AO21</f>
        <v>0.0345228817149131</v>
      </c>
      <c r="J21" s="49" t="n">
        <f aca="false">B21*F21*(1+I21)*G21*H21/1000000</f>
        <v>281.057580679469</v>
      </c>
      <c r="K21" s="65" t="n">
        <f aca="false">Resources!O21</f>
        <v>28.7</v>
      </c>
      <c r="L21" s="49" t="n">
        <f aca="false">Labour!L21*gw_rel*J21/Labour!B21</f>
        <v>0</v>
      </c>
      <c r="M21" s="65" t="n">
        <f aca="false">Champions!AQ21</f>
        <v>0.731327865080035</v>
      </c>
      <c r="N21" s="49" t="n">
        <f aca="false">IF(Gulf!E21=1,Gulf!D21,0)</f>
        <v>0</v>
      </c>
      <c r="O21" s="49" t="n">
        <f aca="false">J21+K21+L21+M21+N21</f>
        <v>310.488908544549</v>
      </c>
      <c r="P21" s="49" t="n">
        <f aca="false">O21*1000000/(B21+People!V21+Labour!L21)</f>
        <v>242.834533219643</v>
      </c>
      <c r="Q21" s="47" t="n">
        <v>142</v>
      </c>
      <c r="R21" s="70" t="n">
        <f aca="false">P21/Q21</f>
        <v>1.7101023466172</v>
      </c>
      <c r="S21" s="49" t="n">
        <f aca="false">O21/H21</f>
        <v>352.82830516426</v>
      </c>
    </row>
    <row r="22" customFormat="false" ht="14.25" hidden="false" customHeight="true" outlineLevel="0" collapsed="false">
      <c r="A22" s="64" t="n">
        <v>1862</v>
      </c>
      <c r="B22" s="49" t="n">
        <f aca="false">(People!B22+People!L22)/2</f>
        <v>1437438.46207348</v>
      </c>
      <c r="C22" s="66" t="n">
        <f aca="false">Paths!L22*IF($A22&gt;=1896,prod_factor,1)</f>
        <v>0.02</v>
      </c>
      <c r="D22" s="67" t="n">
        <f aca="false">IF(O21&gt;0,MIN(dev_cap,dev_return*'Debt &amp; cash'!N21/O21),0)</f>
        <v>0</v>
      </c>
      <c r="E22" s="66" t="n">
        <f aca="false">C22+D22</f>
        <v>0.02</v>
      </c>
      <c r="F22" s="49" t="n">
        <f aca="false">F21*(1+E22)</f>
        <v>251.310701956598</v>
      </c>
      <c r="G22" s="68" t="n">
        <f aca="false">1-(1-Paths!M22)*IF($A22&gt;=1930,dep_severity,1)</f>
        <v>0.97</v>
      </c>
      <c r="H22" s="68" t="n">
        <f aca="false">IF($A22&gt;=1930,Paths!B$89+(Paths!B22-Paths!B$89)*slump_price,Paths!B22)</f>
        <v>0.88</v>
      </c>
      <c r="I22" s="69" t="n">
        <f aca="false">Labour!AO22</f>
        <v>0.0383205181929006</v>
      </c>
      <c r="J22" s="49" t="n">
        <f aca="false">B22*F22*(1+I22)*G22*H22/1000000</f>
        <v>320.174018652254</v>
      </c>
      <c r="K22" s="65" t="n">
        <f aca="false">Resources!O22</f>
        <v>26.6</v>
      </c>
      <c r="L22" s="49" t="n">
        <f aca="false">Labour!L22*gw_rel*J22/Labour!B22</f>
        <v>0</v>
      </c>
      <c r="M22" s="65" t="n">
        <f aca="false">Champions!AQ22</f>
        <v>0.735385169009509</v>
      </c>
      <c r="N22" s="49" t="n">
        <f aca="false">IF(Gulf!E22=1,Gulf!D22,0)</f>
        <v>0</v>
      </c>
      <c r="O22" s="49" t="n">
        <f aca="false">J22+K22+L22+M22+N22</f>
        <v>347.509403821264</v>
      </c>
      <c r="P22" s="49" t="n">
        <f aca="false">O22*1000000/(B22+People!V22+Labour!L22)</f>
        <v>241.756021555167</v>
      </c>
      <c r="Q22" s="47" t="n">
        <v>144</v>
      </c>
      <c r="R22" s="70" t="n">
        <f aca="false">P22/Q22</f>
        <v>1.67886126079977</v>
      </c>
      <c r="S22" s="49" t="n">
        <f aca="false">O22/H22</f>
        <v>394.89704979689</v>
      </c>
    </row>
    <row r="23" customFormat="false" ht="14.25" hidden="false" customHeight="true" outlineLevel="0" collapsed="false">
      <c r="A23" s="64" t="n">
        <v>1863</v>
      </c>
      <c r="B23" s="49" t="n">
        <f aca="false">(People!B23+People!L23)/2</f>
        <v>1638567.24443015</v>
      </c>
      <c r="C23" s="66" t="n">
        <f aca="false">Paths!L23*IF($A23&gt;=1896,prod_factor,1)</f>
        <v>0.02</v>
      </c>
      <c r="D23" s="67" t="n">
        <f aca="false">IF(O22&gt;0,MIN(dev_cap,dev_return*'Debt &amp; cash'!N22/O22),0)</f>
        <v>0</v>
      </c>
      <c r="E23" s="66" t="n">
        <f aca="false">C23+D23</f>
        <v>0.02</v>
      </c>
      <c r="F23" s="49" t="n">
        <f aca="false">F22*(1+E23)</f>
        <v>256.33691599573</v>
      </c>
      <c r="G23" s="68" t="n">
        <f aca="false">1-(1-Paths!M23)*IF($A23&gt;=1930,dep_severity,1)</f>
        <v>0.98</v>
      </c>
      <c r="H23" s="68" t="n">
        <f aca="false">IF($A23&gt;=1930,Paths!B$89+(Paths!B23-Paths!B$89)*slump_price,Paths!B23)</f>
        <v>0.9033</v>
      </c>
      <c r="I23" s="69" t="n">
        <f aca="false">Labour!AO23</f>
        <v>0.0384213562490149</v>
      </c>
      <c r="J23" s="49" t="n">
        <f aca="false">B23*F23*(1+I23)*G23*H23/1000000</f>
        <v>386.106507270969</v>
      </c>
      <c r="K23" s="65" t="n">
        <f aca="false">Resources!O23</f>
        <v>26.6</v>
      </c>
      <c r="L23" s="49" t="n">
        <f aca="false">Labour!L23*gw_rel*J23/Labour!B23</f>
        <v>0</v>
      </c>
      <c r="M23" s="65" t="n">
        <f aca="false">Champions!AQ23</f>
        <v>1.47117907599633</v>
      </c>
      <c r="N23" s="49" t="n">
        <f aca="false">IF(Gulf!E23=1,Gulf!D23,0)</f>
        <v>0</v>
      </c>
      <c r="O23" s="49" t="n">
        <f aca="false">J23+K23+L23+M23+N23</f>
        <v>414.177686346965</v>
      </c>
      <c r="P23" s="49" t="n">
        <f aca="false">O23*1000000/(B23+People!V23+Labour!L23)</f>
        <v>252.768195968061</v>
      </c>
      <c r="Q23" s="47" t="n">
        <v>146</v>
      </c>
      <c r="R23" s="70" t="n">
        <f aca="false">P23/Q23</f>
        <v>1.73128901347987</v>
      </c>
      <c r="S23" s="49" t="n">
        <f aca="false">O23/H23</f>
        <v>458.51620319602</v>
      </c>
    </row>
    <row r="24" customFormat="false" ht="14.25" hidden="false" customHeight="true" outlineLevel="0" collapsed="false">
      <c r="A24" s="64" t="n">
        <v>1864</v>
      </c>
      <c r="B24" s="49" t="n">
        <f aca="false">(People!B24+People!L24)/2</f>
        <v>1765329.79065997</v>
      </c>
      <c r="C24" s="66" t="n">
        <f aca="false">Paths!L24*IF($A24&gt;=1896,prod_factor,1)</f>
        <v>0.02</v>
      </c>
      <c r="D24" s="67" t="n">
        <f aca="false">IF(O23&gt;0,MIN(dev_cap,dev_return*'Debt &amp; cash'!N23/O23),0)</f>
        <v>0</v>
      </c>
      <c r="E24" s="66" t="n">
        <f aca="false">C24+D24</f>
        <v>0.02</v>
      </c>
      <c r="F24" s="49" t="n">
        <f aca="false">F23*(1+E24)</f>
        <v>261.463654315645</v>
      </c>
      <c r="G24" s="68" t="n">
        <f aca="false">1-(1-Paths!M24)*IF($A24&gt;=1930,dep_severity,1)</f>
        <v>1</v>
      </c>
      <c r="H24" s="68" t="n">
        <f aca="false">IF($A24&gt;=1930,Paths!B$89+(Paths!B24-Paths!B$89)*slump_price,Paths!B24)</f>
        <v>0.9267</v>
      </c>
      <c r="I24" s="69" t="n">
        <f aca="false">Labour!AO24</f>
        <v>0.036864328200552</v>
      </c>
      <c r="J24" s="49" t="n">
        <f aca="false">B24*F24*(1+I24)*G24*H24/1000000</f>
        <v>443.504747814491</v>
      </c>
      <c r="K24" s="65" t="n">
        <f aca="false">Resources!O24</f>
        <v>41.3</v>
      </c>
      <c r="L24" s="49" t="n">
        <f aca="false">Labour!L24*gw_rel*J24/Labour!B24</f>
        <v>0</v>
      </c>
      <c r="M24" s="65" t="n">
        <f aca="false">Champions!AQ24</f>
        <v>1.46806157432582</v>
      </c>
      <c r="N24" s="49" t="n">
        <f aca="false">IF(Gulf!E24=1,Gulf!D24,0)</f>
        <v>0</v>
      </c>
      <c r="O24" s="49" t="n">
        <f aca="false">J24+K24+L24+M24+N24</f>
        <v>486.272809388817</v>
      </c>
      <c r="P24" s="49" t="n">
        <f aca="false">O24*1000000/(B24+People!V24+Labour!L24)</f>
        <v>275.457204632015</v>
      </c>
      <c r="Q24" s="47" t="n">
        <v>148</v>
      </c>
      <c r="R24" s="70" t="n">
        <f aca="false">P24/Q24</f>
        <v>1.8611973285947</v>
      </c>
      <c r="S24" s="49" t="n">
        <f aca="false">O24/H24</f>
        <v>524.735954881641</v>
      </c>
    </row>
    <row r="25" customFormat="false" ht="14.25" hidden="false" customHeight="true" outlineLevel="0" collapsed="false">
      <c r="A25" s="64" t="n">
        <v>1865</v>
      </c>
      <c r="B25" s="49" t="n">
        <f aca="false">(People!B25+People!L25)/2</f>
        <v>1857520.33454826</v>
      </c>
      <c r="C25" s="66" t="n">
        <f aca="false">Paths!L25*IF($A25&gt;=1896,prod_factor,1)</f>
        <v>0.02</v>
      </c>
      <c r="D25" s="67" t="n">
        <f aca="false">IF(O24&gt;0,MIN(dev_cap,dev_return*'Debt &amp; cash'!N24/O24),0)</f>
        <v>0</v>
      </c>
      <c r="E25" s="66" t="n">
        <f aca="false">C25+D25</f>
        <v>0.02</v>
      </c>
      <c r="F25" s="49" t="n">
        <f aca="false">F24*(1+E25)</f>
        <v>266.692927401958</v>
      </c>
      <c r="G25" s="68" t="n">
        <f aca="false">1-(1-Paths!M25)*IF($A25&gt;=1930,dep_severity,1)</f>
        <v>1</v>
      </c>
      <c r="H25" s="68" t="n">
        <f aca="false">IF($A25&gt;=1930,Paths!B$89+(Paths!B25-Paths!B$89)*slump_price,Paths!B25)</f>
        <v>0.95</v>
      </c>
      <c r="I25" s="69" t="n">
        <f aca="false">Labour!AO25</f>
        <v>0.0383181813382687</v>
      </c>
      <c r="J25" s="49" t="n">
        <f aca="false">B25*F25*(1+I25)*G25*H25/1000000</f>
        <v>488.651390898326</v>
      </c>
      <c r="K25" s="65" t="n">
        <f aca="false">Resources!O25</f>
        <v>40.6</v>
      </c>
      <c r="L25" s="49" t="n">
        <f aca="false">Labour!L25*gw_rel*J25/Labour!B25</f>
        <v>0</v>
      </c>
      <c r="M25" s="65" t="n">
        <f aca="false">Champions!AQ25</f>
        <v>1.47139970016915</v>
      </c>
      <c r="N25" s="49" t="n">
        <f aca="false">IF(Gulf!E25=1,Gulf!D25,0)</f>
        <v>0</v>
      </c>
      <c r="O25" s="49" t="n">
        <f aca="false">J25+K25+L25+M25+N25</f>
        <v>530.722790598496</v>
      </c>
      <c r="P25" s="49" t="n">
        <f aca="false">O25*1000000/(B25+People!V25+Labour!L25)</f>
        <v>285.715736580384</v>
      </c>
      <c r="Q25" s="47" t="n">
        <v>150</v>
      </c>
      <c r="R25" s="70" t="n">
        <f aca="false">P25/Q25</f>
        <v>1.90477157720256</v>
      </c>
      <c r="S25" s="49" t="n">
        <f aca="false">O25/H25</f>
        <v>558.655569051048</v>
      </c>
    </row>
    <row r="26" customFormat="false" ht="14.25" hidden="false" customHeight="true" outlineLevel="0" collapsed="false">
      <c r="A26" s="61" t="n">
        <v>1866</v>
      </c>
      <c r="B26" s="49" t="n">
        <f aca="false">(People!B26+People!L26)/2</f>
        <v>1957667.12694277</v>
      </c>
      <c r="C26" s="66" t="n">
        <f aca="false">Paths!L26*IF($A26&gt;=1896,prod_factor,1)</f>
        <v>0.02</v>
      </c>
      <c r="D26" s="67" t="n">
        <f aca="false">IF(O25&gt;0,MIN(dev_cap,dev_return*'Debt &amp; cash'!N25/O25),0)</f>
        <v>0</v>
      </c>
      <c r="E26" s="66" t="n">
        <f aca="false">C26+D26</f>
        <v>0.02</v>
      </c>
      <c r="F26" s="49" t="n">
        <f aca="false">F25*(1+E26)</f>
        <v>272.026785949997</v>
      </c>
      <c r="G26" s="68" t="n">
        <f aca="false">1-(1-Paths!M26)*IF($A26&gt;=1930,dep_severity,1)</f>
        <v>1</v>
      </c>
      <c r="H26" s="68" t="n">
        <f aca="false">IF($A26&gt;=1930,Paths!B$89+(Paths!B26-Paths!B$89)*slump_price,Paths!B26)</f>
        <v>0.95</v>
      </c>
      <c r="I26" s="69" t="n">
        <f aca="false">Labour!AO26</f>
        <v>0.0430896048300901</v>
      </c>
      <c r="J26" s="49" t="n">
        <f aca="false">B26*F26*(1+I26)*G26*H26/1000000</f>
        <v>527.710506818559</v>
      </c>
      <c r="K26" s="65" t="n">
        <f aca="false">Resources!O26</f>
        <v>39.2</v>
      </c>
      <c r="L26" s="49" t="n">
        <f aca="false">Labour!L26*gw_rel*J26/Labour!B26</f>
        <v>0</v>
      </c>
      <c r="M26" s="65" t="n">
        <f aca="false">Champions!AQ26</f>
        <v>1.48184571638729</v>
      </c>
      <c r="N26" s="49" t="n">
        <f aca="false">IF(Gulf!E26=1,Gulf!D26,0)</f>
        <v>0</v>
      </c>
      <c r="O26" s="49" t="n">
        <f aca="false">J26+K26+L26+M26+N26</f>
        <v>568.392352534946</v>
      </c>
      <c r="P26" s="49" t="n">
        <f aca="false">O26*1000000/(B26+People!V26+Labour!L26)</f>
        <v>290.341674900873</v>
      </c>
      <c r="Q26" s="47" t="n">
        <v>154</v>
      </c>
      <c r="R26" s="70" t="n">
        <f aca="false">P26/Q26</f>
        <v>1.88533555130437</v>
      </c>
      <c r="S26" s="49" t="n">
        <f aca="false">O26/H26</f>
        <v>598.307739510469</v>
      </c>
    </row>
    <row r="27" customFormat="false" ht="14.25" hidden="false" customHeight="true" outlineLevel="0" collapsed="false">
      <c r="A27" s="61" t="n">
        <v>1867</v>
      </c>
      <c r="B27" s="49" t="n">
        <f aca="false">(People!B27+People!L27)/2</f>
        <v>2098111.75920459</v>
      </c>
      <c r="C27" s="66" t="n">
        <f aca="false">Paths!L27*IF($A27&gt;=1896,prod_factor,1)</f>
        <v>0.02</v>
      </c>
      <c r="D27" s="67" t="n">
        <f aca="false">IF(O26&gt;0,MIN(dev_cap,dev_return*'Debt &amp; cash'!N26/O26),0)</f>
        <v>0</v>
      </c>
      <c r="E27" s="66" t="n">
        <f aca="false">C27+D27</f>
        <v>0.02</v>
      </c>
      <c r="F27" s="49" t="n">
        <f aca="false">F26*(1+E27)</f>
        <v>277.467321668997</v>
      </c>
      <c r="G27" s="68" t="n">
        <f aca="false">1-(1-Paths!M27)*IF($A27&gt;=1930,dep_severity,1)</f>
        <v>1</v>
      </c>
      <c r="H27" s="68" t="n">
        <f aca="false">IF($A27&gt;=1930,Paths!B$89+(Paths!B27-Paths!B$89)*slump_price,Paths!B27)</f>
        <v>0.95</v>
      </c>
      <c r="I27" s="69" t="n">
        <f aca="false">Labour!AO27</f>
        <v>0.0482107414397498</v>
      </c>
      <c r="J27" s="49" t="n">
        <f aca="false">B27*F27*(1+I27)*G27*H27/1000000</f>
        <v>579.712508071309</v>
      </c>
      <c r="K27" s="65" t="n">
        <f aca="false">Resources!O27</f>
        <v>35</v>
      </c>
      <c r="L27" s="49" t="n">
        <f aca="false">Labour!L27*gw_rel*J27/Labour!B27</f>
        <v>0</v>
      </c>
      <c r="M27" s="65" t="n">
        <f aca="false">Champions!AQ27</f>
        <v>1.69462255110046</v>
      </c>
      <c r="N27" s="49" t="n">
        <f aca="false">IF(Gulf!E27=1,Gulf!D27,0)</f>
        <v>0</v>
      </c>
      <c r="O27" s="49" t="n">
        <f aca="false">J27+K27+L27+M27+N27</f>
        <v>616.40713062241</v>
      </c>
      <c r="P27" s="49" t="n">
        <f aca="false">O27*1000000/(B27+People!V27+Labour!L27)</f>
        <v>293.79137117848</v>
      </c>
      <c r="Q27" s="47" t="n">
        <v>159</v>
      </c>
      <c r="R27" s="70" t="n">
        <f aca="false">P27/Q27</f>
        <v>1.84774447282063</v>
      </c>
      <c r="S27" s="49" t="n">
        <f aca="false">O27/H27</f>
        <v>648.849611181484</v>
      </c>
    </row>
    <row r="28" customFormat="false" ht="14.25" hidden="false" customHeight="true" outlineLevel="0" collapsed="false">
      <c r="A28" s="61" t="n">
        <v>1868</v>
      </c>
      <c r="B28" s="49" t="n">
        <f aca="false">(People!B28+People!L28)/2</f>
        <v>2243184.60071075</v>
      </c>
      <c r="C28" s="66" t="n">
        <f aca="false">Paths!L28*IF($A28&gt;=1896,prod_factor,1)</f>
        <v>0.02</v>
      </c>
      <c r="D28" s="67" t="n">
        <f aca="false">IF(O27&gt;0,MIN(dev_cap,dev_return*'Debt &amp; cash'!N27/O27),0)</f>
        <v>0</v>
      </c>
      <c r="E28" s="66" t="n">
        <f aca="false">C28+D28</f>
        <v>0.02</v>
      </c>
      <c r="F28" s="49" t="n">
        <f aca="false">F27*(1+E28)</f>
        <v>283.016668102377</v>
      </c>
      <c r="G28" s="68" t="n">
        <f aca="false">1-(1-Paths!M28)*IF($A28&gt;=1930,dep_severity,1)</f>
        <v>1</v>
      </c>
      <c r="H28" s="68" t="n">
        <f aca="false">IF($A28&gt;=1930,Paths!B$89+(Paths!B28-Paths!B$89)*slump_price,Paths!B28)</f>
        <v>0.95</v>
      </c>
      <c r="I28" s="69" t="n">
        <f aca="false">Labour!AO28</f>
        <v>0.0515259172474199</v>
      </c>
      <c r="J28" s="49" t="n">
        <f aca="false">B28*F28*(1+I28)*G28*H28/1000000</f>
        <v>634.191789701535</v>
      </c>
      <c r="K28" s="65" t="n">
        <f aca="false">Resources!O28</f>
        <v>29.8666666666667</v>
      </c>
      <c r="L28" s="49" t="n">
        <f aca="false">Labour!L28*gw_rel*J28/Labour!B28</f>
        <v>0</v>
      </c>
      <c r="M28" s="65" t="n">
        <f aca="false">Champions!AQ28</f>
        <v>2.72782128723726</v>
      </c>
      <c r="N28" s="49" t="n">
        <f aca="false">IF(Gulf!E28=1,Gulf!D28,0)</f>
        <v>0</v>
      </c>
      <c r="O28" s="49" t="n">
        <f aca="false">J28+K28+L28+M28+N28</f>
        <v>666.786277655439</v>
      </c>
      <c r="P28" s="49" t="n">
        <f aca="false">O28*1000000/(B28+People!V28+Labour!L28)</f>
        <v>297.249846242778</v>
      </c>
      <c r="Q28" s="47" t="n">
        <v>163</v>
      </c>
      <c r="R28" s="70" t="n">
        <f aca="false">P28/Q28</f>
        <v>1.823618688606</v>
      </c>
      <c r="S28" s="49" t="n">
        <f aca="false">O28/H28</f>
        <v>701.880292268883</v>
      </c>
    </row>
    <row r="29" customFormat="false" ht="14.25" hidden="false" customHeight="true" outlineLevel="0" collapsed="false">
      <c r="A29" s="61" t="n">
        <v>1869</v>
      </c>
      <c r="B29" s="49" t="n">
        <f aca="false">(People!B29+People!L29)/2</f>
        <v>2371720.15827021</v>
      </c>
      <c r="C29" s="66" t="n">
        <f aca="false">Paths!L29*IF($A29&gt;=1896,prod_factor,1)</f>
        <v>0.02</v>
      </c>
      <c r="D29" s="67" t="n">
        <f aca="false">IF(O28&gt;0,MIN(dev_cap,dev_return*'Debt &amp; cash'!N28/O28),0)</f>
        <v>0</v>
      </c>
      <c r="E29" s="66" t="n">
        <f aca="false">C29+D29</f>
        <v>0.02</v>
      </c>
      <c r="F29" s="49" t="n">
        <f aca="false">F28*(1+E29)</f>
        <v>288.677001464424</v>
      </c>
      <c r="G29" s="68" t="n">
        <f aca="false">1-(1-Paths!M29)*IF($A29&gt;=1930,dep_severity,1)</f>
        <v>1</v>
      </c>
      <c r="H29" s="68" t="n">
        <f aca="false">IF($A29&gt;=1930,Paths!B$89+(Paths!B29-Paths!B$89)*slump_price,Paths!B29)</f>
        <v>0.95</v>
      </c>
      <c r="I29" s="69" t="n">
        <f aca="false">Labour!AO29</f>
        <v>0.0536730859320805</v>
      </c>
      <c r="J29" s="49" t="n">
        <f aca="false">B29*F29*(1+I29)*G29*H29/1000000</f>
        <v>685.338488918081</v>
      </c>
      <c r="K29" s="65" t="n">
        <f aca="false">Resources!O29</f>
        <v>29.6333333333333</v>
      </c>
      <c r="L29" s="49" t="n">
        <f aca="false">Labour!L29*gw_rel*J29/Labour!B29</f>
        <v>0</v>
      </c>
      <c r="M29" s="65" t="n">
        <f aca="false">Champions!AQ29</f>
        <v>2.99473221723897</v>
      </c>
      <c r="N29" s="49" t="n">
        <f aca="false">IF(Gulf!E29=1,Gulf!D29,0)</f>
        <v>0</v>
      </c>
      <c r="O29" s="49" t="n">
        <f aca="false">J29+K29+L29+M29+N29</f>
        <v>717.966554468653</v>
      </c>
      <c r="P29" s="49" t="n">
        <f aca="false">O29*1000000/(B29+People!V29+Labour!L29)</f>
        <v>302.719758891072</v>
      </c>
      <c r="Q29" s="47" t="n">
        <v>168</v>
      </c>
      <c r="R29" s="70" t="n">
        <f aca="false">P29/Q29</f>
        <v>1.80190332673257</v>
      </c>
      <c r="S29" s="49" t="n">
        <f aca="false">O29/H29</f>
        <v>755.75426786174</v>
      </c>
    </row>
    <row r="30" customFormat="false" ht="14.25" hidden="false" customHeight="true" outlineLevel="0" collapsed="false">
      <c r="A30" s="64" t="n">
        <v>1870</v>
      </c>
      <c r="B30" s="49" t="n">
        <f aca="false">(People!B30+People!L30)/2</f>
        <v>2508803.18004335</v>
      </c>
      <c r="C30" s="66" t="n">
        <f aca="false">Paths!L30*IF($A30&gt;=1896,prod_factor,1)</f>
        <v>0.02</v>
      </c>
      <c r="D30" s="67" t="n">
        <f aca="false">IF(O29&gt;0,MIN(dev_cap,dev_return*'Debt &amp; cash'!N29/O29),0)</f>
        <v>0</v>
      </c>
      <c r="E30" s="66" t="n">
        <f aca="false">C30+D30</f>
        <v>0.02</v>
      </c>
      <c r="F30" s="49" t="n">
        <f aca="false">F29*(1+E30)</f>
        <v>294.450541493713</v>
      </c>
      <c r="G30" s="68" t="n">
        <f aca="false">1-(1-Paths!M30)*IF($A30&gt;=1930,dep_severity,1)</f>
        <v>1</v>
      </c>
      <c r="H30" s="68" t="n">
        <f aca="false">IF($A30&gt;=1930,Paths!B$89+(Paths!B30-Paths!B$89)*slump_price,Paths!B30)</f>
        <v>0.95</v>
      </c>
      <c r="I30" s="69" t="n">
        <f aca="false">Labour!AO30</f>
        <v>0.0555659389993995</v>
      </c>
      <c r="J30" s="49" t="n">
        <f aca="false">B30*F30*(1+I30)*G30*H30/1000000</f>
        <v>740.777737492385</v>
      </c>
      <c r="K30" s="65" t="n">
        <f aca="false">Resources!O30</f>
        <v>29.75</v>
      </c>
      <c r="L30" s="49" t="n">
        <f aca="false">Labour!L30*gw_rel*J30/Labour!B30</f>
        <v>0</v>
      </c>
      <c r="M30" s="65" t="n">
        <f aca="false">Champions!AQ30</f>
        <v>5.65564048229648</v>
      </c>
      <c r="N30" s="49" t="n">
        <f aca="false">IF(Gulf!E30=1,Gulf!D30,0)</f>
        <v>0</v>
      </c>
      <c r="O30" s="49" t="n">
        <f aca="false">J30+K30+L30+M30+N30</f>
        <v>776.183377974681</v>
      </c>
      <c r="P30" s="49" t="n">
        <f aca="false">O30*1000000/(B30+People!V30+Labour!L30)</f>
        <v>309.383926227831</v>
      </c>
      <c r="Q30" s="47" t="n">
        <v>172</v>
      </c>
      <c r="R30" s="70" t="n">
        <f aca="false">P30/Q30</f>
        <v>1.79874375713856</v>
      </c>
      <c r="S30" s="49" t="n">
        <f aca="false">O30/H30</f>
        <v>817.035134710191</v>
      </c>
    </row>
    <row r="31" customFormat="false" ht="14.25" hidden="false" customHeight="true" outlineLevel="0" collapsed="false">
      <c r="A31" s="64" t="n">
        <v>1871</v>
      </c>
      <c r="B31" s="49" t="n">
        <f aca="false">(People!B31+People!L31)/2</f>
        <v>2652144.41552381</v>
      </c>
      <c r="C31" s="66" t="n">
        <f aca="false">Paths!L31*IF($A31&gt;=1896,prod_factor,1)</f>
        <v>0.022</v>
      </c>
      <c r="D31" s="67" t="n">
        <f aca="false">IF(O30&gt;0,MIN(dev_cap,dev_return*'Debt &amp; cash'!N30/O30),0)</f>
        <v>0</v>
      </c>
      <c r="E31" s="66" t="n">
        <f aca="false">C31+D31</f>
        <v>0.022</v>
      </c>
      <c r="F31" s="49" t="n">
        <f aca="false">F30*(1+E31)</f>
        <v>300.928453406575</v>
      </c>
      <c r="G31" s="68" t="n">
        <f aca="false">1-(1-Paths!M31)*IF($A31&gt;=1930,dep_severity,1)</f>
        <v>1</v>
      </c>
      <c r="H31" s="68" t="n">
        <f aca="false">IF($A31&gt;=1930,Paths!B$89+(Paths!B31-Paths!B$89)*slump_price,Paths!B31)</f>
        <v>0.936</v>
      </c>
      <c r="I31" s="69" t="n">
        <f aca="false">Labour!AO31</f>
        <v>0.0597527256257149</v>
      </c>
      <c r="J31" s="49" t="n">
        <f aca="false">B31*F31*(1+I31)*G31*H31/1000000</f>
        <v>791.663847729866</v>
      </c>
      <c r="K31" s="65" t="n">
        <f aca="false">Resources!O31</f>
        <v>31.57</v>
      </c>
      <c r="L31" s="49" t="n">
        <f aca="false">Labour!L31*gw_rel*J31/Labour!B31</f>
        <v>0</v>
      </c>
      <c r="M31" s="65" t="n">
        <f aca="false">Champions!AQ31</f>
        <v>6.77797503593239</v>
      </c>
      <c r="N31" s="49" t="n">
        <f aca="false">IF(Gulf!E31=1,Gulf!D31,0)</f>
        <v>0</v>
      </c>
      <c r="O31" s="49" t="n">
        <f aca="false">J31+K31+L31+M31+N31</f>
        <v>830.011822765798</v>
      </c>
      <c r="P31" s="49" t="n">
        <f aca="false">O31*1000000/(B31+People!V31+Labour!L31)</f>
        <v>312.958758168479</v>
      </c>
      <c r="Q31" s="47" t="n">
        <v>173</v>
      </c>
      <c r="R31" s="70" t="n">
        <f aca="false">P31/Q31</f>
        <v>1.80901016282358</v>
      </c>
      <c r="S31" s="49" t="n">
        <f aca="false">O31/H31</f>
        <v>886.764767912177</v>
      </c>
    </row>
    <row r="32" customFormat="false" ht="14.25" hidden="false" customHeight="true" outlineLevel="0" collapsed="false">
      <c r="A32" s="61" t="n">
        <v>1872</v>
      </c>
      <c r="B32" s="49" t="n">
        <f aca="false">(People!B32+People!L32)/2</f>
        <v>2799176.85086352</v>
      </c>
      <c r="C32" s="66" t="n">
        <f aca="false">Paths!L32*IF($A32&gt;=1896,prod_factor,1)</f>
        <v>0.022</v>
      </c>
      <c r="D32" s="67" t="n">
        <f aca="false">IF(O31&gt;0,MIN(dev_cap,dev_return*'Debt &amp; cash'!N31/O31),0)</f>
        <v>0</v>
      </c>
      <c r="E32" s="66" t="n">
        <f aca="false">C32+D32</f>
        <v>0.022</v>
      </c>
      <c r="F32" s="49" t="n">
        <f aca="false">F31*(1+E32)</f>
        <v>307.548879381519</v>
      </c>
      <c r="G32" s="68" t="n">
        <f aca="false">1-(1-Paths!M32)*IF($A32&gt;=1930,dep_severity,1)</f>
        <v>1</v>
      </c>
      <c r="H32" s="68" t="n">
        <f aca="false">IF($A32&gt;=1930,Paths!B$89+(Paths!B32-Paths!B$89)*slump_price,Paths!B32)</f>
        <v>0.922</v>
      </c>
      <c r="I32" s="69" t="n">
        <f aca="false">Labour!AO32</f>
        <v>0.0635691796332269</v>
      </c>
      <c r="J32" s="49" t="n">
        <f aca="false">B32*F32*(1+I32)*G32*H32/1000000</f>
        <v>844.1918432668</v>
      </c>
      <c r="K32" s="65" t="n">
        <f aca="false">Resources!O32</f>
        <v>33.39</v>
      </c>
      <c r="L32" s="49" t="n">
        <f aca="false">Labour!L32*gw_rel*J32/Labour!B32</f>
        <v>0</v>
      </c>
      <c r="M32" s="65" t="n">
        <f aca="false">Champions!AQ32</f>
        <v>8.04090780158802</v>
      </c>
      <c r="N32" s="49" t="n">
        <f aca="false">IF(Gulf!E32=1,Gulf!D32,0)</f>
        <v>0</v>
      </c>
      <c r="O32" s="49" t="n">
        <f aca="false">J32+K32+L32+M32+N32</f>
        <v>885.622751068388</v>
      </c>
      <c r="P32" s="49" t="n">
        <f aca="false">O32*1000000/(B32+People!V32+Labour!L32)</f>
        <v>316.386851654329</v>
      </c>
      <c r="Q32" s="47" t="n">
        <v>173</v>
      </c>
      <c r="R32" s="70" t="n">
        <f aca="false">P32/Q32</f>
        <v>1.82882573210595</v>
      </c>
      <c r="S32" s="49" t="n">
        <f aca="false">O32/H32</f>
        <v>960.545283154434</v>
      </c>
    </row>
    <row r="33" customFormat="false" ht="14.25" hidden="false" customHeight="true" outlineLevel="0" collapsed="false">
      <c r="A33" s="61" t="n">
        <v>1873</v>
      </c>
      <c r="B33" s="49" t="n">
        <f aca="false">(People!B33+People!L33)/2</f>
        <v>2960827.35879595</v>
      </c>
      <c r="C33" s="66" t="n">
        <f aca="false">Paths!L33*IF($A33&gt;=1896,prod_factor,1)</f>
        <v>0.022</v>
      </c>
      <c r="D33" s="67" t="n">
        <f aca="false">IF(O32&gt;0,MIN(dev_cap,dev_return*'Debt &amp; cash'!N32/O32),0)</f>
        <v>0</v>
      </c>
      <c r="E33" s="66" t="n">
        <f aca="false">C33+D33</f>
        <v>0.022</v>
      </c>
      <c r="F33" s="49" t="n">
        <f aca="false">F32*(1+E33)</f>
        <v>314.314954727913</v>
      </c>
      <c r="G33" s="68" t="n">
        <f aca="false">1-(1-Paths!M33)*IF($A33&gt;=1930,dep_severity,1)</f>
        <v>0.98</v>
      </c>
      <c r="H33" s="68" t="n">
        <f aca="false">IF($A33&gt;=1930,Paths!B$89+(Paths!B33-Paths!B$89)*slump_price,Paths!B33)</f>
        <v>0.908</v>
      </c>
      <c r="I33" s="69" t="n">
        <f aca="false">Labour!AO33</f>
        <v>0.0674737541412069</v>
      </c>
      <c r="J33" s="49" t="n">
        <f aca="false">B33*F33*(1+I33)*G33*H33/1000000</f>
        <v>883.989812239804</v>
      </c>
      <c r="K33" s="65" t="n">
        <f aca="false">Resources!O33</f>
        <v>39.06</v>
      </c>
      <c r="L33" s="49" t="n">
        <f aca="false">Labour!L33*gw_rel*J33/Labour!B33</f>
        <v>0</v>
      </c>
      <c r="M33" s="65" t="n">
        <f aca="false">Champions!AQ33</f>
        <v>9.3038341212501</v>
      </c>
      <c r="N33" s="49" t="n">
        <f aca="false">IF(Gulf!E33=1,Gulf!D33,0)</f>
        <v>0</v>
      </c>
      <c r="O33" s="49" t="n">
        <f aca="false">J33+K33+L33+M33+N33</f>
        <v>932.353646361054</v>
      </c>
      <c r="P33" s="49" t="n">
        <f aca="false">O33*1000000/(B33+People!V33+Labour!L33)</f>
        <v>314.896322337485</v>
      </c>
      <c r="Q33" s="47" t="n">
        <v>174</v>
      </c>
      <c r="R33" s="70" t="n">
        <f aca="false">P33/Q33</f>
        <v>1.80974897895106</v>
      </c>
      <c r="S33" s="49" t="n">
        <f aca="false">O33/H33</f>
        <v>1026.82119643288</v>
      </c>
    </row>
    <row r="34" customFormat="false" ht="14.25" hidden="false" customHeight="true" outlineLevel="0" collapsed="false">
      <c r="A34" s="61" t="n">
        <v>1874</v>
      </c>
      <c r="B34" s="49" t="n">
        <f aca="false">(People!B34+People!L34)/2</f>
        <v>3138063.99093579</v>
      </c>
      <c r="C34" s="66" t="n">
        <f aca="false">Paths!L34*IF($A34&gt;=1896,prod_factor,1)</f>
        <v>0.022</v>
      </c>
      <c r="D34" s="67" t="n">
        <f aca="false">IF(O33&gt;0,MIN(dev_cap,dev_return*'Debt &amp; cash'!N33/O33),0)</f>
        <v>0</v>
      </c>
      <c r="E34" s="66" t="n">
        <f aca="false">C34+D34</f>
        <v>0.022</v>
      </c>
      <c r="F34" s="49" t="n">
        <f aca="false">F33*(1+E34)</f>
        <v>321.229883731927</v>
      </c>
      <c r="G34" s="68" t="n">
        <f aca="false">1-(1-Paths!M34)*IF($A34&gt;=1930,dep_severity,1)</f>
        <v>0.97</v>
      </c>
      <c r="H34" s="68" t="n">
        <f aca="false">IF($A34&gt;=1930,Paths!B$89+(Paths!B34-Paths!B$89)*slump_price,Paths!B34)</f>
        <v>0.894</v>
      </c>
      <c r="I34" s="69" t="n">
        <f aca="false">Labour!AO34</f>
        <v>0.0712058208325809</v>
      </c>
      <c r="J34" s="49" t="n">
        <f aca="false">B34*F34*(1+I34)*G34*H34/1000000</f>
        <v>936.396782808859</v>
      </c>
      <c r="K34" s="65" t="n">
        <f aca="false">Resources!O34</f>
        <v>41.58</v>
      </c>
      <c r="L34" s="49" t="n">
        <f aca="false">Labour!L34*gw_rel*J34/Labour!B34</f>
        <v>0</v>
      </c>
      <c r="M34" s="65" t="n">
        <f aca="false">Champions!AQ34</f>
        <v>10.4426742370266</v>
      </c>
      <c r="N34" s="49" t="n">
        <f aca="false">IF(Gulf!E34=1,Gulf!D34,0)</f>
        <v>0</v>
      </c>
      <c r="O34" s="49" t="n">
        <f aca="false">J34+K34+L34+M34+N34</f>
        <v>988.419457045886</v>
      </c>
      <c r="P34" s="49" t="n">
        <f aca="false">O34*1000000/(B34+People!V34+Labour!L34)</f>
        <v>314.977470153862</v>
      </c>
      <c r="Q34" s="47" t="n">
        <v>174</v>
      </c>
      <c r="R34" s="70" t="n">
        <f aca="false">P34/Q34</f>
        <v>1.81021534571185</v>
      </c>
      <c r="S34" s="49" t="n">
        <f aca="false">O34/H34</f>
        <v>1105.61460519674</v>
      </c>
    </row>
    <row r="35" customFormat="false" ht="14.25" hidden="false" customHeight="true" outlineLevel="0" collapsed="false">
      <c r="A35" s="61" t="n">
        <v>1875</v>
      </c>
      <c r="B35" s="49" t="n">
        <f aca="false">(People!B35+People!L35)/2</f>
        <v>3318875.48376171</v>
      </c>
      <c r="C35" s="66" t="n">
        <f aca="false">Paths!L35*IF($A35&gt;=1896,prod_factor,1)</f>
        <v>0.022</v>
      </c>
      <c r="D35" s="67" t="n">
        <f aca="false">IF(O34&gt;0,MIN(dev_cap,dev_return*'Debt &amp; cash'!N34/O34),0)</f>
        <v>0</v>
      </c>
      <c r="E35" s="66" t="n">
        <f aca="false">C35+D35</f>
        <v>0.022</v>
      </c>
      <c r="F35" s="49" t="n">
        <f aca="false">F34*(1+E35)</f>
        <v>328.296941174029</v>
      </c>
      <c r="G35" s="68" t="n">
        <f aca="false">1-(1-Paths!M35)*IF($A35&gt;=1930,dep_severity,1)</f>
        <v>0.98</v>
      </c>
      <c r="H35" s="68" t="n">
        <f aca="false">IF($A35&gt;=1930,Paths!B$89+(Paths!B35-Paths!B$89)*slump_price,Paths!B35)</f>
        <v>0.88</v>
      </c>
      <c r="I35" s="69" t="n">
        <f aca="false">Labour!AO35</f>
        <v>0.0741491440315538</v>
      </c>
      <c r="J35" s="49" t="n">
        <f aca="false">B35*F35*(1+I35)*G35*H35/1000000</f>
        <v>1009.32523112637</v>
      </c>
      <c r="K35" s="65" t="n">
        <f aca="false">Resources!O35</f>
        <v>44.1</v>
      </c>
      <c r="L35" s="49" t="n">
        <f aca="false">Labour!L35*gw_rel*J35/Labour!B35</f>
        <v>0</v>
      </c>
      <c r="M35" s="65" t="n">
        <f aca="false">Champions!AQ35</f>
        <v>11.7376640213464</v>
      </c>
      <c r="N35" s="49" t="n">
        <f aca="false">IF(Gulf!E35=1,Gulf!D35,0)</f>
        <v>0</v>
      </c>
      <c r="O35" s="49" t="n">
        <f aca="false">J35+K35+L35+M35+N35</f>
        <v>1065.16289514771</v>
      </c>
      <c r="P35" s="49" t="n">
        <f aca="false">O35*1000000/(B35+People!V35+Labour!L35)</f>
        <v>320.940903133981</v>
      </c>
      <c r="Q35" s="47" t="n">
        <v>175</v>
      </c>
      <c r="R35" s="70" t="n">
        <f aca="false">P35/Q35</f>
        <v>1.83394801790846</v>
      </c>
      <c r="S35" s="49" t="n">
        <f aca="false">O35/H35</f>
        <v>1210.41238084967</v>
      </c>
    </row>
    <row r="36" customFormat="false" ht="14.25" hidden="false" customHeight="true" outlineLevel="0" collapsed="false">
      <c r="A36" s="61" t="n">
        <v>1876</v>
      </c>
      <c r="B36" s="49" t="n">
        <f aca="false">(People!B36+People!L36)/2</f>
        <v>3503811.11371277</v>
      </c>
      <c r="C36" s="66" t="n">
        <f aca="false">Paths!L36*IF($A36&gt;=1896,prod_factor,1)</f>
        <v>0.022</v>
      </c>
      <c r="D36" s="67" t="n">
        <f aca="false">IF(O35&gt;0,MIN(dev_cap,dev_return*'Debt &amp; cash'!N35/O35),0)</f>
        <v>0.00033797647443406</v>
      </c>
      <c r="E36" s="66" t="n">
        <f aca="false">C36+D36</f>
        <v>0.0223379764744341</v>
      </c>
      <c r="F36" s="49" t="n">
        <f aca="false">F35*(1+E36)</f>
        <v>335.630430522603</v>
      </c>
      <c r="G36" s="68" t="n">
        <f aca="false">1-(1-Paths!M36)*IF($A36&gt;=1930,dep_severity,1)</f>
        <v>1</v>
      </c>
      <c r="H36" s="68" t="n">
        <f aca="false">IF($A36&gt;=1930,Paths!B$89+(Paths!B36-Paths!B$89)*slump_price,Paths!B36)</f>
        <v>0.864</v>
      </c>
      <c r="I36" s="69" t="n">
        <f aca="false">Labour!AO36</f>
        <v>0.076931638755055</v>
      </c>
      <c r="J36" s="49" t="n">
        <f aca="false">B36*F36*(1+I36)*G36*H36/1000000</f>
        <v>1094.21810014834</v>
      </c>
      <c r="K36" s="65" t="n">
        <f aca="false">Resources!O36</f>
        <v>48.174</v>
      </c>
      <c r="L36" s="49" t="n">
        <f aca="false">Labour!L36*gw_rel*J36/Labour!B36</f>
        <v>0</v>
      </c>
      <c r="M36" s="65" t="n">
        <f aca="false">Champions!AQ36</f>
        <v>13.0457729637854</v>
      </c>
      <c r="N36" s="49" t="n">
        <f aca="false">IF(Gulf!E36=1,Gulf!D36,0)</f>
        <v>0</v>
      </c>
      <c r="O36" s="49" t="n">
        <f aca="false">J36+K36+L36+M36+N36</f>
        <v>1155.43787311212</v>
      </c>
      <c r="P36" s="49" t="n">
        <f aca="false">O36*1000000/(B36+People!V36+Labour!L36)</f>
        <v>329.76602779474</v>
      </c>
      <c r="Q36" s="47" t="n">
        <v>182</v>
      </c>
      <c r="R36" s="70" t="n">
        <f aca="false">P36/Q36</f>
        <v>1.81190125161945</v>
      </c>
      <c r="S36" s="49" t="n">
        <f aca="false">O36/H36</f>
        <v>1337.31235313903</v>
      </c>
    </row>
    <row r="37" customFormat="false" ht="14.25" hidden="false" customHeight="true" outlineLevel="0" collapsed="false">
      <c r="A37" s="61" t="n">
        <v>1877</v>
      </c>
      <c r="B37" s="49" t="n">
        <f aca="false">(People!B37+People!L37)/2</f>
        <v>3692384.95378765</v>
      </c>
      <c r="C37" s="66" t="n">
        <f aca="false">Paths!L37*IF($A37&gt;=1896,prod_factor,1)</f>
        <v>0.022</v>
      </c>
      <c r="D37" s="67" t="n">
        <f aca="false">IF(O36&gt;0,MIN(dev_cap,dev_return*'Debt &amp; cash'!N36/O36),0)</f>
        <v>0.000571212018714878</v>
      </c>
      <c r="E37" s="66" t="n">
        <f aca="false">C37+D37</f>
        <v>0.0225712120187149</v>
      </c>
      <c r="F37" s="49" t="n">
        <f aca="false">F36*(1+E37)</f>
        <v>343.206016129862</v>
      </c>
      <c r="G37" s="68" t="n">
        <f aca="false">1-(1-Paths!M37)*IF($A37&gt;=1930,dep_severity,1)</f>
        <v>0.98</v>
      </c>
      <c r="H37" s="68" t="n">
        <f aca="false">IF($A37&gt;=1930,Paths!B$89+(Paths!B37-Paths!B$89)*slump_price,Paths!B37)</f>
        <v>0.848</v>
      </c>
      <c r="I37" s="69" t="n">
        <f aca="false">Labour!AO37</f>
        <v>0.080086834851742</v>
      </c>
      <c r="J37" s="49" t="n">
        <f aca="false">B37*F37*(1+I37)*G37*H37/1000000</f>
        <v>1137.47658412024</v>
      </c>
      <c r="K37" s="65" t="n">
        <f aca="false">Resources!O37</f>
        <v>52.2473</v>
      </c>
      <c r="L37" s="49" t="n">
        <f aca="false">Labour!L37*gw_rel*J37/Labour!B37</f>
        <v>0</v>
      </c>
      <c r="M37" s="65" t="n">
        <f aca="false">Champions!AQ37</f>
        <v>14.1919827167283</v>
      </c>
      <c r="N37" s="49" t="n">
        <f aca="false">IF(Gulf!E37=1,Gulf!D37,0)</f>
        <v>0</v>
      </c>
      <c r="O37" s="49" t="n">
        <f aca="false">J37+K37+L37+M37+N37</f>
        <v>1203.91586683697</v>
      </c>
      <c r="P37" s="49" t="n">
        <f aca="false">O37*1000000/(B37+People!V37+Labour!L37)</f>
        <v>326.053724599325</v>
      </c>
      <c r="Q37" s="47" t="n">
        <v>188</v>
      </c>
      <c r="R37" s="70" t="n">
        <f aca="false">P37/Q37</f>
        <v>1.73432832233683</v>
      </c>
      <c r="S37" s="49" t="n">
        <f aca="false">O37/H37</f>
        <v>1419.71210711907</v>
      </c>
    </row>
    <row r="38" customFormat="false" ht="14.25" hidden="false" customHeight="true" outlineLevel="0" collapsed="false">
      <c r="A38" s="61" t="n">
        <v>1878</v>
      </c>
      <c r="B38" s="49" t="n">
        <f aca="false">(People!B38+People!L38)/2</f>
        <v>3880974.89954423</v>
      </c>
      <c r="C38" s="66" t="n">
        <f aca="false">Paths!L38*IF($A38&gt;=1896,prod_factor,1)</f>
        <v>0.022</v>
      </c>
      <c r="D38" s="67" t="n">
        <f aca="false">IF(O37&gt;0,MIN(dev_cap,dev_return*'Debt &amp; cash'!N37/O37),0)</f>
        <v>0.000548211065391147</v>
      </c>
      <c r="E38" s="66" t="n">
        <f aca="false">C38+D38</f>
        <v>0.0225482110653911</v>
      </c>
      <c r="F38" s="49" t="n">
        <f aca="false">F37*(1+E38)</f>
        <v>350.94469782047</v>
      </c>
      <c r="G38" s="68" t="n">
        <f aca="false">1-(1-Paths!M38)*IF($A38&gt;=1930,dep_severity,1)</f>
        <v>1</v>
      </c>
      <c r="H38" s="68" t="n">
        <f aca="false">IF($A38&gt;=1930,Paths!B$89+(Paths!B38-Paths!B$89)*slump_price,Paths!B38)</f>
        <v>0.832</v>
      </c>
      <c r="I38" s="69" t="n">
        <f aca="false">Labour!AO38</f>
        <v>0.0825490712829962</v>
      </c>
      <c r="J38" s="49" t="n">
        <f aca="false">B38*F38*(1+I38)*G38*H38/1000000</f>
        <v>1226.73409897454</v>
      </c>
      <c r="K38" s="65" t="n">
        <f aca="false">Resources!O38</f>
        <v>40.9199</v>
      </c>
      <c r="L38" s="49" t="n">
        <f aca="false">Labour!L38*gw_rel*J38/Labour!B38</f>
        <v>0</v>
      </c>
      <c r="M38" s="65" t="n">
        <f aca="false">Champions!AQ38</f>
        <v>15.5013957795164</v>
      </c>
      <c r="N38" s="49" t="n">
        <f aca="false">IF(Gulf!E38=1,Gulf!D38,0)</f>
        <v>0</v>
      </c>
      <c r="O38" s="49" t="n">
        <f aca="false">J38+K38+L38+M38+N38</f>
        <v>1283.15539475405</v>
      </c>
      <c r="P38" s="49" t="n">
        <f aca="false">O38*1000000/(B38+People!V38+Labour!L38)</f>
        <v>330.627079011705</v>
      </c>
      <c r="Q38" s="47" t="n">
        <v>195</v>
      </c>
      <c r="R38" s="70" t="n">
        <f aca="false">P38/Q38</f>
        <v>1.69552348211131</v>
      </c>
      <c r="S38" s="49" t="n">
        <f aca="false">O38/H38</f>
        <v>1542.25408023324</v>
      </c>
    </row>
    <row r="39" customFormat="false" ht="14.25" hidden="false" customHeight="true" outlineLevel="0" collapsed="false">
      <c r="A39" s="61" t="n">
        <v>1879</v>
      </c>
      <c r="B39" s="49" t="n">
        <f aca="false">(People!B39+People!L39)/2</f>
        <v>4067741.01542486</v>
      </c>
      <c r="C39" s="66" t="n">
        <f aca="false">Paths!L39*IF($A39&gt;=1896,prod_factor,1)</f>
        <v>0.022</v>
      </c>
      <c r="D39" s="67" t="n">
        <f aca="false">IF(O38&gt;0,MIN(dev_cap,dev_return*'Debt &amp; cash'!N38/O38),0)</f>
        <v>0.00109885365853935</v>
      </c>
      <c r="E39" s="66" t="n">
        <f aca="false">C39+D39</f>
        <v>0.0230988536585394</v>
      </c>
      <c r="F39" s="49" t="n">
        <f aca="false">F38*(1+E39)</f>
        <v>359.051118037665</v>
      </c>
      <c r="G39" s="68" t="n">
        <f aca="false">1-(1-Paths!M39)*IF($A39&gt;=1930,dep_severity,1)</f>
        <v>1</v>
      </c>
      <c r="H39" s="68" t="n">
        <f aca="false">IF($A39&gt;=1930,Paths!B$89+(Paths!B39-Paths!B$89)*slump_price,Paths!B39)</f>
        <v>0.816</v>
      </c>
      <c r="I39" s="69" t="n">
        <f aca="false">Labour!AO39</f>
        <v>0.0828670379166552</v>
      </c>
      <c r="J39" s="49" t="n">
        <f aca="false">B39*F39*(1+I39)*G39*H39/1000000</f>
        <v>1290.55010596261</v>
      </c>
      <c r="K39" s="65" t="n">
        <f aca="false">Resources!O39</f>
        <v>32.3918</v>
      </c>
      <c r="L39" s="49" t="n">
        <f aca="false">Labour!L39*gw_rel*J39/Labour!B39</f>
        <v>0</v>
      </c>
      <c r="M39" s="65" t="n">
        <f aca="false">Champions!AQ39</f>
        <v>16.589835728296</v>
      </c>
      <c r="N39" s="49" t="n">
        <f aca="false">IF(Gulf!E39=1,Gulf!D39,0)</f>
        <v>0</v>
      </c>
      <c r="O39" s="49" t="n">
        <f aca="false">J39+K39+L39+M39+N39</f>
        <v>1339.5317416909</v>
      </c>
      <c r="P39" s="49" t="n">
        <f aca="false">O39*1000000/(B39+People!V39+Labour!L39)</f>
        <v>329.306053805147</v>
      </c>
      <c r="Q39" s="47" t="n">
        <v>201</v>
      </c>
      <c r="R39" s="70" t="n">
        <f aca="false">P39/Q39</f>
        <v>1.63833857614501</v>
      </c>
      <c r="S39" s="49" t="n">
        <f aca="false">O39/H39</f>
        <v>1641.58301677807</v>
      </c>
    </row>
    <row r="40" customFormat="false" ht="14.25" hidden="false" customHeight="true" outlineLevel="0" collapsed="false">
      <c r="A40" s="61" t="n">
        <v>1880</v>
      </c>
      <c r="B40" s="49" t="n">
        <f aca="false">(People!B40+People!L40)/2</f>
        <v>4260629.47636749</v>
      </c>
      <c r="C40" s="66" t="n">
        <f aca="false">Paths!L40*IF($A40&gt;=1896,prod_factor,1)</f>
        <v>0.022</v>
      </c>
      <c r="D40" s="67" t="n">
        <f aca="false">IF(O39&gt;0,MIN(dev_cap,dev_return*'Debt &amp; cash'!N39/O39),0)</f>
        <v>0.00105260663567415</v>
      </c>
      <c r="E40" s="66" t="n">
        <f aca="false">C40+D40</f>
        <v>0.0230526066356742</v>
      </c>
      <c r="F40" s="49" t="n">
        <f aca="false">F39*(1+E40)</f>
        <v>367.328182223886</v>
      </c>
      <c r="G40" s="68" t="n">
        <f aca="false">1-(1-Paths!M40)*IF($A40&gt;=1930,dep_severity,1)</f>
        <v>1</v>
      </c>
      <c r="H40" s="68" t="n">
        <f aca="false">IF($A40&gt;=1930,Paths!B$89+(Paths!B40-Paths!B$89)*slump_price,Paths!B40)</f>
        <v>0.8</v>
      </c>
      <c r="I40" s="69" t="n">
        <f aca="false">Labour!AO40</f>
        <v>0.0822953130286811</v>
      </c>
      <c r="J40" s="49" t="n">
        <f aca="false">B40*F40*(1+I40)*G40*H40/1000000</f>
        <v>1355.0764009142</v>
      </c>
      <c r="K40" s="65" t="n">
        <f aca="false">Resources!O40</f>
        <v>30.933</v>
      </c>
      <c r="L40" s="49" t="n">
        <f aca="false">Labour!L40*gw_rel*J40/Labour!B40</f>
        <v>0</v>
      </c>
      <c r="M40" s="65" t="n">
        <f aca="false">Champions!AQ40</f>
        <v>17.8653867732653</v>
      </c>
      <c r="N40" s="49" t="n">
        <f aca="false">IF(Gulf!E40=1,Gulf!D40,0)</f>
        <v>0</v>
      </c>
      <c r="O40" s="49" t="n">
        <f aca="false">J40+K40+L40+M40+N40</f>
        <v>1403.87478768746</v>
      </c>
      <c r="P40" s="49" t="n">
        <f aca="false">O40*1000000/(B40+People!V40+Labour!L40)</f>
        <v>329.499383946518</v>
      </c>
      <c r="Q40" s="47" t="n">
        <v>208</v>
      </c>
      <c r="R40" s="70" t="n">
        <f aca="false">P40/Q40</f>
        <v>1.58413165358903</v>
      </c>
      <c r="S40" s="49" t="n">
        <f aca="false">O40/H40</f>
        <v>1754.84348460933</v>
      </c>
    </row>
    <row r="41" customFormat="false" ht="14.25" hidden="false" customHeight="true" outlineLevel="0" collapsed="false">
      <c r="A41" s="61" t="n">
        <v>1881</v>
      </c>
      <c r="B41" s="49" t="n">
        <f aca="false">(People!B41+People!L41)/2</f>
        <v>4459103.500746</v>
      </c>
      <c r="C41" s="66" t="n">
        <f aca="false">Paths!L41*IF($A41&gt;=1896,prod_factor,1)</f>
        <v>0.018</v>
      </c>
      <c r="D41" s="67" t="n">
        <f aca="false">IF(O40&gt;0,MIN(dev_cap,dev_return*'Debt &amp; cash'!N40/O40),0)</f>
        <v>0.012</v>
      </c>
      <c r="E41" s="66" t="n">
        <f aca="false">C41+D41</f>
        <v>0.03</v>
      </c>
      <c r="F41" s="49" t="n">
        <f aca="false">F40*(1+E41)</f>
        <v>378.348027690603</v>
      </c>
      <c r="G41" s="68" t="n">
        <f aca="false">1-(1-Paths!M41)*IF($A41&gt;=1930,dep_severity,1)</f>
        <v>1</v>
      </c>
      <c r="H41" s="68" t="n">
        <f aca="false">IF($A41&gt;=1930,Paths!B$89+(Paths!B41-Paths!B$89)*slump_price,Paths!B41)</f>
        <v>0.788</v>
      </c>
      <c r="I41" s="69" t="n">
        <f aca="false">Labour!AO41</f>
        <v>0.0794164022312544</v>
      </c>
      <c r="J41" s="49" t="n">
        <f aca="false">B41*F41*(1+I41)*G41*H41/1000000</f>
        <v>1435.00778732391</v>
      </c>
      <c r="K41" s="65" t="n">
        <f aca="false">Resources!O41</f>
        <v>31.17562</v>
      </c>
      <c r="L41" s="49" t="n">
        <f aca="false">Labour!L41*gw_rel*J41/Labour!B41</f>
        <v>0</v>
      </c>
      <c r="M41" s="65" t="n">
        <f aca="false">Champions!AQ41</f>
        <v>20.4579646710109</v>
      </c>
      <c r="N41" s="49" t="n">
        <f aca="false">IF(Gulf!E41=1,Gulf!D41,0)</f>
        <v>0</v>
      </c>
      <c r="O41" s="49" t="n">
        <f aca="false">J41+K41+L41+M41+N41</f>
        <v>1486.64137199492</v>
      </c>
      <c r="P41" s="49" t="n">
        <f aca="false">O41*1000000/(B41+People!V41+Labour!L41)</f>
        <v>333.394677146697</v>
      </c>
      <c r="Q41" s="47" t="n">
        <v>207</v>
      </c>
      <c r="R41" s="70" t="n">
        <f aca="false">P41/Q41</f>
        <v>1.61060230505651</v>
      </c>
      <c r="S41" s="49" t="n">
        <f aca="false">O41/H41</f>
        <v>1886.60072588188</v>
      </c>
    </row>
    <row r="42" customFormat="false" ht="14.25" hidden="false" customHeight="true" outlineLevel="0" collapsed="false">
      <c r="A42" s="61" t="n">
        <v>1882</v>
      </c>
      <c r="B42" s="49" t="n">
        <f aca="false">(People!B42+People!L42)/2</f>
        <v>4664791.08173171</v>
      </c>
      <c r="C42" s="66" t="n">
        <f aca="false">Paths!L42*IF($A42&gt;=1896,prod_factor,1)</f>
        <v>0.018</v>
      </c>
      <c r="D42" s="67" t="n">
        <f aca="false">IF(O41&gt;0,MIN(dev_cap,dev_return*'Debt &amp; cash'!N41/O41),0)</f>
        <v>0.0116953816135405</v>
      </c>
      <c r="E42" s="66" t="n">
        <f aca="false">C42+D42</f>
        <v>0.0296953816135405</v>
      </c>
      <c r="F42" s="49" t="n">
        <f aca="false">F41*(1+E42)</f>
        <v>389.583216755606</v>
      </c>
      <c r="G42" s="68" t="n">
        <f aca="false">1-(1-Paths!M42)*IF($A42&gt;=1930,dep_severity,1)</f>
        <v>1</v>
      </c>
      <c r="H42" s="68" t="n">
        <f aca="false">IF($A42&gt;=1930,Paths!B$89+(Paths!B42-Paths!B$89)*slump_price,Paths!B42)</f>
        <v>0.776</v>
      </c>
      <c r="I42" s="69" t="n">
        <f aca="false">Labour!AO42</f>
        <v>0.0755209837377624</v>
      </c>
      <c r="J42" s="49" t="n">
        <f aca="false">B42*F42*(1+I42)*G42*H42/1000000</f>
        <v>1516.7466576856</v>
      </c>
      <c r="K42" s="65" t="n">
        <f aca="false">Resources!O42</f>
        <v>31.40312</v>
      </c>
      <c r="L42" s="49" t="n">
        <f aca="false">Labour!L42*gw_rel*J42/Labour!B42</f>
        <v>0</v>
      </c>
      <c r="M42" s="65" t="n">
        <f aca="false">Champions!AQ42</f>
        <v>22.4187636081173</v>
      </c>
      <c r="N42" s="49" t="n">
        <f aca="false">IF(Gulf!E42=1,Gulf!D42,0)</f>
        <v>0</v>
      </c>
      <c r="O42" s="49" t="n">
        <f aca="false">J42+K42+L42+M42+N42</f>
        <v>1570.56854129372</v>
      </c>
      <c r="P42" s="49" t="n">
        <f aca="false">O42*1000000/(B42+People!V42+Labour!L42)</f>
        <v>336.685719419331</v>
      </c>
      <c r="Q42" s="47" t="n">
        <v>207</v>
      </c>
      <c r="R42" s="70" t="n">
        <f aca="false">P42/Q42</f>
        <v>1.62650105999677</v>
      </c>
      <c r="S42" s="49" t="n">
        <f aca="false">O42/H42</f>
        <v>2023.928532595</v>
      </c>
    </row>
    <row r="43" customFormat="false" ht="14.25" hidden="false" customHeight="true" outlineLevel="0" collapsed="false">
      <c r="A43" s="61" t="n">
        <v>1883</v>
      </c>
      <c r="B43" s="49" t="n">
        <f aca="false">(People!B43+People!L43)/2</f>
        <v>4881363.13986926</v>
      </c>
      <c r="C43" s="66" t="n">
        <f aca="false">Paths!L43*IF($A43&gt;=1896,prod_factor,1)</f>
        <v>0.018</v>
      </c>
      <c r="D43" s="67" t="n">
        <f aca="false">IF(O42&gt;0,MIN(dev_cap,dev_return*'Debt &amp; cash'!N42/O42),0)</f>
        <v>0.00972656639606146</v>
      </c>
      <c r="E43" s="66" t="n">
        <f aca="false">C43+D43</f>
        <v>0.0277265663960615</v>
      </c>
      <c r="F43" s="49" t="n">
        <f aca="false">F42*(1+E43)</f>
        <v>400.385021681771</v>
      </c>
      <c r="G43" s="68" t="n">
        <f aca="false">1-(1-Paths!M43)*IF($A43&gt;=1930,dep_severity,1)</f>
        <v>1</v>
      </c>
      <c r="H43" s="68" t="n">
        <f aca="false">IF($A43&gt;=1930,Paths!B$89+(Paths!B43-Paths!B$89)*slump_price,Paths!B43)</f>
        <v>0.764</v>
      </c>
      <c r="I43" s="69" t="n">
        <f aca="false">Labour!AO43</f>
        <v>0.072163393018632</v>
      </c>
      <c r="J43" s="49" t="n">
        <f aca="false">B43*F43*(1+I43)*G43*H43/1000000</f>
        <v>1600.9334289801</v>
      </c>
      <c r="K43" s="65" t="n">
        <f aca="false">Resources!O43</f>
        <v>31.63944</v>
      </c>
      <c r="L43" s="49" t="n">
        <f aca="false">Labour!L43*gw_rel*J43/Labour!B43</f>
        <v>0</v>
      </c>
      <c r="M43" s="65" t="n">
        <f aca="false">Champions!AQ43</f>
        <v>24.3965432203244</v>
      </c>
      <c r="N43" s="49" t="n">
        <f aca="false">IF(Gulf!E43=1,Gulf!D43,0)</f>
        <v>0</v>
      </c>
      <c r="O43" s="49" t="n">
        <f aca="false">J43+K43+L43+M43+N43</f>
        <v>1656.96941220042</v>
      </c>
      <c r="P43" s="49" t="n">
        <f aca="false">O43*1000000/(B43+People!V43+Labour!L43)</f>
        <v>339.448093641483</v>
      </c>
      <c r="Q43" s="47" t="n">
        <v>206</v>
      </c>
      <c r="R43" s="70" t="n">
        <f aca="false">P43/Q43</f>
        <v>1.64780627981302</v>
      </c>
      <c r="S43" s="49" t="n">
        <f aca="false">O43/H43</f>
        <v>2168.80813115238</v>
      </c>
    </row>
    <row r="44" customFormat="false" ht="14.25" hidden="false" customHeight="true" outlineLevel="0" collapsed="false">
      <c r="A44" s="61" t="n">
        <v>1884</v>
      </c>
      <c r="B44" s="49" t="n">
        <f aca="false">(People!B44+People!L44)/2</f>
        <v>5103568.84019685</v>
      </c>
      <c r="C44" s="66" t="n">
        <f aca="false">Paths!L44*IF($A44&gt;=1896,prod_factor,1)</f>
        <v>0.018</v>
      </c>
      <c r="D44" s="67" t="n">
        <f aca="false">IF(O43&gt;0,MIN(dev_cap,dev_return*'Debt &amp; cash'!N43/O43),0)</f>
        <v>0.00896112246032549</v>
      </c>
      <c r="E44" s="66" t="n">
        <f aca="false">C44+D44</f>
        <v>0.0269611224603255</v>
      </c>
      <c r="F44" s="49" t="n">
        <f aca="false">F43*(1+E44)</f>
        <v>411.179851282614</v>
      </c>
      <c r="G44" s="68" t="n">
        <f aca="false">1-(1-Paths!M44)*IF($A44&gt;=1930,dep_severity,1)</f>
        <v>0.98</v>
      </c>
      <c r="H44" s="68" t="n">
        <f aca="false">IF($A44&gt;=1930,Paths!B$89+(Paths!B44-Paths!B$89)*slump_price,Paths!B44)</f>
        <v>0.752</v>
      </c>
      <c r="I44" s="69" t="n">
        <f aca="false">Labour!AO44</f>
        <v>0.0694870802531406</v>
      </c>
      <c r="J44" s="49" t="n">
        <f aca="false">B44*F44*(1+I44)*G44*H44/1000000</f>
        <v>1653.96098605988</v>
      </c>
      <c r="K44" s="65" t="n">
        <f aca="false">Resources!O44</f>
        <v>31.8724</v>
      </c>
      <c r="L44" s="49" t="n">
        <f aca="false">Labour!L44*gw_rel*J44/Labour!B44</f>
        <v>0</v>
      </c>
      <c r="M44" s="65" t="n">
        <f aca="false">Champions!AQ44</f>
        <v>26.1263646568533</v>
      </c>
      <c r="N44" s="49" t="n">
        <f aca="false">IF(Gulf!E44=1,Gulf!D44,0)</f>
        <v>0</v>
      </c>
      <c r="O44" s="49" t="n">
        <f aca="false">J44+K44+L44+M44+N44</f>
        <v>1711.95975071673</v>
      </c>
      <c r="P44" s="49" t="n">
        <f aca="false">O44*1000000/(B44+People!V44+Labour!L44)</f>
        <v>335.443648223759</v>
      </c>
      <c r="Q44" s="47" t="n">
        <v>206</v>
      </c>
      <c r="R44" s="70" t="n">
        <f aca="false">P44/Q44</f>
        <v>1.62836722438718</v>
      </c>
      <c r="S44" s="49" t="n">
        <f aca="false">O44/H44</f>
        <v>2276.54222169778</v>
      </c>
    </row>
    <row r="45" customFormat="false" ht="14.25" hidden="false" customHeight="true" outlineLevel="0" collapsed="false">
      <c r="A45" s="61" t="n">
        <v>1885</v>
      </c>
      <c r="B45" s="49" t="n">
        <f aca="false">(People!B45+People!L45)/2</f>
        <v>5328119.57860022</v>
      </c>
      <c r="C45" s="66" t="n">
        <f aca="false">Paths!L45*IF($A45&gt;=1896,prod_factor,1)</f>
        <v>0.018</v>
      </c>
      <c r="D45" s="67" t="n">
        <f aca="false">IF(O44&gt;0,MIN(dev_cap,dev_return*'Debt &amp; cash'!N44/O44),0)</f>
        <v>0.0089356802374042</v>
      </c>
      <c r="E45" s="66" t="n">
        <f aca="false">C45+D45</f>
        <v>0.0269356802374042</v>
      </c>
      <c r="F45" s="49" t="n">
        <f aca="false">F44*(1+E45)</f>
        <v>422.255260276826</v>
      </c>
      <c r="G45" s="68" t="n">
        <f aca="false">1-(1-Paths!M45)*IF($A45&gt;=1930,dep_severity,1)</f>
        <v>0.98</v>
      </c>
      <c r="H45" s="68" t="n">
        <f aca="false">IF($A45&gt;=1930,Paths!B$89+(Paths!B45-Paths!B$89)*slump_price,Paths!B45)</f>
        <v>0.74</v>
      </c>
      <c r="I45" s="69" t="n">
        <f aca="false">Labour!AO45</f>
        <v>0.0676466813932011</v>
      </c>
      <c r="J45" s="49" t="n">
        <f aca="false">B45*F45*(1+I45)*G45*H45/1000000</f>
        <v>1741.94477143268</v>
      </c>
      <c r="K45" s="65" t="n">
        <f aca="false">Resources!O45</f>
        <v>32.27</v>
      </c>
      <c r="L45" s="49" t="n">
        <f aca="false">Labour!L45*gw_rel*J45/Labour!B45</f>
        <v>0</v>
      </c>
      <c r="M45" s="65" t="n">
        <f aca="false">Champions!AQ45</f>
        <v>30.5480353902032</v>
      </c>
      <c r="N45" s="49" t="n">
        <f aca="false">IF(Gulf!E45=1,Gulf!D45,0)</f>
        <v>0</v>
      </c>
      <c r="O45" s="49" t="n">
        <f aca="false">J45+K45+L45+M45+N45</f>
        <v>1804.76280682288</v>
      </c>
      <c r="P45" s="49" t="n">
        <f aca="false">O45*1000000/(B45+People!V45+Labour!L45)</f>
        <v>338.724155905116</v>
      </c>
      <c r="Q45" s="47" t="n">
        <v>205</v>
      </c>
      <c r="R45" s="70" t="n">
        <f aca="false">P45/Q45</f>
        <v>1.65231295563471</v>
      </c>
      <c r="S45" s="49" t="n">
        <f aca="false">O45/H45</f>
        <v>2438.86865786876</v>
      </c>
    </row>
    <row r="46" customFormat="false" ht="14.25" hidden="false" customHeight="true" outlineLevel="0" collapsed="false">
      <c r="A46" s="61" t="n">
        <v>1886</v>
      </c>
      <c r="B46" s="49" t="n">
        <f aca="false">(People!B46+People!L46)/2</f>
        <v>5557417.77499788</v>
      </c>
      <c r="C46" s="66" t="n">
        <f aca="false">Paths!L46*IF($A46&gt;=1896,prod_factor,1)</f>
        <v>0.018</v>
      </c>
      <c r="D46" s="67" t="n">
        <f aca="false">IF(O45&gt;0,MIN(dev_cap,dev_return*'Debt &amp; cash'!N45/O45),0)</f>
        <v>0.00838133776881868</v>
      </c>
      <c r="E46" s="66" t="n">
        <f aca="false">C46+D46</f>
        <v>0.0263813377688187</v>
      </c>
      <c r="F46" s="49" t="n">
        <f aca="false">F45*(1+E46)</f>
        <v>433.394918922849</v>
      </c>
      <c r="G46" s="68" t="n">
        <f aca="false">1-(1-Paths!M46)*IF($A46&gt;=1930,dep_severity,1)</f>
        <v>1</v>
      </c>
      <c r="H46" s="68" t="n">
        <f aca="false">IF($A46&gt;=1930,Paths!B$89+(Paths!B46-Paths!B$89)*slump_price,Paths!B46)</f>
        <v>0.738</v>
      </c>
      <c r="I46" s="69" t="n">
        <f aca="false">Labour!AO46</f>
        <v>0.0658256283324314</v>
      </c>
      <c r="J46" s="49" t="n">
        <f aca="false">B46*F46*(1+I46)*G46*H46/1000000</f>
        <v>1894.52081792143</v>
      </c>
      <c r="K46" s="65" t="n">
        <f aca="false">Resources!O46</f>
        <v>34.888</v>
      </c>
      <c r="L46" s="49" t="n">
        <f aca="false">Labour!L46*gw_rel*J46/Labour!B46</f>
        <v>0</v>
      </c>
      <c r="M46" s="65" t="n">
        <f aca="false">Champions!AQ46</f>
        <v>33.973205665235</v>
      </c>
      <c r="N46" s="49" t="n">
        <f aca="false">IF(Gulf!E46=1,Gulf!D46,0)</f>
        <v>0</v>
      </c>
      <c r="O46" s="49" t="n">
        <f aca="false">J46+K46+L46+M46+N46</f>
        <v>1963.38202358666</v>
      </c>
      <c r="P46" s="49" t="n">
        <f aca="false">O46*1000000/(B46+People!V46+Labour!L46)</f>
        <v>353.290341499908</v>
      </c>
      <c r="Q46" s="47" t="n">
        <v>206</v>
      </c>
      <c r="R46" s="70" t="n">
        <f aca="false">P46/Q46</f>
        <v>1.71500165776654</v>
      </c>
      <c r="S46" s="49" t="n">
        <f aca="false">O46/H46</f>
        <v>2660.40924605239</v>
      </c>
    </row>
    <row r="47" customFormat="false" ht="14.25" hidden="false" customHeight="true" outlineLevel="0" collapsed="false">
      <c r="A47" s="61" t="n">
        <v>1887</v>
      </c>
      <c r="B47" s="49" t="n">
        <f aca="false">(People!B47+People!L47)/2</f>
        <v>5802143.60520823</v>
      </c>
      <c r="C47" s="66" t="n">
        <f aca="false">Paths!L47*IF($A47&gt;=1896,prod_factor,1)</f>
        <v>0.018</v>
      </c>
      <c r="D47" s="67" t="n">
        <f aca="false">IF(O46&gt;0,MIN(dev_cap,dev_return*'Debt &amp; cash'!N46/O46),0)</f>
        <v>0.00780680775955892</v>
      </c>
      <c r="E47" s="66" t="n">
        <f aca="false">C47+D47</f>
        <v>0.0258068077595589</v>
      </c>
      <c r="F47" s="49" t="n">
        <f aca="false">F46*(1+E47)</f>
        <v>444.579458279461</v>
      </c>
      <c r="G47" s="68" t="n">
        <f aca="false">1-(1-Paths!M47)*IF($A47&gt;=1930,dep_severity,1)</f>
        <v>1</v>
      </c>
      <c r="H47" s="68" t="n">
        <f aca="false">IF($A47&gt;=1930,Paths!B$89+(Paths!B47-Paths!B$89)*slump_price,Paths!B47)</f>
        <v>0.736</v>
      </c>
      <c r="I47" s="69" t="n">
        <f aca="false">Labour!AO47</f>
        <v>0.0648422114125574</v>
      </c>
      <c r="J47" s="49" t="n">
        <f aca="false">B47*F47*(1+I47)*G47*H47/1000000</f>
        <v>2021.62657956252</v>
      </c>
      <c r="K47" s="65" t="n">
        <f aca="false">Resources!O47</f>
        <v>37.933</v>
      </c>
      <c r="L47" s="49" t="n">
        <f aca="false">Labour!L47*gw_rel*J47/Labour!B47</f>
        <v>0</v>
      </c>
      <c r="M47" s="65" t="n">
        <f aca="false">Champions!AQ47</f>
        <v>37.0086486573612</v>
      </c>
      <c r="N47" s="49" t="n">
        <f aca="false">IF(Gulf!E47=1,Gulf!D47,0)</f>
        <v>0</v>
      </c>
      <c r="O47" s="49" t="n">
        <f aca="false">J47+K47+L47+M47+N47</f>
        <v>2096.56822821989</v>
      </c>
      <c r="P47" s="49" t="n">
        <f aca="false">O47*1000000/(B47+People!V47+Labour!L47)</f>
        <v>361.34373274352</v>
      </c>
      <c r="Q47" s="47" t="n">
        <v>206</v>
      </c>
      <c r="R47" s="70" t="n">
        <f aca="false">P47/Q47</f>
        <v>1.75409579001709</v>
      </c>
      <c r="S47" s="49" t="n">
        <f aca="false">O47/H47</f>
        <v>2848.59813616832</v>
      </c>
    </row>
    <row r="48" customFormat="false" ht="14.25" hidden="false" customHeight="true" outlineLevel="0" collapsed="false">
      <c r="A48" s="61" t="n">
        <v>1888</v>
      </c>
      <c r="B48" s="49" t="n">
        <f aca="false">(People!B48+People!L48)/2</f>
        <v>6048126.75038367</v>
      </c>
      <c r="C48" s="66" t="n">
        <f aca="false">Paths!L48*IF($A48&gt;=1896,prod_factor,1)</f>
        <v>0.018</v>
      </c>
      <c r="D48" s="67" t="n">
        <f aca="false">IF(O47&gt;0,MIN(dev_cap,dev_return*'Debt &amp; cash'!N47/O47),0)</f>
        <v>0.012</v>
      </c>
      <c r="E48" s="66" t="n">
        <f aca="false">C48+D48</f>
        <v>0.03</v>
      </c>
      <c r="F48" s="49" t="n">
        <f aca="false">F47*(1+E48)</f>
        <v>457.916842027844</v>
      </c>
      <c r="G48" s="68" t="n">
        <f aca="false">1-(1-Paths!M48)*IF($A48&gt;=1930,dep_severity,1)</f>
        <v>1</v>
      </c>
      <c r="H48" s="68" t="n">
        <f aca="false">IF($A48&gt;=1930,Paths!B$89+(Paths!B48-Paths!B$89)*slump_price,Paths!B48)</f>
        <v>0.734</v>
      </c>
      <c r="I48" s="69" t="n">
        <f aca="false">Labour!AO48</f>
        <v>0.064884370693086</v>
      </c>
      <c r="J48" s="49" t="n">
        <f aca="false">B48*F48*(1+I48)*G48*H48/1000000</f>
        <v>2164.74135512849</v>
      </c>
      <c r="K48" s="65" t="n">
        <f aca="false">Resources!O48</f>
        <v>40.88</v>
      </c>
      <c r="L48" s="49" t="n">
        <f aca="false">Labour!L48*gw_rel*J48/Labour!B48</f>
        <v>0</v>
      </c>
      <c r="M48" s="65" t="n">
        <f aca="false">Champions!AQ48</f>
        <v>39.9301692389443</v>
      </c>
      <c r="N48" s="49" t="n">
        <f aca="false">IF(Gulf!E48=1,Gulf!D48,0)</f>
        <v>0</v>
      </c>
      <c r="O48" s="49" t="n">
        <f aca="false">J48+K48+L48+M48+N48</f>
        <v>2245.55152436743</v>
      </c>
      <c r="P48" s="49" t="n">
        <f aca="false">O48*1000000/(B48+People!V48+Labour!L48)</f>
        <v>371.280500069709</v>
      </c>
      <c r="Q48" s="47" t="n">
        <v>207</v>
      </c>
      <c r="R48" s="70" t="n">
        <f aca="false">P48/Q48</f>
        <v>1.79362560420149</v>
      </c>
      <c r="S48" s="49" t="n">
        <f aca="false">O48/H48</f>
        <v>3059.33450186299</v>
      </c>
    </row>
    <row r="49" customFormat="false" ht="14.25" hidden="false" customHeight="true" outlineLevel="0" collapsed="false">
      <c r="A49" s="61" t="n">
        <v>1889</v>
      </c>
      <c r="B49" s="49" t="n">
        <f aca="false">(People!B49+People!L49)/2</f>
        <v>6292494.7001753</v>
      </c>
      <c r="C49" s="66" t="n">
        <f aca="false">Paths!L49*IF($A49&gt;=1896,prod_factor,1)</f>
        <v>0.018</v>
      </c>
      <c r="D49" s="67" t="n">
        <f aca="false">IF(O48&gt;0,MIN(dev_cap,dev_return*'Debt &amp; cash'!N48/O48),0)</f>
        <v>0.00969034661726089</v>
      </c>
      <c r="E49" s="66" t="n">
        <f aca="false">C49+D49</f>
        <v>0.0276903466172609</v>
      </c>
      <c r="F49" s="49" t="n">
        <f aca="false">F48*(1+E49)</f>
        <v>470.596718105477</v>
      </c>
      <c r="G49" s="68" t="n">
        <f aca="false">1-(1-Paths!M49)*IF($A49&gt;=1930,dep_severity,1)</f>
        <v>1</v>
      </c>
      <c r="H49" s="68" t="n">
        <f aca="false">IF($A49&gt;=1930,Paths!B$89+(Paths!B49-Paths!B$89)*slump_price,Paths!B49)</f>
        <v>0.732</v>
      </c>
      <c r="I49" s="69" t="n">
        <f aca="false">Labour!AO49</f>
        <v>0.0654449924963827</v>
      </c>
      <c r="J49" s="49" t="n">
        <f aca="false">B49*F49*(1+I49)*G49*H49/1000000</f>
        <v>2309.47819503149</v>
      </c>
      <c r="K49" s="65" t="n">
        <f aca="false">Resources!O49</f>
        <v>43.96</v>
      </c>
      <c r="L49" s="49" t="n">
        <f aca="false">Labour!L49*gw_rel*J49/Labour!B49</f>
        <v>0</v>
      </c>
      <c r="M49" s="65" t="n">
        <f aca="false">Champions!AQ49</f>
        <v>43.3229380574133</v>
      </c>
      <c r="N49" s="49" t="n">
        <f aca="false">IF(Gulf!E49=1,Gulf!D49,0)</f>
        <v>0</v>
      </c>
      <c r="O49" s="49" t="n">
        <f aca="false">J49+K49+L49+M49+N49</f>
        <v>2396.7611330889</v>
      </c>
      <c r="P49" s="49" t="n">
        <f aca="false">O49*1000000/(B49+People!V49+Labour!L49)</f>
        <v>380.892038418742</v>
      </c>
      <c r="Q49" s="47" t="n">
        <v>207</v>
      </c>
      <c r="R49" s="70" t="n">
        <f aca="false">P49/Q49</f>
        <v>1.84005815661228</v>
      </c>
      <c r="S49" s="49" t="n">
        <f aca="false">O49/H49</f>
        <v>3274.26384301762</v>
      </c>
    </row>
    <row r="50" customFormat="false" ht="14.25" hidden="false" customHeight="true" outlineLevel="0" collapsed="false">
      <c r="A50" s="61" t="n">
        <v>1890</v>
      </c>
      <c r="B50" s="49" t="n">
        <f aca="false">(People!B50+People!L50)/2</f>
        <v>6553723.51344723</v>
      </c>
      <c r="C50" s="66" t="n">
        <f aca="false">Paths!L50*IF($A50&gt;=1896,prod_factor,1)</f>
        <v>0.018</v>
      </c>
      <c r="D50" s="67" t="n">
        <f aca="false">IF(O49&gt;0,MIN(dev_cap,dev_return*'Debt &amp; cash'!N49/O49),0)</f>
        <v>0.00405582263074296</v>
      </c>
      <c r="E50" s="66" t="n">
        <f aca="false">C50+D50</f>
        <v>0.022055822630743</v>
      </c>
      <c r="F50" s="49" t="n">
        <f aca="false">F49*(1+E50)</f>
        <v>480.976115850621</v>
      </c>
      <c r="G50" s="68" t="n">
        <f aca="false">1-(1-Paths!M50)*IF($A50&gt;=1930,dep_severity,1)</f>
        <v>1</v>
      </c>
      <c r="H50" s="68" t="n">
        <f aca="false">IF($A50&gt;=1930,Paths!B$89+(Paths!B50-Paths!B$89)*slump_price,Paths!B50)</f>
        <v>0.73</v>
      </c>
      <c r="I50" s="69" t="n">
        <f aca="false">Labour!AO50</f>
        <v>0.0668666943733525</v>
      </c>
      <c r="J50" s="49" t="n">
        <f aca="false">B50*F50*(1+I50)*G50*H50/1000000</f>
        <v>2454.96126433821</v>
      </c>
      <c r="K50" s="65" t="n">
        <f aca="false">Resources!O50</f>
        <v>46.9</v>
      </c>
      <c r="L50" s="49" t="n">
        <f aca="false">Labour!L50*gw_rel*J50/Labour!B50</f>
        <v>53.6004567921526</v>
      </c>
      <c r="M50" s="65" t="n">
        <f aca="false">Champions!AQ50</f>
        <v>48.3757217707529</v>
      </c>
      <c r="N50" s="49" t="n">
        <f aca="false">IF(Gulf!E50=1,Gulf!D50,0)</f>
        <v>0</v>
      </c>
      <c r="O50" s="49" t="n">
        <f aca="false">J50+K50+L50+M50+N50</f>
        <v>2603.83744290112</v>
      </c>
      <c r="P50" s="49" t="n">
        <f aca="false">O50*1000000/(B50+People!V50+Labour!L50)</f>
        <v>391.325760647686</v>
      </c>
      <c r="Q50" s="47" t="n">
        <v>208</v>
      </c>
      <c r="R50" s="70" t="n">
        <f aca="false">P50/Q50</f>
        <v>1.88137384926772</v>
      </c>
      <c r="S50" s="49" t="n">
        <f aca="false">O50/H50</f>
        <v>3566.90060671386</v>
      </c>
    </row>
    <row r="51" customFormat="false" ht="14.25" hidden="false" customHeight="true" outlineLevel="0" collapsed="false">
      <c r="A51" s="61" t="n">
        <v>1891</v>
      </c>
      <c r="B51" s="49" t="n">
        <f aca="false">(People!B51+People!L51)/2</f>
        <v>6836917.91752466</v>
      </c>
      <c r="C51" s="66" t="n">
        <f aca="false">Paths!L51*IF($A51&gt;=1896,prod_factor,1)</f>
        <v>0.018</v>
      </c>
      <c r="D51" s="67" t="n">
        <f aca="false">IF(O50&gt;0,MIN(dev_cap,dev_return*'Debt &amp; cash'!N50/O50),0)</f>
        <v>0.00642322403735457</v>
      </c>
      <c r="E51" s="66" t="n">
        <f aca="false">C51+D51</f>
        <v>0.0244232240373546</v>
      </c>
      <c r="F51" s="49" t="n">
        <f aca="false">F50*(1+E51)</f>
        <v>492.723103284657</v>
      </c>
      <c r="G51" s="68" t="n">
        <f aca="false">1-(1-Paths!M51)*IF($A51&gt;=1930,dep_severity,1)</f>
        <v>1</v>
      </c>
      <c r="H51" s="68" t="n">
        <f aca="false">IF($A51&gt;=1930,Paths!B$89+(Paths!B51-Paths!B$89)*slump_price,Paths!B51)</f>
        <v>0.7217</v>
      </c>
      <c r="I51" s="69" t="n">
        <f aca="false">Labour!AO51</f>
        <v>0.06903033797044</v>
      </c>
      <c r="J51" s="49" t="n">
        <f aca="false">B51*F51*(1+I51)*G51*H51/1000000</f>
        <v>2599.02243134988</v>
      </c>
      <c r="K51" s="65" t="n">
        <f aca="false">Resources!O51</f>
        <v>48.3</v>
      </c>
      <c r="L51" s="49" t="n">
        <f aca="false">Labour!L51*gw_rel*J51/Labour!B51</f>
        <v>88.2341356011579</v>
      </c>
      <c r="M51" s="65" t="n">
        <f aca="false">Champions!AQ51</f>
        <v>56.6474121946726</v>
      </c>
      <c r="N51" s="49" t="n">
        <f aca="false">IF(Gulf!E51=1,Gulf!D51,0)</f>
        <v>0</v>
      </c>
      <c r="O51" s="49" t="n">
        <f aca="false">J51+K51+L51+M51+N51</f>
        <v>2792.20397914571</v>
      </c>
      <c r="P51" s="49" t="n">
        <f aca="false">O51*1000000/(B51+People!V51+Labour!L51)</f>
        <v>398.920912241696</v>
      </c>
      <c r="Q51" s="47" t="n">
        <v>206</v>
      </c>
      <c r="R51" s="70" t="n">
        <f aca="false">P51/Q51</f>
        <v>1.93650928272668</v>
      </c>
      <c r="S51" s="49" t="n">
        <f aca="false">O51/H51</f>
        <v>3868.92611770224</v>
      </c>
    </row>
    <row r="52" customFormat="false" ht="14.25" hidden="false" customHeight="true" outlineLevel="0" collapsed="false">
      <c r="A52" s="61" t="n">
        <v>1892</v>
      </c>
      <c r="B52" s="49" t="n">
        <f aca="false">(People!B52+People!L52)/2</f>
        <v>7143944.55938383</v>
      </c>
      <c r="C52" s="66" t="n">
        <f aca="false">Paths!L52*IF($A52&gt;=1896,prod_factor,1)</f>
        <v>0.018</v>
      </c>
      <c r="D52" s="67" t="n">
        <f aca="false">IF(O51&gt;0,MIN(dev_cap,dev_return*'Debt &amp; cash'!N51/O51),0)</f>
        <v>0.00705653196849317</v>
      </c>
      <c r="E52" s="66" t="n">
        <f aca="false">C52+D52</f>
        <v>0.0250565319684932</v>
      </c>
      <c r="F52" s="49" t="n">
        <f aca="false">F51*(1+E52)</f>
        <v>505.069035473725</v>
      </c>
      <c r="G52" s="68" t="n">
        <f aca="false">1-(1-Paths!M52)*IF($A52&gt;=1930,dep_severity,1)</f>
        <v>1</v>
      </c>
      <c r="H52" s="68" t="n">
        <f aca="false">IF($A52&gt;=1930,Paths!B$89+(Paths!B52-Paths!B$89)*slump_price,Paths!B52)</f>
        <v>0.7133</v>
      </c>
      <c r="I52" s="69" t="n">
        <f aca="false">Labour!AO52</f>
        <v>0.0716961028837669</v>
      </c>
      <c r="J52" s="49" t="n">
        <f aca="false">B52*F52*(1+I52)*G52*H52/1000000</f>
        <v>2758.24408064868</v>
      </c>
      <c r="K52" s="65" t="n">
        <f aca="false">Resources!O52</f>
        <v>49.644</v>
      </c>
      <c r="L52" s="49" t="n">
        <f aca="false">Labour!L52*gw_rel*J52/Labour!B52</f>
        <v>112.844284379968</v>
      </c>
      <c r="M52" s="65" t="n">
        <f aca="false">Champions!AQ52</f>
        <v>65.2405676657968</v>
      </c>
      <c r="N52" s="49" t="n">
        <f aca="false">IF(Gulf!E52=1,Gulf!D52,0)</f>
        <v>0</v>
      </c>
      <c r="O52" s="49" t="n">
        <f aca="false">J52+K52+L52+M52+N52</f>
        <v>2985.97293269444</v>
      </c>
      <c r="P52" s="49" t="n">
        <f aca="false">O52*1000000/(B52+People!V52+Labour!L52)</f>
        <v>406.335872737375</v>
      </c>
      <c r="Q52" s="47" t="n">
        <v>205</v>
      </c>
      <c r="R52" s="70" t="n">
        <f aca="false">P52/Q52</f>
        <v>1.982126208475</v>
      </c>
      <c r="S52" s="49" t="n">
        <f aca="false">O52/H52</f>
        <v>4186.13897756125</v>
      </c>
    </row>
    <row r="53" customFormat="false" ht="14.25" hidden="false" customHeight="true" outlineLevel="0" collapsed="false">
      <c r="A53" s="61" t="n">
        <v>1893</v>
      </c>
      <c r="B53" s="49" t="n">
        <f aca="false">(People!B53+People!L53)/2</f>
        <v>7470645.34405334</v>
      </c>
      <c r="C53" s="66" t="n">
        <f aca="false">Paths!L53*IF($A53&gt;=1896,prod_factor,1)</f>
        <v>0.018</v>
      </c>
      <c r="D53" s="67" t="n">
        <f aca="false">IF(O52&gt;0,MIN(dev_cap,dev_return*'Debt &amp; cash'!N52/O52),0)</f>
        <v>0.00762287574246042</v>
      </c>
      <c r="E53" s="66" t="n">
        <f aca="false">C53+D53</f>
        <v>0.0256228757424604</v>
      </c>
      <c r="F53" s="49" t="n">
        <f aca="false">F52*(1+E53)</f>
        <v>518.010356611032</v>
      </c>
      <c r="G53" s="68" t="n">
        <f aca="false">1-(1-Paths!M53)*IF($A53&gt;=1930,dep_severity,1)</f>
        <v>0.95</v>
      </c>
      <c r="H53" s="68" t="n">
        <f aca="false">IF($A53&gt;=1930,Paths!B$89+(Paths!B53-Paths!B$89)*slump_price,Paths!B53)</f>
        <v>0.705</v>
      </c>
      <c r="I53" s="69" t="n">
        <f aca="false">Labour!AO53</f>
        <v>0.0744332025644514</v>
      </c>
      <c r="J53" s="49" t="n">
        <f aca="false">B53*F53*(1+I53)*G53*H53/1000000</f>
        <v>2784.76598225931</v>
      </c>
      <c r="K53" s="65" t="n">
        <f aca="false">Resources!O53</f>
        <v>51.13528</v>
      </c>
      <c r="L53" s="49" t="n">
        <f aca="false">Labour!L53*gw_rel*J53/Labour!B53</f>
        <v>115.368703250608</v>
      </c>
      <c r="M53" s="65" t="n">
        <f aca="false">Champions!AQ53</f>
        <v>74.4588511119915</v>
      </c>
      <c r="N53" s="49" t="n">
        <f aca="false">IF(Gulf!E53=1,Gulf!D53,0)</f>
        <v>0</v>
      </c>
      <c r="O53" s="49" t="n">
        <f aca="false">J53+K53+L53+M53+N53</f>
        <v>3025.72881662191</v>
      </c>
      <c r="P53" s="49" t="n">
        <f aca="false">O53*1000000/(B53+People!V53+Labour!L53)</f>
        <v>393.601301234731</v>
      </c>
      <c r="Q53" s="47" t="n">
        <v>203</v>
      </c>
      <c r="R53" s="70" t="n">
        <f aca="false">P53/Q53</f>
        <v>1.93892266618094</v>
      </c>
      <c r="S53" s="49" t="n">
        <f aca="false">O53/H53</f>
        <v>4291.81392428639</v>
      </c>
    </row>
    <row r="54" customFormat="false" ht="14.25" hidden="false" customHeight="true" outlineLevel="0" collapsed="false">
      <c r="A54" s="61" t="n">
        <v>1894</v>
      </c>
      <c r="B54" s="49" t="n">
        <f aca="false">(People!B54+People!L54)/2</f>
        <v>7808997.63491462</v>
      </c>
      <c r="C54" s="66" t="n">
        <f aca="false">Paths!L54*IF($A54&gt;=1896,prod_factor,1)</f>
        <v>0.018</v>
      </c>
      <c r="D54" s="67" t="n">
        <f aca="false">IF(O53&gt;0,MIN(dev_cap,dev_return*'Debt &amp; cash'!N53/O53),0)</f>
        <v>0.00703671951494438</v>
      </c>
      <c r="E54" s="66" t="n">
        <f aca="false">C54+D54</f>
        <v>0.0250367195149444</v>
      </c>
      <c r="F54" s="49" t="n">
        <f aca="false">F53*(1+E54)</f>
        <v>530.979636615339</v>
      </c>
      <c r="G54" s="68" t="n">
        <f aca="false">1-(1-Paths!M54)*IF($A54&gt;=1930,dep_severity,1)</f>
        <v>0.94</v>
      </c>
      <c r="H54" s="68" t="n">
        <f aca="false">IF($A54&gt;=1930,Paths!B$89+(Paths!B54-Paths!B$89)*slump_price,Paths!B54)</f>
        <v>0.6967</v>
      </c>
      <c r="I54" s="69" t="n">
        <f aca="false">Labour!AO54</f>
        <v>0.0769431954285604</v>
      </c>
      <c r="J54" s="49" t="n">
        <f aca="false">B54*F54*(1+I54)*G54*H54/1000000</f>
        <v>2924.41914190447</v>
      </c>
      <c r="K54" s="65" t="n">
        <f aca="false">Resources!O54</f>
        <v>52.55796</v>
      </c>
      <c r="L54" s="49" t="n">
        <f aca="false">Labour!L54*gw_rel*J54/Labour!B54</f>
        <v>121.313071865872</v>
      </c>
      <c r="M54" s="65" t="n">
        <f aca="false">Champions!AQ54</f>
        <v>83.6512942261089</v>
      </c>
      <c r="N54" s="49" t="n">
        <f aca="false">IF(Gulf!E54=1,Gulf!D54,0)</f>
        <v>0</v>
      </c>
      <c r="O54" s="49" t="n">
        <f aca="false">J54+K54+L54+M54+N54</f>
        <v>3181.94146799645</v>
      </c>
      <c r="P54" s="49" t="n">
        <f aca="false">O54*1000000/(B54+People!V54+Labour!L54)</f>
        <v>395.972934253541</v>
      </c>
      <c r="Q54" s="47" t="n">
        <v>202</v>
      </c>
      <c r="R54" s="70" t="n">
        <f aca="false">P54/Q54</f>
        <v>1.9602620507601</v>
      </c>
      <c r="S54" s="49" t="n">
        <f aca="false">O54/H54</f>
        <v>4567.16157312538</v>
      </c>
    </row>
    <row r="55" customFormat="false" ht="14.25" hidden="false" customHeight="true" outlineLevel="0" collapsed="false">
      <c r="A55" s="61" t="n">
        <v>1895</v>
      </c>
      <c r="B55" s="49" t="n">
        <f aca="false">(People!B55+People!L55)/2</f>
        <v>8154826.62734264</v>
      </c>
      <c r="C55" s="66" t="n">
        <f aca="false">Paths!L55*IF($A55&gt;=1896,prod_factor,1)</f>
        <v>0.018</v>
      </c>
      <c r="D55" s="67" t="n">
        <f aca="false">IF(O54&gt;0,MIN(dev_cap,dev_return*'Debt &amp; cash'!N54/O54),0)</f>
        <v>0.00646728351720963</v>
      </c>
      <c r="E55" s="66" t="n">
        <f aca="false">C55+D55</f>
        <v>0.0244672835172096</v>
      </c>
      <c r="F55" s="49" t="n">
        <f aca="false">F54*(1+E55)</f>
        <v>543.971265926271</v>
      </c>
      <c r="G55" s="68" t="n">
        <f aca="false">1-(1-Paths!M55)*IF($A55&gt;=1930,dep_severity,1)</f>
        <v>0.97</v>
      </c>
      <c r="H55" s="68" t="n">
        <f aca="false">IF($A55&gt;=1930,Paths!B$89+(Paths!B55-Paths!B$89)*slump_price,Paths!B55)</f>
        <v>0.6883</v>
      </c>
      <c r="I55" s="69" t="n">
        <f aca="false">Labour!AO55</f>
        <v>0.0796837355933425</v>
      </c>
      <c r="J55" s="49" t="n">
        <f aca="false">B55*F55*(1+I55)*G55*H55/1000000</f>
        <v>3197.69291727843</v>
      </c>
      <c r="K55" s="65" t="n">
        <f aca="false">Resources!O55</f>
        <v>53.9</v>
      </c>
      <c r="L55" s="49" t="n">
        <f aca="false">Labour!L55*gw_rel*J55/Labour!B55</f>
        <v>140.944364589399</v>
      </c>
      <c r="M55" s="65" t="n">
        <f aca="false">Champions!AQ55</f>
        <v>93.1413582788302</v>
      </c>
      <c r="N55" s="49" t="n">
        <f aca="false">IF(Gulf!E55=1,Gulf!D55,0)</f>
        <v>0</v>
      </c>
      <c r="O55" s="49" t="n">
        <f aca="false">J55+K55+L55+M55+N55</f>
        <v>3485.67864014666</v>
      </c>
      <c r="P55" s="49" t="n">
        <f aca="false">O55*1000000/(B55+People!V55+Labour!L55)</f>
        <v>414.644134612749</v>
      </c>
      <c r="Q55" s="47" t="n">
        <v>200</v>
      </c>
      <c r="R55" s="70" t="n">
        <f aca="false">P55/Q55</f>
        <v>2.07322067306375</v>
      </c>
      <c r="S55" s="49" t="n">
        <f aca="false">O55/H55</f>
        <v>5064.1851520364</v>
      </c>
    </row>
    <row r="56" customFormat="false" ht="14.25" hidden="false" customHeight="true" outlineLevel="0" collapsed="false">
      <c r="A56" s="61" t="n">
        <v>1896</v>
      </c>
      <c r="B56" s="49" t="n">
        <f aca="false">(People!B56+People!L56)/2</f>
        <v>8510699.53386653</v>
      </c>
      <c r="C56" s="66" t="n">
        <f aca="false">Paths!L56*IF($A56&gt;=1896,prod_factor,1)</f>
        <v>0.015</v>
      </c>
      <c r="D56" s="67" t="n">
        <f aca="false">IF(O55&gt;0,MIN(dev_cap,dev_return*'Debt &amp; cash'!N55/O55),0)</f>
        <v>0.00179170872209541</v>
      </c>
      <c r="E56" s="66" t="n">
        <f aca="false">C56+D56</f>
        <v>0.0167917087220954</v>
      </c>
      <c r="F56" s="49" t="n">
        <f aca="false">F55*(1+E56)</f>
        <v>553.105472976895</v>
      </c>
      <c r="G56" s="68" t="n">
        <f aca="false">1-(1-Paths!M56)*IF($A56&gt;=1930,dep_severity,1)</f>
        <v>0.98</v>
      </c>
      <c r="H56" s="68" t="n">
        <f aca="false">IF($A56&gt;=1930,Paths!B$89+(Paths!B56-Paths!B$89)*slump_price,Paths!B56)</f>
        <v>0.68</v>
      </c>
      <c r="I56" s="69" t="n">
        <f aca="false">Labour!AO56</f>
        <v>0.0824403217474626</v>
      </c>
      <c r="J56" s="49" t="n">
        <f aca="false">B56*F56*(1+I56)*G56*H56/1000000</f>
        <v>3395.56590496447</v>
      </c>
      <c r="K56" s="65" t="n">
        <f aca="false">Resources!O56</f>
        <v>60.06651</v>
      </c>
      <c r="L56" s="49" t="n">
        <f aca="false">Labour!L56*gw_rel*J56/Labour!B56</f>
        <v>157.288541641946</v>
      </c>
      <c r="M56" s="65" t="n">
        <f aca="false">Champions!AQ56</f>
        <v>103.279716679965</v>
      </c>
      <c r="N56" s="49" t="n">
        <f aca="false">IF(Gulf!E56=1,Gulf!D56,0)</f>
        <v>0</v>
      </c>
      <c r="O56" s="49" t="n">
        <f aca="false">J56+K56+L56+M56+N56</f>
        <v>3716.20067328638</v>
      </c>
      <c r="P56" s="49" t="n">
        <f aca="false">O56*1000000/(B56+People!V56+Labour!L56)</f>
        <v>422.936623300887</v>
      </c>
      <c r="Q56" s="47" t="n">
        <v>209</v>
      </c>
      <c r="R56" s="70" t="n">
        <f aca="false">P56/Q56</f>
        <v>2.02362020718128</v>
      </c>
      <c r="S56" s="49" t="n">
        <f aca="false">O56/H56</f>
        <v>5465.00099012703</v>
      </c>
    </row>
    <row r="57" customFormat="false" ht="14.25" hidden="false" customHeight="true" outlineLevel="0" collapsed="false">
      <c r="A57" s="61" t="n">
        <v>1897</v>
      </c>
      <c r="B57" s="49" t="n">
        <f aca="false">(People!B57+People!L57)/2</f>
        <v>8875850.31567538</v>
      </c>
      <c r="C57" s="66" t="n">
        <f aca="false">Paths!L57*IF($A57&gt;=1896,prod_factor,1)</f>
        <v>0.015</v>
      </c>
      <c r="D57" s="67" t="n">
        <f aca="false">IF(O56&gt;0,MIN(dev_cap,dev_return*'Debt &amp; cash'!N56/O56),0)</f>
        <v>0.00629962097952079</v>
      </c>
      <c r="E57" s="66" t="n">
        <f aca="false">C57+D57</f>
        <v>0.0212996209795208</v>
      </c>
      <c r="F57" s="49" t="n">
        <f aca="false">F56*(1+E57)</f>
        <v>564.886409913001</v>
      </c>
      <c r="G57" s="68" t="n">
        <f aca="false">1-(1-Paths!M57)*IF($A57&gt;=1930,dep_severity,1)</f>
        <v>1</v>
      </c>
      <c r="H57" s="68" t="n">
        <f aca="false">IF($A57&gt;=1930,Paths!B$89+(Paths!B57-Paths!B$89)*slump_price,Paths!B57)</f>
        <v>0.7</v>
      </c>
      <c r="I57" s="69" t="n">
        <f aca="false">Labour!AO57</f>
        <v>0.0849548461445749</v>
      </c>
      <c r="J57" s="49" t="n">
        <f aca="false">B57*F57*(1+I57)*G57*H57/1000000</f>
        <v>3807.85848722514</v>
      </c>
      <c r="K57" s="65" t="n">
        <f aca="false">Resources!O57</f>
        <v>66.19018</v>
      </c>
      <c r="L57" s="49" t="n">
        <f aca="false">Labour!L57*gw_rel*J57/Labour!B57</f>
        <v>187.91405289658</v>
      </c>
      <c r="M57" s="65" t="n">
        <f aca="false">Champions!AQ57</f>
        <v>114.602526633134</v>
      </c>
      <c r="N57" s="49" t="n">
        <f aca="false">IF(Gulf!E57=1,Gulf!D57,0)</f>
        <v>0</v>
      </c>
      <c r="O57" s="49" t="n">
        <f aca="false">J57+K57+L57+M57+N57</f>
        <v>4176.56524675486</v>
      </c>
      <c r="P57" s="49" t="n">
        <f aca="false">O57*1000000/(B57+People!V57+Labour!L57)</f>
        <v>454.841627822188</v>
      </c>
      <c r="Q57" s="47" t="n">
        <v>218</v>
      </c>
      <c r="R57" s="70" t="n">
        <f aca="false">P57/Q57</f>
        <v>2.08642948542288</v>
      </c>
      <c r="S57" s="49" t="n">
        <f aca="false">O57/H57</f>
        <v>5966.52178107837</v>
      </c>
    </row>
    <row r="58" customFormat="false" ht="14.25" hidden="false" customHeight="true" outlineLevel="0" collapsed="false">
      <c r="A58" s="61" t="n">
        <v>1898</v>
      </c>
      <c r="B58" s="49" t="n">
        <f aca="false">(People!B58+People!L58)/2</f>
        <v>9248727.17360079</v>
      </c>
      <c r="C58" s="66" t="n">
        <f aca="false">Paths!L58*IF($A58&gt;=1896,prod_factor,1)</f>
        <v>0.015</v>
      </c>
      <c r="D58" s="67" t="n">
        <f aca="false">IF(O57&gt;0,MIN(dev_cap,dev_return*'Debt &amp; cash'!N57/O57),0)</f>
        <v>0.00511854546793859</v>
      </c>
      <c r="E58" s="66" t="n">
        <f aca="false">C58+D58</f>
        <v>0.0201185454679386</v>
      </c>
      <c r="F58" s="49" t="n">
        <f aca="false">F57*(1+E58)</f>
        <v>576.251102835057</v>
      </c>
      <c r="G58" s="68" t="n">
        <f aca="false">1-(1-Paths!M58)*IF($A58&gt;=1930,dep_severity,1)</f>
        <v>1</v>
      </c>
      <c r="H58" s="68" t="n">
        <f aca="false">IF($A58&gt;=1930,Paths!B$89+(Paths!B58-Paths!B$89)*slump_price,Paths!B58)</f>
        <v>0.72</v>
      </c>
      <c r="I58" s="69" t="n">
        <f aca="false">Labour!AO58</f>
        <v>0.0875886927790873</v>
      </c>
      <c r="J58" s="49" t="n">
        <f aca="false">B58*F58*(1+I58)*G58*H58/1000000</f>
        <v>4173.40871109305</v>
      </c>
      <c r="K58" s="65" t="n">
        <f aca="false">Resources!O58</f>
        <v>72.282</v>
      </c>
      <c r="L58" s="49" t="n">
        <f aca="false">Labour!L58*gw_rel*J58/Labour!B58</f>
        <v>212.852374507691</v>
      </c>
      <c r="M58" s="65" t="n">
        <f aca="false">Champions!AQ58</f>
        <v>124.319002391635</v>
      </c>
      <c r="N58" s="49" t="n">
        <f aca="false">IF(Gulf!E58=1,Gulf!D58,0)</f>
        <v>0</v>
      </c>
      <c r="O58" s="49" t="n">
        <f aca="false">J58+K58+L58+M58+N58</f>
        <v>4582.86208799238</v>
      </c>
      <c r="P58" s="49" t="n">
        <f aca="false">O58*1000000/(B58+People!V58+Labour!L58)</f>
        <v>478.432026161585</v>
      </c>
      <c r="Q58" s="47" t="n">
        <v>228</v>
      </c>
      <c r="R58" s="70" t="n">
        <f aca="false">P58/Q58</f>
        <v>2.09838607965607</v>
      </c>
      <c r="S58" s="49" t="n">
        <f aca="false">O58/H58</f>
        <v>6365.08623332274</v>
      </c>
    </row>
    <row r="59" customFormat="false" ht="14.25" hidden="false" customHeight="true" outlineLevel="0" collapsed="false">
      <c r="A59" s="61" t="n">
        <v>1899</v>
      </c>
      <c r="B59" s="49" t="n">
        <f aca="false">(People!B59+People!L59)/2</f>
        <v>9630806.95199882</v>
      </c>
      <c r="C59" s="66" t="n">
        <f aca="false">Paths!L59*IF($A59&gt;=1896,prod_factor,1)</f>
        <v>0.015</v>
      </c>
      <c r="D59" s="67" t="n">
        <f aca="false">IF(O58&gt;0,MIN(dev_cap,dev_return*'Debt &amp; cash'!N58/O58),0)</f>
        <v>0.00442391504972122</v>
      </c>
      <c r="E59" s="66" t="n">
        <f aca="false">C59+D59</f>
        <v>0.0194239150497212</v>
      </c>
      <c r="F59" s="49" t="n">
        <f aca="false">F58*(1+E59)</f>
        <v>587.444155303833</v>
      </c>
      <c r="G59" s="68" t="n">
        <f aca="false">1-(1-Paths!M59)*IF($A59&gt;=1930,dep_severity,1)</f>
        <v>1</v>
      </c>
      <c r="H59" s="68" t="n">
        <f aca="false">IF($A59&gt;=1930,Paths!B$89+(Paths!B59-Paths!B$89)*slump_price,Paths!B59)</f>
        <v>0.74</v>
      </c>
      <c r="I59" s="69" t="n">
        <f aca="false">Labour!AO59</f>
        <v>0.0900767520314501</v>
      </c>
      <c r="J59" s="49" t="n">
        <f aca="false">B59*F59*(1+I59)*G59*H59/1000000</f>
        <v>4563.71023782707</v>
      </c>
      <c r="K59" s="65" t="n">
        <f aca="false">Resources!O59</f>
        <v>80.878</v>
      </c>
      <c r="L59" s="49" t="n">
        <f aca="false">Labour!L59*gw_rel*J59/Labour!B59</f>
        <v>236.818062116215</v>
      </c>
      <c r="M59" s="65" t="n">
        <f aca="false">Champions!AQ59</f>
        <v>134.741833191473</v>
      </c>
      <c r="N59" s="49" t="n">
        <f aca="false">IF(Gulf!E59=1,Gulf!D59,0)</f>
        <v>0</v>
      </c>
      <c r="O59" s="49" t="n">
        <f aca="false">J59+K59+L59+M59+N59</f>
        <v>5016.14813313475</v>
      </c>
      <c r="P59" s="49" t="n">
        <f aca="false">O59*1000000/(B59+People!V59+Labour!L59)</f>
        <v>502.587959449114</v>
      </c>
      <c r="Q59" s="47" t="n">
        <v>237</v>
      </c>
      <c r="R59" s="70" t="n">
        <f aca="false">P59/Q59</f>
        <v>2.12062430147305</v>
      </c>
      <c r="S59" s="49" t="n">
        <f aca="false">O59/H59</f>
        <v>6778.57855829021</v>
      </c>
    </row>
    <row r="60" customFormat="false" ht="14.25" hidden="false" customHeight="true" outlineLevel="0" collapsed="false">
      <c r="A60" s="61" t="n">
        <v>1900</v>
      </c>
      <c r="B60" s="49" t="n">
        <f aca="false">(People!B60+People!L60)/2</f>
        <v>10049689.6990427</v>
      </c>
      <c r="C60" s="66" t="n">
        <f aca="false">Paths!L60*IF($A60&gt;=1896,prod_factor,1)</f>
        <v>0.015</v>
      </c>
      <c r="D60" s="67" t="n">
        <f aca="false">IF(O59&gt;0,MIN(dev_cap,dev_return*'Debt &amp; cash'!N59/O59),0)</f>
        <v>0.00454506616844107</v>
      </c>
      <c r="E60" s="66" t="n">
        <f aca="false">C60+D60</f>
        <v>0.0195450661684411</v>
      </c>
      <c r="F60" s="49" t="n">
        <f aca="false">F59*(1+E60)</f>
        <v>598.925790189511</v>
      </c>
      <c r="G60" s="68" t="n">
        <f aca="false">1-(1-Paths!M60)*IF($A60&gt;=1930,dep_severity,1)</f>
        <v>1</v>
      </c>
      <c r="H60" s="68" t="n">
        <f aca="false">IF($A60&gt;=1930,Paths!B$89+(Paths!B60-Paths!B$89)*slump_price,Paths!B60)</f>
        <v>0.76</v>
      </c>
      <c r="I60" s="69" t="n">
        <f aca="false">Labour!AO60</f>
        <v>0.0925335634820423</v>
      </c>
      <c r="J60" s="49" t="n">
        <f aca="false">B60*F60*(1+I60)*G60*H60/1000000</f>
        <v>4997.74446575755</v>
      </c>
      <c r="K60" s="65" t="n">
        <f aca="false">Resources!O60</f>
        <v>89.425</v>
      </c>
      <c r="L60" s="49" t="n">
        <f aca="false">Labour!L60*gw_rel*J60/Labour!B60</f>
        <v>260.994079371834</v>
      </c>
      <c r="M60" s="65" t="n">
        <f aca="false">Champions!AQ60</f>
        <v>148.189050031083</v>
      </c>
      <c r="N60" s="49" t="n">
        <f aca="false">IF(Gulf!E60=1,Gulf!D60,0)</f>
        <v>0</v>
      </c>
      <c r="O60" s="49" t="n">
        <f aca="false">J60+K60+L60+M60+N60</f>
        <v>5496.35259516047</v>
      </c>
      <c r="P60" s="49" t="n">
        <f aca="false">O60*1000000/(B60+People!V60+Labour!L60)</f>
        <v>527.629786283065</v>
      </c>
      <c r="Q60" s="47" t="n">
        <v>246</v>
      </c>
      <c r="R60" s="70" t="n">
        <f aca="false">P60/Q60</f>
        <v>2.14483652960596</v>
      </c>
      <c r="S60" s="49" t="n">
        <f aca="false">O60/H60</f>
        <v>7232.04288836904</v>
      </c>
    </row>
    <row r="61" customFormat="false" ht="14.25" hidden="false" customHeight="true" outlineLevel="0" collapsed="false">
      <c r="A61" s="61" t="n">
        <v>1901</v>
      </c>
      <c r="B61" s="49" t="n">
        <f aca="false">(People!B61+People!L61)/2</f>
        <v>10522602.5411879</v>
      </c>
      <c r="C61" s="66" t="n">
        <f aca="false">Paths!L61*IF($A61&gt;=1896,prod_factor,1)</f>
        <v>0.015</v>
      </c>
      <c r="D61" s="67" t="n">
        <f aca="false">IF(O60&gt;0,MIN(dev_cap,dev_return*'Debt &amp; cash'!N60/O60),0)</f>
        <v>0.00591690240949369</v>
      </c>
      <c r="E61" s="66" t="n">
        <f aca="false">C61+D61</f>
        <v>0.0209169024094937</v>
      </c>
      <c r="F61" s="49" t="n">
        <f aca="false">F60*(1+E61)</f>
        <v>611.453462493433</v>
      </c>
      <c r="G61" s="68" t="n">
        <f aca="false">1-(1-Paths!M61)*IF($A61&gt;=1930,dep_severity,1)</f>
        <v>1</v>
      </c>
      <c r="H61" s="68" t="n">
        <f aca="false">IF($A61&gt;=1930,Paths!B$89+(Paths!B61-Paths!B$89)*slump_price,Paths!B61)</f>
        <v>0.772</v>
      </c>
      <c r="I61" s="69" t="n">
        <f aca="false">Labour!AO61</f>
        <v>0.0941075504481026</v>
      </c>
      <c r="J61" s="49" t="n">
        <f aca="false">B61*F61*(1+I61)*G61*H61/1000000</f>
        <v>5434.55377742945</v>
      </c>
      <c r="K61" s="65" t="n">
        <f aca="false">Resources!O61</f>
        <v>97.09</v>
      </c>
      <c r="L61" s="49" t="n">
        <f aca="false">Labour!L61*gw_rel*J61/Labour!B61</f>
        <v>283.943376845276</v>
      </c>
      <c r="M61" s="65" t="n">
        <f aca="false">Champions!AQ61</f>
        <v>169.414036888784</v>
      </c>
      <c r="N61" s="49" t="n">
        <f aca="false">IF(Gulf!E61=1,Gulf!D61,0)</f>
        <v>0</v>
      </c>
      <c r="O61" s="49" t="n">
        <f aca="false">J61+K61+L61+M61+N61</f>
        <v>5985.00119116351</v>
      </c>
      <c r="P61" s="49" t="n">
        <f aca="false">O61*1000000/(B61+People!V61+Labour!L61)</f>
        <v>548.707624543384</v>
      </c>
      <c r="Q61" s="47" t="n">
        <v>255</v>
      </c>
      <c r="R61" s="70" t="n">
        <f aca="false">P61/Q61</f>
        <v>2.15179460605249</v>
      </c>
      <c r="S61" s="49" t="n">
        <f aca="false">O61/H61</f>
        <v>7752.59221653304</v>
      </c>
    </row>
    <row r="62" customFormat="false" ht="14.25" hidden="false" customHeight="true" outlineLevel="0" collapsed="false">
      <c r="A62" s="61" t="n">
        <v>1902</v>
      </c>
      <c r="B62" s="49" t="n">
        <f aca="false">(People!B62+People!L62)/2</f>
        <v>11041555.7763723</v>
      </c>
      <c r="C62" s="66" t="n">
        <f aca="false">Paths!L62*IF($A62&gt;=1896,prod_factor,1)</f>
        <v>0.015</v>
      </c>
      <c r="D62" s="67" t="n">
        <f aca="false">IF(O61&gt;0,MIN(dev_cap,dev_return*'Debt &amp; cash'!N61/O61),0)</f>
        <v>0.00682909890747171</v>
      </c>
      <c r="E62" s="66" t="n">
        <f aca="false">C62+D62</f>
        <v>0.0218290989074717</v>
      </c>
      <c r="F62" s="49" t="n">
        <f aca="false">F61*(1+E62)</f>
        <v>624.800940603519</v>
      </c>
      <c r="G62" s="68" t="n">
        <f aca="false">1-(1-Paths!M62)*IF($A62&gt;=1930,dep_severity,1)</f>
        <v>1</v>
      </c>
      <c r="H62" s="68" t="n">
        <f aca="false">IF($A62&gt;=1930,Paths!B$89+(Paths!B62-Paths!B$89)*slump_price,Paths!B62)</f>
        <v>0.784</v>
      </c>
      <c r="I62" s="69" t="n">
        <f aca="false">Labour!AO62</f>
        <v>0.094771179738133</v>
      </c>
      <c r="J62" s="49" t="n">
        <f aca="false">B62*F62*(1+I62)*G62*H62/1000000</f>
        <v>5921.22227056201</v>
      </c>
      <c r="K62" s="65" t="n">
        <f aca="false">Resources!O62</f>
        <v>104.545</v>
      </c>
      <c r="L62" s="49" t="n">
        <f aca="false">Labour!L62*gw_rel*J62/Labour!B62</f>
        <v>310.403160928732</v>
      </c>
      <c r="M62" s="65" t="n">
        <f aca="false">Champions!AQ62</f>
        <v>191.325707084522</v>
      </c>
      <c r="N62" s="49" t="n">
        <f aca="false">IF(Gulf!E62=1,Gulf!D62,0)</f>
        <v>0</v>
      </c>
      <c r="O62" s="49" t="n">
        <f aca="false">J62+K62+L62+M62+N62</f>
        <v>6527.49613857527</v>
      </c>
      <c r="P62" s="49" t="n">
        <f aca="false">O62*1000000/(B62+People!V62+Labour!L62)</f>
        <v>570.249797206592</v>
      </c>
      <c r="Q62" s="47" t="n">
        <v>264</v>
      </c>
      <c r="R62" s="70" t="n">
        <f aca="false">P62/Q62</f>
        <v>2.16003711063103</v>
      </c>
      <c r="S62" s="49" t="n">
        <f aca="false">O62/H62</f>
        <v>8325.88793185621</v>
      </c>
    </row>
    <row r="63" customFormat="false" ht="14.25" hidden="false" customHeight="true" outlineLevel="0" collapsed="false">
      <c r="A63" s="61" t="n">
        <v>1903</v>
      </c>
      <c r="B63" s="49" t="n">
        <f aca="false">(People!B63+People!L63)/2</f>
        <v>11607586.6154648</v>
      </c>
      <c r="C63" s="66" t="n">
        <f aca="false">Paths!L63*IF($A63&gt;=1896,prod_factor,1)</f>
        <v>0.015</v>
      </c>
      <c r="D63" s="67" t="n">
        <f aca="false">IF(O62&gt;0,MIN(dev_cap,dev_return*'Debt &amp; cash'!N62/O62),0)</f>
        <v>0.00774584744873265</v>
      </c>
      <c r="E63" s="66" t="n">
        <f aca="false">C63+D63</f>
        <v>0.0227458474487327</v>
      </c>
      <c r="F63" s="49" t="n">
        <f aca="false">F62*(1+E63)</f>
        <v>639.012567484311</v>
      </c>
      <c r="G63" s="68" t="n">
        <f aca="false">1-(1-Paths!M63)*IF($A63&gt;=1930,dep_severity,1)</f>
        <v>1</v>
      </c>
      <c r="H63" s="68" t="n">
        <f aca="false">IF($A63&gt;=1930,Paths!B$89+(Paths!B63-Paths!B$89)*slump_price,Paths!B63)</f>
        <v>0.796</v>
      </c>
      <c r="I63" s="69" t="n">
        <f aca="false">Labour!AO63</f>
        <v>0.0947894514195156</v>
      </c>
      <c r="J63" s="49" t="n">
        <f aca="false">B63*F63*(1+I63)*G63*H63/1000000</f>
        <v>6463.90558848312</v>
      </c>
      <c r="K63" s="65" t="n">
        <f aca="false">Resources!O63</f>
        <v>111.44</v>
      </c>
      <c r="L63" s="49" t="n">
        <f aca="false">Labour!L63*gw_rel*J63/Labour!B63</f>
        <v>340.160622949425</v>
      </c>
      <c r="M63" s="65" t="n">
        <f aca="false">Champions!AQ63</f>
        <v>213.483820473913</v>
      </c>
      <c r="N63" s="49" t="n">
        <f aca="false">IF(Gulf!E63=1,Gulf!D63,0)</f>
        <v>0</v>
      </c>
      <c r="O63" s="49" t="n">
        <f aca="false">J63+K63+L63+M63+N63</f>
        <v>7128.99003190646</v>
      </c>
      <c r="P63" s="49" t="n">
        <f aca="false">O63*1000000/(B63+People!V63+Labour!L63)</f>
        <v>592.346037304665</v>
      </c>
      <c r="Q63" s="47" t="n">
        <v>272</v>
      </c>
      <c r="R63" s="70" t="n">
        <f aca="false">P63/Q63</f>
        <v>2.17774278420833</v>
      </c>
      <c r="S63" s="49" t="n">
        <f aca="false">O63/H63</f>
        <v>8956.01762802319</v>
      </c>
    </row>
    <row r="64" customFormat="false" ht="14.25" hidden="false" customHeight="true" outlineLevel="0" collapsed="false">
      <c r="A64" s="61" t="n">
        <v>1904</v>
      </c>
      <c r="B64" s="49" t="n">
        <f aca="false">(People!B64+People!L64)/2</f>
        <v>12215667.8435042</v>
      </c>
      <c r="C64" s="66" t="n">
        <f aca="false">Paths!L64*IF($A64&gt;=1896,prod_factor,1)</f>
        <v>0.015</v>
      </c>
      <c r="D64" s="67" t="n">
        <f aca="false">IF(O63&gt;0,MIN(dev_cap,dev_return*'Debt &amp; cash'!N63/O63),0)</f>
        <v>0.00778967852063656</v>
      </c>
      <c r="E64" s="66" t="n">
        <f aca="false">C64+D64</f>
        <v>0.0227896785206366</v>
      </c>
      <c r="F64" s="49" t="n">
        <f aca="false">F63*(1+E64)</f>
        <v>653.575458467925</v>
      </c>
      <c r="G64" s="68" t="n">
        <f aca="false">1-(1-Paths!M64)*IF($A64&gt;=1930,dep_severity,1)</f>
        <v>1</v>
      </c>
      <c r="H64" s="68" t="n">
        <f aca="false">IF($A64&gt;=1930,Paths!B$89+(Paths!B64-Paths!B$89)*slump_price,Paths!B64)</f>
        <v>0.808</v>
      </c>
      <c r="I64" s="69" t="n">
        <f aca="false">Labour!AO64</f>
        <v>0.0942745933117189</v>
      </c>
      <c r="J64" s="49" t="n">
        <f aca="false">B64*F64*(1+I64)*G64*H64/1000000</f>
        <v>7059.12103380444</v>
      </c>
      <c r="K64" s="65" t="n">
        <f aca="false">Resources!O64</f>
        <v>118.125</v>
      </c>
      <c r="L64" s="49" t="n">
        <f aca="false">Labour!L64*gw_rel*J64/Labour!B64</f>
        <v>372.781951591993</v>
      </c>
      <c r="M64" s="65" t="n">
        <f aca="false">Champions!AQ64</f>
        <v>237.669584727845</v>
      </c>
      <c r="N64" s="49" t="n">
        <f aca="false">IF(Gulf!E64=1,Gulf!D64,0)</f>
        <v>0</v>
      </c>
      <c r="O64" s="49" t="n">
        <f aca="false">J64+K64+L64+M64+N64</f>
        <v>7787.69757012428</v>
      </c>
      <c r="P64" s="49" t="n">
        <f aca="false">O64*1000000/(B64+People!V64+Labour!L64)</f>
        <v>614.790787978762</v>
      </c>
      <c r="Q64" s="47" t="n">
        <v>281</v>
      </c>
      <c r="R64" s="70" t="n">
        <f aca="false">P64/Q64</f>
        <v>2.18786757287816</v>
      </c>
      <c r="S64" s="49" t="n">
        <f aca="false">O64/H64</f>
        <v>9638.2395669855</v>
      </c>
    </row>
    <row r="65" customFormat="false" ht="14.25" hidden="false" customHeight="true" outlineLevel="0" collapsed="false">
      <c r="A65" s="61" t="n">
        <v>1905</v>
      </c>
      <c r="B65" s="49" t="n">
        <f aca="false">(People!B65+People!L65)/2</f>
        <v>12862219.5420089</v>
      </c>
      <c r="C65" s="66" t="n">
        <f aca="false">Paths!L65*IF($A65&gt;=1896,prod_factor,1)</f>
        <v>0.015</v>
      </c>
      <c r="D65" s="67" t="n">
        <f aca="false">IF(O64&gt;0,MIN(dev_cap,dev_return*'Debt &amp; cash'!N64/O64),0)</f>
        <v>0.00657502421659793</v>
      </c>
      <c r="E65" s="66" t="n">
        <f aca="false">C65+D65</f>
        <v>0.0215750242165979</v>
      </c>
      <c r="F65" s="49" t="n">
        <f aca="false">F64*(1+E65)</f>
        <v>667.676364811745</v>
      </c>
      <c r="G65" s="68" t="n">
        <f aca="false">1-(1-Paths!M65)*IF($A65&gt;=1930,dep_severity,1)</f>
        <v>1</v>
      </c>
      <c r="H65" s="68" t="n">
        <f aca="false">IF($A65&gt;=1930,Paths!B$89+(Paths!B65-Paths!B$89)*slump_price,Paths!B65)</f>
        <v>0.82</v>
      </c>
      <c r="I65" s="69" t="n">
        <f aca="false">Labour!AO65</f>
        <v>0.0935813252784961</v>
      </c>
      <c r="J65" s="49" t="n">
        <f aca="false">B65*F65*(1+I65)*G65*H65/1000000</f>
        <v>7700.99530682473</v>
      </c>
      <c r="K65" s="65" t="n">
        <f aca="false">Resources!O65</f>
        <v>124.25</v>
      </c>
      <c r="L65" s="49" t="n">
        <f aca="false">Labour!L65*gw_rel*J65/Labour!B65</f>
        <v>408.141693355799</v>
      </c>
      <c r="M65" s="65" t="n">
        <f aca="false">Champions!AQ65</f>
        <v>258.791479177902</v>
      </c>
      <c r="N65" s="49" t="n">
        <f aca="false">IF(Gulf!E65=1,Gulf!D65,0)</f>
        <v>0</v>
      </c>
      <c r="O65" s="49" t="n">
        <f aca="false">J65+K65+L65+M65+N65</f>
        <v>8492.17847935843</v>
      </c>
      <c r="P65" s="49" t="n">
        <f aca="false">O65*1000000/(B65+People!V65+Labour!L65)</f>
        <v>636.623962751894</v>
      </c>
      <c r="Q65" s="47" t="n">
        <v>290</v>
      </c>
      <c r="R65" s="70" t="n">
        <f aca="false">P65/Q65</f>
        <v>2.19525504397205</v>
      </c>
      <c r="S65" s="49" t="n">
        <f aca="false">O65/H65</f>
        <v>10356.3152187298</v>
      </c>
    </row>
    <row r="66" customFormat="false" ht="14.25" hidden="false" customHeight="true" outlineLevel="0" collapsed="false">
      <c r="A66" s="61" t="n">
        <v>1906</v>
      </c>
      <c r="B66" s="49" t="n">
        <f aca="false">(People!B66+People!L66)/2</f>
        <v>13545817.4006266</v>
      </c>
      <c r="C66" s="66" t="n">
        <f aca="false">Paths!L66*IF($A66&gt;=1896,prod_factor,1)</f>
        <v>0.015</v>
      </c>
      <c r="D66" s="67" t="n">
        <f aca="false">IF(O65&gt;0,MIN(dev_cap,dev_return*'Debt &amp; cash'!N65/O65),0)</f>
        <v>0.00648894504786769</v>
      </c>
      <c r="E66" s="66" t="n">
        <f aca="false">C66+D66</f>
        <v>0.0214889450478677</v>
      </c>
      <c r="F66" s="49" t="n">
        <f aca="false">F65*(1+E66)</f>
        <v>682.024025524944</v>
      </c>
      <c r="G66" s="68" t="n">
        <f aca="false">1-(1-Paths!M66)*IF($A66&gt;=1930,dep_severity,1)</f>
        <v>1</v>
      </c>
      <c r="H66" s="68" t="n">
        <f aca="false">IF($A66&gt;=1930,Paths!B$89+(Paths!B66-Paths!B$89)*slump_price,Paths!B66)</f>
        <v>0.844</v>
      </c>
      <c r="I66" s="69" t="n">
        <f aca="false">Labour!AO66</f>
        <v>0.0928568488223636</v>
      </c>
      <c r="J66" s="49" t="n">
        <f aca="false">B66*F66*(1+I66)*G66*H66/1000000</f>
        <v>8521.39340266353</v>
      </c>
      <c r="K66" s="65" t="n">
        <f aca="false">Resources!O66</f>
        <v>136.5</v>
      </c>
      <c r="L66" s="49" t="n">
        <f aca="false">Labour!L66*gw_rel*J66/Labour!B66</f>
        <v>452.342346227015</v>
      </c>
      <c r="M66" s="65" t="n">
        <f aca="false">Champions!AQ66</f>
        <v>278.813458689102</v>
      </c>
      <c r="N66" s="49" t="n">
        <f aca="false">IF(Gulf!E66=1,Gulf!D66,0)</f>
        <v>0</v>
      </c>
      <c r="O66" s="49" t="n">
        <f aca="false">J66+K66+L66+M66+N66</f>
        <v>9389.04920757964</v>
      </c>
      <c r="P66" s="49" t="n">
        <f aca="false">O66*1000000/(B66+People!V66+Labour!L66)</f>
        <v>668.299894853908</v>
      </c>
      <c r="Q66" s="47" t="n">
        <v>305</v>
      </c>
      <c r="R66" s="70" t="n">
        <f aca="false">P66/Q66</f>
        <v>2.19114719624232</v>
      </c>
      <c r="S66" s="49" t="n">
        <f aca="false">O66/H66</f>
        <v>11124.4658857579</v>
      </c>
    </row>
    <row r="67" customFormat="false" ht="14.25" hidden="false" customHeight="true" outlineLevel="0" collapsed="false">
      <c r="A67" s="61" t="n">
        <v>1907</v>
      </c>
      <c r="B67" s="49" t="n">
        <f aca="false">(People!B67+People!L67)/2</f>
        <v>14265663.0016467</v>
      </c>
      <c r="C67" s="66" t="n">
        <f aca="false">Paths!L67*IF($A67&gt;=1896,prod_factor,1)</f>
        <v>0.015</v>
      </c>
      <c r="D67" s="67" t="n">
        <f aca="false">IF(O66&gt;0,MIN(dev_cap,dev_return*'Debt &amp; cash'!N66/O66),0)</f>
        <v>0.00748457799801121</v>
      </c>
      <c r="E67" s="66" t="n">
        <f aca="false">C67+D67</f>
        <v>0.0224845779980112</v>
      </c>
      <c r="F67" s="49" t="n">
        <f aca="false">F66*(1+E67)</f>
        <v>697.359047923377</v>
      </c>
      <c r="G67" s="68" t="n">
        <f aca="false">1-(1-Paths!M67)*IF($A67&gt;=1930,dep_severity,1)</f>
        <v>0.985</v>
      </c>
      <c r="H67" s="68" t="n">
        <f aca="false">IF($A67&gt;=1930,Paths!B$89+(Paths!B67-Paths!B$89)*slump_price,Paths!B67)</f>
        <v>0.868</v>
      </c>
      <c r="I67" s="69" t="n">
        <f aca="false">Labour!AO67</f>
        <v>0.0921837120375669</v>
      </c>
      <c r="J67" s="49" t="n">
        <f aca="false">B67*F67*(1+I67)*G67*H67/1000000</f>
        <v>9289.66497368127</v>
      </c>
      <c r="K67" s="65" t="n">
        <f aca="false">Resources!O67</f>
        <v>143.01</v>
      </c>
      <c r="L67" s="49" t="n">
        <f aca="false">Labour!L67*gw_rel*J67/Labour!B67</f>
        <v>480.286058177347</v>
      </c>
      <c r="M67" s="65" t="n">
        <f aca="false">Champions!AQ67</f>
        <v>304.143097002423</v>
      </c>
      <c r="N67" s="49" t="n">
        <f aca="false">IF(Gulf!E67=1,Gulf!D67,0)</f>
        <v>0</v>
      </c>
      <c r="O67" s="49" t="n">
        <f aca="false">J67+K67+L67+M67+N67</f>
        <v>10217.104128861</v>
      </c>
      <c r="P67" s="49" t="n">
        <f aca="false">O67*1000000/(B67+People!V67+Labour!L67)</f>
        <v>691.187912541978</v>
      </c>
      <c r="Q67" s="47" t="n">
        <v>319</v>
      </c>
      <c r="R67" s="70" t="n">
        <f aca="false">P67/Q67</f>
        <v>2.16673326815667</v>
      </c>
      <c r="S67" s="49" t="n">
        <f aca="false">O67/H67</f>
        <v>11770.8572913146</v>
      </c>
    </row>
    <row r="68" customFormat="false" ht="14.25" hidden="false" customHeight="true" outlineLevel="0" collapsed="false">
      <c r="A68" s="61" t="n">
        <v>1908</v>
      </c>
      <c r="B68" s="49" t="n">
        <f aca="false">(People!B68+People!L68)/2</f>
        <v>14974839.7667233</v>
      </c>
      <c r="C68" s="66" t="n">
        <f aca="false">Paths!L68*IF($A68&gt;=1896,prod_factor,1)</f>
        <v>0.015</v>
      </c>
      <c r="D68" s="67" t="n">
        <f aca="false">IF(O67&gt;0,MIN(dev_cap,dev_return*'Debt &amp; cash'!N67/O67),0)</f>
        <v>0.00726314758196926</v>
      </c>
      <c r="E68" s="66" t="n">
        <f aca="false">C68+D68</f>
        <v>0.0222631475819693</v>
      </c>
      <c r="F68" s="49" t="n">
        <f aca="false">F67*(1+E68)</f>
        <v>712.884455324917</v>
      </c>
      <c r="G68" s="68" t="n">
        <f aca="false">1-(1-Paths!M68)*IF($A68&gt;=1930,dep_severity,1)</f>
        <v>0.95</v>
      </c>
      <c r="H68" s="68" t="n">
        <f aca="false">IF($A68&gt;=1930,Paths!B$89+(Paths!B68-Paths!B$89)*slump_price,Paths!B68)</f>
        <v>0.892</v>
      </c>
      <c r="I68" s="69" t="n">
        <f aca="false">Labour!AO68</f>
        <v>0.0912920584769982</v>
      </c>
      <c r="J68" s="49" t="n">
        <f aca="false">B68*F68*(1+I68)*G68*H68/1000000</f>
        <v>9872.12812937671</v>
      </c>
      <c r="K68" s="65" t="n">
        <f aca="false">Resources!O68</f>
        <v>148.446666666667</v>
      </c>
      <c r="L68" s="49" t="n">
        <f aca="false">Labour!L68*gw_rel*J68/Labour!B68</f>
        <v>475.888166304256</v>
      </c>
      <c r="M68" s="65" t="n">
        <f aca="false">Champions!AQ68</f>
        <v>329.554197794964</v>
      </c>
      <c r="N68" s="49" t="n">
        <f aca="false">IF(Gulf!E68=1,Gulf!D68,0)</f>
        <v>0</v>
      </c>
      <c r="O68" s="49" t="n">
        <f aca="false">J68+K68+L68+M68+N68</f>
        <v>10826.0171601426</v>
      </c>
      <c r="P68" s="49" t="n">
        <f aca="false">O68*1000000/(B68+People!V68+Labour!L68)</f>
        <v>699.348534042672</v>
      </c>
      <c r="Q68" s="47" t="n">
        <v>334</v>
      </c>
      <c r="R68" s="70" t="n">
        <f aca="false">P68/Q68</f>
        <v>2.09385788635531</v>
      </c>
      <c r="S68" s="49" t="n">
        <f aca="false">O68/H68</f>
        <v>12136.7905382765</v>
      </c>
    </row>
    <row r="69" customFormat="false" ht="14.25" hidden="false" customHeight="true" outlineLevel="0" collapsed="false">
      <c r="A69" s="61" t="n">
        <v>1909</v>
      </c>
      <c r="B69" s="49" t="n">
        <f aca="false">(People!B69+People!L69)/2</f>
        <v>15660474.1789732</v>
      </c>
      <c r="C69" s="66" t="n">
        <f aca="false">Paths!L69*IF($A69&gt;=1896,prod_factor,1)</f>
        <v>0.015</v>
      </c>
      <c r="D69" s="67" t="n">
        <f aca="false">IF(O68&gt;0,MIN(dev_cap,dev_return*'Debt &amp; cash'!N68/O68),0)</f>
        <v>0.0068801770521141</v>
      </c>
      <c r="E69" s="66" t="n">
        <f aca="false">C69+D69</f>
        <v>0.0218801770521141</v>
      </c>
      <c r="F69" s="49" t="n">
        <f aca="false">F68*(1+E69)</f>
        <v>728.482493425126</v>
      </c>
      <c r="G69" s="68" t="n">
        <f aca="false">1-(1-Paths!M69)*IF($A69&gt;=1930,dep_severity,1)</f>
        <v>1</v>
      </c>
      <c r="H69" s="68" t="n">
        <f aca="false">IF($A69&gt;=1930,Paths!B$89+(Paths!B69-Paths!B$89)*slump_price,Paths!B69)</f>
        <v>0.916</v>
      </c>
      <c r="I69" s="69" t="n">
        <f aca="false">Labour!AO69</f>
        <v>0.0912123842923655</v>
      </c>
      <c r="J69" s="49" t="n">
        <f aca="false">B69*F69*(1+I69)*G69*H69/1000000</f>
        <v>11403.2537128372</v>
      </c>
      <c r="K69" s="65" t="n">
        <f aca="false">Resources!O69</f>
        <v>154.915833333333</v>
      </c>
      <c r="L69" s="49" t="n">
        <f aca="false">Labour!L69*gw_rel*J69/Labour!B69</f>
        <v>579.193481348767</v>
      </c>
      <c r="M69" s="65" t="n">
        <f aca="false">Champions!AQ69</f>
        <v>353.977057383165</v>
      </c>
      <c r="N69" s="49" t="n">
        <f aca="false">IF(Gulf!E69=1,Gulf!D69,0)</f>
        <v>0</v>
      </c>
      <c r="O69" s="49" t="n">
        <f aca="false">J69+K69+L69+M69+N69</f>
        <v>12491.3400849024</v>
      </c>
      <c r="P69" s="49" t="n">
        <f aca="false">O69*1000000/(B69+People!V69+Labour!L69)</f>
        <v>770.249138672505</v>
      </c>
      <c r="Q69" s="47" t="n">
        <v>348</v>
      </c>
      <c r="R69" s="70" t="n">
        <f aca="false">P69/Q69</f>
        <v>2.21335959388651</v>
      </c>
      <c r="S69" s="49" t="n">
        <f aca="false">O69/H69</f>
        <v>13636.8341538236</v>
      </c>
    </row>
    <row r="70" customFormat="false" ht="14.25" hidden="false" customHeight="true" outlineLevel="0" collapsed="false">
      <c r="A70" s="61" t="n">
        <v>1910</v>
      </c>
      <c r="B70" s="49" t="n">
        <f aca="false">(People!B70+People!L70)/2</f>
        <v>16376525.3843355</v>
      </c>
      <c r="C70" s="66" t="n">
        <f aca="false">Paths!L70*IF($A70&gt;=1896,prod_factor,1)</f>
        <v>0.015</v>
      </c>
      <c r="D70" s="67" t="n">
        <f aca="false">IF(O69&gt;0,MIN(dev_cap,dev_return*'Debt &amp; cash'!N69/O69),0)</f>
        <v>0.00737960124111379</v>
      </c>
      <c r="E70" s="66" t="n">
        <f aca="false">C70+D70</f>
        <v>0.0223796012411138</v>
      </c>
      <c r="F70" s="49" t="n">
        <f aca="false">F69*(1+E70)</f>
        <v>744.785641139113</v>
      </c>
      <c r="G70" s="68" t="n">
        <f aca="false">1-(1-Paths!M70)*IF($A70&gt;=1930,dep_severity,1)</f>
        <v>1</v>
      </c>
      <c r="H70" s="68" t="n">
        <f aca="false">IF($A70&gt;=1930,Paths!B$89+(Paths!B70-Paths!B$89)*slump_price,Paths!B70)</f>
        <v>0.94</v>
      </c>
      <c r="I70" s="69" t="n">
        <f aca="false">Labour!AO70</f>
        <v>0.090044496657175</v>
      </c>
      <c r="J70" s="49" t="n">
        <f aca="false">B70*F70*(1+I70)*G70*H70/1000000</f>
        <v>12497.5573437942</v>
      </c>
      <c r="K70" s="65" t="n">
        <f aca="false">Resources!O70</f>
        <v>161.7</v>
      </c>
      <c r="L70" s="49" t="n">
        <f aca="false">Labour!L70*gw_rel*J70/Labour!B70</f>
        <v>647.402240627702</v>
      </c>
      <c r="M70" s="65" t="n">
        <f aca="false">Champions!AQ70</f>
        <v>387.049996884392</v>
      </c>
      <c r="N70" s="49" t="n">
        <f aca="false">IF(Gulf!E70=1,Gulf!D70,0)</f>
        <v>0</v>
      </c>
      <c r="O70" s="49" t="n">
        <f aca="false">J70+K70+L70+M70+N70</f>
        <v>13693.7095813063</v>
      </c>
      <c r="P70" s="49" t="n">
        <f aca="false">O70*1000000/(B70+People!V70+Labour!L70)</f>
        <v>806.918997702068</v>
      </c>
      <c r="Q70" s="47" t="n">
        <v>363</v>
      </c>
      <c r="R70" s="70" t="n">
        <f aca="false">P70/Q70</f>
        <v>2.22291734904151</v>
      </c>
      <c r="S70" s="49" t="n">
        <f aca="false">O70/H70</f>
        <v>14567.7761503258</v>
      </c>
    </row>
    <row r="71" customFormat="false" ht="14.25" hidden="false" customHeight="true" outlineLevel="0" collapsed="false">
      <c r="A71" s="61" t="n">
        <v>1911</v>
      </c>
      <c r="B71" s="49" t="n">
        <f aca="false">(People!B71+People!L71)/2</f>
        <v>17140924.3566495</v>
      </c>
      <c r="C71" s="66" t="n">
        <f aca="false">Paths!L71*IF($A71&gt;=1896,prod_factor,1)</f>
        <v>0.015</v>
      </c>
      <c r="D71" s="67" t="n">
        <f aca="false">IF(O70&gt;0,MIN(dev_cap,dev_return*'Debt &amp; cash'!N70/O70),0)</f>
        <v>0.00687673014866512</v>
      </c>
      <c r="E71" s="66" t="n">
        <f aca="false">C71+D71</f>
        <v>0.0218767301486651</v>
      </c>
      <c r="F71" s="49" t="n">
        <f aca="false">F70*(1+E71)</f>
        <v>761.079115628914</v>
      </c>
      <c r="G71" s="68" t="n">
        <f aca="false">1-(1-Paths!M71)*IF($A71&gt;=1930,dep_severity,1)</f>
        <v>1</v>
      </c>
      <c r="H71" s="68" t="n">
        <f aca="false">IF($A71&gt;=1930,Paths!B$89+(Paths!B71-Paths!B$89)*slump_price,Paths!B71)</f>
        <v>0.96</v>
      </c>
      <c r="I71" s="69" t="n">
        <f aca="false">Labour!AO71</f>
        <v>0.0889789235923124</v>
      </c>
      <c r="J71" s="49" t="n">
        <f aca="false">B71*F71*(1+I71)*G71*H71/1000000</f>
        <v>13638.1276377924</v>
      </c>
      <c r="K71" s="65" t="n">
        <f aca="false">Resources!O71</f>
        <v>167.767903333333</v>
      </c>
      <c r="L71" s="49" t="n">
        <f aca="false">Labour!L71*gw_rel*J71/Labour!B71</f>
        <v>713.266502857298</v>
      </c>
      <c r="M71" s="65" t="n">
        <f aca="false">Champions!AQ71</f>
        <v>421.065689953702</v>
      </c>
      <c r="N71" s="49" t="n">
        <f aca="false">IF(Gulf!E71=1,Gulf!D71,0)</f>
        <v>0</v>
      </c>
      <c r="O71" s="49" t="n">
        <f aca="false">J71+K71+L71+M71+N71</f>
        <v>14940.2277339367</v>
      </c>
      <c r="P71" s="49" t="n">
        <f aca="false">O71*1000000/(B71+People!V71+Labour!L71)</f>
        <v>840.829127527568</v>
      </c>
      <c r="Q71" s="47" t="n">
        <v>376</v>
      </c>
      <c r="R71" s="70" t="n">
        <f aca="false">P71/Q71</f>
        <v>2.2362476795946</v>
      </c>
      <c r="S71" s="49" t="n">
        <f aca="false">O71/H71</f>
        <v>15562.7372228507</v>
      </c>
    </row>
    <row r="72" customFormat="false" ht="14.25" hidden="false" customHeight="true" outlineLevel="0" collapsed="false">
      <c r="A72" s="61" t="n">
        <v>1912</v>
      </c>
      <c r="B72" s="49" t="n">
        <f aca="false">(People!B72+People!L72)/2</f>
        <v>17947486.2390801</v>
      </c>
      <c r="C72" s="66" t="n">
        <f aca="false">Paths!L72*IF($A72&gt;=1896,prod_factor,1)</f>
        <v>0.015</v>
      </c>
      <c r="D72" s="67" t="n">
        <f aca="false">IF(O71&gt;0,MIN(dev_cap,dev_return*'Debt &amp; cash'!N71/O71),0)</f>
        <v>0.00660529636501125</v>
      </c>
      <c r="E72" s="66" t="n">
        <f aca="false">C72+D72</f>
        <v>0.0216052963650113</v>
      </c>
      <c r="F72" s="49" t="n">
        <f aca="false">F71*(1+E72)</f>
        <v>777.522455479297</v>
      </c>
      <c r="G72" s="68" t="n">
        <f aca="false">1-(1-Paths!M72)*IF($A72&gt;=1930,dep_severity,1)</f>
        <v>1</v>
      </c>
      <c r="H72" s="68" t="n">
        <f aca="false">IF($A72&gt;=1930,Paths!B$89+(Paths!B72-Paths!B$89)*slump_price,Paths!B72)</f>
        <v>0.98</v>
      </c>
      <c r="I72" s="69" t="n">
        <f aca="false">Labour!AO72</f>
        <v>0.0879127796303362</v>
      </c>
      <c r="J72" s="49" t="n">
        <f aca="false">B72*F72*(1+I72)*G72*H72/1000000</f>
        <v>14877.7317429825</v>
      </c>
      <c r="K72" s="65" t="n">
        <f aca="false">Resources!O72</f>
        <v>174.765336666667</v>
      </c>
      <c r="L72" s="49" t="n">
        <f aca="false">Labour!L72*gw_rel*J72/Labour!B72</f>
        <v>781.661242352876</v>
      </c>
      <c r="M72" s="65" t="n">
        <f aca="false">Champions!AQ72</f>
        <v>473.927259960375</v>
      </c>
      <c r="N72" s="49" t="n">
        <f aca="false">IF(Gulf!E72=1,Gulf!D72,0)</f>
        <v>0</v>
      </c>
      <c r="O72" s="49" t="n">
        <f aca="false">J72+K72+L72+M72+N72</f>
        <v>16308.0855819624</v>
      </c>
      <c r="P72" s="49" t="n">
        <f aca="false">O72*1000000/(B72+People!V72+Labour!L72)</f>
        <v>876.423211720475</v>
      </c>
      <c r="Q72" s="47" t="n">
        <v>390</v>
      </c>
      <c r="R72" s="70" t="n">
        <f aca="false">P72/Q72</f>
        <v>2.24723900441147</v>
      </c>
      <c r="S72" s="49" t="n">
        <f aca="false">O72/H72</f>
        <v>16640.9036550637</v>
      </c>
    </row>
    <row r="73" customFormat="false" ht="14.25" hidden="false" customHeight="true" outlineLevel="0" collapsed="false">
      <c r="A73" s="61" t="n">
        <v>1913</v>
      </c>
      <c r="B73" s="49" t="n">
        <f aca="false">(People!B73+People!L73)/2</f>
        <v>18793878.2258199</v>
      </c>
      <c r="C73" s="66" t="n">
        <f aca="false">Paths!L73*IF($A73&gt;=1896,prod_factor,1)</f>
        <v>0.015</v>
      </c>
      <c r="D73" s="67" t="n">
        <f aca="false">IF(O72&gt;0,MIN(dev_cap,dev_return*'Debt &amp; cash'!N72/O72),0)</f>
        <v>0.00652063962452586</v>
      </c>
      <c r="E73" s="66" t="n">
        <f aca="false">C73+D73</f>
        <v>0.0215206396245259</v>
      </c>
      <c r="F73" s="49" t="n">
        <f aca="false">F72*(1+E73)</f>
        <v>794.255236043643</v>
      </c>
      <c r="G73" s="68" t="n">
        <f aca="false">1-(1-Paths!M73)*IF($A73&gt;=1930,dep_severity,1)</f>
        <v>1</v>
      </c>
      <c r="H73" s="68" t="n">
        <f aca="false">IF($A73&gt;=1930,Paths!B$89+(Paths!B73-Paths!B$89)*slump_price,Paths!B73)</f>
        <v>1</v>
      </c>
      <c r="I73" s="69" t="n">
        <f aca="false">Labour!AO73</f>
        <v>0.0868855360584381</v>
      </c>
      <c r="J73" s="49" t="n">
        <f aca="false">B73*F73*(1+I73)*G73*H73/1000000</f>
        <v>16224.0884157988</v>
      </c>
      <c r="K73" s="65" t="n">
        <f aca="false">Resources!O73</f>
        <v>181.44</v>
      </c>
      <c r="L73" s="49" t="n">
        <f aca="false">Labour!L73*gw_rel*J73/Labour!B73</f>
        <v>857.357867980392</v>
      </c>
      <c r="M73" s="65" t="n">
        <f aca="false">Champions!AQ73</f>
        <v>521.945306558859</v>
      </c>
      <c r="N73" s="49" t="n">
        <f aca="false">IF(Gulf!E73=1,Gulf!D73,0)</f>
        <v>0</v>
      </c>
      <c r="O73" s="49" t="n">
        <f aca="false">J73+K73+L73+M73+N73</f>
        <v>17784.8315903381</v>
      </c>
      <c r="P73" s="49" t="n">
        <f aca="false">O73*1000000/(B73+People!V73+Labour!L73)</f>
        <v>912.553270207963</v>
      </c>
      <c r="Q73" s="47" t="n">
        <v>403</v>
      </c>
      <c r="R73" s="70" t="n">
        <f aca="false">P73/Q73</f>
        <v>2.26440017421331</v>
      </c>
      <c r="S73" s="49" t="n">
        <f aca="false">O73/H73</f>
        <v>17784.8315903381</v>
      </c>
    </row>
    <row r="74" customFormat="false" ht="14.25" hidden="false" customHeight="true" outlineLevel="0" collapsed="false">
      <c r="A74" s="64" t="n">
        <v>1914</v>
      </c>
      <c r="B74" s="49" t="n">
        <f aca="false">(People!B74+People!L74)/2</f>
        <v>19629717.4982484</v>
      </c>
      <c r="C74" s="66" t="n">
        <f aca="false">Paths!L74*IF($A74&gt;=1896,prod_factor,1)</f>
        <v>0.008</v>
      </c>
      <c r="D74" s="67" t="n">
        <f aca="false">IF(O73&gt;0,MIN(dev_cap,dev_return*'Debt &amp; cash'!N73/O73),0)</f>
        <v>0.00635792086221016</v>
      </c>
      <c r="E74" s="66" t="n">
        <f aca="false">C74+D74</f>
        <v>0.0143579208622102</v>
      </c>
      <c r="F74" s="49" t="n">
        <f aca="false">F73*(1+E74)</f>
        <v>805.659089867154</v>
      </c>
      <c r="G74" s="68" t="n">
        <f aca="false">1-(1-Paths!M74)*IF($A74&gt;=1930,dep_severity,1)</f>
        <v>0.97</v>
      </c>
      <c r="H74" s="68" t="n">
        <f aca="false">IF($A74&gt;=1930,Paths!B$89+(Paths!B74-Paths!B$89)*slump_price,Paths!B74)</f>
        <v>1.01</v>
      </c>
      <c r="I74" s="69" t="n">
        <f aca="false">Labour!AO74</f>
        <v>0.0858963199937075</v>
      </c>
      <c r="J74" s="49" t="n">
        <f aca="false">B74*F74*(1+I74)*G74*H74/1000000</f>
        <v>16824.680675543</v>
      </c>
      <c r="K74" s="65" t="n">
        <f aca="false">Resources!O74</f>
        <v>216.895</v>
      </c>
      <c r="L74" s="49" t="n">
        <f aca="false">Labour!L74*gw_rel*J74/Labour!B74</f>
        <v>852.250033800823</v>
      </c>
      <c r="M74" s="65" t="n">
        <f aca="false">Champions!AQ74</f>
        <v>652.150744924967</v>
      </c>
      <c r="N74" s="49" t="n">
        <f aca="false">IF(Gulf!E74=1,Gulf!D74,0)</f>
        <v>0</v>
      </c>
      <c r="O74" s="49" t="n">
        <f aca="false">J74+K74+L74+M74+N74</f>
        <v>18545.9764542688</v>
      </c>
      <c r="P74" s="49" t="n">
        <f aca="false">O74*1000000/(B74+People!V74+Labour!L74)</f>
        <v>912.43729793979</v>
      </c>
      <c r="Q74" s="47" t="n">
        <v>380</v>
      </c>
      <c r="R74" s="70" t="n">
        <f aca="false">P74/Q74</f>
        <v>2.40115078405208</v>
      </c>
      <c r="S74" s="49" t="n">
        <f aca="false">O74/H74</f>
        <v>18362.3529250186</v>
      </c>
    </row>
    <row r="75" customFormat="false" ht="14.25" hidden="false" customHeight="true" outlineLevel="0" collapsed="false">
      <c r="A75" s="64" t="n">
        <v>1915</v>
      </c>
      <c r="B75" s="49" t="n">
        <f aca="false">(People!B75+People!L75)/2</f>
        <v>20408830.7078968</v>
      </c>
      <c r="C75" s="66" t="n">
        <f aca="false">Paths!L75*IF($A75&gt;=1896,prod_factor,1)</f>
        <v>0.008</v>
      </c>
      <c r="D75" s="67" t="n">
        <f aca="false">IF(O74&gt;0,MIN(dev_cap,dev_return*'Debt &amp; cash'!N74/O74),0)</f>
        <v>0.00395777349224988</v>
      </c>
      <c r="E75" s="66" t="n">
        <f aca="false">C75+D75</f>
        <v>0.0119577734922499</v>
      </c>
      <c r="F75" s="49" t="n">
        <f aca="false">F74*(1+E75)</f>
        <v>815.292978775758</v>
      </c>
      <c r="G75" s="68" t="n">
        <f aca="false">1-(1-Paths!M75)*IF($A75&gt;=1930,dep_severity,1)</f>
        <v>1</v>
      </c>
      <c r="H75" s="68" t="n">
        <f aca="false">IF($A75&gt;=1930,Paths!B$89+(Paths!B75-Paths!B$89)*slump_price,Paths!B75)</f>
        <v>1.04</v>
      </c>
      <c r="I75" s="69" t="n">
        <f aca="false">Labour!AO75</f>
        <v>0.0828494149243371</v>
      </c>
      <c r="J75" s="49" t="n">
        <f aca="false">B75*F75*(1+I75)*G75*H75/1000000</f>
        <v>18738.4313055412</v>
      </c>
      <c r="K75" s="65" t="n">
        <f aca="false">Resources!O75</f>
        <v>252.7</v>
      </c>
      <c r="L75" s="49" t="n">
        <f aca="false">Labour!L75*gw_rel*J75/Labour!B75</f>
        <v>1001.02235817765</v>
      </c>
      <c r="M75" s="65" t="n">
        <f aca="false">Champions!AQ75</f>
        <v>796.894349645088</v>
      </c>
      <c r="N75" s="49" t="n">
        <f aca="false">IF(Gulf!E75=1,Gulf!D75,0)</f>
        <v>0</v>
      </c>
      <c r="O75" s="49" t="n">
        <f aca="false">J75+K75+L75+M75+N75</f>
        <v>20789.0480133639</v>
      </c>
      <c r="P75" s="49" t="n">
        <f aca="false">O75*1000000/(B75+People!V75+Labour!L75)</f>
        <v>981.911863132555</v>
      </c>
      <c r="Q75" s="47" t="n">
        <v>430</v>
      </c>
      <c r="R75" s="70" t="n">
        <f aca="false">P75/Q75</f>
        <v>2.28351596077338</v>
      </c>
      <c r="S75" s="49" t="n">
        <f aca="false">O75/H75</f>
        <v>19989.4692436192</v>
      </c>
    </row>
    <row r="76" customFormat="false" ht="14.25" hidden="false" customHeight="true" outlineLevel="0" collapsed="false">
      <c r="A76" s="64" t="n">
        <v>1916</v>
      </c>
      <c r="B76" s="49" t="n">
        <f aca="false">(People!B76+People!L76)/2</f>
        <v>21149518.3271305</v>
      </c>
      <c r="C76" s="66" t="n">
        <f aca="false">Paths!L76*IF($A76&gt;=1896,prod_factor,1)</f>
        <v>0.008</v>
      </c>
      <c r="D76" s="67" t="n">
        <f aca="false">IF(O75&gt;0,MIN(dev_cap,dev_return*'Debt &amp; cash'!N75/O75),0)</f>
        <v>0.0058970185135314</v>
      </c>
      <c r="E76" s="66" t="n">
        <f aca="false">C76+D76</f>
        <v>0.0138970185135314</v>
      </c>
      <c r="F76" s="49" t="n">
        <f aca="false">F75*(1+E76)</f>
        <v>826.623120395757</v>
      </c>
      <c r="G76" s="68" t="n">
        <f aca="false">1-(1-Paths!M76)*IF($A76&gt;=1930,dep_severity,1)</f>
        <v>1</v>
      </c>
      <c r="H76" s="68" t="n">
        <f aca="false">IF($A76&gt;=1930,Paths!B$89+(Paths!B76-Paths!B$89)*slump_price,Paths!B76)</f>
        <v>1.17</v>
      </c>
      <c r="I76" s="69" t="n">
        <f aca="false">Labour!AO76</f>
        <v>0.0824713807071029</v>
      </c>
      <c r="J76" s="49" t="n">
        <f aca="false">B76*F76*(1+I76)*G76*H76/1000000</f>
        <v>22141.6669437418</v>
      </c>
      <c r="K76" s="65" t="n">
        <f aca="false">Resources!O76</f>
        <v>360.85</v>
      </c>
      <c r="L76" s="49" t="n">
        <f aca="false">Labour!L76*gw_rel*J76/Labour!B76</f>
        <v>1235.50822178253</v>
      </c>
      <c r="M76" s="65" t="n">
        <f aca="false">Champions!AQ76</f>
        <v>968.945558566556</v>
      </c>
      <c r="N76" s="49" t="n">
        <f aca="false">IF(Gulf!E76=1,Gulf!D76,0)</f>
        <v>0</v>
      </c>
      <c r="O76" s="49" t="n">
        <f aca="false">J76+K76+L76+M76+N76</f>
        <v>24706.9707240908</v>
      </c>
      <c r="P76" s="49" t="n">
        <f aca="false">O76*1000000/(B76+People!V76+Labour!L76)</f>
        <v>1124.29000800019</v>
      </c>
      <c r="Q76" s="47" t="n">
        <v>480</v>
      </c>
      <c r="R76" s="70" t="n">
        <f aca="false">P76/Q76</f>
        <v>2.34227085000039</v>
      </c>
      <c r="S76" s="49" t="n">
        <f aca="false">O76/H76</f>
        <v>21117.0689949494</v>
      </c>
    </row>
    <row r="77" customFormat="false" ht="14.25" hidden="false" customHeight="true" outlineLevel="0" collapsed="false">
      <c r="A77" s="64" t="n">
        <v>1917</v>
      </c>
      <c r="B77" s="49" t="n">
        <f aca="false">(People!B77+People!L77)/2</f>
        <v>21868164.151767</v>
      </c>
      <c r="C77" s="66" t="n">
        <f aca="false">Paths!L77*IF($A77&gt;=1896,prod_factor,1)</f>
        <v>0.008</v>
      </c>
      <c r="D77" s="67" t="n">
        <f aca="false">IF(O76&gt;0,MIN(dev_cap,dev_return*'Debt &amp; cash'!N76/O76),0)</f>
        <v>0.00604195754958843</v>
      </c>
      <c r="E77" s="66" t="n">
        <f aca="false">C77+D77</f>
        <v>0.0140419575495884</v>
      </c>
      <c r="F77" s="49" t="n">
        <f aca="false">F76*(1+E77)</f>
        <v>838.230527161862</v>
      </c>
      <c r="G77" s="68" t="n">
        <f aca="false">1-(1-Paths!M77)*IF($A77&gt;=1930,dep_severity,1)</f>
        <v>1</v>
      </c>
      <c r="H77" s="68" t="n">
        <f aca="false">IF($A77&gt;=1930,Paths!B$89+(Paths!B77-Paths!B$89)*slump_price,Paths!B77)</f>
        <v>1.42</v>
      </c>
      <c r="I77" s="69" t="n">
        <f aca="false">Labour!AO77</f>
        <v>0.0817137215923366</v>
      </c>
      <c r="J77" s="49" t="n">
        <f aca="false">B77*F77*(1+I77)*G77*H77/1000000</f>
        <v>28156.3581997189</v>
      </c>
      <c r="K77" s="65" t="n">
        <f aca="false">Resources!O77</f>
        <v>385</v>
      </c>
      <c r="L77" s="49" t="n">
        <f aca="false">Labour!L77*gw_rel*J77/Labour!B77</f>
        <v>1617.54469001619</v>
      </c>
      <c r="M77" s="65" t="n">
        <f aca="false">Champions!AQ77</f>
        <v>1116.62400007182</v>
      </c>
      <c r="N77" s="49" t="n">
        <f aca="false">IF(Gulf!E77=1,Gulf!D77,0)</f>
        <v>0</v>
      </c>
      <c r="O77" s="49" t="n">
        <f aca="false">J77+K77+L77+M77+N77</f>
        <v>31275.5268898069</v>
      </c>
      <c r="P77" s="49" t="n">
        <f aca="false">O77*1000000/(B77+People!V77+Labour!L77)</f>
        <v>1374.89519099352</v>
      </c>
      <c r="Q77" s="47" t="n">
        <v>580</v>
      </c>
      <c r="R77" s="70" t="n">
        <f aca="false">P77/Q77</f>
        <v>2.37050894998882</v>
      </c>
      <c r="S77" s="49" t="n">
        <f aca="false">O77/H77</f>
        <v>22025.0189364837</v>
      </c>
    </row>
    <row r="78" customFormat="false" ht="14.25" hidden="false" customHeight="true" outlineLevel="0" collapsed="false">
      <c r="A78" s="64" t="n">
        <v>1918</v>
      </c>
      <c r="B78" s="49" t="n">
        <f aca="false">(People!B78+People!L78)/2</f>
        <v>22557188.0699616</v>
      </c>
      <c r="C78" s="66" t="n">
        <f aca="false">Paths!L78*IF($A78&gt;=1896,prod_factor,1)</f>
        <v>0.008</v>
      </c>
      <c r="D78" s="67" t="n">
        <f aca="false">IF(O77&gt;0,MIN(dev_cap,dev_return*'Debt &amp; cash'!N77/O77),0)</f>
        <v>0.00656742841761207</v>
      </c>
      <c r="E78" s="66" t="n">
        <f aca="false">C78+D78</f>
        <v>0.0145674284176121</v>
      </c>
      <c r="F78" s="49" t="n">
        <f aca="false">F77*(1+E78)</f>
        <v>850.44139036375</v>
      </c>
      <c r="G78" s="68" t="n">
        <f aca="false">1-(1-Paths!M78)*IF($A78&gt;=1930,dep_severity,1)</f>
        <v>1</v>
      </c>
      <c r="H78" s="68" t="n">
        <f aca="false">IF($A78&gt;=1930,Paths!B$89+(Paths!B78-Paths!B$89)*slump_price,Paths!B78)</f>
        <v>1.66</v>
      </c>
      <c r="I78" s="69" t="n">
        <f aca="false">Labour!AO78</f>
        <v>0.0814262028751451</v>
      </c>
      <c r="J78" s="49" t="n">
        <f aca="false">B78*F78*(1+I78)*G78*H78/1000000</f>
        <v>34437.7148463811</v>
      </c>
      <c r="K78" s="65" t="n">
        <f aca="false">Resources!O78</f>
        <v>362.705</v>
      </c>
      <c r="L78" s="49" t="n">
        <f aca="false">Labour!L78*gw_rel*J78/Labour!B78</f>
        <v>1990.03487576389</v>
      </c>
      <c r="M78" s="65" t="n">
        <f aca="false">Champions!AQ78</f>
        <v>1264.08542557995</v>
      </c>
      <c r="N78" s="49" t="n">
        <f aca="false">IF(Gulf!E78=1,Gulf!D78,0)</f>
        <v>0</v>
      </c>
      <c r="O78" s="49" t="n">
        <f aca="false">J78+K78+L78+M78+N78</f>
        <v>38054.5401477249</v>
      </c>
      <c r="P78" s="49" t="n">
        <f aca="false">O78*1000000/(B78+People!V78+Labour!L78)</f>
        <v>1621.43698410999</v>
      </c>
      <c r="Q78" s="47" t="n">
        <v>738</v>
      </c>
      <c r="R78" s="70" t="n">
        <f aca="false">P78/Q78</f>
        <v>2.19706908415988</v>
      </c>
      <c r="S78" s="49" t="n">
        <f aca="false">O78/H78</f>
        <v>22924.4217757379</v>
      </c>
    </row>
    <row r="79" customFormat="false" ht="14.25" hidden="false" customHeight="true" outlineLevel="0" collapsed="false">
      <c r="A79" s="64" t="n">
        <v>1919</v>
      </c>
      <c r="B79" s="49" t="n">
        <f aca="false">(People!B79+People!L79)/2</f>
        <v>23298647.7242018</v>
      </c>
      <c r="C79" s="66" t="n">
        <f aca="false">Paths!L79*IF($A79&gt;=1896,prod_factor,1)</f>
        <v>0.008</v>
      </c>
      <c r="D79" s="67" t="n">
        <f aca="false">IF(O78&gt;0,MIN(dev_cap,dev_return*'Debt &amp; cash'!N78/O78),0)</f>
        <v>0.00568453961509432</v>
      </c>
      <c r="E79" s="66" t="n">
        <f aca="false">C79+D79</f>
        <v>0.0136845396150943</v>
      </c>
      <c r="F79" s="49" t="n">
        <f aca="false">F78*(1+E79)</f>
        <v>862.079289260499</v>
      </c>
      <c r="G79" s="68" t="n">
        <f aca="false">1-(1-Paths!M79)*IF($A79&gt;=1930,dep_severity,1)</f>
        <v>1</v>
      </c>
      <c r="H79" s="68" t="n">
        <f aca="false">IF($A79&gt;=1930,Paths!B$89+(Paths!B79-Paths!B$89)*slump_price,Paths!B79)</f>
        <v>1.83</v>
      </c>
      <c r="I79" s="69" t="n">
        <f aca="false">Labour!AO79</f>
        <v>0.0814393462884666</v>
      </c>
      <c r="J79" s="49" t="n">
        <f aca="false">B79*F79*(1+I79)*G79*H79/1000000</f>
        <v>39749.4554005852</v>
      </c>
      <c r="K79" s="65" t="n">
        <f aca="false">Resources!O79</f>
        <v>290.29</v>
      </c>
      <c r="L79" s="49" t="n">
        <f aca="false">Labour!L79*gw_rel*J79/Labour!B79</f>
        <v>2280.98178972745</v>
      </c>
      <c r="M79" s="65" t="n">
        <f aca="false">Champions!AQ79</f>
        <v>1328.5943580297</v>
      </c>
      <c r="N79" s="49" t="n">
        <f aca="false">IF(Gulf!E79=1,Gulf!D79,0)</f>
        <v>0</v>
      </c>
      <c r="O79" s="49" t="n">
        <f aca="false">J79+K79+L79+M79+N79</f>
        <v>43649.3215483423</v>
      </c>
      <c r="P79" s="49" t="n">
        <f aca="false">O79*1000000/(B79+People!V79+Labour!L79)</f>
        <v>1801.12131987615</v>
      </c>
      <c r="Q79" s="47" t="n">
        <v>800</v>
      </c>
      <c r="R79" s="70" t="n">
        <f aca="false">P79/Q79</f>
        <v>2.25140164984518</v>
      </c>
      <c r="S79" s="49" t="n">
        <f aca="false">O79/H79</f>
        <v>23852.0882777827</v>
      </c>
    </row>
    <row r="80" customFormat="false" ht="14.25" hidden="false" customHeight="true" outlineLevel="0" collapsed="false">
      <c r="A80" s="64" t="n">
        <v>1920</v>
      </c>
      <c r="B80" s="49" t="n">
        <f aca="false">(People!B80+People!L80)/2</f>
        <v>24129670.7297268</v>
      </c>
      <c r="C80" s="66" t="n">
        <f aca="false">Paths!L80*IF($A80&gt;=1896,prod_factor,1)</f>
        <v>0.008</v>
      </c>
      <c r="D80" s="67" t="n">
        <f aca="false">IF(O79&gt;0,MIN(dev_cap,dev_return*'Debt &amp; cash'!N79/O79),0)</f>
        <v>0.00787438619199542</v>
      </c>
      <c r="E80" s="66" t="n">
        <f aca="false">C80+D80</f>
        <v>0.0158743861919954</v>
      </c>
      <c r="F80" s="49" t="n">
        <f aca="false">F79*(1+E80)</f>
        <v>875.764268826341</v>
      </c>
      <c r="G80" s="68" t="n">
        <f aca="false">1-(1-Paths!M80)*IF($A80&gt;=1930,dep_severity,1)</f>
        <v>1</v>
      </c>
      <c r="H80" s="68" t="n">
        <f aca="false">IF($A80&gt;=1930,Paths!B$89+(Paths!B80-Paths!B$89)*slump_price,Paths!B80)</f>
        <v>2.05</v>
      </c>
      <c r="I80" s="69" t="n">
        <f aca="false">Labour!AO80</f>
        <v>0.0830970340942095</v>
      </c>
      <c r="J80" s="49" t="n">
        <f aca="false">B80*F80*(1+I80)*G80*H80/1000000</f>
        <v>46920.198986371</v>
      </c>
      <c r="K80" s="65" t="n">
        <f aca="false">Resources!O80</f>
        <v>302.75</v>
      </c>
      <c r="L80" s="49" t="n">
        <f aca="false">Labour!L80*gw_rel*J80/Labour!B80</f>
        <v>2647.57870417446</v>
      </c>
      <c r="M80" s="65" t="n">
        <f aca="false">Champions!AQ80</f>
        <v>1399.31951710263</v>
      </c>
      <c r="N80" s="49" t="n">
        <f aca="false">IF(Gulf!E80=1,Gulf!D80,0)</f>
        <v>0</v>
      </c>
      <c r="O80" s="49" t="n">
        <f aca="false">J80+K80+L80+M80+N80</f>
        <v>51269.8472076481</v>
      </c>
      <c r="P80" s="49" t="n">
        <f aca="false">O80*1000000/(B80+People!V80+Labour!L80)</f>
        <v>2044.0264658196</v>
      </c>
      <c r="Q80" s="47" t="n">
        <v>860</v>
      </c>
      <c r="R80" s="70" t="n">
        <f aca="false">P80/Q80</f>
        <v>2.37677496025535</v>
      </c>
      <c r="S80" s="49" t="n">
        <f aca="false">O80/H80</f>
        <v>25009.6815647064</v>
      </c>
    </row>
    <row r="81" customFormat="false" ht="14.25" hidden="false" customHeight="true" outlineLevel="0" collapsed="false">
      <c r="A81" s="64" t="n">
        <v>1921</v>
      </c>
      <c r="B81" s="49" t="n">
        <f aca="false">(People!B81+People!L81)/2</f>
        <v>25013792.8303105</v>
      </c>
      <c r="C81" s="66" t="n">
        <f aca="false">Paths!L81*IF($A81&gt;=1896,prod_factor,1)</f>
        <v>0.017</v>
      </c>
      <c r="D81" s="67" t="n">
        <f aca="false">IF(O80&gt;0,MIN(dev_cap,dev_return*'Debt &amp; cash'!N80/O80),0)</f>
        <v>0.00911255440638016</v>
      </c>
      <c r="E81" s="66" t="n">
        <f aca="false">C81+D81</f>
        <v>0.0261125544063802</v>
      </c>
      <c r="F81" s="49" t="n">
        <f aca="false">F80*(1+E81)</f>
        <v>898.632710943232</v>
      </c>
      <c r="G81" s="68" t="n">
        <f aca="false">1-(1-Paths!M81)*IF($A81&gt;=1930,dep_severity,1)</f>
        <v>0.93</v>
      </c>
      <c r="H81" s="68" t="n">
        <f aca="false">IF($A81&gt;=1930,Paths!B$89+(Paths!B81-Paths!B$89)*slump_price,Paths!B81)</f>
        <v>1.7</v>
      </c>
      <c r="I81" s="69" t="n">
        <f aca="false">Labour!AO81</f>
        <v>0.0843529500468258</v>
      </c>
      <c r="J81" s="49" t="n">
        <f aca="false">B81*F81*(1+I81)*G81*H81/1000000</f>
        <v>38535.7935881418</v>
      </c>
      <c r="K81" s="65" t="n">
        <f aca="false">Resources!O81</f>
        <v>224.666944444444</v>
      </c>
      <c r="L81" s="49" t="n">
        <f aca="false">Labour!L81*gw_rel*J81/Labour!B81</f>
        <v>1888.56169414355</v>
      </c>
      <c r="M81" s="65" t="n">
        <f aca="false">Champions!AQ81</f>
        <v>1266.08443652313</v>
      </c>
      <c r="N81" s="49" t="n">
        <f aca="false">IF(Gulf!E81=1,Gulf!D81,0)</f>
        <v>0</v>
      </c>
      <c r="O81" s="49" t="n">
        <f aca="false">J81+K81+L81+M81+N81</f>
        <v>41915.1066632529</v>
      </c>
      <c r="P81" s="49" t="n">
        <f aca="false">O81*1000000/(B81+People!V81+Labour!L81)</f>
        <v>1620.10124080154</v>
      </c>
      <c r="Q81" s="47" t="n">
        <v>644</v>
      </c>
      <c r="R81" s="70" t="n">
        <f aca="false">P81/Q81</f>
        <v>2.51568515652413</v>
      </c>
      <c r="S81" s="49" t="n">
        <f aca="false">O81/H81</f>
        <v>24655.9450960311</v>
      </c>
    </row>
    <row r="82" customFormat="false" ht="14.25" hidden="false" customHeight="true" outlineLevel="0" collapsed="false">
      <c r="A82" s="64" t="n">
        <v>1922</v>
      </c>
      <c r="B82" s="49" t="n">
        <f aca="false">(People!B82+People!L82)/2</f>
        <v>25938621.4828802</v>
      </c>
      <c r="C82" s="66" t="n">
        <f aca="false">Paths!L82*IF($A82&gt;=1896,prod_factor,1)</f>
        <v>0.017</v>
      </c>
      <c r="D82" s="67" t="n">
        <f aca="false">IF(O81&gt;0,MIN(dev_cap,dev_return*'Debt &amp; cash'!N81/O81),0)</f>
        <v>0.00583517403010732</v>
      </c>
      <c r="E82" s="66" t="n">
        <f aca="false">C82+D82</f>
        <v>0.0228351740301073</v>
      </c>
      <c r="F82" s="49" t="n">
        <f aca="false">F81*(1+E82)</f>
        <v>919.153145286768</v>
      </c>
      <c r="G82" s="68" t="n">
        <f aca="false">1-(1-Paths!M82)*IF($A82&gt;=1930,dep_severity,1)</f>
        <v>0.97</v>
      </c>
      <c r="H82" s="68" t="n">
        <f aca="false">IF($A82&gt;=1930,Paths!B$89+(Paths!B82-Paths!B$89)*slump_price,Paths!B82)</f>
        <v>1.58</v>
      </c>
      <c r="I82" s="69" t="n">
        <f aca="false">Labour!AO82</f>
        <v>0.0855971741439634</v>
      </c>
      <c r="J82" s="49" t="n">
        <f aca="false">B82*F82*(1+I82)*G82*H82/1000000</f>
        <v>39667.268392848</v>
      </c>
      <c r="K82" s="65" t="n">
        <f aca="false">Resources!O82</f>
        <v>261.908888888889</v>
      </c>
      <c r="L82" s="49" t="n">
        <f aca="false">Labour!L82*gw_rel*J82/Labour!B82</f>
        <v>1949.51058799275</v>
      </c>
      <c r="M82" s="65" t="n">
        <f aca="false">Champions!AQ82</f>
        <v>1506.68740668979</v>
      </c>
      <c r="N82" s="49" t="n">
        <f aca="false">IF(Gulf!E82=1,Gulf!D82,0)</f>
        <v>0</v>
      </c>
      <c r="O82" s="49" t="n">
        <f aca="false">J82+K82+L82+M82+N82</f>
        <v>43385.3752764194</v>
      </c>
      <c r="P82" s="49" t="n">
        <f aca="false">O82*1000000/(B82+People!V82+Labour!L82)</f>
        <v>1616.98823737271</v>
      </c>
      <c r="Q82" s="47" t="n">
        <v>680</v>
      </c>
      <c r="R82" s="70" t="n">
        <f aca="false">P82/Q82</f>
        <v>2.37792387848927</v>
      </c>
      <c r="S82" s="49" t="n">
        <f aca="false">O82/H82</f>
        <v>27459.0982762148</v>
      </c>
    </row>
    <row r="83" customFormat="false" ht="14.25" hidden="false" customHeight="true" outlineLevel="0" collapsed="false">
      <c r="A83" s="61" t="n">
        <v>1923</v>
      </c>
      <c r="B83" s="49" t="n">
        <f aca="false">(People!B83+People!L83)/2</f>
        <v>26889725.5529419</v>
      </c>
      <c r="C83" s="66" t="n">
        <f aca="false">Paths!L83*IF($A83&gt;=1896,prod_factor,1)</f>
        <v>0.017</v>
      </c>
      <c r="D83" s="67" t="n">
        <f aca="false">IF(O82&gt;0,MIN(dev_cap,dev_return*'Debt &amp; cash'!N82/O82),0)</f>
        <v>0.00544502350256646</v>
      </c>
      <c r="E83" s="66" t="n">
        <f aca="false">C83+D83</f>
        <v>0.0224450235025665</v>
      </c>
      <c r="F83" s="49" t="n">
        <f aca="false">F82*(1+E83)</f>
        <v>939.783559235188</v>
      </c>
      <c r="G83" s="68" t="n">
        <f aca="false">1-(1-Paths!M83)*IF($A83&gt;=1930,dep_severity,1)</f>
        <v>1</v>
      </c>
      <c r="H83" s="68" t="n">
        <f aca="false">IF($A83&gt;=1930,Paths!B$89+(Paths!B83-Paths!B$89)*slump_price,Paths!B83)</f>
        <v>1.62</v>
      </c>
      <c r="I83" s="69" t="n">
        <f aca="false">Labour!AO83</f>
        <v>0.0881809199935332</v>
      </c>
      <c r="J83" s="49" t="n">
        <f aca="false">B83*F83*(1+I83)*G83*H83/1000000</f>
        <v>44548.2177805413</v>
      </c>
      <c r="K83" s="65" t="n">
        <f aca="false">Resources!O83</f>
        <v>314.79</v>
      </c>
      <c r="L83" s="49" t="n">
        <f aca="false">Labour!L83*gw_rel*J83/Labour!B83</f>
        <v>2345.08665802141</v>
      </c>
      <c r="M83" s="65" t="n">
        <f aca="false">Champions!AQ83</f>
        <v>1762.58399182605</v>
      </c>
      <c r="N83" s="49" t="n">
        <f aca="false">IF(Gulf!E83=1,Gulf!D83,0)</f>
        <v>0</v>
      </c>
      <c r="O83" s="49" t="n">
        <f aca="false">J83+K83+L83+M83+N83</f>
        <v>48970.6784303887</v>
      </c>
      <c r="P83" s="49" t="n">
        <f aca="false">O83*1000000/(B83+People!V83+Labour!L83)</f>
        <v>1756.44358809221</v>
      </c>
      <c r="Q83" s="47" t="n">
        <v>770</v>
      </c>
      <c r="R83" s="70" t="n">
        <f aca="false">P83/Q83</f>
        <v>2.28109556895092</v>
      </c>
      <c r="S83" s="49" t="n">
        <f aca="false">O83/H83</f>
        <v>30228.813845919</v>
      </c>
    </row>
    <row r="84" customFormat="false" ht="14.25" hidden="false" customHeight="true" outlineLevel="0" collapsed="false">
      <c r="A84" s="61" t="n">
        <v>1924</v>
      </c>
      <c r="B84" s="49" t="n">
        <f aca="false">(People!B84+People!L84)/2</f>
        <v>27867685.0930654</v>
      </c>
      <c r="C84" s="66" t="n">
        <f aca="false">Paths!L84*IF($A84&gt;=1896,prod_factor,1)</f>
        <v>0.017</v>
      </c>
      <c r="D84" s="67" t="n">
        <f aca="false">IF(O83&gt;0,MIN(dev_cap,dev_return*'Debt &amp; cash'!N83/O83),0)</f>
        <v>0.00740256658079259</v>
      </c>
      <c r="E84" s="66" t="n">
        <f aca="false">C84+D84</f>
        <v>0.0244025665807926</v>
      </c>
      <c r="F84" s="49" t="n">
        <f aca="false">F83*(1+E84)</f>
        <v>962.716690110958</v>
      </c>
      <c r="G84" s="68" t="n">
        <f aca="false">1-(1-Paths!M84)*IF($A84&gt;=1930,dep_severity,1)</f>
        <v>1</v>
      </c>
      <c r="H84" s="68" t="n">
        <f aca="false">IF($A84&gt;=1930,Paths!B$89+(Paths!B84-Paths!B$89)*slump_price,Paths!B84)</f>
        <v>1.62</v>
      </c>
      <c r="I84" s="69" t="n">
        <f aca="false">Labour!AO84</f>
        <v>0.0889924714721729</v>
      </c>
      <c r="J84" s="49" t="n">
        <f aca="false">B84*F84*(1+I84)*G84*H84/1000000</f>
        <v>47330.3032719726</v>
      </c>
      <c r="K84" s="65" t="n">
        <f aca="false">Resources!O84</f>
        <v>364.381111111111</v>
      </c>
      <c r="L84" s="49" t="n">
        <f aca="false">Labour!L84*gw_rel*J84/Labour!B84</f>
        <v>2597.34830655981</v>
      </c>
      <c r="M84" s="65" t="n">
        <f aca="false">Champions!AQ84</f>
        <v>1968.04835780782</v>
      </c>
      <c r="N84" s="49" t="n">
        <f aca="false">IF(Gulf!E84=1,Gulf!D84,0)</f>
        <v>0</v>
      </c>
      <c r="O84" s="49" t="n">
        <f aca="false">J84+K84+L84+M84+N84</f>
        <v>52260.0810474513</v>
      </c>
      <c r="P84" s="49" t="n">
        <f aca="false">O84*1000000/(B84+People!V84+Labour!L84)</f>
        <v>1805.92068148135</v>
      </c>
      <c r="Q84" s="47" t="n">
        <v>760</v>
      </c>
      <c r="R84" s="70" t="n">
        <f aca="false">P84/Q84</f>
        <v>2.37621142300178</v>
      </c>
      <c r="S84" s="49" t="n">
        <f aca="false">O84/H84</f>
        <v>32259.3092885502</v>
      </c>
    </row>
    <row r="85" customFormat="false" ht="14.25" hidden="false" customHeight="true" outlineLevel="0" collapsed="false">
      <c r="A85" s="61" t="n">
        <v>1925</v>
      </c>
      <c r="B85" s="49" t="n">
        <f aca="false">(People!B85+People!L85)/2</f>
        <v>28843693.890088</v>
      </c>
      <c r="C85" s="66" t="n">
        <f aca="false">Paths!L85*IF($A85&gt;=1896,prod_factor,1)</f>
        <v>0.017</v>
      </c>
      <c r="D85" s="67" t="n">
        <f aca="false">IF(O84&gt;0,MIN(dev_cap,dev_return*'Debt &amp; cash'!N84/O84),0)</f>
        <v>0.00720886429476819</v>
      </c>
      <c r="E85" s="66" t="n">
        <f aca="false">C85+D85</f>
        <v>0.0242088642947682</v>
      </c>
      <c r="F85" s="49" t="n">
        <f aca="false">F84*(1+E85)</f>
        <v>986.022967816163</v>
      </c>
      <c r="G85" s="68" t="n">
        <f aca="false">1-(1-Paths!M85)*IF($A85&gt;=1930,dep_severity,1)</f>
        <v>1</v>
      </c>
      <c r="H85" s="68" t="n">
        <f aca="false">IF($A85&gt;=1930,Paths!B$89+(Paths!B85-Paths!B$89)*slump_price,Paths!B85)</f>
        <v>1.65</v>
      </c>
      <c r="I85" s="69" t="n">
        <f aca="false">Labour!AO85</f>
        <v>0.0886502480683027</v>
      </c>
      <c r="J85" s="49" t="n">
        <f aca="false">B85*F85*(1+I85)*G85*H85/1000000</f>
        <v>51086.9798849986</v>
      </c>
      <c r="K85" s="65" t="n">
        <f aca="false">Resources!O85</f>
        <v>377.222222222222</v>
      </c>
      <c r="L85" s="49" t="n">
        <f aca="false">Labour!L85*gw_rel*J85/Labour!B85</f>
        <v>2888.91961643285</v>
      </c>
      <c r="M85" s="65" t="n">
        <f aca="false">Champions!AQ85</f>
        <v>2140.92111393845</v>
      </c>
      <c r="N85" s="49" t="n">
        <f aca="false">IF(Gulf!E85=1,Gulf!D85,0)</f>
        <v>0</v>
      </c>
      <c r="O85" s="49" t="n">
        <f aca="false">J85+K85+L85+M85+N85</f>
        <v>56494.0428375922</v>
      </c>
      <c r="P85" s="49" t="n">
        <f aca="false">O85*1000000/(B85+People!V85+Labour!L85)</f>
        <v>1884.0483922753</v>
      </c>
      <c r="Q85" s="47" t="n">
        <v>787</v>
      </c>
      <c r="R85" s="70" t="n">
        <f aca="false">P85/Q85</f>
        <v>2.39396237900292</v>
      </c>
      <c r="S85" s="49" t="n">
        <f aca="false">O85/H85</f>
        <v>34238.8138409649</v>
      </c>
    </row>
    <row r="86" customFormat="false" ht="14.25" hidden="false" customHeight="true" outlineLevel="0" collapsed="false">
      <c r="A86" s="61" t="n">
        <v>1926</v>
      </c>
      <c r="B86" s="49" t="n">
        <f aca="false">(People!B86+People!L86)/2</f>
        <v>29818642.9709337</v>
      </c>
      <c r="C86" s="66" t="n">
        <f aca="false">Paths!L86*IF($A86&gt;=1896,prod_factor,1)</f>
        <v>0.017</v>
      </c>
      <c r="D86" s="67" t="n">
        <f aca="false">IF(O85&gt;0,MIN(dev_cap,dev_return*'Debt &amp; cash'!N85/O85),0)</f>
        <v>0.00766399214808301</v>
      </c>
      <c r="E86" s="66" t="n">
        <f aca="false">C86+D86</f>
        <v>0.024663992148083</v>
      </c>
      <c r="F86" s="49" t="n">
        <f aca="false">F85*(1+E86)</f>
        <v>1010.34223055221</v>
      </c>
      <c r="G86" s="68" t="n">
        <f aca="false">1-(1-Paths!M86)*IF($A86&gt;=1930,dep_severity,1)</f>
        <v>1</v>
      </c>
      <c r="H86" s="68" t="n">
        <f aca="false">IF($A86&gt;=1930,Paths!B$89+(Paths!B86-Paths!B$89)*slump_price,Paths!B86)</f>
        <v>1.62</v>
      </c>
      <c r="I86" s="69" t="n">
        <f aca="false">Labour!AO86</f>
        <v>0.0893784901329304</v>
      </c>
      <c r="J86" s="49" t="n">
        <f aca="false">B86*F86*(1+I86)*G86*H86/1000000</f>
        <v>53167.983797468</v>
      </c>
      <c r="K86" s="65" t="n">
        <f aca="false">Resources!O86</f>
        <v>385.536666666667</v>
      </c>
      <c r="L86" s="49" t="n">
        <f aca="false">Labour!L86*gw_rel*J86/Labour!B86</f>
        <v>3062.84187502673</v>
      </c>
      <c r="M86" s="65" t="n">
        <f aca="false">Champions!AQ86</f>
        <v>2313.52643928694</v>
      </c>
      <c r="N86" s="49" t="n">
        <f aca="false">IF(Gulf!E86=1,Gulf!D86,0)</f>
        <v>0</v>
      </c>
      <c r="O86" s="49" t="n">
        <f aca="false">J86+K86+L86+M86+N86</f>
        <v>58929.8887784483</v>
      </c>
      <c r="P86" s="49" t="n">
        <f aca="false">O86*1000000/(B86+People!V86+Labour!L86)</f>
        <v>1899.67272319472</v>
      </c>
      <c r="Q86" s="47" t="n">
        <v>820</v>
      </c>
      <c r="R86" s="70" t="n">
        <f aca="false">P86/Q86</f>
        <v>2.31667405267648</v>
      </c>
      <c r="S86" s="49" t="n">
        <f aca="false">O86/H86</f>
        <v>36376.4745545977</v>
      </c>
    </row>
    <row r="87" customFormat="false" ht="14.25" hidden="false" customHeight="true" outlineLevel="0" collapsed="false">
      <c r="A87" s="61" t="n">
        <v>1927</v>
      </c>
      <c r="B87" s="49" t="n">
        <f aca="false">(People!B87+People!L87)/2</f>
        <v>30810482.587905</v>
      </c>
      <c r="C87" s="66" t="n">
        <f aca="false">Paths!L87*IF($A87&gt;=1896,prod_factor,1)</f>
        <v>0.017</v>
      </c>
      <c r="D87" s="67" t="n">
        <f aca="false">IF(O86&gt;0,MIN(dev_cap,dev_return*'Debt &amp; cash'!N86/O86),0)</f>
        <v>0.00743961500785504</v>
      </c>
      <c r="E87" s="66" t="n">
        <f aca="false">C87+D87</f>
        <v>0.024439615007855</v>
      </c>
      <c r="F87" s="49" t="n">
        <f aca="false">F86*(1+E87)</f>
        <v>1035.03460569308</v>
      </c>
      <c r="G87" s="68" t="n">
        <f aca="false">1-(1-Paths!M87)*IF($A87&gt;=1930,dep_severity,1)</f>
        <v>1</v>
      </c>
      <c r="H87" s="68" t="n">
        <f aca="false">IF($A87&gt;=1930,Paths!B$89+(Paths!B87-Paths!B$89)*slump_price,Paths!B87)</f>
        <v>1.58</v>
      </c>
      <c r="I87" s="69" t="n">
        <f aca="false">Labour!AO87</f>
        <v>0.0900682376229722</v>
      </c>
      <c r="J87" s="49" t="n">
        <f aca="false">B87*F87*(1+I87)*G87*H87/1000000</f>
        <v>54924.2510380896</v>
      </c>
      <c r="K87" s="65" t="n">
        <f aca="false">Resources!O87</f>
        <v>415.874861111111</v>
      </c>
      <c r="L87" s="49" t="n">
        <f aca="false">Labour!L87*gw_rel*J87/Labour!B87</f>
        <v>3213.95804572786</v>
      </c>
      <c r="M87" s="65" t="n">
        <f aca="false">Champions!AQ87</f>
        <v>2512.29059863781</v>
      </c>
      <c r="N87" s="49" t="n">
        <f aca="false">IF(Gulf!E87=1,Gulf!D87,0)</f>
        <v>0</v>
      </c>
      <c r="O87" s="49" t="n">
        <f aca="false">J87+K87+L87+M87+N87</f>
        <v>61066.3745435664</v>
      </c>
      <c r="P87" s="49" t="n">
        <f aca="false">O87*1000000/(B87+People!V87+Labour!L87)</f>
        <v>1904.00917950461</v>
      </c>
      <c r="Q87" s="47" t="n">
        <v>805</v>
      </c>
      <c r="R87" s="70" t="n">
        <f aca="false">P87/Q87</f>
        <v>2.36522879441566</v>
      </c>
      <c r="S87" s="49" t="n">
        <f aca="false">O87/H87</f>
        <v>38649.6041414977</v>
      </c>
    </row>
    <row r="88" customFormat="false" ht="14.25" hidden="false" customHeight="true" outlineLevel="0" collapsed="false">
      <c r="A88" s="61" t="n">
        <v>1928</v>
      </c>
      <c r="B88" s="49" t="n">
        <f aca="false">(People!B88+People!L88)/2</f>
        <v>31831203.7585128</v>
      </c>
      <c r="C88" s="66" t="n">
        <f aca="false">Paths!L88*IF($A88&gt;=1896,prod_factor,1)</f>
        <v>0.017</v>
      </c>
      <c r="D88" s="67" t="n">
        <f aca="false">IF(O87&gt;0,MIN(dev_cap,dev_return*'Debt &amp; cash'!N87/O87),0)</f>
        <v>0.00736001554539178</v>
      </c>
      <c r="E88" s="66" t="n">
        <f aca="false">C88+D88</f>
        <v>0.0243600155453918</v>
      </c>
      <c r="F88" s="49" t="n">
        <f aca="false">F87*(1+E88)</f>
        <v>1060.24806477779</v>
      </c>
      <c r="G88" s="68" t="n">
        <f aca="false">1-(1-Paths!M88)*IF($A88&gt;=1930,dep_severity,1)</f>
        <v>1</v>
      </c>
      <c r="H88" s="68" t="n">
        <f aca="false">IF($A88&gt;=1930,Paths!B$89+(Paths!B88-Paths!B$89)*slump_price,Paths!B88)</f>
        <v>1.6</v>
      </c>
      <c r="I88" s="69" t="n">
        <f aca="false">Labour!AO88</f>
        <v>0.0900585403867891</v>
      </c>
      <c r="J88" s="49" t="n">
        <f aca="false">B88*F88*(1+I88)*G88*H88/1000000</f>
        <v>58861.3685744032</v>
      </c>
      <c r="K88" s="65" t="n">
        <f aca="false">Resources!O88</f>
        <v>445.568425555556</v>
      </c>
      <c r="L88" s="49" t="n">
        <f aca="false">Labour!L88*gw_rel*J88/Labour!B88</f>
        <v>3498.02064937732</v>
      </c>
      <c r="M88" s="65" t="n">
        <f aca="false">Champions!AQ88</f>
        <v>2713.55530919669</v>
      </c>
      <c r="N88" s="49" t="n">
        <f aca="false">IF(Gulf!E88=1,Gulf!D88,0)</f>
        <v>0</v>
      </c>
      <c r="O88" s="49" t="n">
        <f aca="false">J88+K88+L88+M88+N88</f>
        <v>65518.5129585327</v>
      </c>
      <c r="P88" s="49" t="n">
        <f aca="false">O88*1000000/(B88+People!V88+Labour!L88)</f>
        <v>1976.10550924695</v>
      </c>
      <c r="Q88" s="47" t="n">
        <v>815</v>
      </c>
      <c r="R88" s="70" t="n">
        <f aca="false">P88/Q88</f>
        <v>2.42466933649932</v>
      </c>
      <c r="S88" s="49" t="n">
        <f aca="false">O88/H88</f>
        <v>40949.070599083</v>
      </c>
    </row>
    <row r="89" customFormat="false" ht="14.25" hidden="false" customHeight="true" outlineLevel="0" collapsed="false">
      <c r="A89" s="61" t="n">
        <v>1929</v>
      </c>
      <c r="B89" s="49" t="n">
        <f aca="false">(People!B89+People!L89)/2</f>
        <v>32873398.1337929</v>
      </c>
      <c r="C89" s="66" t="n">
        <f aca="false">Paths!L89*IF($A89&gt;=1896,prod_factor,1)</f>
        <v>0.017</v>
      </c>
      <c r="D89" s="67" t="n">
        <f aca="false">IF(O88&gt;0,MIN(dev_cap,dev_return*'Debt &amp; cash'!N88/O88),0)</f>
        <v>0.00856469450863587</v>
      </c>
      <c r="E89" s="66" t="n">
        <f aca="false">C89+D89</f>
        <v>0.0255646945086359</v>
      </c>
      <c r="F89" s="49" t="n">
        <f aca="false">F88*(1+E89)</f>
        <v>1087.3529826572</v>
      </c>
      <c r="G89" s="68" t="n">
        <f aca="false">1-(1-Paths!M89)*IF($A89&gt;=1930,dep_severity,1)</f>
        <v>1</v>
      </c>
      <c r="H89" s="68" t="n">
        <f aca="false">IF($A89&gt;=1930,Paths!B$89+(Paths!B89-Paths!B$89)*slump_price,Paths!B89)</f>
        <v>1.6</v>
      </c>
      <c r="I89" s="69" t="n">
        <f aca="false">Labour!AO89</f>
        <v>0.0901911947326839</v>
      </c>
      <c r="J89" s="49" t="n">
        <f aca="false">B89*F89*(1+I89)*G89*H89/1000000</f>
        <v>62350.1930242664</v>
      </c>
      <c r="K89" s="65" t="n">
        <f aca="false">Resources!O89</f>
        <v>472.5</v>
      </c>
      <c r="L89" s="49" t="n">
        <f aca="false">Labour!L89*gw_rel*J89/Labour!B89</f>
        <v>3742.45790054065</v>
      </c>
      <c r="M89" s="65" t="n">
        <f aca="false">Champions!AQ89</f>
        <v>2907.19089434362</v>
      </c>
      <c r="N89" s="49" t="n">
        <f aca="false">IF(Gulf!E89=1,Gulf!D89,0)</f>
        <v>0</v>
      </c>
      <c r="O89" s="49" t="n">
        <f aca="false">J89+K89+L89+M89+N89</f>
        <v>69472.3418191507</v>
      </c>
      <c r="P89" s="49" t="n">
        <f aca="false">O89*1000000/(B89+People!V89+Labour!L89)</f>
        <v>2028.11628570292</v>
      </c>
      <c r="Q89" s="47" t="n">
        <v>859</v>
      </c>
      <c r="R89" s="70" t="n">
        <f aca="false">P89/Q89</f>
        <v>2.36102012305346</v>
      </c>
      <c r="S89" s="49" t="n">
        <f aca="false">O89/H89</f>
        <v>43420.2136369692</v>
      </c>
    </row>
    <row r="90" customFormat="false" ht="14.25" hidden="false" customHeight="true" outlineLevel="0" collapsed="false">
      <c r="A90" s="61" t="n">
        <v>1930</v>
      </c>
      <c r="B90" s="49" t="n">
        <f aca="false">(People!B90+People!L90)/2</f>
        <v>33873268.7330877</v>
      </c>
      <c r="C90" s="66" t="n">
        <f aca="false">Paths!L90*IF($A90&gt;=1896,prod_factor,1)</f>
        <v>0</v>
      </c>
      <c r="D90" s="67" t="n">
        <f aca="false">IF(O89&gt;0,MIN(dev_cap,dev_return*'Debt &amp; cash'!N89/O89),0)</f>
        <v>0.00860845324057274</v>
      </c>
      <c r="E90" s="66" t="n">
        <f aca="false">C90+D90</f>
        <v>0.00860845324057274</v>
      </c>
      <c r="F90" s="49" t="n">
        <f aca="false">F89*(1+E90)</f>
        <v>1096.7134099644</v>
      </c>
      <c r="G90" s="68" t="n">
        <f aca="false">1-(1-Paths!M90)*IF($A90&gt;=1930,dep_severity,1)</f>
        <v>0.94</v>
      </c>
      <c r="H90" s="68" t="n">
        <f aca="false">IF($A90&gt;=1930,Paths!B$89+(Paths!B90-Paths!B$89)*slump_price,Paths!B90)</f>
        <v>1.558</v>
      </c>
      <c r="I90" s="69" t="n">
        <f aca="false">Labour!AO90</f>
        <v>0.090497088417288</v>
      </c>
      <c r="J90" s="49" t="n">
        <f aca="false">B90*F90*(1+I90)*G90*H90/1000000</f>
        <v>59329.4167187225</v>
      </c>
      <c r="K90" s="65" t="n">
        <f aca="false">Resources!O90</f>
        <v>329</v>
      </c>
      <c r="L90" s="49" t="n">
        <f aca="false">Labour!L90*gw_rel*J90/Labour!B90</f>
        <v>3249.43402168776</v>
      </c>
      <c r="M90" s="65" t="n">
        <f aca="false">Champions!AQ90</f>
        <v>2481.62641431887</v>
      </c>
      <c r="N90" s="49" t="n">
        <f aca="false">IF(Gulf!E90=1,Gulf!D90,0)</f>
        <v>0</v>
      </c>
      <c r="O90" s="49" t="n">
        <f aca="false">J90+K90+L90+M90+N90</f>
        <v>65389.4771547291</v>
      </c>
      <c r="P90" s="49" t="n">
        <f aca="false">O90*1000000/(B90+People!V90+Labour!L90)</f>
        <v>1859.13864732517</v>
      </c>
      <c r="Q90" s="47" t="n">
        <v>748</v>
      </c>
      <c r="R90" s="70" t="n">
        <f aca="false">P90/Q90</f>
        <v>2.48547947503365</v>
      </c>
      <c r="S90" s="49" t="n">
        <f aca="false">O90/H90</f>
        <v>41970.1393804423</v>
      </c>
    </row>
    <row r="91" customFormat="false" ht="14.25" hidden="false" customHeight="true" outlineLevel="0" collapsed="false">
      <c r="A91" s="61" t="n">
        <v>1931</v>
      </c>
      <c r="B91" s="49" t="n">
        <f aca="false">(People!B91+People!L91)/2</f>
        <v>34798423.7813817</v>
      </c>
      <c r="C91" s="66" t="n">
        <f aca="false">Paths!L91*IF($A91&gt;=1896,prod_factor,1)</f>
        <v>0</v>
      </c>
      <c r="D91" s="67" t="n">
        <f aca="false">IF(O90&gt;0,MIN(dev_cap,dev_return*'Debt &amp; cash'!N90/O90),0)</f>
        <v>0.00607141148099463</v>
      </c>
      <c r="E91" s="66" t="n">
        <f aca="false">C91+D91</f>
        <v>0.00607141148099463</v>
      </c>
      <c r="F91" s="49" t="n">
        <f aca="false">F90*(1+E91)</f>
        <v>1103.37200835302</v>
      </c>
      <c r="G91" s="68" t="n">
        <f aca="false">1-(1-Paths!M91)*IF($A91&gt;=1930,dep_severity,1)</f>
        <v>0.89</v>
      </c>
      <c r="H91" s="68" t="n">
        <f aca="false">IF($A91&gt;=1930,Paths!B$89+(Paths!B91-Paths!B$89)*slump_price,Paths!B91)</f>
        <v>1.462</v>
      </c>
      <c r="I91" s="69" t="n">
        <f aca="false">Labour!AO91</f>
        <v>0.0904050178919876</v>
      </c>
      <c r="J91" s="49" t="n">
        <f aca="false">B91*F91*(1+I91)*G91*H91/1000000</f>
        <v>54476.1937032197</v>
      </c>
      <c r="K91" s="65" t="n">
        <f aca="false">Resources!O91</f>
        <v>186.9</v>
      </c>
      <c r="L91" s="49" t="n">
        <f aca="false">Labour!L91*gw_rel*J91/Labour!B91</f>
        <v>2557.44053843605</v>
      </c>
      <c r="M91" s="65" t="n">
        <f aca="false">Champions!AQ91</f>
        <v>2109.74923084773</v>
      </c>
      <c r="N91" s="49" t="n">
        <f aca="false">IF(Gulf!E91=1,Gulf!D91,0)</f>
        <v>0</v>
      </c>
      <c r="O91" s="49" t="n">
        <f aca="false">J91+K91+L91+M91+N91</f>
        <v>59330.2834725035</v>
      </c>
      <c r="P91" s="49" t="n">
        <f aca="false">O91*1000000/(B91+People!V91+Labour!L91)</f>
        <v>1650.72398155202</v>
      </c>
      <c r="Q91" s="47" t="n">
        <v>624</v>
      </c>
      <c r="R91" s="70" t="n">
        <f aca="false">P91/Q91</f>
        <v>2.64539099607696</v>
      </c>
      <c r="S91" s="49" t="n">
        <f aca="false">O91/H91</f>
        <v>40581.5892424784</v>
      </c>
    </row>
    <row r="92" customFormat="false" ht="14.25" hidden="false" customHeight="true" outlineLevel="0" collapsed="false">
      <c r="A92" s="61" t="n">
        <v>1932</v>
      </c>
      <c r="B92" s="49" t="n">
        <f aca="false">(People!B92+People!L92)/2</f>
        <v>35714063.6033742</v>
      </c>
      <c r="C92" s="66" t="n">
        <f aca="false">Paths!L92*IF($A92&gt;=1896,prod_factor,1)</f>
        <v>0</v>
      </c>
      <c r="D92" s="67" t="n">
        <f aca="false">IF(O91&gt;0,MIN(dev_cap,dev_return*'Debt &amp; cash'!N91/O91),0)</f>
        <v>0.00218772386621757</v>
      </c>
      <c r="E92" s="66" t="n">
        <f aca="false">C92+D92</f>
        <v>0.00218772386621757</v>
      </c>
      <c r="F92" s="49" t="n">
        <f aca="false">F91*(1+E92)</f>
        <v>1105.78588162901</v>
      </c>
      <c r="G92" s="68" t="n">
        <f aca="false">1-(1-Paths!M92)*IF($A92&gt;=1930,dep_severity,1)</f>
        <v>0.86</v>
      </c>
      <c r="H92" s="68" t="n">
        <f aca="false">IF($A92&gt;=1930,Paths!B$89+(Paths!B92-Paths!B$89)*slump_price,Paths!B92)</f>
        <v>1.372</v>
      </c>
      <c r="I92" s="69" t="n">
        <f aca="false">Labour!AO92</f>
        <v>0.0911750502127556</v>
      </c>
      <c r="J92" s="49" t="n">
        <f aca="false">B92*F92*(1+I92)*G92*H92/1000000</f>
        <v>50846.0591423797</v>
      </c>
      <c r="K92" s="65" t="n">
        <f aca="false">Resources!O92</f>
        <v>152.145</v>
      </c>
      <c r="L92" s="49" t="n">
        <f aca="false">Labour!L92*gw_rel*J92/Labour!B92</f>
        <v>2055.57730990984</v>
      </c>
      <c r="M92" s="65" t="n">
        <f aca="false">Champions!AQ92</f>
        <v>1792.33755934029</v>
      </c>
      <c r="N92" s="49" t="n">
        <f aca="false">IF(Gulf!E92=1,Gulf!D92,0)</f>
        <v>0</v>
      </c>
      <c r="O92" s="49" t="n">
        <f aca="false">J92+K92+L92+M92+N92</f>
        <v>54846.1190116299</v>
      </c>
      <c r="P92" s="49" t="n">
        <f aca="false">O92*1000000/(B92+People!V92+Labour!L92)</f>
        <v>1493.43775064607</v>
      </c>
      <c r="Q92" s="47" t="n">
        <v>476</v>
      </c>
      <c r="R92" s="70" t="n">
        <f aca="false">P92/Q92</f>
        <v>3.13747426606318</v>
      </c>
      <c r="S92" s="49" t="n">
        <f aca="false">O92/H92</f>
        <v>39975.3054020626</v>
      </c>
    </row>
  </sheetData>
  <mergeCells count="3">
    <mergeCell ref="B4:H4"/>
    <mergeCell ref="I4:P4"/>
    <mergeCell ref="Q4:S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R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8" min="2" style="1" width="12.44"/>
  </cols>
  <sheetData>
    <row r="1" customFormat="false" ht="18" hidden="false" customHeight="true" outlineLevel="0" collapsed="false">
      <c r="A1" s="19" t="s">
        <v>1398</v>
      </c>
    </row>
    <row r="2" customFormat="false" ht="14.25" hidden="false" customHeight="true" outlineLevel="0" collapsed="false">
      <c r="A2" s="3" t="s">
        <v>1399</v>
      </c>
    </row>
    <row r="3" customFormat="false" ht="14.25" hidden="false" customHeight="true" outlineLevel="0" collapsed="false">
      <c r="A3" s="20" t="s">
        <v>1315</v>
      </c>
    </row>
    <row r="4" customFormat="false" ht="14.25" hidden="false" customHeight="true" outlineLevel="0" collapsed="false">
      <c r="B4" s="58" t="s">
        <v>1400</v>
      </c>
      <c r="C4" s="58"/>
      <c r="D4" s="58"/>
      <c r="E4" s="58"/>
      <c r="F4" s="58"/>
      <c r="G4" s="58" t="s">
        <v>1401</v>
      </c>
      <c r="H4" s="58"/>
      <c r="I4" s="58" t="s">
        <v>125</v>
      </c>
      <c r="J4" s="58"/>
      <c r="K4" s="58"/>
      <c r="L4" s="58"/>
      <c r="M4" s="58"/>
      <c r="N4" s="58" t="s">
        <v>1402</v>
      </c>
      <c r="O4" s="58"/>
      <c r="P4" s="58" t="s">
        <v>1403</v>
      </c>
      <c r="Q4" s="58"/>
      <c r="R4" s="58"/>
    </row>
    <row r="5" customFormat="false" ht="54" hidden="false" customHeight="true" outlineLevel="0" collapsed="false">
      <c r="A5" s="60" t="s">
        <v>103</v>
      </c>
      <c r="B5" s="7" t="s">
        <v>1404</v>
      </c>
      <c r="C5" s="7" t="s">
        <v>1405</v>
      </c>
      <c r="D5" s="7" t="s">
        <v>1406</v>
      </c>
      <c r="E5" s="7" t="s">
        <v>1407</v>
      </c>
      <c r="F5" s="7" t="s">
        <v>1408</v>
      </c>
      <c r="G5" s="7" t="s">
        <v>1409</v>
      </c>
      <c r="H5" s="7" t="s">
        <v>1410</v>
      </c>
      <c r="I5" s="7" t="s">
        <v>1411</v>
      </c>
      <c r="J5" s="7" t="s">
        <v>1412</v>
      </c>
      <c r="K5" s="7" t="s">
        <v>14</v>
      </c>
      <c r="L5" s="7" t="s">
        <v>1413</v>
      </c>
      <c r="M5" s="7" t="s">
        <v>1414</v>
      </c>
      <c r="N5" s="7" t="s">
        <v>1415</v>
      </c>
      <c r="O5" s="7" t="s">
        <v>1416</v>
      </c>
      <c r="P5" s="7" t="s">
        <v>1417</v>
      </c>
      <c r="Q5" s="7" t="s">
        <v>1418</v>
      </c>
      <c r="R5" s="7" t="s">
        <v>1419</v>
      </c>
    </row>
    <row r="6" customFormat="false" ht="14.25" hidden="false" customHeight="true" outlineLevel="0" collapsed="false">
      <c r="A6" s="61" t="n">
        <v>1846</v>
      </c>
      <c r="B6" s="55" t="n">
        <v>0</v>
      </c>
      <c r="C6" s="55" t="n">
        <v>0</v>
      </c>
      <c r="D6" s="55" t="n">
        <v>0</v>
      </c>
      <c r="E6" s="55" t="n">
        <v>0</v>
      </c>
      <c r="F6" s="55" t="n">
        <v>0</v>
      </c>
      <c r="G6" s="55" t="n">
        <v>0</v>
      </c>
      <c r="H6" s="55" t="n">
        <v>0</v>
      </c>
      <c r="I6" s="55" t="n">
        <v>0</v>
      </c>
      <c r="J6" s="71" t="n">
        <v>0</v>
      </c>
      <c r="K6" s="56" t="n">
        <f aca="false">I6*IF(AND(oil_compact=1,$A6&gt;=compact_year),1-compact_cut,1)</f>
        <v>0</v>
      </c>
      <c r="L6" s="70" t="n">
        <f aca="false">IF(AND(oil_compact=1,$A6&gt;=compact_year),MAX(J6,compact_price),J6)</f>
        <v>0</v>
      </c>
      <c r="M6" s="56" t="n">
        <f aca="false">K6*L6</f>
        <v>0</v>
      </c>
      <c r="N6" s="56" t="n">
        <f aca="false">SUM(B6:F6)+M6</f>
        <v>0</v>
      </c>
      <c r="O6" s="56" t="n">
        <f aca="false">N6*mining_va</f>
        <v>0</v>
      </c>
      <c r="P6" s="56" t="n">
        <f aca="false">SUM(B6:F6)*roy_metal*0.9</f>
        <v>0</v>
      </c>
      <c r="Q6" s="56" t="n">
        <f aca="false">M6*roy_oil</f>
        <v>0</v>
      </c>
      <c r="R6" s="56" t="n">
        <f aca="false">SUM(B6:E6)*gold_retained+(G6+H6)*conc_gold</f>
        <v>0</v>
      </c>
    </row>
    <row r="7" customFormat="false" ht="14.25" hidden="false" customHeight="true" outlineLevel="0" collapsed="false">
      <c r="A7" s="61" t="n">
        <v>1847</v>
      </c>
      <c r="B7" s="55" t="n">
        <v>0</v>
      </c>
      <c r="C7" s="55" t="n">
        <v>0</v>
      </c>
      <c r="D7" s="55" t="n">
        <v>0</v>
      </c>
      <c r="E7" s="55" t="n">
        <v>0</v>
      </c>
      <c r="F7" s="55" t="n">
        <v>0</v>
      </c>
      <c r="G7" s="55" t="n">
        <v>0</v>
      </c>
      <c r="H7" s="55" t="n">
        <v>0</v>
      </c>
      <c r="I7" s="55" t="n">
        <v>0</v>
      </c>
      <c r="J7" s="71" t="n">
        <v>0</v>
      </c>
      <c r="K7" s="56" t="n">
        <f aca="false">I7*IF(AND(oil_compact=1,$A7&gt;=compact_year),1-compact_cut,1)</f>
        <v>0</v>
      </c>
      <c r="L7" s="70" t="n">
        <f aca="false">IF(AND(oil_compact=1,$A7&gt;=compact_year),MAX(J7,compact_price),J7)</f>
        <v>0</v>
      </c>
      <c r="M7" s="56" t="n">
        <f aca="false">K7*L7</f>
        <v>0</v>
      </c>
      <c r="N7" s="56" t="n">
        <f aca="false">SUM(B7:F7)+M7</f>
        <v>0</v>
      </c>
      <c r="O7" s="56" t="n">
        <f aca="false">N7*mining_va</f>
        <v>0</v>
      </c>
      <c r="P7" s="56" t="n">
        <f aca="false">SUM(B7:F7)*roy_metal*0.9</f>
        <v>0</v>
      </c>
      <c r="Q7" s="56" t="n">
        <f aca="false">M7*roy_oil</f>
        <v>0</v>
      </c>
      <c r="R7" s="56" t="n">
        <f aca="false">SUM(B7:E7)*gold_retained+(G7+H7)*conc_gold</f>
        <v>0</v>
      </c>
    </row>
    <row r="8" customFormat="false" ht="14.25" hidden="false" customHeight="true" outlineLevel="0" collapsed="false">
      <c r="A8" s="61" t="n">
        <v>1848</v>
      </c>
      <c r="B8" s="55" t="n">
        <v>10</v>
      </c>
      <c r="C8" s="55" t="n">
        <v>0</v>
      </c>
      <c r="D8" s="55" t="n">
        <v>0</v>
      </c>
      <c r="E8" s="55" t="n">
        <v>0</v>
      </c>
      <c r="F8" s="55" t="n">
        <v>0</v>
      </c>
      <c r="G8" s="55" t="n">
        <v>0</v>
      </c>
      <c r="H8" s="55" t="n">
        <v>0</v>
      </c>
      <c r="I8" s="55" t="n">
        <v>0</v>
      </c>
      <c r="J8" s="71" t="n">
        <v>0</v>
      </c>
      <c r="K8" s="56" t="n">
        <f aca="false">I8*IF(AND(oil_compact=1,$A8&gt;=compact_year),1-compact_cut,1)</f>
        <v>0</v>
      </c>
      <c r="L8" s="70" t="n">
        <f aca="false">IF(AND(oil_compact=1,$A8&gt;=compact_year),MAX(J8,compact_price),J8)</f>
        <v>0</v>
      </c>
      <c r="M8" s="56" t="n">
        <f aca="false">K8*L8</f>
        <v>0</v>
      </c>
      <c r="N8" s="56" t="n">
        <f aca="false">SUM(B8:F8)+M8</f>
        <v>10</v>
      </c>
      <c r="O8" s="56" t="n">
        <f aca="false">N8*mining_va</f>
        <v>7</v>
      </c>
      <c r="P8" s="56" t="n">
        <f aca="false">SUM(B8:F8)*roy_metal*0.9</f>
        <v>0.45</v>
      </c>
      <c r="Q8" s="56" t="n">
        <f aca="false">M8*roy_oil</f>
        <v>0</v>
      </c>
      <c r="R8" s="56" t="n">
        <f aca="false">SUM(B8:E8)*gold_retained+(G8+H8)*conc_gold</f>
        <v>2</v>
      </c>
    </row>
    <row r="9" customFormat="false" ht="14.25" hidden="false" customHeight="true" outlineLevel="0" collapsed="false">
      <c r="A9" s="61" t="n">
        <v>1849</v>
      </c>
      <c r="B9" s="55" t="n">
        <v>40</v>
      </c>
      <c r="C9" s="55" t="n">
        <v>0</v>
      </c>
      <c r="D9" s="55" t="n">
        <v>0</v>
      </c>
      <c r="E9" s="55" t="n">
        <v>0</v>
      </c>
      <c r="F9" s="55" t="n">
        <v>0</v>
      </c>
      <c r="G9" s="55" t="n">
        <v>0</v>
      </c>
      <c r="H9" s="55" t="n">
        <v>0</v>
      </c>
      <c r="I9" s="55" t="n">
        <v>0</v>
      </c>
      <c r="J9" s="71" t="n">
        <v>0</v>
      </c>
      <c r="K9" s="56" t="n">
        <f aca="false">I9*IF(AND(oil_compact=1,$A9&gt;=compact_year),1-compact_cut,1)</f>
        <v>0</v>
      </c>
      <c r="L9" s="70" t="n">
        <f aca="false">IF(AND(oil_compact=1,$A9&gt;=compact_year),MAX(J9,compact_price),J9)</f>
        <v>0</v>
      </c>
      <c r="M9" s="56" t="n">
        <f aca="false">K9*L9</f>
        <v>0</v>
      </c>
      <c r="N9" s="56" t="n">
        <f aca="false">SUM(B9:F9)+M9</f>
        <v>40</v>
      </c>
      <c r="O9" s="56" t="n">
        <f aca="false">N9*mining_va</f>
        <v>28</v>
      </c>
      <c r="P9" s="56" t="n">
        <f aca="false">SUM(B9:F9)*roy_metal*0.9</f>
        <v>1.8</v>
      </c>
      <c r="Q9" s="56" t="n">
        <f aca="false">M9*roy_oil</f>
        <v>0</v>
      </c>
      <c r="R9" s="56" t="n">
        <f aca="false">SUM(B9:E9)*gold_retained+(G9+H9)*conc_gold</f>
        <v>8</v>
      </c>
    </row>
    <row r="10" customFormat="false" ht="14.25" hidden="false" customHeight="true" outlineLevel="0" collapsed="false">
      <c r="A10" s="61" t="n">
        <v>1850</v>
      </c>
      <c r="B10" s="55" t="n">
        <v>41</v>
      </c>
      <c r="C10" s="55" t="n">
        <v>0</v>
      </c>
      <c r="D10" s="55" t="n">
        <v>0</v>
      </c>
      <c r="E10" s="55" t="n">
        <v>0</v>
      </c>
      <c r="F10" s="55" t="n">
        <v>0</v>
      </c>
      <c r="G10" s="55" t="n">
        <v>0</v>
      </c>
      <c r="H10" s="55" t="n">
        <v>0</v>
      </c>
      <c r="I10" s="55" t="n">
        <v>0</v>
      </c>
      <c r="J10" s="71" t="n">
        <v>0</v>
      </c>
      <c r="K10" s="56" t="n">
        <f aca="false">I10*IF(AND(oil_compact=1,$A10&gt;=compact_year),1-compact_cut,1)</f>
        <v>0</v>
      </c>
      <c r="L10" s="70" t="n">
        <f aca="false">IF(AND(oil_compact=1,$A10&gt;=compact_year),MAX(J10,compact_price),J10)</f>
        <v>0</v>
      </c>
      <c r="M10" s="56" t="n">
        <f aca="false">K10*L10</f>
        <v>0</v>
      </c>
      <c r="N10" s="56" t="n">
        <f aca="false">SUM(B10:F10)+M10</f>
        <v>41</v>
      </c>
      <c r="O10" s="56" t="n">
        <f aca="false">N10*mining_va</f>
        <v>28.7</v>
      </c>
      <c r="P10" s="56" t="n">
        <f aca="false">SUM(B10:F10)*roy_metal*0.9</f>
        <v>1.845</v>
      </c>
      <c r="Q10" s="56" t="n">
        <f aca="false">M10*roy_oil</f>
        <v>0</v>
      </c>
      <c r="R10" s="56" t="n">
        <f aca="false">SUM(B10:E10)*gold_retained+(G10+H10)*conc_gold</f>
        <v>8.2</v>
      </c>
    </row>
    <row r="11" customFormat="false" ht="14.25" hidden="false" customHeight="true" outlineLevel="0" collapsed="false">
      <c r="A11" s="61" t="n">
        <v>1851</v>
      </c>
      <c r="B11" s="55" t="n">
        <v>75</v>
      </c>
      <c r="C11" s="55" t="n">
        <v>0</v>
      </c>
      <c r="D11" s="55" t="n">
        <v>0</v>
      </c>
      <c r="E11" s="55" t="n">
        <v>0</v>
      </c>
      <c r="F11" s="55" t="n">
        <v>0</v>
      </c>
      <c r="G11" s="55" t="n">
        <v>0</v>
      </c>
      <c r="H11" s="55" t="n">
        <v>0</v>
      </c>
      <c r="I11" s="55" t="n">
        <v>0</v>
      </c>
      <c r="J11" s="71" t="n">
        <v>0</v>
      </c>
      <c r="K11" s="56" t="n">
        <f aca="false">I11*IF(AND(oil_compact=1,$A11&gt;=compact_year),1-compact_cut,1)</f>
        <v>0</v>
      </c>
      <c r="L11" s="70" t="n">
        <f aca="false">IF(AND(oil_compact=1,$A11&gt;=compact_year),MAX(J11,compact_price),J11)</f>
        <v>0</v>
      </c>
      <c r="M11" s="56" t="n">
        <f aca="false">K11*L11</f>
        <v>0</v>
      </c>
      <c r="N11" s="56" t="n">
        <f aca="false">SUM(B11:F11)+M11</f>
        <v>75</v>
      </c>
      <c r="O11" s="56" t="n">
        <f aca="false">N11*mining_va</f>
        <v>52.5</v>
      </c>
      <c r="P11" s="56" t="n">
        <f aca="false">SUM(B11:F11)*roy_metal*0.9</f>
        <v>3.375</v>
      </c>
      <c r="Q11" s="56" t="n">
        <f aca="false">M11*roy_oil</f>
        <v>0</v>
      </c>
      <c r="R11" s="56" t="n">
        <f aca="false">SUM(B11:E11)*gold_retained+(G11+H11)*conc_gold</f>
        <v>15</v>
      </c>
    </row>
    <row r="12" customFormat="false" ht="14.25" hidden="false" customHeight="true" outlineLevel="0" collapsed="false">
      <c r="A12" s="61" t="n">
        <v>1852</v>
      </c>
      <c r="B12" s="55" t="n">
        <v>81</v>
      </c>
      <c r="C12" s="55" t="n">
        <v>0</v>
      </c>
      <c r="D12" s="55" t="n">
        <v>0</v>
      </c>
      <c r="E12" s="55" t="n">
        <v>0</v>
      </c>
      <c r="F12" s="55" t="n">
        <v>0</v>
      </c>
      <c r="G12" s="55" t="n">
        <v>0</v>
      </c>
      <c r="H12" s="55" t="n">
        <v>0</v>
      </c>
      <c r="I12" s="55" t="n">
        <v>0</v>
      </c>
      <c r="J12" s="71" t="n">
        <v>0</v>
      </c>
      <c r="K12" s="56" t="n">
        <f aca="false">I12*IF(AND(oil_compact=1,$A12&gt;=compact_year),1-compact_cut,1)</f>
        <v>0</v>
      </c>
      <c r="L12" s="70" t="n">
        <f aca="false">IF(AND(oil_compact=1,$A12&gt;=compact_year),MAX(J12,compact_price),J12)</f>
        <v>0</v>
      </c>
      <c r="M12" s="56" t="n">
        <f aca="false">K12*L12</f>
        <v>0</v>
      </c>
      <c r="N12" s="56" t="n">
        <f aca="false">SUM(B12:F12)+M12</f>
        <v>81</v>
      </c>
      <c r="O12" s="56" t="n">
        <f aca="false">N12*mining_va</f>
        <v>56.7</v>
      </c>
      <c r="P12" s="56" t="n">
        <f aca="false">SUM(B12:F12)*roy_metal*0.9</f>
        <v>3.645</v>
      </c>
      <c r="Q12" s="56" t="n">
        <f aca="false">M12*roy_oil</f>
        <v>0</v>
      </c>
      <c r="R12" s="56" t="n">
        <f aca="false">SUM(B12:E12)*gold_retained+(G12+H12)*conc_gold</f>
        <v>16.2</v>
      </c>
    </row>
    <row r="13" customFormat="false" ht="14.25" hidden="false" customHeight="true" outlineLevel="0" collapsed="false">
      <c r="A13" s="61" t="n">
        <v>1853</v>
      </c>
      <c r="B13" s="55" t="n">
        <v>67</v>
      </c>
      <c r="C13" s="55" t="n">
        <v>0</v>
      </c>
      <c r="D13" s="55" t="n">
        <v>0</v>
      </c>
      <c r="E13" s="55" t="n">
        <v>0</v>
      </c>
      <c r="F13" s="55" t="n">
        <v>0</v>
      </c>
      <c r="G13" s="55" t="n">
        <v>0</v>
      </c>
      <c r="H13" s="55" t="n">
        <v>0</v>
      </c>
      <c r="I13" s="55" t="n">
        <v>0</v>
      </c>
      <c r="J13" s="71" t="n">
        <v>0</v>
      </c>
      <c r="K13" s="56" t="n">
        <f aca="false">I13*IF(AND(oil_compact=1,$A13&gt;=compact_year),1-compact_cut,1)</f>
        <v>0</v>
      </c>
      <c r="L13" s="70" t="n">
        <f aca="false">IF(AND(oil_compact=1,$A13&gt;=compact_year),MAX(J13,compact_price),J13)</f>
        <v>0</v>
      </c>
      <c r="M13" s="56" t="n">
        <f aca="false">K13*L13</f>
        <v>0</v>
      </c>
      <c r="N13" s="56" t="n">
        <f aca="false">SUM(B13:F13)+M13</f>
        <v>67</v>
      </c>
      <c r="O13" s="56" t="n">
        <f aca="false">N13*mining_va</f>
        <v>46.9</v>
      </c>
      <c r="P13" s="56" t="n">
        <f aca="false">SUM(B13:F13)*roy_metal*0.9</f>
        <v>3.015</v>
      </c>
      <c r="Q13" s="56" t="n">
        <f aca="false">M13*roy_oil</f>
        <v>0</v>
      </c>
      <c r="R13" s="56" t="n">
        <f aca="false">SUM(B13:E13)*gold_retained+(G13+H13)*conc_gold</f>
        <v>13.4</v>
      </c>
    </row>
    <row r="14" customFormat="false" ht="14.25" hidden="false" customHeight="true" outlineLevel="0" collapsed="false">
      <c r="A14" s="61" t="n">
        <v>1854</v>
      </c>
      <c r="B14" s="55" t="n">
        <v>69</v>
      </c>
      <c r="C14" s="55" t="n">
        <v>0</v>
      </c>
      <c r="D14" s="55" t="n">
        <v>0</v>
      </c>
      <c r="E14" s="55" t="n">
        <v>0</v>
      </c>
      <c r="F14" s="55" t="n">
        <v>0</v>
      </c>
      <c r="G14" s="55" t="n">
        <v>0</v>
      </c>
      <c r="H14" s="55" t="n">
        <v>0</v>
      </c>
      <c r="I14" s="55" t="n">
        <v>0</v>
      </c>
      <c r="J14" s="71" t="n">
        <v>0</v>
      </c>
      <c r="K14" s="56" t="n">
        <f aca="false">I14*IF(AND(oil_compact=1,$A14&gt;=compact_year),1-compact_cut,1)</f>
        <v>0</v>
      </c>
      <c r="L14" s="70" t="n">
        <f aca="false">IF(AND(oil_compact=1,$A14&gt;=compact_year),MAX(J14,compact_price),J14)</f>
        <v>0</v>
      </c>
      <c r="M14" s="56" t="n">
        <f aca="false">K14*L14</f>
        <v>0</v>
      </c>
      <c r="N14" s="56" t="n">
        <f aca="false">SUM(B14:F14)+M14</f>
        <v>69</v>
      </c>
      <c r="O14" s="56" t="n">
        <f aca="false">N14*mining_va</f>
        <v>48.3</v>
      </c>
      <c r="P14" s="56" t="n">
        <f aca="false">SUM(B14:F14)*roy_metal*0.9</f>
        <v>3.105</v>
      </c>
      <c r="Q14" s="56" t="n">
        <f aca="false">M14*roy_oil</f>
        <v>0</v>
      </c>
      <c r="R14" s="56" t="n">
        <f aca="false">SUM(B14:E14)*gold_retained+(G14+H14)*conc_gold</f>
        <v>13.8</v>
      </c>
    </row>
    <row r="15" customFormat="false" ht="14.25" hidden="false" customHeight="true" outlineLevel="0" collapsed="false">
      <c r="A15" s="61" t="n">
        <v>1855</v>
      </c>
      <c r="B15" s="55" t="n">
        <v>55</v>
      </c>
      <c r="C15" s="55" t="n">
        <v>0</v>
      </c>
      <c r="D15" s="55" t="n">
        <v>0</v>
      </c>
      <c r="E15" s="55" t="n">
        <v>0</v>
      </c>
      <c r="F15" s="55" t="n">
        <v>0</v>
      </c>
      <c r="G15" s="55" t="n">
        <v>0</v>
      </c>
      <c r="H15" s="55" t="n">
        <v>0</v>
      </c>
      <c r="I15" s="55" t="n">
        <v>0</v>
      </c>
      <c r="J15" s="71" t="n">
        <v>0</v>
      </c>
      <c r="K15" s="56" t="n">
        <f aca="false">I15*IF(AND(oil_compact=1,$A15&gt;=compact_year),1-compact_cut,1)</f>
        <v>0</v>
      </c>
      <c r="L15" s="70" t="n">
        <f aca="false">IF(AND(oil_compact=1,$A15&gt;=compact_year),MAX(J15,compact_price),J15)</f>
        <v>0</v>
      </c>
      <c r="M15" s="56" t="n">
        <f aca="false">K15*L15</f>
        <v>0</v>
      </c>
      <c r="N15" s="56" t="n">
        <f aca="false">SUM(B15:F15)+M15</f>
        <v>55</v>
      </c>
      <c r="O15" s="56" t="n">
        <f aca="false">N15*mining_va</f>
        <v>38.5</v>
      </c>
      <c r="P15" s="56" t="n">
        <f aca="false">SUM(B15:F15)*roy_metal*0.9</f>
        <v>2.475</v>
      </c>
      <c r="Q15" s="56" t="n">
        <f aca="false">M15*roy_oil</f>
        <v>0</v>
      </c>
      <c r="R15" s="56" t="n">
        <f aca="false">SUM(B15:E15)*gold_retained+(G15+H15)*conc_gold</f>
        <v>11</v>
      </c>
    </row>
    <row r="16" customFormat="false" ht="14.25" hidden="false" customHeight="true" outlineLevel="0" collapsed="false">
      <c r="A16" s="61" t="n">
        <v>1856</v>
      </c>
      <c r="B16" s="55" t="n">
        <v>57</v>
      </c>
      <c r="C16" s="55" t="n">
        <v>0</v>
      </c>
      <c r="D16" s="55" t="n">
        <v>0</v>
      </c>
      <c r="E16" s="55" t="n">
        <v>0</v>
      </c>
      <c r="F16" s="55" t="n">
        <v>0</v>
      </c>
      <c r="G16" s="55" t="n">
        <v>0</v>
      </c>
      <c r="H16" s="55" t="n">
        <v>0</v>
      </c>
      <c r="I16" s="55" t="n">
        <v>0</v>
      </c>
      <c r="J16" s="71" t="n">
        <v>0</v>
      </c>
      <c r="K16" s="56" t="n">
        <f aca="false">I16*IF(AND(oil_compact=1,$A16&gt;=compact_year),1-compact_cut,1)</f>
        <v>0</v>
      </c>
      <c r="L16" s="70" t="n">
        <f aca="false">IF(AND(oil_compact=1,$A16&gt;=compact_year),MAX(J16,compact_price),J16)</f>
        <v>0</v>
      </c>
      <c r="M16" s="56" t="n">
        <f aca="false">K16*L16</f>
        <v>0</v>
      </c>
      <c r="N16" s="56" t="n">
        <f aca="false">SUM(B16:F16)+M16</f>
        <v>57</v>
      </c>
      <c r="O16" s="56" t="n">
        <f aca="false">N16*mining_va</f>
        <v>39.9</v>
      </c>
      <c r="P16" s="56" t="n">
        <f aca="false">SUM(B16:F16)*roy_metal*0.9</f>
        <v>2.565</v>
      </c>
      <c r="Q16" s="56" t="n">
        <f aca="false">M16*roy_oil</f>
        <v>0</v>
      </c>
      <c r="R16" s="56" t="n">
        <f aca="false">SUM(B16:E16)*gold_retained+(G16+H16)*conc_gold</f>
        <v>11.4</v>
      </c>
    </row>
    <row r="17" customFormat="false" ht="14.25" hidden="false" customHeight="true" outlineLevel="0" collapsed="false">
      <c r="A17" s="61" t="n">
        <v>1857</v>
      </c>
      <c r="B17" s="55" t="n">
        <v>43</v>
      </c>
      <c r="C17" s="55" t="n">
        <v>0</v>
      </c>
      <c r="D17" s="55" t="n">
        <v>0</v>
      </c>
      <c r="E17" s="55" t="n">
        <v>0</v>
      </c>
      <c r="F17" s="55" t="n">
        <v>0</v>
      </c>
      <c r="G17" s="55" t="n">
        <v>0</v>
      </c>
      <c r="H17" s="55" t="n">
        <v>0</v>
      </c>
      <c r="I17" s="55" t="n">
        <v>0</v>
      </c>
      <c r="J17" s="71" t="n">
        <v>0</v>
      </c>
      <c r="K17" s="56" t="n">
        <f aca="false">I17*IF(AND(oil_compact=1,$A17&gt;=compact_year),1-compact_cut,1)</f>
        <v>0</v>
      </c>
      <c r="L17" s="70" t="n">
        <f aca="false">IF(AND(oil_compact=1,$A17&gt;=compact_year),MAX(J17,compact_price),J17)</f>
        <v>0</v>
      </c>
      <c r="M17" s="56" t="n">
        <f aca="false">K17*L17</f>
        <v>0</v>
      </c>
      <c r="N17" s="56" t="n">
        <f aca="false">SUM(B17:F17)+M17</f>
        <v>43</v>
      </c>
      <c r="O17" s="56" t="n">
        <f aca="false">N17*mining_va</f>
        <v>30.1</v>
      </c>
      <c r="P17" s="56" t="n">
        <f aca="false">SUM(B17:F17)*roy_metal*0.9</f>
        <v>1.935</v>
      </c>
      <c r="Q17" s="56" t="n">
        <f aca="false">M17*roy_oil</f>
        <v>0</v>
      </c>
      <c r="R17" s="56" t="n">
        <f aca="false">SUM(B17:E17)*gold_retained+(G17+H17)*conc_gold</f>
        <v>8.6</v>
      </c>
    </row>
    <row r="18" customFormat="false" ht="14.25" hidden="false" customHeight="true" outlineLevel="0" collapsed="false">
      <c r="A18" s="61" t="n">
        <v>1858</v>
      </c>
      <c r="B18" s="55" t="n">
        <v>47</v>
      </c>
      <c r="C18" s="55" t="n">
        <v>0</v>
      </c>
      <c r="D18" s="55" t="n">
        <v>0</v>
      </c>
      <c r="E18" s="55" t="n">
        <v>0</v>
      </c>
      <c r="F18" s="55" t="n">
        <v>0</v>
      </c>
      <c r="G18" s="55" t="n">
        <v>0</v>
      </c>
      <c r="H18" s="55" t="n">
        <v>0</v>
      </c>
      <c r="I18" s="55" t="n">
        <v>0</v>
      </c>
      <c r="J18" s="71" t="n">
        <v>0</v>
      </c>
      <c r="K18" s="56" t="n">
        <f aca="false">I18*IF(AND(oil_compact=1,$A18&gt;=compact_year),1-compact_cut,1)</f>
        <v>0</v>
      </c>
      <c r="L18" s="70" t="n">
        <f aca="false">IF(AND(oil_compact=1,$A18&gt;=compact_year),MAX(J18,compact_price),J18)</f>
        <v>0</v>
      </c>
      <c r="M18" s="56" t="n">
        <f aca="false">K18*L18</f>
        <v>0</v>
      </c>
      <c r="N18" s="56" t="n">
        <f aca="false">SUM(B18:F18)+M18</f>
        <v>47</v>
      </c>
      <c r="O18" s="56" t="n">
        <f aca="false">N18*mining_va</f>
        <v>32.9</v>
      </c>
      <c r="P18" s="56" t="n">
        <f aca="false">SUM(B18:F18)*roy_metal*0.9</f>
        <v>2.115</v>
      </c>
      <c r="Q18" s="56" t="n">
        <f aca="false">M18*roy_oil</f>
        <v>0</v>
      </c>
      <c r="R18" s="56" t="n">
        <f aca="false">SUM(B18:E18)*gold_retained+(G18+H18)*conc_gold</f>
        <v>9.4</v>
      </c>
    </row>
    <row r="19" customFormat="false" ht="14.25" hidden="false" customHeight="true" outlineLevel="0" collapsed="false">
      <c r="A19" s="61" t="n">
        <v>1859</v>
      </c>
      <c r="B19" s="55" t="n">
        <v>46</v>
      </c>
      <c r="C19" s="55" t="n">
        <v>0</v>
      </c>
      <c r="D19" s="55" t="n">
        <v>0</v>
      </c>
      <c r="E19" s="55" t="n">
        <v>0</v>
      </c>
      <c r="F19" s="55" t="n">
        <v>0</v>
      </c>
      <c r="G19" s="55" t="n">
        <v>0</v>
      </c>
      <c r="H19" s="55" t="n">
        <v>0</v>
      </c>
      <c r="I19" s="55" t="n">
        <v>0</v>
      </c>
      <c r="J19" s="71" t="n">
        <v>0</v>
      </c>
      <c r="K19" s="56" t="n">
        <f aca="false">I19*IF(AND(oil_compact=1,$A19&gt;=compact_year),1-compact_cut,1)</f>
        <v>0</v>
      </c>
      <c r="L19" s="70" t="n">
        <f aca="false">IF(AND(oil_compact=1,$A19&gt;=compact_year),MAX(J19,compact_price),J19)</f>
        <v>0</v>
      </c>
      <c r="M19" s="56" t="n">
        <f aca="false">K19*L19</f>
        <v>0</v>
      </c>
      <c r="N19" s="56" t="n">
        <f aca="false">SUM(B19:F19)+M19</f>
        <v>46</v>
      </c>
      <c r="O19" s="56" t="n">
        <f aca="false">N19*mining_va</f>
        <v>32.2</v>
      </c>
      <c r="P19" s="56" t="n">
        <f aca="false">SUM(B19:F19)*roy_metal*0.9</f>
        <v>2.07</v>
      </c>
      <c r="Q19" s="56" t="n">
        <f aca="false">M19*roy_oil</f>
        <v>0</v>
      </c>
      <c r="R19" s="56" t="n">
        <f aca="false">SUM(B19:E19)*gold_retained+(G19+H19)*conc_gold</f>
        <v>9.2</v>
      </c>
    </row>
    <row r="20" customFormat="false" ht="14.25" hidden="false" customHeight="true" outlineLevel="0" collapsed="false">
      <c r="A20" s="61" t="n">
        <v>1860</v>
      </c>
      <c r="B20" s="55" t="n">
        <v>45</v>
      </c>
      <c r="C20" s="55" t="n">
        <v>0</v>
      </c>
      <c r="D20" s="55" t="n">
        <v>0</v>
      </c>
      <c r="E20" s="55" t="n">
        <v>0</v>
      </c>
      <c r="F20" s="55" t="n">
        <v>0</v>
      </c>
      <c r="G20" s="55" t="n">
        <v>0</v>
      </c>
      <c r="H20" s="55" t="n">
        <v>0</v>
      </c>
      <c r="I20" s="55" t="n">
        <v>0</v>
      </c>
      <c r="J20" s="71" t="n">
        <v>0</v>
      </c>
      <c r="K20" s="56" t="n">
        <f aca="false">I20*IF(AND(oil_compact=1,$A20&gt;=compact_year),1-compact_cut,1)</f>
        <v>0</v>
      </c>
      <c r="L20" s="70" t="n">
        <f aca="false">IF(AND(oil_compact=1,$A20&gt;=compact_year),MAX(J20,compact_price),J20)</f>
        <v>0</v>
      </c>
      <c r="M20" s="56" t="n">
        <f aca="false">K20*L20</f>
        <v>0</v>
      </c>
      <c r="N20" s="56" t="n">
        <f aca="false">SUM(B20:F20)+M20</f>
        <v>45</v>
      </c>
      <c r="O20" s="56" t="n">
        <f aca="false">N20*mining_va</f>
        <v>31.5</v>
      </c>
      <c r="P20" s="56" t="n">
        <f aca="false">SUM(B20:F20)*roy_metal*0.9</f>
        <v>2.025</v>
      </c>
      <c r="Q20" s="56" t="n">
        <f aca="false">M20*roy_oil</f>
        <v>0</v>
      </c>
      <c r="R20" s="56" t="n">
        <f aca="false">SUM(B20:E20)*gold_retained+(G20+H20)*conc_gold</f>
        <v>9</v>
      </c>
    </row>
    <row r="21" customFormat="false" ht="14.25" hidden="false" customHeight="true" outlineLevel="0" collapsed="false">
      <c r="A21" s="64" t="n">
        <v>1861</v>
      </c>
      <c r="B21" s="55" t="n">
        <v>41</v>
      </c>
      <c r="C21" s="55" t="n">
        <v>0</v>
      </c>
      <c r="D21" s="55" t="n">
        <v>0</v>
      </c>
      <c r="E21" s="55" t="n">
        <v>0</v>
      </c>
      <c r="F21" s="55" t="n">
        <v>0</v>
      </c>
      <c r="G21" s="55" t="n">
        <v>0</v>
      </c>
      <c r="H21" s="55" t="n">
        <v>0</v>
      </c>
      <c r="I21" s="55" t="n">
        <v>0</v>
      </c>
      <c r="J21" s="71" t="n">
        <v>0</v>
      </c>
      <c r="K21" s="56" t="n">
        <f aca="false">I21*IF(AND(oil_compact=1,$A21&gt;=compact_year),1-compact_cut,1)</f>
        <v>0</v>
      </c>
      <c r="L21" s="70" t="n">
        <f aca="false">IF(AND(oil_compact=1,$A21&gt;=compact_year),MAX(J21,compact_price),J21)</f>
        <v>0</v>
      </c>
      <c r="M21" s="56" t="n">
        <f aca="false">K21*L21</f>
        <v>0</v>
      </c>
      <c r="N21" s="56" t="n">
        <f aca="false">SUM(B21:F21)+M21</f>
        <v>41</v>
      </c>
      <c r="O21" s="56" t="n">
        <f aca="false">N21*mining_va</f>
        <v>28.7</v>
      </c>
      <c r="P21" s="56" t="n">
        <f aca="false">SUM(B21:F21)*roy_metal*0.9</f>
        <v>1.845</v>
      </c>
      <c r="Q21" s="56" t="n">
        <f aca="false">M21*roy_oil</f>
        <v>0</v>
      </c>
      <c r="R21" s="56" t="n">
        <f aca="false">SUM(B21:E21)*gold_retained+(G21+H21)*conc_gold</f>
        <v>8.2</v>
      </c>
    </row>
    <row r="22" customFormat="false" ht="14.25" hidden="false" customHeight="true" outlineLevel="0" collapsed="false">
      <c r="A22" s="64" t="n">
        <v>1862</v>
      </c>
      <c r="B22" s="55" t="n">
        <v>38</v>
      </c>
      <c r="C22" s="55" t="n">
        <v>0</v>
      </c>
      <c r="D22" s="55" t="n">
        <v>0</v>
      </c>
      <c r="E22" s="55" t="n">
        <v>0</v>
      </c>
      <c r="F22" s="55" t="n">
        <v>0</v>
      </c>
      <c r="G22" s="55" t="n">
        <v>0</v>
      </c>
      <c r="H22" s="55" t="n">
        <v>0</v>
      </c>
      <c r="I22" s="55" t="n">
        <v>0</v>
      </c>
      <c r="J22" s="71" t="n">
        <v>0</v>
      </c>
      <c r="K22" s="56" t="n">
        <f aca="false">I22*IF(AND(oil_compact=1,$A22&gt;=compact_year),1-compact_cut,1)</f>
        <v>0</v>
      </c>
      <c r="L22" s="70" t="n">
        <f aca="false">IF(AND(oil_compact=1,$A22&gt;=compact_year),MAX(J22,compact_price),J22)</f>
        <v>0</v>
      </c>
      <c r="M22" s="56" t="n">
        <f aca="false">K22*L22</f>
        <v>0</v>
      </c>
      <c r="N22" s="56" t="n">
        <f aca="false">SUM(B22:F22)+M22</f>
        <v>38</v>
      </c>
      <c r="O22" s="56" t="n">
        <f aca="false">N22*mining_va</f>
        <v>26.6</v>
      </c>
      <c r="P22" s="56" t="n">
        <f aca="false">SUM(B22:F22)*roy_metal*0.9</f>
        <v>1.71</v>
      </c>
      <c r="Q22" s="56" t="n">
        <f aca="false">M22*roy_oil</f>
        <v>0</v>
      </c>
      <c r="R22" s="56" t="n">
        <f aca="false">SUM(B22:E22)*gold_retained+(G22+H22)*conc_gold</f>
        <v>7.6</v>
      </c>
    </row>
    <row r="23" customFormat="false" ht="14.25" hidden="false" customHeight="true" outlineLevel="0" collapsed="false">
      <c r="A23" s="64" t="n">
        <v>1863</v>
      </c>
      <c r="B23" s="55" t="n">
        <v>23</v>
      </c>
      <c r="C23" s="55" t="n">
        <v>15</v>
      </c>
      <c r="D23" s="55" t="n">
        <v>0</v>
      </c>
      <c r="E23" s="55" t="n">
        <v>0</v>
      </c>
      <c r="F23" s="55" t="n">
        <v>0</v>
      </c>
      <c r="G23" s="55" t="n">
        <v>0</v>
      </c>
      <c r="H23" s="55" t="n">
        <v>0</v>
      </c>
      <c r="I23" s="55" t="n">
        <v>0</v>
      </c>
      <c r="J23" s="71" t="n">
        <v>0</v>
      </c>
      <c r="K23" s="56" t="n">
        <f aca="false">I23*IF(AND(oil_compact=1,$A23&gt;=compact_year),1-compact_cut,1)</f>
        <v>0</v>
      </c>
      <c r="L23" s="70" t="n">
        <f aca="false">IF(AND(oil_compact=1,$A23&gt;=compact_year),MAX(J23,compact_price),J23)</f>
        <v>0</v>
      </c>
      <c r="M23" s="56" t="n">
        <f aca="false">K23*L23</f>
        <v>0</v>
      </c>
      <c r="N23" s="56" t="n">
        <f aca="false">SUM(B23:F23)+M23</f>
        <v>38</v>
      </c>
      <c r="O23" s="56" t="n">
        <f aca="false">N23*mining_va</f>
        <v>26.6</v>
      </c>
      <c r="P23" s="56" t="n">
        <f aca="false">SUM(B23:F23)*roy_metal*0.9</f>
        <v>1.71</v>
      </c>
      <c r="Q23" s="56" t="n">
        <f aca="false">M23*roy_oil</f>
        <v>0</v>
      </c>
      <c r="R23" s="56" t="n">
        <f aca="false">SUM(B23:E23)*gold_retained+(G23+H23)*conc_gold</f>
        <v>7.6</v>
      </c>
    </row>
    <row r="24" customFormat="false" ht="14.25" hidden="false" customHeight="true" outlineLevel="0" collapsed="false">
      <c r="A24" s="64" t="n">
        <v>1864</v>
      </c>
      <c r="B24" s="55" t="n">
        <v>24</v>
      </c>
      <c r="C24" s="55" t="n">
        <v>35</v>
      </c>
      <c r="D24" s="55" t="n">
        <v>0</v>
      </c>
      <c r="E24" s="55" t="n">
        <v>0</v>
      </c>
      <c r="F24" s="55" t="n">
        <v>0</v>
      </c>
      <c r="G24" s="55" t="n">
        <v>0</v>
      </c>
      <c r="H24" s="55" t="n">
        <v>0</v>
      </c>
      <c r="I24" s="55" t="n">
        <v>0</v>
      </c>
      <c r="J24" s="71" t="n">
        <v>0</v>
      </c>
      <c r="K24" s="56" t="n">
        <f aca="false">I24*IF(AND(oil_compact=1,$A24&gt;=compact_year),1-compact_cut,1)</f>
        <v>0</v>
      </c>
      <c r="L24" s="70" t="n">
        <f aca="false">IF(AND(oil_compact=1,$A24&gt;=compact_year),MAX(J24,compact_price),J24)</f>
        <v>0</v>
      </c>
      <c r="M24" s="56" t="n">
        <f aca="false">K24*L24</f>
        <v>0</v>
      </c>
      <c r="N24" s="56" t="n">
        <f aca="false">SUM(B24:F24)+M24</f>
        <v>59</v>
      </c>
      <c r="O24" s="56" t="n">
        <f aca="false">N24*mining_va</f>
        <v>41.3</v>
      </c>
      <c r="P24" s="56" t="n">
        <f aca="false">SUM(B24:F24)*roy_metal*0.9</f>
        <v>2.655</v>
      </c>
      <c r="Q24" s="56" t="n">
        <f aca="false">M24*roy_oil</f>
        <v>0</v>
      </c>
      <c r="R24" s="56" t="n">
        <f aca="false">SUM(B24:E24)*gold_retained+(G24+H24)*conc_gold</f>
        <v>11.8</v>
      </c>
    </row>
    <row r="25" customFormat="false" ht="14.25" hidden="false" customHeight="true" outlineLevel="0" collapsed="false">
      <c r="A25" s="64" t="n">
        <v>1865</v>
      </c>
      <c r="B25" s="55" t="n">
        <v>18</v>
      </c>
      <c r="C25" s="55" t="n">
        <v>40</v>
      </c>
      <c r="D25" s="55" t="n">
        <v>0</v>
      </c>
      <c r="E25" s="55" t="n">
        <v>0</v>
      </c>
      <c r="F25" s="55" t="n">
        <v>0</v>
      </c>
      <c r="G25" s="55" t="n">
        <v>0</v>
      </c>
      <c r="H25" s="55" t="n">
        <v>0</v>
      </c>
      <c r="I25" s="55" t="n">
        <v>0</v>
      </c>
      <c r="J25" s="71" t="n">
        <v>0</v>
      </c>
      <c r="K25" s="56" t="n">
        <f aca="false">I25*IF(AND(oil_compact=1,$A25&gt;=compact_year),1-compact_cut,1)</f>
        <v>0</v>
      </c>
      <c r="L25" s="70" t="n">
        <f aca="false">IF(AND(oil_compact=1,$A25&gt;=compact_year),MAX(J25,compact_price),J25)</f>
        <v>0</v>
      </c>
      <c r="M25" s="56" t="n">
        <f aca="false">K25*L25</f>
        <v>0</v>
      </c>
      <c r="N25" s="56" t="n">
        <f aca="false">SUM(B25:F25)+M25</f>
        <v>58</v>
      </c>
      <c r="O25" s="56" t="n">
        <f aca="false">N25*mining_va</f>
        <v>40.6</v>
      </c>
      <c r="P25" s="56" t="n">
        <f aca="false">SUM(B25:F25)*roy_metal*0.9</f>
        <v>2.61</v>
      </c>
      <c r="Q25" s="56" t="n">
        <f aca="false">M25*roy_oil</f>
        <v>0</v>
      </c>
      <c r="R25" s="56" t="n">
        <f aca="false">SUM(B25:E25)*gold_retained+(G25+H25)*conc_gold</f>
        <v>11.6</v>
      </c>
    </row>
    <row r="26" customFormat="false" ht="14.25" hidden="false" customHeight="true" outlineLevel="0" collapsed="false">
      <c r="A26" s="61" t="n">
        <v>1866</v>
      </c>
      <c r="B26" s="55" t="n">
        <v>18</v>
      </c>
      <c r="C26" s="55" t="n">
        <v>38</v>
      </c>
      <c r="D26" s="55" t="n">
        <v>0</v>
      </c>
      <c r="E26" s="55" t="n">
        <v>0</v>
      </c>
      <c r="F26" s="55" t="n">
        <v>0</v>
      </c>
      <c r="G26" s="55" t="n">
        <v>0</v>
      </c>
      <c r="H26" s="55" t="n">
        <v>0</v>
      </c>
      <c r="I26" s="55" t="n">
        <v>0</v>
      </c>
      <c r="J26" s="71" t="n">
        <v>0</v>
      </c>
      <c r="K26" s="56" t="n">
        <f aca="false">I26*IF(AND(oil_compact=1,$A26&gt;=compact_year),1-compact_cut,1)</f>
        <v>0</v>
      </c>
      <c r="L26" s="70" t="n">
        <f aca="false">IF(AND(oil_compact=1,$A26&gt;=compact_year),MAX(J26,compact_price),J26)</f>
        <v>0</v>
      </c>
      <c r="M26" s="56" t="n">
        <f aca="false">K26*L26</f>
        <v>0</v>
      </c>
      <c r="N26" s="56" t="n">
        <f aca="false">SUM(B26:F26)+M26</f>
        <v>56</v>
      </c>
      <c r="O26" s="56" t="n">
        <f aca="false">N26*mining_va</f>
        <v>39.2</v>
      </c>
      <c r="P26" s="56" t="n">
        <f aca="false">SUM(B26:F26)*roy_metal*0.9</f>
        <v>2.52</v>
      </c>
      <c r="Q26" s="56" t="n">
        <f aca="false">M26*roy_oil</f>
        <v>0</v>
      </c>
      <c r="R26" s="56" t="n">
        <f aca="false">SUM(B26:E26)*gold_retained+(G26+H26)*conc_gold</f>
        <v>11.2</v>
      </c>
    </row>
    <row r="27" customFormat="false" ht="14.25" hidden="false" customHeight="true" outlineLevel="0" collapsed="false">
      <c r="A27" s="61" t="n">
        <v>1867</v>
      </c>
      <c r="B27" s="55" t="n">
        <v>18</v>
      </c>
      <c r="C27" s="55" t="n">
        <v>32</v>
      </c>
      <c r="D27" s="55" t="n">
        <v>0</v>
      </c>
      <c r="E27" s="55" t="n">
        <v>0</v>
      </c>
      <c r="F27" s="55" t="n">
        <v>0</v>
      </c>
      <c r="G27" s="55" t="n">
        <v>0</v>
      </c>
      <c r="H27" s="55" t="n">
        <v>0</v>
      </c>
      <c r="I27" s="55" t="n">
        <v>0</v>
      </c>
      <c r="J27" s="71" t="n">
        <v>0</v>
      </c>
      <c r="K27" s="56" t="n">
        <f aca="false">I27*IF(AND(oil_compact=1,$A27&gt;=compact_year),1-compact_cut,1)</f>
        <v>0</v>
      </c>
      <c r="L27" s="70" t="n">
        <f aca="false">IF(AND(oil_compact=1,$A27&gt;=compact_year),MAX(J27,compact_price),J27)</f>
        <v>0</v>
      </c>
      <c r="M27" s="56" t="n">
        <f aca="false">K27*L27</f>
        <v>0</v>
      </c>
      <c r="N27" s="56" t="n">
        <f aca="false">SUM(B27:F27)+M27</f>
        <v>50</v>
      </c>
      <c r="O27" s="56" t="n">
        <f aca="false">N27*mining_va</f>
        <v>35</v>
      </c>
      <c r="P27" s="56" t="n">
        <f aca="false">SUM(B27:F27)*roy_metal*0.9</f>
        <v>2.25</v>
      </c>
      <c r="Q27" s="56" t="n">
        <f aca="false">M27*roy_oil</f>
        <v>0</v>
      </c>
      <c r="R27" s="56" t="n">
        <f aca="false">SUM(B27:E27)*gold_retained+(G27+H27)*conc_gold</f>
        <v>10</v>
      </c>
    </row>
    <row r="28" customFormat="false" ht="14.25" hidden="false" customHeight="true" outlineLevel="0" collapsed="false">
      <c r="A28" s="61" t="n">
        <v>1868</v>
      </c>
      <c r="B28" s="55" t="n">
        <v>17.6666666666667</v>
      </c>
      <c r="C28" s="55" t="n">
        <v>25</v>
      </c>
      <c r="D28" s="55" t="n">
        <v>0</v>
      </c>
      <c r="E28" s="55" t="n">
        <v>0</v>
      </c>
      <c r="F28" s="55" t="n">
        <v>0</v>
      </c>
      <c r="G28" s="55" t="n">
        <v>0</v>
      </c>
      <c r="H28" s="55" t="n">
        <v>0</v>
      </c>
      <c r="I28" s="55" t="n">
        <v>0</v>
      </c>
      <c r="J28" s="71" t="n">
        <v>0</v>
      </c>
      <c r="K28" s="56" t="n">
        <f aca="false">I28*IF(AND(oil_compact=1,$A28&gt;=compact_year),1-compact_cut,1)</f>
        <v>0</v>
      </c>
      <c r="L28" s="70" t="n">
        <f aca="false">IF(AND(oil_compact=1,$A28&gt;=compact_year),MAX(J28,compact_price),J28)</f>
        <v>0</v>
      </c>
      <c r="M28" s="56" t="n">
        <f aca="false">K28*L28</f>
        <v>0</v>
      </c>
      <c r="N28" s="56" t="n">
        <f aca="false">SUM(B28:F28)+M28</f>
        <v>42.6666666666667</v>
      </c>
      <c r="O28" s="56" t="n">
        <f aca="false">N28*mining_va</f>
        <v>29.8666666666667</v>
      </c>
      <c r="P28" s="56" t="n">
        <f aca="false">SUM(B28:F28)*roy_metal*0.9</f>
        <v>1.92</v>
      </c>
      <c r="Q28" s="56" t="n">
        <f aca="false">M28*roy_oil</f>
        <v>0</v>
      </c>
      <c r="R28" s="56" t="n">
        <f aca="false">SUM(B28:E28)*gold_retained+(G28+H28)*conc_gold</f>
        <v>8.53333333333334</v>
      </c>
    </row>
    <row r="29" customFormat="false" ht="14.25" hidden="false" customHeight="true" outlineLevel="0" collapsed="false">
      <c r="A29" s="61" t="n">
        <v>1869</v>
      </c>
      <c r="B29" s="55" t="n">
        <v>17.3333333333333</v>
      </c>
      <c r="C29" s="55" t="n">
        <v>25</v>
      </c>
      <c r="D29" s="55" t="n">
        <v>0</v>
      </c>
      <c r="E29" s="55" t="n">
        <v>0</v>
      </c>
      <c r="F29" s="55" t="n">
        <v>0</v>
      </c>
      <c r="G29" s="55" t="n">
        <v>0</v>
      </c>
      <c r="H29" s="55" t="n">
        <v>0</v>
      </c>
      <c r="I29" s="55" t="n">
        <v>0</v>
      </c>
      <c r="J29" s="71" t="n">
        <v>0</v>
      </c>
      <c r="K29" s="56" t="n">
        <f aca="false">I29*IF(AND(oil_compact=1,$A29&gt;=compact_year),1-compact_cut,1)</f>
        <v>0</v>
      </c>
      <c r="L29" s="70" t="n">
        <f aca="false">IF(AND(oil_compact=1,$A29&gt;=compact_year),MAX(J29,compact_price),J29)</f>
        <v>0</v>
      </c>
      <c r="M29" s="56" t="n">
        <f aca="false">K29*L29</f>
        <v>0</v>
      </c>
      <c r="N29" s="56" t="n">
        <f aca="false">SUM(B29:F29)+M29</f>
        <v>42.3333333333333</v>
      </c>
      <c r="O29" s="56" t="n">
        <f aca="false">N29*mining_va</f>
        <v>29.6333333333333</v>
      </c>
      <c r="P29" s="56" t="n">
        <f aca="false">SUM(B29:F29)*roy_metal*0.9</f>
        <v>1.905</v>
      </c>
      <c r="Q29" s="56" t="n">
        <f aca="false">M29*roy_oil</f>
        <v>0</v>
      </c>
      <c r="R29" s="56" t="n">
        <f aca="false">SUM(B29:E29)*gold_retained+(G29+H29)*conc_gold</f>
        <v>8.46666666666666</v>
      </c>
    </row>
    <row r="30" customFormat="false" ht="14.25" hidden="false" customHeight="true" outlineLevel="0" collapsed="false">
      <c r="A30" s="64" t="n">
        <v>1870</v>
      </c>
      <c r="B30" s="55" t="n">
        <v>17</v>
      </c>
      <c r="C30" s="55" t="n">
        <v>25</v>
      </c>
      <c r="D30" s="55" t="n">
        <v>0</v>
      </c>
      <c r="E30" s="55" t="n">
        <v>0</v>
      </c>
      <c r="F30" s="55" t="n">
        <v>0.5</v>
      </c>
      <c r="G30" s="55" t="n">
        <v>0</v>
      </c>
      <c r="H30" s="55" t="n">
        <v>0</v>
      </c>
      <c r="I30" s="55" t="n">
        <v>0</v>
      </c>
      <c r="J30" s="71" t="n">
        <v>0</v>
      </c>
      <c r="K30" s="56" t="n">
        <f aca="false">I30*IF(AND(oil_compact=1,$A30&gt;=compact_year),1-compact_cut,1)</f>
        <v>0</v>
      </c>
      <c r="L30" s="70" t="n">
        <f aca="false">IF(AND(oil_compact=1,$A30&gt;=compact_year),MAX(J30,compact_price),J30)</f>
        <v>0</v>
      </c>
      <c r="M30" s="56" t="n">
        <f aca="false">K30*L30</f>
        <v>0</v>
      </c>
      <c r="N30" s="56" t="n">
        <f aca="false">SUM(B30:F30)+M30</f>
        <v>42.5</v>
      </c>
      <c r="O30" s="56" t="n">
        <f aca="false">N30*mining_va</f>
        <v>29.75</v>
      </c>
      <c r="P30" s="56" t="n">
        <f aca="false">SUM(B30:F30)*roy_metal*0.9</f>
        <v>1.9125</v>
      </c>
      <c r="Q30" s="56" t="n">
        <f aca="false">M30*roy_oil</f>
        <v>0</v>
      </c>
      <c r="R30" s="56" t="n">
        <f aca="false">SUM(B30:E30)*gold_retained+(G30+H30)*conc_gold</f>
        <v>8.4</v>
      </c>
    </row>
    <row r="31" customFormat="false" ht="14.25" hidden="false" customHeight="true" outlineLevel="0" collapsed="false">
      <c r="A31" s="64" t="n">
        <v>1871</v>
      </c>
      <c r="B31" s="55" t="n">
        <v>17</v>
      </c>
      <c r="C31" s="55" t="n">
        <v>27.5</v>
      </c>
      <c r="D31" s="55" t="n">
        <v>0</v>
      </c>
      <c r="E31" s="55" t="n">
        <v>0</v>
      </c>
      <c r="F31" s="55" t="n">
        <v>0.6</v>
      </c>
      <c r="G31" s="55" t="n">
        <v>0</v>
      </c>
      <c r="H31" s="55" t="n">
        <v>0</v>
      </c>
      <c r="I31" s="55" t="n">
        <v>0</v>
      </c>
      <c r="J31" s="71" t="n">
        <v>0</v>
      </c>
      <c r="K31" s="56" t="n">
        <f aca="false">I31*IF(AND(oil_compact=1,$A31&gt;=compact_year),1-compact_cut,1)</f>
        <v>0</v>
      </c>
      <c r="L31" s="70" t="n">
        <f aca="false">IF(AND(oil_compact=1,$A31&gt;=compact_year),MAX(J31,compact_price),J31)</f>
        <v>0</v>
      </c>
      <c r="M31" s="56" t="n">
        <f aca="false">K31*L31</f>
        <v>0</v>
      </c>
      <c r="N31" s="56" t="n">
        <f aca="false">SUM(B31:F31)+M31</f>
        <v>45.1</v>
      </c>
      <c r="O31" s="56" t="n">
        <f aca="false">N31*mining_va</f>
        <v>31.57</v>
      </c>
      <c r="P31" s="56" t="n">
        <f aca="false">SUM(B31:F31)*roy_metal*0.9</f>
        <v>2.0295</v>
      </c>
      <c r="Q31" s="56" t="n">
        <f aca="false">M31*roy_oil</f>
        <v>0</v>
      </c>
      <c r="R31" s="56" t="n">
        <f aca="false">SUM(B31:E31)*gold_retained+(G31+H31)*conc_gold</f>
        <v>8.9</v>
      </c>
    </row>
    <row r="32" customFormat="false" ht="14.25" hidden="false" customHeight="true" outlineLevel="0" collapsed="false">
      <c r="A32" s="61" t="n">
        <v>1872</v>
      </c>
      <c r="B32" s="55" t="n">
        <v>17</v>
      </c>
      <c r="C32" s="55" t="n">
        <v>30</v>
      </c>
      <c r="D32" s="55" t="n">
        <v>0</v>
      </c>
      <c r="E32" s="55" t="n">
        <v>0</v>
      </c>
      <c r="F32" s="55" t="n">
        <v>0.7</v>
      </c>
      <c r="G32" s="55" t="n">
        <v>0</v>
      </c>
      <c r="H32" s="55" t="n">
        <v>0</v>
      </c>
      <c r="I32" s="55" t="n">
        <v>0</v>
      </c>
      <c r="J32" s="71" t="n">
        <v>0</v>
      </c>
      <c r="K32" s="56" t="n">
        <f aca="false">I32*IF(AND(oil_compact=1,$A32&gt;=compact_year),1-compact_cut,1)</f>
        <v>0</v>
      </c>
      <c r="L32" s="70" t="n">
        <f aca="false">IF(AND(oil_compact=1,$A32&gt;=compact_year),MAX(J32,compact_price),J32)</f>
        <v>0</v>
      </c>
      <c r="M32" s="56" t="n">
        <f aca="false">K32*L32</f>
        <v>0</v>
      </c>
      <c r="N32" s="56" t="n">
        <f aca="false">SUM(B32:F32)+M32</f>
        <v>47.7</v>
      </c>
      <c r="O32" s="56" t="n">
        <f aca="false">N32*mining_va</f>
        <v>33.39</v>
      </c>
      <c r="P32" s="56" t="n">
        <f aca="false">SUM(B32:F32)*roy_metal*0.9</f>
        <v>2.1465</v>
      </c>
      <c r="Q32" s="56" t="n">
        <f aca="false">M32*roy_oil</f>
        <v>0</v>
      </c>
      <c r="R32" s="56" t="n">
        <f aca="false">SUM(B32:E32)*gold_retained+(G32+H32)*conc_gold</f>
        <v>9.4</v>
      </c>
    </row>
    <row r="33" customFormat="false" ht="14.25" hidden="false" customHeight="true" outlineLevel="0" collapsed="false">
      <c r="A33" s="61" t="n">
        <v>1873</v>
      </c>
      <c r="B33" s="55" t="n">
        <v>17</v>
      </c>
      <c r="C33" s="55" t="n">
        <v>38</v>
      </c>
      <c r="D33" s="55" t="n">
        <v>0</v>
      </c>
      <c r="E33" s="55" t="n">
        <v>0</v>
      </c>
      <c r="F33" s="55" t="n">
        <v>0.8</v>
      </c>
      <c r="G33" s="55" t="n">
        <v>0</v>
      </c>
      <c r="H33" s="55" t="n">
        <v>0</v>
      </c>
      <c r="I33" s="55" t="n">
        <v>0</v>
      </c>
      <c r="J33" s="71" t="n">
        <v>0</v>
      </c>
      <c r="K33" s="56" t="n">
        <f aca="false">I33*IF(AND(oil_compact=1,$A33&gt;=compact_year),1-compact_cut,1)</f>
        <v>0</v>
      </c>
      <c r="L33" s="70" t="n">
        <f aca="false">IF(AND(oil_compact=1,$A33&gt;=compact_year),MAX(J33,compact_price),J33)</f>
        <v>0</v>
      </c>
      <c r="M33" s="56" t="n">
        <f aca="false">K33*L33</f>
        <v>0</v>
      </c>
      <c r="N33" s="56" t="n">
        <f aca="false">SUM(B33:F33)+M33</f>
        <v>55.8</v>
      </c>
      <c r="O33" s="56" t="n">
        <f aca="false">N33*mining_va</f>
        <v>39.06</v>
      </c>
      <c r="P33" s="56" t="n">
        <f aca="false">SUM(B33:F33)*roy_metal*0.9</f>
        <v>2.511</v>
      </c>
      <c r="Q33" s="56" t="n">
        <f aca="false">M33*roy_oil</f>
        <v>0</v>
      </c>
      <c r="R33" s="56" t="n">
        <f aca="false">SUM(B33:E33)*gold_retained+(G33+H33)*conc_gold</f>
        <v>11</v>
      </c>
    </row>
    <row r="34" customFormat="false" ht="14.25" hidden="false" customHeight="true" outlineLevel="0" collapsed="false">
      <c r="A34" s="61" t="n">
        <v>1874</v>
      </c>
      <c r="B34" s="55" t="n">
        <v>17</v>
      </c>
      <c r="C34" s="55" t="n">
        <v>41.5</v>
      </c>
      <c r="D34" s="55" t="n">
        <v>0</v>
      </c>
      <c r="E34" s="55" t="n">
        <v>0</v>
      </c>
      <c r="F34" s="55" t="n">
        <v>0.9</v>
      </c>
      <c r="G34" s="55" t="n">
        <v>0</v>
      </c>
      <c r="H34" s="55" t="n">
        <v>0</v>
      </c>
      <c r="I34" s="55" t="n">
        <v>0</v>
      </c>
      <c r="J34" s="71" t="n">
        <v>0</v>
      </c>
      <c r="K34" s="56" t="n">
        <f aca="false">I34*IF(AND(oil_compact=1,$A34&gt;=compact_year),1-compact_cut,1)</f>
        <v>0</v>
      </c>
      <c r="L34" s="70" t="n">
        <f aca="false">IF(AND(oil_compact=1,$A34&gt;=compact_year),MAX(J34,compact_price),J34)</f>
        <v>0</v>
      </c>
      <c r="M34" s="56" t="n">
        <f aca="false">K34*L34</f>
        <v>0</v>
      </c>
      <c r="N34" s="56" t="n">
        <f aca="false">SUM(B34:F34)+M34</f>
        <v>59.4</v>
      </c>
      <c r="O34" s="56" t="n">
        <f aca="false">N34*mining_va</f>
        <v>41.58</v>
      </c>
      <c r="P34" s="56" t="n">
        <f aca="false">SUM(B34:F34)*roy_metal*0.9</f>
        <v>2.673</v>
      </c>
      <c r="Q34" s="56" t="n">
        <f aca="false">M34*roy_oil</f>
        <v>0</v>
      </c>
      <c r="R34" s="56" t="n">
        <f aca="false">SUM(B34:E34)*gold_retained+(G34+H34)*conc_gold</f>
        <v>11.7</v>
      </c>
    </row>
    <row r="35" customFormat="false" ht="14.25" hidden="false" customHeight="true" outlineLevel="0" collapsed="false">
      <c r="A35" s="61" t="n">
        <v>1875</v>
      </c>
      <c r="B35" s="55" t="n">
        <v>17</v>
      </c>
      <c r="C35" s="55" t="n">
        <v>45</v>
      </c>
      <c r="D35" s="55" t="n">
        <v>0</v>
      </c>
      <c r="E35" s="55" t="n">
        <v>0</v>
      </c>
      <c r="F35" s="55" t="n">
        <v>1</v>
      </c>
      <c r="G35" s="55" t="n">
        <v>0</v>
      </c>
      <c r="H35" s="55" t="n">
        <v>0</v>
      </c>
      <c r="I35" s="55" t="n">
        <v>0</v>
      </c>
      <c r="J35" s="71" t="n">
        <v>0</v>
      </c>
      <c r="K35" s="56" t="n">
        <f aca="false">I35*IF(AND(oil_compact=1,$A35&gt;=compact_year),1-compact_cut,1)</f>
        <v>0</v>
      </c>
      <c r="L35" s="70" t="n">
        <f aca="false">IF(AND(oil_compact=1,$A35&gt;=compact_year),MAX(J35,compact_price),J35)</f>
        <v>0</v>
      </c>
      <c r="M35" s="56" t="n">
        <f aca="false">K35*L35</f>
        <v>0</v>
      </c>
      <c r="N35" s="56" t="n">
        <f aca="false">SUM(B35:F35)+M35</f>
        <v>63</v>
      </c>
      <c r="O35" s="56" t="n">
        <f aca="false">N35*mining_va</f>
        <v>44.1</v>
      </c>
      <c r="P35" s="56" t="n">
        <f aca="false">SUM(B35:F35)*roy_metal*0.9</f>
        <v>2.835</v>
      </c>
      <c r="Q35" s="56" t="n">
        <f aca="false">M35*roy_oil</f>
        <v>0</v>
      </c>
      <c r="R35" s="56" t="n">
        <f aca="false">SUM(B35:E35)*gold_retained+(G35+H35)*conc_gold</f>
        <v>12.4</v>
      </c>
    </row>
    <row r="36" customFormat="false" ht="14.25" hidden="false" customHeight="true" outlineLevel="0" collapsed="false">
      <c r="A36" s="61" t="n">
        <v>1876</v>
      </c>
      <c r="B36" s="55" t="n">
        <v>17.6</v>
      </c>
      <c r="C36" s="55" t="n">
        <v>50</v>
      </c>
      <c r="D36" s="55" t="n">
        <v>0</v>
      </c>
      <c r="E36" s="55" t="n">
        <v>0</v>
      </c>
      <c r="F36" s="55" t="n">
        <v>1.2</v>
      </c>
      <c r="G36" s="55" t="n">
        <v>0</v>
      </c>
      <c r="H36" s="55" t="n">
        <v>0</v>
      </c>
      <c r="I36" s="55" t="n">
        <v>0.01</v>
      </c>
      <c r="J36" s="71" t="n">
        <v>2</v>
      </c>
      <c r="K36" s="56" t="n">
        <f aca="false">I36*IF(AND(oil_compact=1,$A36&gt;=compact_year),1-compact_cut,1)</f>
        <v>0.01</v>
      </c>
      <c r="L36" s="70" t="n">
        <f aca="false">IF(AND(oil_compact=1,$A36&gt;=compact_year),MAX(J36,compact_price),J36)</f>
        <v>2</v>
      </c>
      <c r="M36" s="56" t="n">
        <f aca="false">K36*L36</f>
        <v>0.02</v>
      </c>
      <c r="N36" s="56" t="n">
        <f aca="false">SUM(B36:F36)+M36</f>
        <v>68.82</v>
      </c>
      <c r="O36" s="56" t="n">
        <f aca="false">N36*mining_va</f>
        <v>48.174</v>
      </c>
      <c r="P36" s="56" t="n">
        <f aca="false">SUM(B36:F36)*roy_metal*0.9</f>
        <v>3.096</v>
      </c>
      <c r="Q36" s="56" t="n">
        <f aca="false">M36*roy_oil</f>
        <v>0.0025</v>
      </c>
      <c r="R36" s="56" t="n">
        <f aca="false">SUM(B36:E36)*gold_retained+(G36+H36)*conc_gold</f>
        <v>13.52</v>
      </c>
    </row>
    <row r="37" customFormat="false" ht="14.25" hidden="false" customHeight="true" outlineLevel="0" collapsed="false">
      <c r="A37" s="61" t="n">
        <v>1877</v>
      </c>
      <c r="B37" s="55" t="n">
        <v>18.2</v>
      </c>
      <c r="C37" s="55" t="n">
        <v>55</v>
      </c>
      <c r="D37" s="55" t="n">
        <v>0</v>
      </c>
      <c r="E37" s="55" t="n">
        <v>0</v>
      </c>
      <c r="F37" s="55" t="n">
        <v>1.4</v>
      </c>
      <c r="G37" s="55" t="n">
        <v>0</v>
      </c>
      <c r="H37" s="55" t="n">
        <v>0</v>
      </c>
      <c r="I37" s="55" t="n">
        <v>0.02</v>
      </c>
      <c r="J37" s="71" t="n">
        <v>1.95</v>
      </c>
      <c r="K37" s="56" t="n">
        <f aca="false">I37*IF(AND(oil_compact=1,$A37&gt;=compact_year),1-compact_cut,1)</f>
        <v>0.02</v>
      </c>
      <c r="L37" s="70" t="n">
        <f aca="false">IF(AND(oil_compact=1,$A37&gt;=compact_year),MAX(J37,compact_price),J37)</f>
        <v>1.95</v>
      </c>
      <c r="M37" s="56" t="n">
        <f aca="false">K37*L37</f>
        <v>0.039</v>
      </c>
      <c r="N37" s="56" t="n">
        <f aca="false">SUM(B37:F37)+M37</f>
        <v>74.639</v>
      </c>
      <c r="O37" s="56" t="n">
        <f aca="false">N37*mining_va</f>
        <v>52.2473</v>
      </c>
      <c r="P37" s="56" t="n">
        <f aca="false">SUM(B37:F37)*roy_metal*0.9</f>
        <v>3.357</v>
      </c>
      <c r="Q37" s="56" t="n">
        <f aca="false">M37*roy_oil</f>
        <v>0.004875</v>
      </c>
      <c r="R37" s="56" t="n">
        <f aca="false">SUM(B37:E37)*gold_retained+(G37+H37)*conc_gold</f>
        <v>14.64</v>
      </c>
    </row>
    <row r="38" customFormat="false" ht="14.25" hidden="false" customHeight="true" outlineLevel="0" collapsed="false">
      <c r="A38" s="61" t="n">
        <v>1878</v>
      </c>
      <c r="B38" s="55" t="n">
        <v>18.8</v>
      </c>
      <c r="C38" s="55" t="n">
        <v>38</v>
      </c>
      <c r="D38" s="55" t="n">
        <v>0</v>
      </c>
      <c r="E38" s="55" t="n">
        <v>0</v>
      </c>
      <c r="F38" s="55" t="n">
        <v>1.6</v>
      </c>
      <c r="G38" s="55" t="n">
        <v>0</v>
      </c>
      <c r="H38" s="55" t="n">
        <v>0</v>
      </c>
      <c r="I38" s="55" t="n">
        <v>0.03</v>
      </c>
      <c r="J38" s="71" t="n">
        <v>1.9</v>
      </c>
      <c r="K38" s="56" t="n">
        <f aca="false">I38*IF(AND(oil_compact=1,$A38&gt;=compact_year),1-compact_cut,1)</f>
        <v>0.03</v>
      </c>
      <c r="L38" s="70" t="n">
        <f aca="false">IF(AND(oil_compact=1,$A38&gt;=compact_year),MAX(J38,compact_price),J38)</f>
        <v>1.9</v>
      </c>
      <c r="M38" s="56" t="n">
        <f aca="false">K38*L38</f>
        <v>0.057</v>
      </c>
      <c r="N38" s="56" t="n">
        <f aca="false">SUM(B38:F38)+M38</f>
        <v>58.457</v>
      </c>
      <c r="O38" s="56" t="n">
        <f aca="false">N38*mining_va</f>
        <v>40.9199</v>
      </c>
      <c r="P38" s="56" t="n">
        <f aca="false">SUM(B38:F38)*roy_metal*0.9</f>
        <v>2.628</v>
      </c>
      <c r="Q38" s="56" t="n">
        <f aca="false">M38*roy_oil</f>
        <v>0.007125</v>
      </c>
      <c r="R38" s="56" t="n">
        <f aca="false">SUM(B38:E38)*gold_retained+(G38+H38)*conc_gold</f>
        <v>11.36</v>
      </c>
    </row>
    <row r="39" customFormat="false" ht="14.25" hidden="false" customHeight="true" outlineLevel="0" collapsed="false">
      <c r="A39" s="61" t="n">
        <v>1879</v>
      </c>
      <c r="B39" s="55" t="n">
        <v>19.4</v>
      </c>
      <c r="C39" s="55" t="n">
        <v>25</v>
      </c>
      <c r="D39" s="55" t="n">
        <v>0</v>
      </c>
      <c r="E39" s="55" t="n">
        <v>0</v>
      </c>
      <c r="F39" s="55" t="n">
        <v>1.8</v>
      </c>
      <c r="G39" s="55" t="n">
        <v>0</v>
      </c>
      <c r="H39" s="55" t="n">
        <v>0</v>
      </c>
      <c r="I39" s="55" t="n">
        <v>0.04</v>
      </c>
      <c r="J39" s="71" t="n">
        <v>1.85</v>
      </c>
      <c r="K39" s="56" t="n">
        <f aca="false">I39*IF(AND(oil_compact=1,$A39&gt;=compact_year),1-compact_cut,1)</f>
        <v>0.04</v>
      </c>
      <c r="L39" s="70" t="n">
        <f aca="false">IF(AND(oil_compact=1,$A39&gt;=compact_year),MAX(J39,compact_price),J39)</f>
        <v>1.85</v>
      </c>
      <c r="M39" s="56" t="n">
        <f aca="false">K39*L39</f>
        <v>0.074</v>
      </c>
      <c r="N39" s="56" t="n">
        <f aca="false">SUM(B39:F39)+M39</f>
        <v>46.274</v>
      </c>
      <c r="O39" s="56" t="n">
        <f aca="false">N39*mining_va</f>
        <v>32.3918</v>
      </c>
      <c r="P39" s="56" t="n">
        <f aca="false">SUM(B39:F39)*roy_metal*0.9</f>
        <v>2.079</v>
      </c>
      <c r="Q39" s="56" t="n">
        <f aca="false">M39*roy_oil</f>
        <v>0.00925</v>
      </c>
      <c r="R39" s="56" t="n">
        <f aca="false">SUM(B39:E39)*gold_retained+(G39+H39)*conc_gold</f>
        <v>8.88</v>
      </c>
    </row>
    <row r="40" customFormat="false" ht="14.25" hidden="false" customHeight="true" outlineLevel="0" collapsed="false">
      <c r="A40" s="61" t="n">
        <v>1880</v>
      </c>
      <c r="B40" s="55" t="n">
        <v>20</v>
      </c>
      <c r="C40" s="55" t="n">
        <v>22</v>
      </c>
      <c r="D40" s="55" t="n">
        <v>0</v>
      </c>
      <c r="E40" s="55" t="n">
        <v>0.1</v>
      </c>
      <c r="F40" s="55" t="n">
        <v>2</v>
      </c>
      <c r="G40" s="55" t="n">
        <v>0</v>
      </c>
      <c r="H40" s="55" t="n">
        <v>0</v>
      </c>
      <c r="I40" s="55" t="n">
        <v>0.05</v>
      </c>
      <c r="J40" s="71" t="n">
        <v>1.8</v>
      </c>
      <c r="K40" s="56" t="n">
        <f aca="false">I40*IF(AND(oil_compact=1,$A40&gt;=compact_year),1-compact_cut,1)</f>
        <v>0.05</v>
      </c>
      <c r="L40" s="70" t="n">
        <f aca="false">IF(AND(oil_compact=1,$A40&gt;=compact_year),MAX(J40,compact_price),J40)</f>
        <v>1.8</v>
      </c>
      <c r="M40" s="56" t="n">
        <f aca="false">K40*L40</f>
        <v>0.09</v>
      </c>
      <c r="N40" s="56" t="n">
        <f aca="false">SUM(B40:F40)+M40</f>
        <v>44.19</v>
      </c>
      <c r="O40" s="56" t="n">
        <f aca="false">N40*mining_va</f>
        <v>30.933</v>
      </c>
      <c r="P40" s="56" t="n">
        <f aca="false">SUM(B40:F40)*roy_metal*0.9</f>
        <v>1.9845</v>
      </c>
      <c r="Q40" s="56" t="n">
        <f aca="false">M40*roy_oil</f>
        <v>0.01125</v>
      </c>
      <c r="R40" s="56" t="n">
        <f aca="false">SUM(B40:E40)*gold_retained+(G40+H40)*conc_gold</f>
        <v>8.42</v>
      </c>
    </row>
    <row r="41" customFormat="false" ht="14.25" hidden="false" customHeight="true" outlineLevel="0" collapsed="false">
      <c r="A41" s="61" t="n">
        <v>1881</v>
      </c>
      <c r="B41" s="55" t="n">
        <v>18.6</v>
      </c>
      <c r="C41" s="55" t="n">
        <v>22</v>
      </c>
      <c r="D41" s="55" t="n">
        <v>0</v>
      </c>
      <c r="E41" s="55" t="n">
        <v>0.18</v>
      </c>
      <c r="F41" s="55" t="n">
        <v>3.6</v>
      </c>
      <c r="G41" s="55" t="n">
        <v>0</v>
      </c>
      <c r="H41" s="55" t="n">
        <v>0</v>
      </c>
      <c r="I41" s="55" t="n">
        <v>0.09</v>
      </c>
      <c r="J41" s="71" t="n">
        <v>1.74</v>
      </c>
      <c r="K41" s="56" t="n">
        <f aca="false">I41*IF(AND(oil_compact=1,$A41&gt;=compact_year),1-compact_cut,1)</f>
        <v>0.09</v>
      </c>
      <c r="L41" s="70" t="n">
        <f aca="false">IF(AND(oil_compact=1,$A41&gt;=compact_year),MAX(J41,compact_price),J41)</f>
        <v>1.74</v>
      </c>
      <c r="M41" s="56" t="n">
        <f aca="false">K41*L41</f>
        <v>0.1566</v>
      </c>
      <c r="N41" s="56" t="n">
        <f aca="false">SUM(B41:F41)+M41</f>
        <v>44.5366</v>
      </c>
      <c r="O41" s="56" t="n">
        <f aca="false">N41*mining_va</f>
        <v>31.17562</v>
      </c>
      <c r="P41" s="56" t="n">
        <f aca="false">SUM(B41:F41)*roy_metal*0.9</f>
        <v>1.9971</v>
      </c>
      <c r="Q41" s="56" t="n">
        <f aca="false">M41*roy_oil</f>
        <v>0.019575</v>
      </c>
      <c r="R41" s="56" t="n">
        <f aca="false">SUM(B41:E41)*gold_retained+(G41+H41)*conc_gold</f>
        <v>8.156</v>
      </c>
    </row>
    <row r="42" customFormat="false" ht="14.25" hidden="false" customHeight="true" outlineLevel="0" collapsed="false">
      <c r="A42" s="61" t="n">
        <v>1882</v>
      </c>
      <c r="B42" s="55" t="n">
        <v>17.2</v>
      </c>
      <c r="C42" s="55" t="n">
        <v>22</v>
      </c>
      <c r="D42" s="55" t="n">
        <v>0</v>
      </c>
      <c r="E42" s="55" t="n">
        <v>0.26</v>
      </c>
      <c r="F42" s="55" t="n">
        <v>5.2</v>
      </c>
      <c r="G42" s="55" t="n">
        <v>0</v>
      </c>
      <c r="H42" s="55" t="n">
        <v>0</v>
      </c>
      <c r="I42" s="55" t="n">
        <v>0.12</v>
      </c>
      <c r="J42" s="71" t="n">
        <v>1.68</v>
      </c>
      <c r="K42" s="56" t="n">
        <f aca="false">I42*IF(AND(oil_compact=1,$A42&gt;=compact_year),1-compact_cut,1)</f>
        <v>0.12</v>
      </c>
      <c r="L42" s="70" t="n">
        <f aca="false">IF(AND(oil_compact=1,$A42&gt;=compact_year),MAX(J42,compact_price),J42)</f>
        <v>1.68</v>
      </c>
      <c r="M42" s="56" t="n">
        <f aca="false">K42*L42</f>
        <v>0.2016</v>
      </c>
      <c r="N42" s="56" t="n">
        <f aca="false">SUM(B42:F42)+M42</f>
        <v>44.8616</v>
      </c>
      <c r="O42" s="56" t="n">
        <f aca="false">N42*mining_va</f>
        <v>31.40312</v>
      </c>
      <c r="P42" s="56" t="n">
        <f aca="false">SUM(B42:F42)*roy_metal*0.9</f>
        <v>2.0097</v>
      </c>
      <c r="Q42" s="56" t="n">
        <f aca="false">M42*roy_oil</f>
        <v>0.0252</v>
      </c>
      <c r="R42" s="56" t="n">
        <f aca="false">SUM(B42:E42)*gold_retained+(G42+H42)*conc_gold</f>
        <v>7.892</v>
      </c>
    </row>
    <row r="43" customFormat="false" ht="14.25" hidden="false" customHeight="true" outlineLevel="0" collapsed="false">
      <c r="A43" s="61" t="n">
        <v>1883</v>
      </c>
      <c r="B43" s="55" t="n">
        <v>15.8</v>
      </c>
      <c r="C43" s="55" t="n">
        <v>22</v>
      </c>
      <c r="D43" s="55" t="n">
        <v>0</v>
      </c>
      <c r="E43" s="55" t="n">
        <v>0.34</v>
      </c>
      <c r="F43" s="55" t="n">
        <v>6.8</v>
      </c>
      <c r="G43" s="55" t="n">
        <v>0</v>
      </c>
      <c r="H43" s="55" t="n">
        <v>0</v>
      </c>
      <c r="I43" s="55" t="n">
        <v>0.16</v>
      </c>
      <c r="J43" s="71" t="n">
        <v>1.62</v>
      </c>
      <c r="K43" s="56" t="n">
        <f aca="false">I43*IF(AND(oil_compact=1,$A43&gt;=compact_year),1-compact_cut,1)</f>
        <v>0.16</v>
      </c>
      <c r="L43" s="70" t="n">
        <f aca="false">IF(AND(oil_compact=1,$A43&gt;=compact_year),MAX(J43,compact_price),J43)</f>
        <v>1.62</v>
      </c>
      <c r="M43" s="56" t="n">
        <f aca="false">K43*L43</f>
        <v>0.2592</v>
      </c>
      <c r="N43" s="56" t="n">
        <f aca="false">SUM(B43:F43)+M43</f>
        <v>45.1992</v>
      </c>
      <c r="O43" s="56" t="n">
        <f aca="false">N43*mining_va</f>
        <v>31.63944</v>
      </c>
      <c r="P43" s="56" t="n">
        <f aca="false">SUM(B43:F43)*roy_metal*0.9</f>
        <v>2.0223</v>
      </c>
      <c r="Q43" s="56" t="n">
        <f aca="false">M43*roy_oil</f>
        <v>0.0324</v>
      </c>
      <c r="R43" s="56" t="n">
        <f aca="false">SUM(B43:E43)*gold_retained+(G43+H43)*conc_gold</f>
        <v>7.628</v>
      </c>
    </row>
    <row r="44" customFormat="false" ht="14.25" hidden="false" customHeight="true" outlineLevel="0" collapsed="false">
      <c r="A44" s="61" t="n">
        <v>1884</v>
      </c>
      <c r="B44" s="55" t="n">
        <v>14.4</v>
      </c>
      <c r="C44" s="55" t="n">
        <v>22</v>
      </c>
      <c r="D44" s="55" t="n">
        <v>0</v>
      </c>
      <c r="E44" s="55" t="n">
        <v>0.42</v>
      </c>
      <c r="F44" s="55" t="n">
        <v>8.4</v>
      </c>
      <c r="G44" s="55" t="n">
        <v>0</v>
      </c>
      <c r="H44" s="55" t="n">
        <v>0</v>
      </c>
      <c r="I44" s="55" t="n">
        <v>0.2</v>
      </c>
      <c r="J44" s="71" t="n">
        <v>1.56</v>
      </c>
      <c r="K44" s="56" t="n">
        <f aca="false">I44*IF(AND(oil_compact=1,$A44&gt;=compact_year),1-compact_cut,1)</f>
        <v>0.2</v>
      </c>
      <c r="L44" s="70" t="n">
        <f aca="false">IF(AND(oil_compact=1,$A44&gt;=compact_year),MAX(J44,compact_price),J44)</f>
        <v>1.56</v>
      </c>
      <c r="M44" s="56" t="n">
        <f aca="false">K44*L44</f>
        <v>0.312</v>
      </c>
      <c r="N44" s="56" t="n">
        <f aca="false">SUM(B44:F44)+M44</f>
        <v>45.532</v>
      </c>
      <c r="O44" s="56" t="n">
        <f aca="false">N44*mining_va</f>
        <v>31.8724</v>
      </c>
      <c r="P44" s="56" t="n">
        <f aca="false">SUM(B44:F44)*roy_metal*0.9</f>
        <v>2.0349</v>
      </c>
      <c r="Q44" s="56" t="n">
        <f aca="false">M44*roy_oil</f>
        <v>0.039</v>
      </c>
      <c r="R44" s="56" t="n">
        <f aca="false">SUM(B44:E44)*gold_retained+(G44+H44)*conc_gold</f>
        <v>7.364</v>
      </c>
    </row>
    <row r="45" customFormat="false" ht="14.25" hidden="false" customHeight="true" outlineLevel="0" collapsed="false">
      <c r="A45" s="61" t="n">
        <v>1885</v>
      </c>
      <c r="B45" s="55" t="n">
        <v>13</v>
      </c>
      <c r="C45" s="55" t="n">
        <v>22</v>
      </c>
      <c r="D45" s="55" t="n">
        <v>0</v>
      </c>
      <c r="E45" s="55" t="n">
        <v>0.5</v>
      </c>
      <c r="F45" s="55" t="n">
        <v>10</v>
      </c>
      <c r="G45" s="55" t="n">
        <v>0</v>
      </c>
      <c r="H45" s="55" t="n">
        <v>0</v>
      </c>
      <c r="I45" s="55" t="n">
        <v>0.4</v>
      </c>
      <c r="J45" s="71" t="n">
        <v>1.5</v>
      </c>
      <c r="K45" s="56" t="n">
        <f aca="false">I45*IF(AND(oil_compact=1,$A45&gt;=compact_year),1-compact_cut,1)</f>
        <v>0.4</v>
      </c>
      <c r="L45" s="70" t="n">
        <f aca="false">IF(AND(oil_compact=1,$A45&gt;=compact_year),MAX(J45,compact_price),J45)</f>
        <v>1.5</v>
      </c>
      <c r="M45" s="56" t="n">
        <f aca="false">K45*L45</f>
        <v>0.6</v>
      </c>
      <c r="N45" s="56" t="n">
        <f aca="false">SUM(B45:F45)+M45</f>
        <v>46.1</v>
      </c>
      <c r="O45" s="56" t="n">
        <f aca="false">N45*mining_va</f>
        <v>32.27</v>
      </c>
      <c r="P45" s="56" t="n">
        <f aca="false">SUM(B45:F45)*roy_metal*0.9</f>
        <v>2.0475</v>
      </c>
      <c r="Q45" s="56" t="n">
        <f aca="false">M45*roy_oil</f>
        <v>0.075</v>
      </c>
      <c r="R45" s="56" t="n">
        <f aca="false">SUM(B45:E45)*gold_retained+(G45+H45)*conc_gold</f>
        <v>7.1</v>
      </c>
    </row>
    <row r="46" customFormat="false" ht="14.25" hidden="false" customHeight="true" outlineLevel="0" collapsed="false">
      <c r="A46" s="61" t="n">
        <v>1886</v>
      </c>
      <c r="B46" s="55" t="n">
        <v>12.8</v>
      </c>
      <c r="C46" s="55" t="n">
        <v>22.6</v>
      </c>
      <c r="D46" s="55" t="n">
        <v>0</v>
      </c>
      <c r="E46" s="55" t="n">
        <v>0.6</v>
      </c>
      <c r="F46" s="55" t="n">
        <v>13</v>
      </c>
      <c r="G46" s="55" t="n">
        <v>0</v>
      </c>
      <c r="H46" s="55" t="n">
        <v>0</v>
      </c>
      <c r="I46" s="55" t="n">
        <v>0.6</v>
      </c>
      <c r="J46" s="71" t="n">
        <v>1.4</v>
      </c>
      <c r="K46" s="56" t="n">
        <f aca="false">I46*IF(AND(oil_compact=1,$A46&gt;=compact_year),1-compact_cut,1)</f>
        <v>0.6</v>
      </c>
      <c r="L46" s="70" t="n">
        <f aca="false">IF(AND(oil_compact=1,$A46&gt;=compact_year),MAX(J46,compact_price),J46)</f>
        <v>1.4</v>
      </c>
      <c r="M46" s="56" t="n">
        <f aca="false">K46*L46</f>
        <v>0.84</v>
      </c>
      <c r="N46" s="56" t="n">
        <f aca="false">SUM(B46:F46)+M46</f>
        <v>49.84</v>
      </c>
      <c r="O46" s="56" t="n">
        <f aca="false">N46*mining_va</f>
        <v>34.888</v>
      </c>
      <c r="P46" s="56" t="n">
        <f aca="false">SUM(B46:F46)*roy_metal*0.9</f>
        <v>2.205</v>
      </c>
      <c r="Q46" s="56" t="n">
        <f aca="false">M46*roy_oil</f>
        <v>0.105</v>
      </c>
      <c r="R46" s="56" t="n">
        <f aca="false">SUM(B46:E46)*gold_retained+(G46+H46)*conc_gold</f>
        <v>7.2</v>
      </c>
    </row>
    <row r="47" customFormat="false" ht="14.25" hidden="false" customHeight="true" outlineLevel="0" collapsed="false">
      <c r="A47" s="61" t="n">
        <v>1887</v>
      </c>
      <c r="B47" s="55" t="n">
        <v>12.6</v>
      </c>
      <c r="C47" s="55" t="n">
        <v>23.2</v>
      </c>
      <c r="D47" s="55" t="n">
        <v>0</v>
      </c>
      <c r="E47" s="55" t="n">
        <v>0.7</v>
      </c>
      <c r="F47" s="55" t="n">
        <v>16</v>
      </c>
      <c r="G47" s="55" t="n">
        <v>0</v>
      </c>
      <c r="H47" s="55" t="n">
        <v>0</v>
      </c>
      <c r="I47" s="55" t="n">
        <v>1.3</v>
      </c>
      <c r="J47" s="71" t="n">
        <v>1.3</v>
      </c>
      <c r="K47" s="56" t="n">
        <f aca="false">I47*IF(AND(oil_compact=1,$A47&gt;=compact_year),1-compact_cut,1)</f>
        <v>1.3</v>
      </c>
      <c r="L47" s="70" t="n">
        <f aca="false">IF(AND(oil_compact=1,$A47&gt;=compact_year),MAX(J47,compact_price),J47)</f>
        <v>1.3</v>
      </c>
      <c r="M47" s="56" t="n">
        <f aca="false">K47*L47</f>
        <v>1.69</v>
      </c>
      <c r="N47" s="56" t="n">
        <f aca="false">SUM(B47:F47)+M47</f>
        <v>54.19</v>
      </c>
      <c r="O47" s="56" t="n">
        <f aca="false">N47*mining_va</f>
        <v>37.933</v>
      </c>
      <c r="P47" s="56" t="n">
        <f aca="false">SUM(B47:F47)*roy_metal*0.9</f>
        <v>2.3625</v>
      </c>
      <c r="Q47" s="56" t="n">
        <f aca="false">M47*roy_oil</f>
        <v>0.21125</v>
      </c>
      <c r="R47" s="56" t="n">
        <f aca="false">SUM(B47:E47)*gold_retained+(G47+H47)*conc_gold</f>
        <v>7.3</v>
      </c>
    </row>
    <row r="48" customFormat="false" ht="14.25" hidden="false" customHeight="true" outlineLevel="0" collapsed="false">
      <c r="A48" s="61" t="n">
        <v>1888</v>
      </c>
      <c r="B48" s="55" t="n">
        <v>12.4</v>
      </c>
      <c r="C48" s="55" t="n">
        <v>23.8</v>
      </c>
      <c r="D48" s="55" t="n">
        <v>0</v>
      </c>
      <c r="E48" s="55" t="n">
        <v>0.8</v>
      </c>
      <c r="F48" s="55" t="n">
        <v>19</v>
      </c>
      <c r="G48" s="55" t="n">
        <v>0</v>
      </c>
      <c r="H48" s="55" t="n">
        <v>0</v>
      </c>
      <c r="I48" s="55" t="n">
        <v>2</v>
      </c>
      <c r="J48" s="71" t="n">
        <v>1.2</v>
      </c>
      <c r="K48" s="56" t="n">
        <f aca="false">I48*IF(AND(oil_compact=1,$A48&gt;=compact_year),1-compact_cut,1)</f>
        <v>2</v>
      </c>
      <c r="L48" s="70" t="n">
        <f aca="false">IF(AND(oil_compact=1,$A48&gt;=compact_year),MAX(J48,compact_price),J48)</f>
        <v>1.2</v>
      </c>
      <c r="M48" s="56" t="n">
        <f aca="false">K48*L48</f>
        <v>2.4</v>
      </c>
      <c r="N48" s="56" t="n">
        <f aca="false">SUM(B48:F48)+M48</f>
        <v>58.4</v>
      </c>
      <c r="O48" s="56" t="n">
        <f aca="false">N48*mining_va</f>
        <v>40.88</v>
      </c>
      <c r="P48" s="56" t="n">
        <f aca="false">SUM(B48:F48)*roy_metal*0.9</f>
        <v>2.52</v>
      </c>
      <c r="Q48" s="56" t="n">
        <f aca="false">M48*roy_oil</f>
        <v>0.3</v>
      </c>
      <c r="R48" s="56" t="n">
        <f aca="false">SUM(B48:E48)*gold_retained+(G48+H48)*conc_gold</f>
        <v>7.4</v>
      </c>
    </row>
    <row r="49" customFormat="false" ht="14.25" hidden="false" customHeight="true" outlineLevel="0" collapsed="false">
      <c r="A49" s="61" t="n">
        <v>1889</v>
      </c>
      <c r="B49" s="55" t="n">
        <v>12.2</v>
      </c>
      <c r="C49" s="55" t="n">
        <v>24.4</v>
      </c>
      <c r="D49" s="55" t="n">
        <v>0</v>
      </c>
      <c r="E49" s="55" t="n">
        <v>0.9</v>
      </c>
      <c r="F49" s="55" t="n">
        <v>22</v>
      </c>
      <c r="G49" s="55" t="n">
        <v>0</v>
      </c>
      <c r="H49" s="55" t="n">
        <v>0</v>
      </c>
      <c r="I49" s="55" t="n">
        <v>3</v>
      </c>
      <c r="J49" s="71" t="n">
        <v>1.1</v>
      </c>
      <c r="K49" s="56" t="n">
        <f aca="false">I49*IF(AND(oil_compact=1,$A49&gt;=compact_year),1-compact_cut,1)</f>
        <v>3</v>
      </c>
      <c r="L49" s="70" t="n">
        <f aca="false">IF(AND(oil_compact=1,$A49&gt;=compact_year),MAX(J49,compact_price),J49)</f>
        <v>1.1</v>
      </c>
      <c r="M49" s="56" t="n">
        <f aca="false">K49*L49</f>
        <v>3.3</v>
      </c>
      <c r="N49" s="56" t="n">
        <f aca="false">SUM(B49:F49)+M49</f>
        <v>62.8</v>
      </c>
      <c r="O49" s="56" t="n">
        <f aca="false">N49*mining_va</f>
        <v>43.96</v>
      </c>
      <c r="P49" s="56" t="n">
        <f aca="false">SUM(B49:F49)*roy_metal*0.9</f>
        <v>2.6775</v>
      </c>
      <c r="Q49" s="56" t="n">
        <f aca="false">M49*roy_oil</f>
        <v>0.4125</v>
      </c>
      <c r="R49" s="56" t="n">
        <f aca="false">SUM(B49:E49)*gold_retained+(G49+H49)*conc_gold</f>
        <v>7.5</v>
      </c>
    </row>
    <row r="50" customFormat="false" ht="14.25" hidden="false" customHeight="true" outlineLevel="0" collapsed="false">
      <c r="A50" s="61" t="n">
        <v>1890</v>
      </c>
      <c r="B50" s="55" t="n">
        <v>12</v>
      </c>
      <c r="C50" s="55" t="n">
        <v>25</v>
      </c>
      <c r="D50" s="55" t="n">
        <v>0</v>
      </c>
      <c r="E50" s="55" t="n">
        <v>1</v>
      </c>
      <c r="F50" s="55" t="n">
        <v>25</v>
      </c>
      <c r="G50" s="55" t="n">
        <v>0</v>
      </c>
      <c r="H50" s="55" t="n">
        <v>0</v>
      </c>
      <c r="I50" s="55" t="n">
        <v>4</v>
      </c>
      <c r="J50" s="71" t="n">
        <v>1</v>
      </c>
      <c r="K50" s="56" t="n">
        <f aca="false">I50*IF(AND(oil_compact=1,$A50&gt;=compact_year),1-compact_cut,1)</f>
        <v>4</v>
      </c>
      <c r="L50" s="70" t="n">
        <f aca="false">IF(AND(oil_compact=1,$A50&gt;=compact_year),MAX(J50,compact_price),J50)</f>
        <v>1</v>
      </c>
      <c r="M50" s="56" t="n">
        <f aca="false">K50*L50</f>
        <v>4</v>
      </c>
      <c r="N50" s="56" t="n">
        <f aca="false">SUM(B50:F50)+M50</f>
        <v>67</v>
      </c>
      <c r="O50" s="56" t="n">
        <f aca="false">N50*mining_va</f>
        <v>46.9</v>
      </c>
      <c r="P50" s="56" t="n">
        <f aca="false">SUM(B50:F50)*roy_metal*0.9</f>
        <v>2.835</v>
      </c>
      <c r="Q50" s="56" t="n">
        <f aca="false">M50*roy_oil</f>
        <v>0.5</v>
      </c>
      <c r="R50" s="56" t="n">
        <f aca="false">SUM(B50:E50)*gold_retained+(G50+H50)*conc_gold</f>
        <v>7.6</v>
      </c>
    </row>
    <row r="51" customFormat="false" ht="14.25" hidden="false" customHeight="true" outlineLevel="0" collapsed="false">
      <c r="A51" s="61" t="n">
        <v>1891</v>
      </c>
      <c r="B51" s="55" t="n">
        <v>12.6</v>
      </c>
      <c r="C51" s="55" t="n">
        <v>24.4</v>
      </c>
      <c r="D51" s="55" t="n">
        <v>0</v>
      </c>
      <c r="E51" s="55" t="n">
        <v>1.2</v>
      </c>
      <c r="F51" s="55" t="n">
        <v>26</v>
      </c>
      <c r="G51" s="55" t="n">
        <v>0</v>
      </c>
      <c r="H51" s="55" t="n">
        <v>0</v>
      </c>
      <c r="I51" s="55" t="n">
        <v>5</v>
      </c>
      <c r="J51" s="71" t="n">
        <v>0.96</v>
      </c>
      <c r="K51" s="56" t="n">
        <f aca="false">I51*IF(AND(oil_compact=1,$A51&gt;=compact_year),1-compact_cut,1)</f>
        <v>5</v>
      </c>
      <c r="L51" s="70" t="n">
        <f aca="false">IF(AND(oil_compact=1,$A51&gt;=compact_year),MAX(J51,compact_price),J51)</f>
        <v>0.96</v>
      </c>
      <c r="M51" s="56" t="n">
        <f aca="false">K51*L51</f>
        <v>4.8</v>
      </c>
      <c r="N51" s="56" t="n">
        <f aca="false">SUM(B51:F51)+M51</f>
        <v>69</v>
      </c>
      <c r="O51" s="56" t="n">
        <f aca="false">N51*mining_va</f>
        <v>48.3</v>
      </c>
      <c r="P51" s="56" t="n">
        <f aca="false">SUM(B51:F51)*roy_metal*0.9</f>
        <v>2.889</v>
      </c>
      <c r="Q51" s="56" t="n">
        <f aca="false">M51*roy_oil</f>
        <v>0.6</v>
      </c>
      <c r="R51" s="56" t="n">
        <f aca="false">SUM(B51:E51)*gold_retained+(G51+H51)*conc_gold</f>
        <v>7.64</v>
      </c>
    </row>
    <row r="52" customFormat="false" ht="14.25" hidden="false" customHeight="true" outlineLevel="0" collapsed="false">
      <c r="A52" s="61" t="n">
        <v>1892</v>
      </c>
      <c r="B52" s="55" t="n">
        <v>13.2</v>
      </c>
      <c r="C52" s="55" t="n">
        <v>23.8</v>
      </c>
      <c r="D52" s="55" t="n">
        <v>0</v>
      </c>
      <c r="E52" s="55" t="n">
        <v>1.4</v>
      </c>
      <c r="F52" s="55" t="n">
        <v>27</v>
      </c>
      <c r="G52" s="55" t="n">
        <v>0</v>
      </c>
      <c r="H52" s="55" t="n">
        <v>0</v>
      </c>
      <c r="I52" s="55" t="n">
        <v>6</v>
      </c>
      <c r="J52" s="71" t="n">
        <v>0.92</v>
      </c>
      <c r="K52" s="56" t="n">
        <f aca="false">I52*IF(AND(oil_compact=1,$A52&gt;=compact_year),1-compact_cut,1)</f>
        <v>6</v>
      </c>
      <c r="L52" s="70" t="n">
        <f aca="false">IF(AND(oil_compact=1,$A52&gt;=compact_year),MAX(J52,compact_price),J52)</f>
        <v>0.92</v>
      </c>
      <c r="M52" s="56" t="n">
        <f aca="false">K52*L52</f>
        <v>5.52</v>
      </c>
      <c r="N52" s="56" t="n">
        <f aca="false">SUM(B52:F52)+M52</f>
        <v>70.92</v>
      </c>
      <c r="O52" s="56" t="n">
        <f aca="false">N52*mining_va</f>
        <v>49.644</v>
      </c>
      <c r="P52" s="56" t="n">
        <f aca="false">SUM(B52:F52)*roy_metal*0.9</f>
        <v>2.943</v>
      </c>
      <c r="Q52" s="56" t="n">
        <f aca="false">M52*roy_oil</f>
        <v>0.69</v>
      </c>
      <c r="R52" s="56" t="n">
        <f aca="false">SUM(B52:E52)*gold_retained+(G52+H52)*conc_gold</f>
        <v>7.68</v>
      </c>
    </row>
    <row r="53" customFormat="false" ht="14.25" hidden="false" customHeight="true" outlineLevel="0" collapsed="false">
      <c r="A53" s="61" t="n">
        <v>1893</v>
      </c>
      <c r="B53" s="55" t="n">
        <v>13.8</v>
      </c>
      <c r="C53" s="55" t="n">
        <v>23.2</v>
      </c>
      <c r="D53" s="55" t="n">
        <v>0</v>
      </c>
      <c r="E53" s="55" t="n">
        <v>1.6</v>
      </c>
      <c r="F53" s="55" t="n">
        <v>28</v>
      </c>
      <c r="G53" s="55" t="n">
        <v>0</v>
      </c>
      <c r="H53" s="55" t="n">
        <v>0</v>
      </c>
      <c r="I53" s="55" t="n">
        <v>7.33</v>
      </c>
      <c r="J53" s="71" t="n">
        <v>0.88</v>
      </c>
      <c r="K53" s="56" t="n">
        <f aca="false">I53*IF(AND(oil_compact=1,$A53&gt;=compact_year),1-compact_cut,1)</f>
        <v>7.33</v>
      </c>
      <c r="L53" s="70" t="n">
        <f aca="false">IF(AND(oil_compact=1,$A53&gt;=compact_year),MAX(J53,compact_price),J53)</f>
        <v>0.88</v>
      </c>
      <c r="M53" s="56" t="n">
        <f aca="false">K53*L53</f>
        <v>6.4504</v>
      </c>
      <c r="N53" s="56" t="n">
        <f aca="false">SUM(B53:F53)+M53</f>
        <v>73.0504</v>
      </c>
      <c r="O53" s="56" t="n">
        <f aca="false">N53*mining_va</f>
        <v>51.13528</v>
      </c>
      <c r="P53" s="56" t="n">
        <f aca="false">SUM(B53:F53)*roy_metal*0.9</f>
        <v>2.997</v>
      </c>
      <c r="Q53" s="56" t="n">
        <f aca="false">M53*roy_oil</f>
        <v>0.8063</v>
      </c>
      <c r="R53" s="56" t="n">
        <f aca="false">SUM(B53:E53)*gold_retained+(G53+H53)*conc_gold</f>
        <v>7.72</v>
      </c>
    </row>
    <row r="54" customFormat="false" ht="14.25" hidden="false" customHeight="true" outlineLevel="0" collapsed="false">
      <c r="A54" s="61" t="n">
        <v>1894</v>
      </c>
      <c r="B54" s="55" t="n">
        <v>14.4</v>
      </c>
      <c r="C54" s="55" t="n">
        <v>22.6</v>
      </c>
      <c r="D54" s="55" t="n">
        <v>0</v>
      </c>
      <c r="E54" s="55" t="n">
        <v>1.8</v>
      </c>
      <c r="F54" s="55" t="n">
        <v>29</v>
      </c>
      <c r="G54" s="55" t="n">
        <v>0</v>
      </c>
      <c r="H54" s="55" t="n">
        <v>0</v>
      </c>
      <c r="I54" s="55" t="n">
        <v>8.67</v>
      </c>
      <c r="J54" s="71" t="n">
        <v>0.84</v>
      </c>
      <c r="K54" s="56" t="n">
        <f aca="false">I54*IF(AND(oil_compact=1,$A54&gt;=compact_year),1-compact_cut,1)</f>
        <v>8.67</v>
      </c>
      <c r="L54" s="70" t="n">
        <f aca="false">IF(AND(oil_compact=1,$A54&gt;=compact_year),MAX(J54,compact_price),J54)</f>
        <v>0.84</v>
      </c>
      <c r="M54" s="56" t="n">
        <f aca="false">K54*L54</f>
        <v>7.2828</v>
      </c>
      <c r="N54" s="56" t="n">
        <f aca="false">SUM(B54:F54)+M54</f>
        <v>75.0828</v>
      </c>
      <c r="O54" s="56" t="n">
        <f aca="false">N54*mining_va</f>
        <v>52.55796</v>
      </c>
      <c r="P54" s="56" t="n">
        <f aca="false">SUM(B54:F54)*roy_metal*0.9</f>
        <v>3.051</v>
      </c>
      <c r="Q54" s="56" t="n">
        <f aca="false">M54*roy_oil</f>
        <v>0.91035</v>
      </c>
      <c r="R54" s="56" t="n">
        <f aca="false">SUM(B54:E54)*gold_retained+(G54+H54)*conc_gold</f>
        <v>7.76</v>
      </c>
    </row>
    <row r="55" customFormat="false" ht="14.25" hidden="false" customHeight="true" outlineLevel="0" collapsed="false">
      <c r="A55" s="61" t="n">
        <v>1895</v>
      </c>
      <c r="B55" s="55" t="n">
        <v>15</v>
      </c>
      <c r="C55" s="55" t="n">
        <v>22</v>
      </c>
      <c r="D55" s="55" t="n">
        <v>0</v>
      </c>
      <c r="E55" s="55" t="n">
        <v>2</v>
      </c>
      <c r="F55" s="55" t="n">
        <v>30</v>
      </c>
      <c r="G55" s="55" t="n">
        <v>0</v>
      </c>
      <c r="H55" s="55" t="n">
        <v>0</v>
      </c>
      <c r="I55" s="55" t="n">
        <v>10</v>
      </c>
      <c r="J55" s="71" t="n">
        <v>0.8</v>
      </c>
      <c r="K55" s="56" t="n">
        <f aca="false">I55*IF(AND(oil_compact=1,$A55&gt;=compact_year),1-compact_cut,1)</f>
        <v>10</v>
      </c>
      <c r="L55" s="70" t="n">
        <f aca="false">IF(AND(oil_compact=1,$A55&gt;=compact_year),MAX(J55,compact_price),J55)</f>
        <v>0.8</v>
      </c>
      <c r="M55" s="56" t="n">
        <f aca="false">K55*L55</f>
        <v>8</v>
      </c>
      <c r="N55" s="56" t="n">
        <f aca="false">SUM(B55:F55)+M55</f>
        <v>77</v>
      </c>
      <c r="O55" s="56" t="n">
        <f aca="false">N55*mining_va</f>
        <v>53.9</v>
      </c>
      <c r="P55" s="56" t="n">
        <f aca="false">SUM(B55:F55)*roy_metal*0.9</f>
        <v>3.105</v>
      </c>
      <c r="Q55" s="56" t="n">
        <f aca="false">M55*roy_oil</f>
        <v>1</v>
      </c>
      <c r="R55" s="56" t="n">
        <f aca="false">SUM(B55:E55)*gold_retained+(G55+H55)*conc_gold</f>
        <v>7.8</v>
      </c>
    </row>
    <row r="56" customFormat="false" ht="14.25" hidden="false" customHeight="true" outlineLevel="0" collapsed="false">
      <c r="A56" s="61" t="n">
        <v>1896</v>
      </c>
      <c r="B56" s="55" t="n">
        <v>15.2</v>
      </c>
      <c r="C56" s="55" t="n">
        <v>22.6</v>
      </c>
      <c r="D56" s="55" t="n">
        <v>0</v>
      </c>
      <c r="E56" s="55" t="n">
        <v>2</v>
      </c>
      <c r="F56" s="55" t="n">
        <v>36</v>
      </c>
      <c r="G56" s="55" t="n">
        <v>0</v>
      </c>
      <c r="H56" s="55" t="n">
        <v>0</v>
      </c>
      <c r="I56" s="55" t="n">
        <v>12.67</v>
      </c>
      <c r="J56" s="71" t="n">
        <v>0.79</v>
      </c>
      <c r="K56" s="56" t="n">
        <f aca="false">I56*IF(AND(oil_compact=1,$A56&gt;=compact_year),1-compact_cut,1)</f>
        <v>12.67</v>
      </c>
      <c r="L56" s="70" t="n">
        <f aca="false">IF(AND(oil_compact=1,$A56&gt;=compact_year),MAX(J56,compact_price),J56)</f>
        <v>0.79</v>
      </c>
      <c r="M56" s="56" t="n">
        <f aca="false">K56*L56</f>
        <v>10.0093</v>
      </c>
      <c r="N56" s="56" t="n">
        <f aca="false">SUM(B56:F56)+M56</f>
        <v>85.8093</v>
      </c>
      <c r="O56" s="56" t="n">
        <f aca="false">N56*mining_va</f>
        <v>60.06651</v>
      </c>
      <c r="P56" s="56" t="n">
        <f aca="false">SUM(B56:F56)*roy_metal*0.9</f>
        <v>3.411</v>
      </c>
      <c r="Q56" s="56" t="n">
        <f aca="false">M56*roy_oil</f>
        <v>1.2511625</v>
      </c>
      <c r="R56" s="56" t="n">
        <f aca="false">SUM(B56:E56)*gold_retained+(G56+H56)*conc_gold</f>
        <v>7.96</v>
      </c>
    </row>
    <row r="57" customFormat="false" ht="14.25" hidden="false" customHeight="true" outlineLevel="0" collapsed="false">
      <c r="A57" s="61" t="n">
        <v>1897</v>
      </c>
      <c r="B57" s="55" t="n">
        <v>15.4</v>
      </c>
      <c r="C57" s="55" t="n">
        <v>23.2</v>
      </c>
      <c r="D57" s="55" t="n">
        <v>0</v>
      </c>
      <c r="E57" s="55" t="n">
        <v>2</v>
      </c>
      <c r="F57" s="55" t="n">
        <v>42</v>
      </c>
      <c r="G57" s="55" t="n">
        <v>0.3</v>
      </c>
      <c r="H57" s="55" t="n">
        <v>0</v>
      </c>
      <c r="I57" s="55" t="n">
        <v>15.33</v>
      </c>
      <c r="J57" s="71" t="n">
        <v>0.78</v>
      </c>
      <c r="K57" s="56" t="n">
        <f aca="false">I57*IF(AND(oil_compact=1,$A57&gt;=compact_year),1-compact_cut,1)</f>
        <v>15.33</v>
      </c>
      <c r="L57" s="70" t="n">
        <f aca="false">IF(AND(oil_compact=1,$A57&gt;=compact_year),MAX(J57,compact_price),J57)</f>
        <v>0.78</v>
      </c>
      <c r="M57" s="56" t="n">
        <f aca="false">K57*L57</f>
        <v>11.9574</v>
      </c>
      <c r="N57" s="56" t="n">
        <f aca="false">SUM(B57:F57)+M57</f>
        <v>94.5574</v>
      </c>
      <c r="O57" s="56" t="n">
        <f aca="false">N57*mining_va</f>
        <v>66.19018</v>
      </c>
      <c r="P57" s="56" t="n">
        <f aca="false">SUM(B57:F57)*roy_metal*0.9</f>
        <v>3.717</v>
      </c>
      <c r="Q57" s="56" t="n">
        <f aca="false">M57*roy_oil</f>
        <v>1.494675</v>
      </c>
      <c r="R57" s="56" t="n">
        <f aca="false">SUM(B57:E57)*gold_retained+(G57+H57)*conc_gold</f>
        <v>8.3</v>
      </c>
    </row>
    <row r="58" customFormat="false" ht="14.25" hidden="false" customHeight="true" outlineLevel="0" collapsed="false">
      <c r="A58" s="61" t="n">
        <v>1898</v>
      </c>
      <c r="B58" s="55" t="n">
        <v>15.6</v>
      </c>
      <c r="C58" s="55" t="n">
        <v>23.8</v>
      </c>
      <c r="D58" s="55" t="n">
        <v>0</v>
      </c>
      <c r="E58" s="55" t="n">
        <v>2</v>
      </c>
      <c r="F58" s="55" t="n">
        <v>48</v>
      </c>
      <c r="G58" s="55" t="n">
        <v>0.533333333333333</v>
      </c>
      <c r="H58" s="55" t="n">
        <v>0</v>
      </c>
      <c r="I58" s="55" t="n">
        <v>18</v>
      </c>
      <c r="J58" s="71" t="n">
        <v>0.77</v>
      </c>
      <c r="K58" s="56" t="n">
        <f aca="false">I58*IF(AND(oil_compact=1,$A58&gt;=compact_year),1-compact_cut,1)</f>
        <v>18</v>
      </c>
      <c r="L58" s="70" t="n">
        <f aca="false">IF(AND(oil_compact=1,$A58&gt;=compact_year),MAX(J58,compact_price),J58)</f>
        <v>0.77</v>
      </c>
      <c r="M58" s="56" t="n">
        <f aca="false">K58*L58</f>
        <v>13.86</v>
      </c>
      <c r="N58" s="56" t="n">
        <f aca="false">SUM(B58:F58)+M58</f>
        <v>103.26</v>
      </c>
      <c r="O58" s="56" t="n">
        <f aca="false">N58*mining_va</f>
        <v>72.282</v>
      </c>
      <c r="P58" s="56" t="n">
        <f aca="false">SUM(B58:F58)*roy_metal*0.9</f>
        <v>4.023</v>
      </c>
      <c r="Q58" s="56" t="n">
        <f aca="false">M58*roy_oil</f>
        <v>1.7325</v>
      </c>
      <c r="R58" s="56" t="n">
        <f aca="false">SUM(B58:E58)*gold_retained+(G58+H58)*conc_gold</f>
        <v>8.6</v>
      </c>
    </row>
    <row r="59" customFormat="false" ht="14.25" hidden="false" customHeight="true" outlineLevel="0" collapsed="false">
      <c r="A59" s="61" t="n">
        <v>1899</v>
      </c>
      <c r="B59" s="55" t="n">
        <v>15.8</v>
      </c>
      <c r="C59" s="55" t="n">
        <v>24.4</v>
      </c>
      <c r="D59" s="55" t="n">
        <v>0</v>
      </c>
      <c r="E59" s="55" t="n">
        <v>5</v>
      </c>
      <c r="F59" s="55" t="n">
        <v>54</v>
      </c>
      <c r="G59" s="55" t="n">
        <v>0.766666666666667</v>
      </c>
      <c r="H59" s="55" t="n">
        <v>0</v>
      </c>
      <c r="I59" s="55" t="n">
        <v>21.5</v>
      </c>
      <c r="J59" s="71" t="n">
        <v>0.76</v>
      </c>
      <c r="K59" s="56" t="n">
        <f aca="false">I59*IF(AND(oil_compact=1,$A59&gt;=compact_year),1-compact_cut,1)</f>
        <v>21.5</v>
      </c>
      <c r="L59" s="70" t="n">
        <f aca="false">IF(AND(oil_compact=1,$A59&gt;=compact_year),MAX(J59,compact_price),J59)</f>
        <v>0.76</v>
      </c>
      <c r="M59" s="56" t="n">
        <f aca="false">K59*L59</f>
        <v>16.34</v>
      </c>
      <c r="N59" s="56" t="n">
        <f aca="false">SUM(B59:F59)+M59</f>
        <v>115.54</v>
      </c>
      <c r="O59" s="56" t="n">
        <f aca="false">N59*mining_va</f>
        <v>80.878</v>
      </c>
      <c r="P59" s="56" t="n">
        <f aca="false">SUM(B59:F59)*roy_metal*0.9</f>
        <v>4.464</v>
      </c>
      <c r="Q59" s="56" t="n">
        <f aca="false">M59*roy_oil</f>
        <v>2.0425</v>
      </c>
      <c r="R59" s="56" t="n">
        <f aca="false">SUM(B59:E59)*gold_retained+(G59+H59)*conc_gold</f>
        <v>9.5</v>
      </c>
    </row>
    <row r="60" customFormat="false" ht="14.25" hidden="false" customHeight="true" outlineLevel="0" collapsed="false">
      <c r="A60" s="61" t="n">
        <v>1900</v>
      </c>
      <c r="B60" s="55" t="n">
        <v>16</v>
      </c>
      <c r="C60" s="55" t="n">
        <v>25</v>
      </c>
      <c r="D60" s="55" t="n">
        <v>0</v>
      </c>
      <c r="E60" s="55" t="n">
        <v>8</v>
      </c>
      <c r="F60" s="55" t="n">
        <v>60</v>
      </c>
      <c r="G60" s="55" t="n">
        <v>1</v>
      </c>
      <c r="H60" s="55" t="n">
        <v>0</v>
      </c>
      <c r="I60" s="55" t="n">
        <v>25</v>
      </c>
      <c r="J60" s="71" t="n">
        <v>0.75</v>
      </c>
      <c r="K60" s="56" t="n">
        <f aca="false">I60*IF(AND(oil_compact=1,$A60&gt;=compact_year),1-compact_cut,1)</f>
        <v>25</v>
      </c>
      <c r="L60" s="70" t="n">
        <f aca="false">IF(AND(oil_compact=1,$A60&gt;=compact_year),MAX(J60,compact_price),J60)</f>
        <v>0.75</v>
      </c>
      <c r="M60" s="56" t="n">
        <f aca="false">K60*L60</f>
        <v>18.75</v>
      </c>
      <c r="N60" s="56" t="n">
        <f aca="false">SUM(B60:F60)+M60</f>
        <v>127.75</v>
      </c>
      <c r="O60" s="56" t="n">
        <f aca="false">N60*mining_va</f>
        <v>89.425</v>
      </c>
      <c r="P60" s="56" t="n">
        <f aca="false">SUM(B60:F60)*roy_metal*0.9</f>
        <v>4.905</v>
      </c>
      <c r="Q60" s="56" t="n">
        <f aca="false">M60*roy_oil</f>
        <v>2.34375</v>
      </c>
      <c r="R60" s="56" t="n">
        <f aca="false">SUM(B60:E60)*gold_retained+(G60+H60)*conc_gold</f>
        <v>10.4</v>
      </c>
    </row>
    <row r="61" customFormat="false" ht="14.25" hidden="false" customHeight="true" outlineLevel="0" collapsed="false">
      <c r="A61" s="61" t="n">
        <v>1901</v>
      </c>
      <c r="B61" s="55" t="n">
        <v>16.6</v>
      </c>
      <c r="C61" s="55" t="n">
        <v>25.6</v>
      </c>
      <c r="D61" s="55" t="n">
        <v>1</v>
      </c>
      <c r="E61" s="55" t="n">
        <v>9.4</v>
      </c>
      <c r="F61" s="55" t="n">
        <v>66</v>
      </c>
      <c r="G61" s="55" t="n">
        <v>1.2</v>
      </c>
      <c r="H61" s="55" t="n">
        <v>0</v>
      </c>
      <c r="I61" s="55" t="n">
        <v>30</v>
      </c>
      <c r="J61" s="71" t="n">
        <v>0.67</v>
      </c>
      <c r="K61" s="56" t="n">
        <f aca="false">I61*IF(AND(oil_compact=1,$A61&gt;=compact_year),1-compact_cut,1)</f>
        <v>30</v>
      </c>
      <c r="L61" s="70" t="n">
        <f aca="false">IF(AND(oil_compact=1,$A61&gt;=compact_year),MAX(J61,compact_price),J61)</f>
        <v>0.67</v>
      </c>
      <c r="M61" s="56" t="n">
        <f aca="false">K61*L61</f>
        <v>20.1</v>
      </c>
      <c r="N61" s="56" t="n">
        <f aca="false">SUM(B61:F61)+M61</f>
        <v>138.7</v>
      </c>
      <c r="O61" s="56" t="n">
        <f aca="false">N61*mining_va</f>
        <v>97.09</v>
      </c>
      <c r="P61" s="56" t="n">
        <f aca="false">SUM(B61:F61)*roy_metal*0.9</f>
        <v>5.337</v>
      </c>
      <c r="Q61" s="56" t="n">
        <f aca="false">M61*roy_oil</f>
        <v>2.5125</v>
      </c>
      <c r="R61" s="56" t="n">
        <f aca="false">SUM(B61:E61)*gold_retained+(G61+H61)*conc_gold</f>
        <v>11.24</v>
      </c>
    </row>
    <row r="62" customFormat="false" ht="14.25" hidden="false" customHeight="true" outlineLevel="0" collapsed="false">
      <c r="A62" s="61" t="n">
        <v>1902</v>
      </c>
      <c r="B62" s="55" t="n">
        <v>17.2</v>
      </c>
      <c r="C62" s="55" t="n">
        <v>26.2</v>
      </c>
      <c r="D62" s="55" t="n">
        <v>2.5</v>
      </c>
      <c r="E62" s="55" t="n">
        <v>10.8</v>
      </c>
      <c r="F62" s="55" t="n">
        <v>72</v>
      </c>
      <c r="G62" s="55" t="n">
        <v>1.4</v>
      </c>
      <c r="H62" s="55" t="n">
        <v>0</v>
      </c>
      <c r="I62" s="55" t="n">
        <v>35</v>
      </c>
      <c r="J62" s="71" t="n">
        <v>0.59</v>
      </c>
      <c r="K62" s="56" t="n">
        <f aca="false">I62*IF(AND(oil_compact=1,$A62&gt;=compact_year),1-compact_cut,1)</f>
        <v>35</v>
      </c>
      <c r="L62" s="70" t="n">
        <f aca="false">IF(AND(oil_compact=1,$A62&gt;=compact_year),MAX(J62,compact_price),J62)</f>
        <v>0.59</v>
      </c>
      <c r="M62" s="56" t="n">
        <f aca="false">K62*L62</f>
        <v>20.65</v>
      </c>
      <c r="N62" s="56" t="n">
        <f aca="false">SUM(B62:F62)+M62</f>
        <v>149.35</v>
      </c>
      <c r="O62" s="56" t="n">
        <f aca="false">N62*mining_va</f>
        <v>104.545</v>
      </c>
      <c r="P62" s="56" t="n">
        <f aca="false">SUM(B62:F62)*roy_metal*0.9</f>
        <v>5.7915</v>
      </c>
      <c r="Q62" s="56" t="n">
        <f aca="false">M62*roy_oil</f>
        <v>2.58125</v>
      </c>
      <c r="R62" s="56" t="n">
        <f aca="false">SUM(B62:E62)*gold_retained+(G62+H62)*conc_gold</f>
        <v>12.18</v>
      </c>
    </row>
    <row r="63" customFormat="false" ht="14.25" hidden="false" customHeight="true" outlineLevel="0" collapsed="false">
      <c r="A63" s="61" t="n">
        <v>1903</v>
      </c>
      <c r="B63" s="55" t="n">
        <v>17.8</v>
      </c>
      <c r="C63" s="55" t="n">
        <v>26.8</v>
      </c>
      <c r="D63" s="55" t="n">
        <v>4</v>
      </c>
      <c r="E63" s="55" t="n">
        <v>12.2</v>
      </c>
      <c r="F63" s="55" t="n">
        <v>78</v>
      </c>
      <c r="G63" s="55" t="n">
        <v>1.6</v>
      </c>
      <c r="H63" s="55" t="n">
        <v>0</v>
      </c>
      <c r="I63" s="55" t="n">
        <v>40</v>
      </c>
      <c r="J63" s="71" t="n">
        <v>0.51</v>
      </c>
      <c r="K63" s="56" t="n">
        <f aca="false">I63*IF(AND(oil_compact=1,$A63&gt;=compact_year),1-compact_cut,1)</f>
        <v>40</v>
      </c>
      <c r="L63" s="70" t="n">
        <f aca="false">IF(AND(oil_compact=1,$A63&gt;=compact_year),MAX(J63,compact_price),J63)</f>
        <v>0.51</v>
      </c>
      <c r="M63" s="56" t="n">
        <f aca="false">K63*L63</f>
        <v>20.4</v>
      </c>
      <c r="N63" s="56" t="n">
        <f aca="false">SUM(B63:F63)+M63</f>
        <v>159.2</v>
      </c>
      <c r="O63" s="56" t="n">
        <f aca="false">N63*mining_va</f>
        <v>111.44</v>
      </c>
      <c r="P63" s="56" t="n">
        <f aca="false">SUM(B63:F63)*roy_metal*0.9</f>
        <v>6.246</v>
      </c>
      <c r="Q63" s="56" t="n">
        <f aca="false">M63*roy_oil</f>
        <v>2.55</v>
      </c>
      <c r="R63" s="56" t="n">
        <f aca="false">SUM(B63:E63)*gold_retained+(G63+H63)*conc_gold</f>
        <v>13.12</v>
      </c>
    </row>
    <row r="64" customFormat="false" ht="14.25" hidden="false" customHeight="true" outlineLevel="0" collapsed="false">
      <c r="A64" s="61" t="n">
        <v>1904</v>
      </c>
      <c r="B64" s="55" t="n">
        <v>18.4</v>
      </c>
      <c r="C64" s="55" t="n">
        <v>27.4</v>
      </c>
      <c r="D64" s="55" t="n">
        <v>6</v>
      </c>
      <c r="E64" s="55" t="n">
        <v>13.6</v>
      </c>
      <c r="F64" s="55" t="n">
        <v>84</v>
      </c>
      <c r="G64" s="55" t="n">
        <v>1.8</v>
      </c>
      <c r="H64" s="55" t="n">
        <v>0</v>
      </c>
      <c r="I64" s="55" t="n">
        <v>45</v>
      </c>
      <c r="J64" s="71" t="n">
        <v>0.43</v>
      </c>
      <c r="K64" s="56" t="n">
        <f aca="false">I64*IF(AND(oil_compact=1,$A64&gt;=compact_year),1-compact_cut,1)</f>
        <v>45</v>
      </c>
      <c r="L64" s="70" t="n">
        <f aca="false">IF(AND(oil_compact=1,$A64&gt;=compact_year),MAX(J64,compact_price),J64)</f>
        <v>0.43</v>
      </c>
      <c r="M64" s="56" t="n">
        <f aca="false">K64*L64</f>
        <v>19.35</v>
      </c>
      <c r="N64" s="56" t="n">
        <f aca="false">SUM(B64:F64)+M64</f>
        <v>168.75</v>
      </c>
      <c r="O64" s="56" t="n">
        <f aca="false">N64*mining_va</f>
        <v>118.125</v>
      </c>
      <c r="P64" s="56" t="n">
        <f aca="false">SUM(B64:F64)*roy_metal*0.9</f>
        <v>6.723</v>
      </c>
      <c r="Q64" s="56" t="n">
        <f aca="false">M64*roy_oil</f>
        <v>2.41875</v>
      </c>
      <c r="R64" s="56" t="n">
        <f aca="false">SUM(B64:E64)*gold_retained+(G64+H64)*conc_gold</f>
        <v>14.16</v>
      </c>
    </row>
    <row r="65" customFormat="false" ht="14.25" hidden="false" customHeight="true" outlineLevel="0" collapsed="false">
      <c r="A65" s="61" t="n">
        <v>1905</v>
      </c>
      <c r="B65" s="55" t="n">
        <v>19</v>
      </c>
      <c r="C65" s="55" t="n">
        <v>28</v>
      </c>
      <c r="D65" s="55" t="n">
        <v>8</v>
      </c>
      <c r="E65" s="55" t="n">
        <v>15</v>
      </c>
      <c r="F65" s="55" t="n">
        <v>90</v>
      </c>
      <c r="G65" s="55" t="n">
        <v>2</v>
      </c>
      <c r="H65" s="55" t="n">
        <v>0</v>
      </c>
      <c r="I65" s="55" t="n">
        <v>50</v>
      </c>
      <c r="J65" s="71" t="n">
        <v>0.35</v>
      </c>
      <c r="K65" s="56" t="n">
        <f aca="false">I65*IF(AND(oil_compact=1,$A65&gt;=compact_year),1-compact_cut,1)</f>
        <v>50</v>
      </c>
      <c r="L65" s="70" t="n">
        <f aca="false">IF(AND(oil_compact=1,$A65&gt;=compact_year),MAX(J65,compact_price),J65)</f>
        <v>0.35</v>
      </c>
      <c r="M65" s="56" t="n">
        <f aca="false">K65*L65</f>
        <v>17.5</v>
      </c>
      <c r="N65" s="56" t="n">
        <f aca="false">SUM(B65:F65)+M65</f>
        <v>177.5</v>
      </c>
      <c r="O65" s="56" t="n">
        <f aca="false">N65*mining_va</f>
        <v>124.25</v>
      </c>
      <c r="P65" s="56" t="n">
        <f aca="false">SUM(B65:F65)*roy_metal*0.9</f>
        <v>7.2</v>
      </c>
      <c r="Q65" s="56" t="n">
        <f aca="false">M65*roy_oil</f>
        <v>2.1875</v>
      </c>
      <c r="R65" s="56" t="n">
        <f aca="false">SUM(B65:E65)*gold_retained+(G65+H65)*conc_gold</f>
        <v>15.2</v>
      </c>
    </row>
    <row r="66" customFormat="false" ht="14.25" hidden="false" customHeight="true" outlineLevel="0" collapsed="false">
      <c r="A66" s="61" t="n">
        <v>1906</v>
      </c>
      <c r="B66" s="55" t="n">
        <v>19.2</v>
      </c>
      <c r="C66" s="55" t="n">
        <v>27.4</v>
      </c>
      <c r="D66" s="55" t="n">
        <v>11.5</v>
      </c>
      <c r="E66" s="55" t="n">
        <v>22</v>
      </c>
      <c r="F66" s="55" t="n">
        <v>94</v>
      </c>
      <c r="G66" s="55" t="n">
        <v>2.2</v>
      </c>
      <c r="H66" s="55" t="n">
        <v>0</v>
      </c>
      <c r="I66" s="55" t="n">
        <v>55</v>
      </c>
      <c r="J66" s="71" t="n">
        <v>0.38</v>
      </c>
      <c r="K66" s="56" t="n">
        <f aca="false">I66*IF(AND(oil_compact=1,$A66&gt;=compact_year),1-compact_cut,1)</f>
        <v>55</v>
      </c>
      <c r="L66" s="70" t="n">
        <f aca="false">IF(AND(oil_compact=1,$A66&gt;=compact_year),MAX(J66,compact_price),J66)</f>
        <v>0.38</v>
      </c>
      <c r="M66" s="56" t="n">
        <f aca="false">K66*L66</f>
        <v>20.9</v>
      </c>
      <c r="N66" s="56" t="n">
        <f aca="false">SUM(B66:F66)+M66</f>
        <v>195</v>
      </c>
      <c r="O66" s="56" t="n">
        <f aca="false">N66*mining_va</f>
        <v>136.5</v>
      </c>
      <c r="P66" s="56" t="n">
        <f aca="false">SUM(B66:F66)*roy_metal*0.9</f>
        <v>7.8345</v>
      </c>
      <c r="Q66" s="56" t="n">
        <f aca="false">M66*roy_oil</f>
        <v>2.6125</v>
      </c>
      <c r="R66" s="56" t="n">
        <f aca="false">SUM(B66:E66)*gold_retained+(G66+H66)*conc_gold</f>
        <v>17.34</v>
      </c>
    </row>
    <row r="67" customFormat="false" ht="14.25" hidden="false" customHeight="true" outlineLevel="0" collapsed="false">
      <c r="A67" s="61" t="n">
        <v>1907</v>
      </c>
      <c r="B67" s="55" t="n">
        <v>19.4</v>
      </c>
      <c r="C67" s="55" t="n">
        <v>26.8</v>
      </c>
      <c r="D67" s="55" t="n">
        <v>15</v>
      </c>
      <c r="E67" s="55" t="n">
        <v>20.5</v>
      </c>
      <c r="F67" s="55" t="n">
        <v>98</v>
      </c>
      <c r="G67" s="55" t="n">
        <v>2.4</v>
      </c>
      <c r="H67" s="55" t="n">
        <v>0</v>
      </c>
      <c r="I67" s="55" t="n">
        <v>60</v>
      </c>
      <c r="J67" s="71" t="n">
        <v>0.41</v>
      </c>
      <c r="K67" s="56" t="n">
        <f aca="false">I67*IF(AND(oil_compact=1,$A67&gt;=compact_year),1-compact_cut,1)</f>
        <v>60</v>
      </c>
      <c r="L67" s="70" t="n">
        <f aca="false">IF(AND(oil_compact=1,$A67&gt;=compact_year),MAX(J67,compact_price),J67)</f>
        <v>0.41</v>
      </c>
      <c r="M67" s="56" t="n">
        <f aca="false">K67*L67</f>
        <v>24.6</v>
      </c>
      <c r="N67" s="56" t="n">
        <f aca="false">SUM(B67:F67)+M67</f>
        <v>204.3</v>
      </c>
      <c r="O67" s="56" t="n">
        <f aca="false">N67*mining_va</f>
        <v>143.01</v>
      </c>
      <c r="P67" s="56" t="n">
        <f aca="false">SUM(B67:F67)*roy_metal*0.9</f>
        <v>8.0865</v>
      </c>
      <c r="Q67" s="56" t="n">
        <f aca="false">M67*roy_oil</f>
        <v>3.075</v>
      </c>
      <c r="R67" s="56" t="n">
        <f aca="false">SUM(B67:E67)*gold_retained+(G67+H67)*conc_gold</f>
        <v>17.78</v>
      </c>
    </row>
    <row r="68" customFormat="false" ht="14.25" hidden="false" customHeight="true" outlineLevel="0" collapsed="false">
      <c r="A68" s="61" t="n">
        <v>1908</v>
      </c>
      <c r="B68" s="55" t="n">
        <v>19.6</v>
      </c>
      <c r="C68" s="55" t="n">
        <v>26.2</v>
      </c>
      <c r="D68" s="55" t="n">
        <v>16.6666666666667</v>
      </c>
      <c r="E68" s="55" t="n">
        <v>19</v>
      </c>
      <c r="F68" s="55" t="n">
        <v>102</v>
      </c>
      <c r="G68" s="55" t="n">
        <v>2.6</v>
      </c>
      <c r="H68" s="55" t="n">
        <v>0</v>
      </c>
      <c r="I68" s="55" t="n">
        <v>65</v>
      </c>
      <c r="J68" s="71" t="n">
        <v>0.44</v>
      </c>
      <c r="K68" s="56" t="n">
        <f aca="false">I68*IF(AND(oil_compact=1,$A68&gt;=compact_year),1-compact_cut,1)</f>
        <v>65</v>
      </c>
      <c r="L68" s="70" t="n">
        <f aca="false">IF(AND(oil_compact=1,$A68&gt;=compact_year),MAX(J68,compact_price),J68)</f>
        <v>0.44</v>
      </c>
      <c r="M68" s="56" t="n">
        <f aca="false">K68*L68</f>
        <v>28.6</v>
      </c>
      <c r="N68" s="56" t="n">
        <f aca="false">SUM(B68:F68)+M68</f>
        <v>212.066666666667</v>
      </c>
      <c r="O68" s="56" t="n">
        <f aca="false">N68*mining_va</f>
        <v>148.446666666667</v>
      </c>
      <c r="P68" s="56" t="n">
        <f aca="false">SUM(B68:F68)*roy_metal*0.9</f>
        <v>8.256</v>
      </c>
      <c r="Q68" s="56" t="n">
        <f aca="false">M68*roy_oil</f>
        <v>3.575</v>
      </c>
      <c r="R68" s="56" t="n">
        <f aca="false">SUM(B68:E68)*gold_retained+(G68+H68)*conc_gold</f>
        <v>17.8533333333333</v>
      </c>
    </row>
    <row r="69" customFormat="false" ht="14.25" hidden="false" customHeight="true" outlineLevel="0" collapsed="false">
      <c r="A69" s="61" t="n">
        <v>1909</v>
      </c>
      <c r="B69" s="55" t="n">
        <v>19.8</v>
      </c>
      <c r="C69" s="55" t="n">
        <v>25.6</v>
      </c>
      <c r="D69" s="55" t="n">
        <v>18.3333333333333</v>
      </c>
      <c r="E69" s="55" t="n">
        <v>17.5</v>
      </c>
      <c r="F69" s="55" t="n">
        <v>106</v>
      </c>
      <c r="G69" s="55" t="n">
        <v>2.8</v>
      </c>
      <c r="H69" s="55" t="n">
        <v>0</v>
      </c>
      <c r="I69" s="55" t="n">
        <v>72.5</v>
      </c>
      <c r="J69" s="71" t="n">
        <v>0.47</v>
      </c>
      <c r="K69" s="56" t="n">
        <f aca="false">I69*IF(AND(oil_compact=1,$A69&gt;=compact_year),1-compact_cut,1)</f>
        <v>72.5</v>
      </c>
      <c r="L69" s="70" t="n">
        <f aca="false">IF(AND(oil_compact=1,$A69&gt;=compact_year),MAX(J69,compact_price),J69)</f>
        <v>0.47</v>
      </c>
      <c r="M69" s="56" t="n">
        <f aca="false">K69*L69</f>
        <v>34.075</v>
      </c>
      <c r="N69" s="56" t="n">
        <f aca="false">SUM(B69:F69)+M69</f>
        <v>221.308333333333</v>
      </c>
      <c r="O69" s="56" t="n">
        <f aca="false">N69*mining_va</f>
        <v>154.915833333333</v>
      </c>
      <c r="P69" s="56" t="n">
        <f aca="false">SUM(B69:F69)*roy_metal*0.9</f>
        <v>8.4255</v>
      </c>
      <c r="Q69" s="56" t="n">
        <f aca="false">M69*roy_oil</f>
        <v>4.259375</v>
      </c>
      <c r="R69" s="56" t="n">
        <f aca="false">SUM(B69:E69)*gold_retained+(G69+H69)*conc_gold</f>
        <v>17.9266666666667</v>
      </c>
    </row>
    <row r="70" customFormat="false" ht="14.25" hidden="false" customHeight="true" outlineLevel="0" collapsed="false">
      <c r="A70" s="61" t="n">
        <v>1910</v>
      </c>
      <c r="B70" s="55" t="n">
        <v>20</v>
      </c>
      <c r="C70" s="55" t="n">
        <v>25</v>
      </c>
      <c r="D70" s="55" t="n">
        <v>20</v>
      </c>
      <c r="E70" s="55" t="n">
        <v>16</v>
      </c>
      <c r="F70" s="55" t="n">
        <v>110</v>
      </c>
      <c r="G70" s="55" t="n">
        <v>3</v>
      </c>
      <c r="H70" s="55" t="n">
        <v>0</v>
      </c>
      <c r="I70" s="55" t="n">
        <v>80</v>
      </c>
      <c r="J70" s="71" t="n">
        <v>0.5</v>
      </c>
      <c r="K70" s="56" t="n">
        <f aca="false">I70*IF(AND(oil_compact=1,$A70&gt;=compact_year),1-compact_cut,1)</f>
        <v>80</v>
      </c>
      <c r="L70" s="70" t="n">
        <f aca="false">IF(AND(oil_compact=1,$A70&gt;=compact_year),MAX(J70,compact_price),J70)</f>
        <v>0.5</v>
      </c>
      <c r="M70" s="56" t="n">
        <f aca="false">K70*L70</f>
        <v>40</v>
      </c>
      <c r="N70" s="56" t="n">
        <f aca="false">SUM(B70:F70)+M70</f>
        <v>231</v>
      </c>
      <c r="O70" s="56" t="n">
        <f aca="false">N70*mining_va</f>
        <v>161.7</v>
      </c>
      <c r="P70" s="56" t="n">
        <f aca="false">SUM(B70:F70)*roy_metal*0.9</f>
        <v>8.595</v>
      </c>
      <c r="Q70" s="56" t="n">
        <f aca="false">M70*roy_oil</f>
        <v>5</v>
      </c>
      <c r="R70" s="56" t="n">
        <f aca="false">SUM(B70:E70)*gold_retained+(G70+H70)*conc_gold</f>
        <v>18</v>
      </c>
    </row>
    <row r="71" customFormat="false" ht="14.25" hidden="false" customHeight="true" outlineLevel="0" collapsed="false">
      <c r="A71" s="61" t="n">
        <v>1911</v>
      </c>
      <c r="B71" s="55" t="n">
        <v>20.4</v>
      </c>
      <c r="C71" s="55" t="n">
        <v>25</v>
      </c>
      <c r="D71" s="55" t="n">
        <v>19</v>
      </c>
      <c r="E71" s="55" t="n">
        <v>16</v>
      </c>
      <c r="F71" s="55" t="n">
        <v>113.333333333333</v>
      </c>
      <c r="G71" s="55" t="n">
        <v>3.1</v>
      </c>
      <c r="H71" s="55" t="n">
        <v>0</v>
      </c>
      <c r="I71" s="55" t="n">
        <v>86.67</v>
      </c>
      <c r="J71" s="71" t="n">
        <v>0.53</v>
      </c>
      <c r="K71" s="56" t="n">
        <f aca="false">I71*IF(AND(oil_compact=1,$A71&gt;=compact_year),1-compact_cut,1)</f>
        <v>86.67</v>
      </c>
      <c r="L71" s="70" t="n">
        <f aca="false">IF(AND(oil_compact=1,$A71&gt;=compact_year),MAX(J71,compact_price),J71)</f>
        <v>0.53</v>
      </c>
      <c r="M71" s="56" t="n">
        <f aca="false">K71*L71</f>
        <v>45.9351</v>
      </c>
      <c r="N71" s="56" t="n">
        <f aca="false">SUM(B71:F71)+M71</f>
        <v>239.668433333333</v>
      </c>
      <c r="O71" s="56" t="n">
        <f aca="false">N71*mining_va</f>
        <v>167.767903333333</v>
      </c>
      <c r="P71" s="56" t="n">
        <f aca="false">SUM(B71:F71)*roy_metal*0.9</f>
        <v>8.71799999999999</v>
      </c>
      <c r="Q71" s="56" t="n">
        <f aca="false">M71*roy_oil</f>
        <v>5.7418875</v>
      </c>
      <c r="R71" s="56" t="n">
        <f aca="false">SUM(B71:E71)*gold_retained+(G71+H71)*conc_gold</f>
        <v>17.94</v>
      </c>
    </row>
    <row r="72" customFormat="false" ht="14.25" hidden="false" customHeight="true" outlineLevel="0" collapsed="false">
      <c r="A72" s="61" t="n">
        <v>1912</v>
      </c>
      <c r="B72" s="55" t="n">
        <v>20.8</v>
      </c>
      <c r="C72" s="55" t="n">
        <v>25</v>
      </c>
      <c r="D72" s="55" t="n">
        <v>18</v>
      </c>
      <c r="E72" s="55" t="n">
        <v>16</v>
      </c>
      <c r="F72" s="55" t="n">
        <v>116.666666666667</v>
      </c>
      <c r="G72" s="55" t="n">
        <v>3.2</v>
      </c>
      <c r="H72" s="55" t="n">
        <v>0</v>
      </c>
      <c r="I72" s="55" t="n">
        <v>93.33</v>
      </c>
      <c r="J72" s="71" t="n">
        <v>0.57</v>
      </c>
      <c r="K72" s="56" t="n">
        <f aca="false">I72*IF(AND(oil_compact=1,$A72&gt;=compact_year),1-compact_cut,1)</f>
        <v>93.33</v>
      </c>
      <c r="L72" s="70" t="n">
        <f aca="false">IF(AND(oil_compact=1,$A72&gt;=compact_year),MAX(J72,compact_price),J72)</f>
        <v>0.57</v>
      </c>
      <c r="M72" s="56" t="n">
        <f aca="false">K72*L72</f>
        <v>53.1981</v>
      </c>
      <c r="N72" s="56" t="n">
        <f aca="false">SUM(B72:F72)+M72</f>
        <v>249.664766666667</v>
      </c>
      <c r="O72" s="56" t="n">
        <f aca="false">N72*mining_va</f>
        <v>174.765336666667</v>
      </c>
      <c r="P72" s="56" t="n">
        <f aca="false">SUM(B72:F72)*roy_metal*0.9</f>
        <v>8.84100000000002</v>
      </c>
      <c r="Q72" s="56" t="n">
        <f aca="false">M72*roy_oil</f>
        <v>6.6497625</v>
      </c>
      <c r="R72" s="56" t="n">
        <f aca="false">SUM(B72:E72)*gold_retained+(G72+H72)*conc_gold</f>
        <v>17.88</v>
      </c>
    </row>
    <row r="73" customFormat="false" ht="14.25" hidden="false" customHeight="true" outlineLevel="0" collapsed="false">
      <c r="A73" s="61" t="n">
        <v>1913</v>
      </c>
      <c r="B73" s="55" t="n">
        <v>21.2</v>
      </c>
      <c r="C73" s="55" t="n">
        <v>25</v>
      </c>
      <c r="D73" s="55" t="n">
        <v>17</v>
      </c>
      <c r="E73" s="55" t="n">
        <v>16</v>
      </c>
      <c r="F73" s="55" t="n">
        <v>120</v>
      </c>
      <c r="G73" s="55" t="n">
        <v>3.3</v>
      </c>
      <c r="H73" s="55" t="n">
        <v>0</v>
      </c>
      <c r="I73" s="55" t="n">
        <v>100</v>
      </c>
      <c r="J73" s="71" t="n">
        <v>0.6</v>
      </c>
      <c r="K73" s="56" t="n">
        <f aca="false">I73*IF(AND(oil_compact=1,$A73&gt;=compact_year),1-compact_cut,1)</f>
        <v>100</v>
      </c>
      <c r="L73" s="70" t="n">
        <f aca="false">IF(AND(oil_compact=1,$A73&gt;=compact_year),MAX(J73,compact_price),J73)</f>
        <v>0.6</v>
      </c>
      <c r="M73" s="56" t="n">
        <f aca="false">K73*L73</f>
        <v>60</v>
      </c>
      <c r="N73" s="56" t="n">
        <f aca="false">SUM(B73:F73)+M73</f>
        <v>259.2</v>
      </c>
      <c r="O73" s="56" t="n">
        <f aca="false">N73*mining_va</f>
        <v>181.44</v>
      </c>
      <c r="P73" s="56" t="n">
        <f aca="false">SUM(B73:F73)*roy_metal*0.9</f>
        <v>8.964</v>
      </c>
      <c r="Q73" s="56" t="n">
        <f aca="false">M73*roy_oil</f>
        <v>7.5</v>
      </c>
      <c r="R73" s="56" t="n">
        <f aca="false">SUM(B73:E73)*gold_retained+(G73+H73)*conc_gold</f>
        <v>17.82</v>
      </c>
    </row>
    <row r="74" customFormat="false" ht="14.25" hidden="false" customHeight="true" outlineLevel="0" collapsed="false">
      <c r="A74" s="64" t="n">
        <v>1914</v>
      </c>
      <c r="B74" s="55" t="n">
        <v>21.6</v>
      </c>
      <c r="C74" s="55" t="n">
        <v>25</v>
      </c>
      <c r="D74" s="55" t="n">
        <v>15.5</v>
      </c>
      <c r="E74" s="55" t="n">
        <v>16</v>
      </c>
      <c r="F74" s="55" t="n">
        <v>160</v>
      </c>
      <c r="G74" s="55" t="n">
        <v>3.4</v>
      </c>
      <c r="H74" s="55" t="n">
        <v>0</v>
      </c>
      <c r="I74" s="55" t="n">
        <v>102.5</v>
      </c>
      <c r="J74" s="71" t="n">
        <v>0.7</v>
      </c>
      <c r="K74" s="56" t="n">
        <f aca="false">I74*IF(AND(oil_compact=1,$A74&gt;=compact_year),1-compact_cut,1)</f>
        <v>102.5</v>
      </c>
      <c r="L74" s="70" t="n">
        <f aca="false">IF(AND(oil_compact=1,$A74&gt;=compact_year),MAX(J74,compact_price),J74)</f>
        <v>0.7</v>
      </c>
      <c r="M74" s="56" t="n">
        <f aca="false">K74*L74</f>
        <v>71.75</v>
      </c>
      <c r="N74" s="56" t="n">
        <f aca="false">SUM(B74:F74)+M74</f>
        <v>309.85</v>
      </c>
      <c r="O74" s="56" t="n">
        <f aca="false">N74*mining_va</f>
        <v>216.895</v>
      </c>
      <c r="P74" s="56" t="n">
        <f aca="false">SUM(B74:F74)*roy_metal*0.9</f>
        <v>10.7145</v>
      </c>
      <c r="Q74" s="56" t="n">
        <f aca="false">M74*roy_oil</f>
        <v>8.96875</v>
      </c>
      <c r="R74" s="56" t="n">
        <f aca="false">SUM(B74:E74)*gold_retained+(G74+H74)*conc_gold</f>
        <v>17.66</v>
      </c>
    </row>
    <row r="75" customFormat="false" ht="14.25" hidden="false" customHeight="true" outlineLevel="0" collapsed="false">
      <c r="A75" s="64" t="n">
        <v>1915</v>
      </c>
      <c r="B75" s="55" t="n">
        <v>22</v>
      </c>
      <c r="C75" s="55" t="n">
        <v>25</v>
      </c>
      <c r="D75" s="55" t="n">
        <v>14</v>
      </c>
      <c r="E75" s="55" t="n">
        <v>16</v>
      </c>
      <c r="F75" s="55" t="n">
        <v>200</v>
      </c>
      <c r="G75" s="55" t="n">
        <v>3.5</v>
      </c>
      <c r="H75" s="55" t="n">
        <v>0</v>
      </c>
      <c r="I75" s="55" t="n">
        <v>105</v>
      </c>
      <c r="J75" s="71" t="n">
        <v>0.8</v>
      </c>
      <c r="K75" s="56" t="n">
        <f aca="false">I75*IF(AND(oil_compact=1,$A75&gt;=compact_year),1-compact_cut,1)</f>
        <v>105</v>
      </c>
      <c r="L75" s="70" t="n">
        <f aca="false">IF(AND(oil_compact=1,$A75&gt;=compact_year),MAX(J75,compact_price),J75)</f>
        <v>0.8</v>
      </c>
      <c r="M75" s="56" t="n">
        <f aca="false">K75*L75</f>
        <v>84</v>
      </c>
      <c r="N75" s="56" t="n">
        <f aca="false">SUM(B75:F75)+M75</f>
        <v>361</v>
      </c>
      <c r="O75" s="56" t="n">
        <f aca="false">N75*mining_va</f>
        <v>252.7</v>
      </c>
      <c r="P75" s="56" t="n">
        <f aca="false">SUM(B75:F75)*roy_metal*0.9</f>
        <v>12.465</v>
      </c>
      <c r="Q75" s="56" t="n">
        <f aca="false">M75*roy_oil</f>
        <v>10.5</v>
      </c>
      <c r="R75" s="56" t="n">
        <f aca="false">SUM(B75:E75)*gold_retained+(G75+H75)*conc_gold</f>
        <v>17.5</v>
      </c>
    </row>
    <row r="76" customFormat="false" ht="14.25" hidden="false" customHeight="true" outlineLevel="0" collapsed="false">
      <c r="A76" s="64" t="n">
        <v>1916</v>
      </c>
      <c r="B76" s="55" t="n">
        <v>20.4</v>
      </c>
      <c r="C76" s="55" t="n">
        <v>23.6</v>
      </c>
      <c r="D76" s="55" t="n">
        <v>12.4</v>
      </c>
      <c r="E76" s="55" t="n">
        <v>14.6</v>
      </c>
      <c r="F76" s="55" t="n">
        <v>350</v>
      </c>
      <c r="G76" s="55" t="n">
        <v>3.6</v>
      </c>
      <c r="H76" s="55" t="n">
        <v>0</v>
      </c>
      <c r="I76" s="55" t="n">
        <v>105</v>
      </c>
      <c r="J76" s="71" t="n">
        <v>0.9</v>
      </c>
      <c r="K76" s="56" t="n">
        <f aca="false">I76*IF(AND(oil_compact=1,$A76&gt;=compact_year),1-compact_cut,1)</f>
        <v>105</v>
      </c>
      <c r="L76" s="70" t="n">
        <f aca="false">IF(AND(oil_compact=1,$A76&gt;=compact_year),MAX(J76,compact_price),J76)</f>
        <v>0.9</v>
      </c>
      <c r="M76" s="56" t="n">
        <f aca="false">K76*L76</f>
        <v>94.5</v>
      </c>
      <c r="N76" s="56" t="n">
        <f aca="false">SUM(B76:F76)+M76</f>
        <v>515.5</v>
      </c>
      <c r="O76" s="56" t="n">
        <f aca="false">N76*mining_va</f>
        <v>360.85</v>
      </c>
      <c r="P76" s="56" t="n">
        <f aca="false">SUM(B76:F76)*roy_metal*0.9</f>
        <v>18.945</v>
      </c>
      <c r="Q76" s="56" t="n">
        <f aca="false">M76*roy_oil</f>
        <v>11.8125</v>
      </c>
      <c r="R76" s="56" t="n">
        <f aca="false">SUM(B76:E76)*gold_retained+(G76+H76)*conc_gold</f>
        <v>16.36</v>
      </c>
    </row>
    <row r="77" customFormat="false" ht="14.25" hidden="false" customHeight="true" outlineLevel="0" collapsed="false">
      <c r="A77" s="64" t="n">
        <v>1917</v>
      </c>
      <c r="B77" s="55" t="n">
        <v>18.8</v>
      </c>
      <c r="C77" s="55" t="n">
        <v>22.2</v>
      </c>
      <c r="D77" s="55" t="n">
        <v>10.8</v>
      </c>
      <c r="E77" s="55" t="n">
        <v>13.2</v>
      </c>
      <c r="F77" s="55" t="n">
        <v>380</v>
      </c>
      <c r="G77" s="55" t="n">
        <v>3.7</v>
      </c>
      <c r="H77" s="55" t="n">
        <v>0</v>
      </c>
      <c r="I77" s="55" t="n">
        <v>105</v>
      </c>
      <c r="J77" s="71" t="n">
        <v>1</v>
      </c>
      <c r="K77" s="56" t="n">
        <f aca="false">I77*IF(AND(oil_compact=1,$A77&gt;=compact_year),1-compact_cut,1)</f>
        <v>105</v>
      </c>
      <c r="L77" s="70" t="n">
        <f aca="false">IF(AND(oil_compact=1,$A77&gt;=compact_year),MAX(J77,compact_price),J77)</f>
        <v>1</v>
      </c>
      <c r="M77" s="56" t="n">
        <f aca="false">K77*L77</f>
        <v>105</v>
      </c>
      <c r="N77" s="56" t="n">
        <f aca="false">SUM(B77:F77)+M77</f>
        <v>550</v>
      </c>
      <c r="O77" s="56" t="n">
        <f aca="false">N77*mining_va</f>
        <v>385</v>
      </c>
      <c r="P77" s="56" t="n">
        <f aca="false">SUM(B77:F77)*roy_metal*0.9</f>
        <v>20.025</v>
      </c>
      <c r="Q77" s="56" t="n">
        <f aca="false">M77*roy_oil</f>
        <v>13.125</v>
      </c>
      <c r="R77" s="56" t="n">
        <f aca="false">SUM(B77:E77)*gold_retained+(G77+H77)*conc_gold</f>
        <v>15.22</v>
      </c>
    </row>
    <row r="78" customFormat="false" ht="14.25" hidden="false" customHeight="true" outlineLevel="0" collapsed="false">
      <c r="A78" s="64" t="n">
        <v>1918</v>
      </c>
      <c r="B78" s="55" t="n">
        <v>17.2</v>
      </c>
      <c r="C78" s="55" t="n">
        <v>20.8</v>
      </c>
      <c r="D78" s="55" t="n">
        <v>9.2</v>
      </c>
      <c r="E78" s="55" t="n">
        <v>11.8</v>
      </c>
      <c r="F78" s="55" t="n">
        <v>330</v>
      </c>
      <c r="G78" s="55" t="n">
        <v>3.8</v>
      </c>
      <c r="H78" s="55" t="n">
        <v>0</v>
      </c>
      <c r="I78" s="55" t="n">
        <v>105</v>
      </c>
      <c r="J78" s="71" t="n">
        <v>1.23</v>
      </c>
      <c r="K78" s="56" t="n">
        <f aca="false">I78*IF(AND(oil_compact=1,$A78&gt;=compact_year),1-compact_cut,1)</f>
        <v>105</v>
      </c>
      <c r="L78" s="70" t="n">
        <f aca="false">IF(AND(oil_compact=1,$A78&gt;=compact_year),MAX(J78,compact_price),J78)</f>
        <v>1.23</v>
      </c>
      <c r="M78" s="56" t="n">
        <f aca="false">K78*L78</f>
        <v>129.15</v>
      </c>
      <c r="N78" s="56" t="n">
        <f aca="false">SUM(B78:F78)+M78</f>
        <v>518.15</v>
      </c>
      <c r="O78" s="56" t="n">
        <f aca="false">N78*mining_va</f>
        <v>362.705</v>
      </c>
      <c r="P78" s="56" t="n">
        <f aca="false">SUM(B78:F78)*roy_metal*0.9</f>
        <v>17.505</v>
      </c>
      <c r="Q78" s="56" t="n">
        <f aca="false">M78*roy_oil</f>
        <v>16.14375</v>
      </c>
      <c r="R78" s="56" t="n">
        <f aca="false">SUM(B78:E78)*gold_retained+(G78+H78)*conc_gold</f>
        <v>14.08</v>
      </c>
    </row>
    <row r="79" customFormat="false" ht="14.25" hidden="false" customHeight="true" outlineLevel="0" collapsed="false">
      <c r="A79" s="64" t="n">
        <v>1919</v>
      </c>
      <c r="B79" s="55" t="n">
        <v>15.6</v>
      </c>
      <c r="C79" s="55" t="n">
        <v>19.4</v>
      </c>
      <c r="D79" s="55" t="n">
        <v>7.6</v>
      </c>
      <c r="E79" s="55" t="n">
        <v>10.4</v>
      </c>
      <c r="F79" s="55" t="n">
        <v>200</v>
      </c>
      <c r="G79" s="55" t="n">
        <v>3.9</v>
      </c>
      <c r="H79" s="55" t="n">
        <v>0</v>
      </c>
      <c r="I79" s="55" t="n">
        <v>110</v>
      </c>
      <c r="J79" s="71" t="n">
        <v>1.47</v>
      </c>
      <c r="K79" s="56" t="n">
        <f aca="false">I79*IF(AND(oil_compact=1,$A79&gt;=compact_year),1-compact_cut,1)</f>
        <v>110</v>
      </c>
      <c r="L79" s="70" t="n">
        <f aca="false">IF(AND(oil_compact=1,$A79&gt;=compact_year),MAX(J79,compact_price),J79)</f>
        <v>1.47</v>
      </c>
      <c r="M79" s="56" t="n">
        <f aca="false">K79*L79</f>
        <v>161.7</v>
      </c>
      <c r="N79" s="56" t="n">
        <f aca="false">SUM(B79:F79)+M79</f>
        <v>414.7</v>
      </c>
      <c r="O79" s="56" t="n">
        <f aca="false">N79*mining_va</f>
        <v>290.29</v>
      </c>
      <c r="P79" s="56" t="n">
        <f aca="false">SUM(B79:F79)*roy_metal*0.9</f>
        <v>11.385</v>
      </c>
      <c r="Q79" s="56" t="n">
        <f aca="false">M79*roy_oil</f>
        <v>20.2125</v>
      </c>
      <c r="R79" s="56" t="n">
        <f aca="false">SUM(B79:E79)*gold_retained+(G79+H79)*conc_gold</f>
        <v>12.94</v>
      </c>
    </row>
    <row r="80" customFormat="false" ht="14.25" hidden="false" customHeight="true" outlineLevel="0" collapsed="false">
      <c r="A80" s="64" t="n">
        <v>1920</v>
      </c>
      <c r="B80" s="55" t="n">
        <v>14</v>
      </c>
      <c r="C80" s="55" t="n">
        <v>18</v>
      </c>
      <c r="D80" s="55" t="n">
        <v>6</v>
      </c>
      <c r="E80" s="55" t="n">
        <v>9</v>
      </c>
      <c r="F80" s="55" t="n">
        <v>190</v>
      </c>
      <c r="G80" s="55" t="n">
        <v>4</v>
      </c>
      <c r="H80" s="55" t="n">
        <v>0</v>
      </c>
      <c r="I80" s="55" t="n">
        <v>115</v>
      </c>
      <c r="J80" s="71" t="n">
        <v>1.7</v>
      </c>
      <c r="K80" s="56" t="n">
        <f aca="false">I80*IF(AND(oil_compact=1,$A80&gt;=compact_year),1-compact_cut,1)</f>
        <v>115</v>
      </c>
      <c r="L80" s="70" t="n">
        <f aca="false">IF(AND(oil_compact=1,$A80&gt;=compact_year),MAX(J80,compact_price),J80)</f>
        <v>1.7</v>
      </c>
      <c r="M80" s="56" t="n">
        <f aca="false">K80*L80</f>
        <v>195.5</v>
      </c>
      <c r="N80" s="56" t="n">
        <f aca="false">SUM(B80:F80)+M80</f>
        <v>432.5</v>
      </c>
      <c r="O80" s="56" t="n">
        <f aca="false">N80*mining_va</f>
        <v>302.75</v>
      </c>
      <c r="P80" s="56" t="n">
        <f aca="false">SUM(B80:F80)*roy_metal*0.9</f>
        <v>10.665</v>
      </c>
      <c r="Q80" s="56" t="n">
        <f aca="false">M80*roy_oil</f>
        <v>24.4375</v>
      </c>
      <c r="R80" s="56" t="n">
        <f aca="false">SUM(B80:E80)*gold_retained+(G80+H80)*conc_gold</f>
        <v>11.8</v>
      </c>
    </row>
    <row r="81" customFormat="false" ht="14.25" hidden="false" customHeight="true" outlineLevel="0" collapsed="false">
      <c r="A81" s="64" t="n">
        <v>1921</v>
      </c>
      <c r="B81" s="55" t="n">
        <v>13.8</v>
      </c>
      <c r="C81" s="55" t="n">
        <v>17.7777777777778</v>
      </c>
      <c r="D81" s="55" t="n">
        <v>5.4</v>
      </c>
      <c r="E81" s="55" t="n">
        <v>8.6</v>
      </c>
      <c r="F81" s="55" t="n">
        <v>70</v>
      </c>
      <c r="G81" s="55" t="n">
        <v>4.11111111111111</v>
      </c>
      <c r="H81" s="55" t="n">
        <v>0</v>
      </c>
      <c r="I81" s="55" t="n">
        <v>132.5</v>
      </c>
      <c r="J81" s="71" t="n">
        <v>1.55</v>
      </c>
      <c r="K81" s="56" t="n">
        <f aca="false">I81*IF(AND(oil_compact=1,$A81&gt;=compact_year),1-compact_cut,1)</f>
        <v>132.5</v>
      </c>
      <c r="L81" s="70" t="n">
        <f aca="false">IF(AND(oil_compact=1,$A81&gt;=compact_year),MAX(J81,compact_price),J81)</f>
        <v>1.55</v>
      </c>
      <c r="M81" s="56" t="n">
        <f aca="false">K81*L81</f>
        <v>205.375</v>
      </c>
      <c r="N81" s="56" t="n">
        <f aca="false">SUM(B81:F81)+M81</f>
        <v>320.952777777778</v>
      </c>
      <c r="O81" s="56" t="n">
        <f aca="false">N81*mining_va</f>
        <v>224.666944444444</v>
      </c>
      <c r="P81" s="56" t="n">
        <f aca="false">SUM(B81:F81)*roy_metal*0.9</f>
        <v>5.201</v>
      </c>
      <c r="Q81" s="56" t="n">
        <f aca="false">M81*roy_oil</f>
        <v>25.671875</v>
      </c>
      <c r="R81" s="56" t="n">
        <f aca="false">SUM(B81:E81)*gold_retained+(G81+H81)*conc_gold</f>
        <v>11.5822222222222</v>
      </c>
    </row>
    <row r="82" customFormat="false" ht="14.25" hidden="false" customHeight="true" outlineLevel="0" collapsed="false">
      <c r="A82" s="64" t="n">
        <v>1922</v>
      </c>
      <c r="B82" s="55" t="n">
        <v>13.6</v>
      </c>
      <c r="C82" s="55" t="n">
        <v>17.5555555555556</v>
      </c>
      <c r="D82" s="55" t="n">
        <v>4.8</v>
      </c>
      <c r="E82" s="55" t="n">
        <v>8.2</v>
      </c>
      <c r="F82" s="55" t="n">
        <v>120</v>
      </c>
      <c r="G82" s="55" t="n">
        <v>4.22222222222222</v>
      </c>
      <c r="H82" s="55" t="n">
        <v>0</v>
      </c>
      <c r="I82" s="55" t="n">
        <v>150</v>
      </c>
      <c r="J82" s="71" t="n">
        <v>1.4</v>
      </c>
      <c r="K82" s="56" t="n">
        <f aca="false">I82*IF(AND(oil_compact=1,$A82&gt;=compact_year),1-compact_cut,1)</f>
        <v>150</v>
      </c>
      <c r="L82" s="70" t="n">
        <f aca="false">IF(AND(oil_compact=1,$A82&gt;=compact_year),MAX(J82,compact_price),J82)</f>
        <v>1.4</v>
      </c>
      <c r="M82" s="56" t="n">
        <f aca="false">K82*L82</f>
        <v>210</v>
      </c>
      <c r="N82" s="56" t="n">
        <f aca="false">SUM(B82:F82)+M82</f>
        <v>374.155555555556</v>
      </c>
      <c r="O82" s="56" t="n">
        <f aca="false">N82*mining_va</f>
        <v>261.908888888889</v>
      </c>
      <c r="P82" s="56" t="n">
        <f aca="false">SUM(B82:F82)*roy_metal*0.9</f>
        <v>7.387</v>
      </c>
      <c r="Q82" s="56" t="n">
        <f aca="false">M82*roy_oil</f>
        <v>26.25</v>
      </c>
      <c r="R82" s="56" t="n">
        <f aca="false">SUM(B82:E82)*gold_retained+(G82+H82)*conc_gold</f>
        <v>11.3644444444445</v>
      </c>
    </row>
    <row r="83" customFormat="false" ht="14.25" hidden="false" customHeight="true" outlineLevel="0" collapsed="false">
      <c r="A83" s="61" t="n">
        <v>1923</v>
      </c>
      <c r="B83" s="55" t="n">
        <v>13.4</v>
      </c>
      <c r="C83" s="55" t="n">
        <v>17.3333333333333</v>
      </c>
      <c r="D83" s="55" t="n">
        <v>4.2</v>
      </c>
      <c r="E83" s="55" t="n">
        <v>7.8</v>
      </c>
      <c r="F83" s="55" t="n">
        <v>146.666666666667</v>
      </c>
      <c r="G83" s="55" t="n">
        <v>4.33333333333333</v>
      </c>
      <c r="H83" s="55" t="n">
        <v>0</v>
      </c>
      <c r="I83" s="55" t="n">
        <v>190</v>
      </c>
      <c r="J83" s="71" t="n">
        <v>1.37</v>
      </c>
      <c r="K83" s="56" t="n">
        <f aca="false">I83*IF(AND(oil_compact=1,$A83&gt;=compact_year),1-compact_cut,1)</f>
        <v>190</v>
      </c>
      <c r="L83" s="70" t="n">
        <f aca="false">IF(AND(oil_compact=1,$A83&gt;=compact_year),MAX(J83,compact_price),J83)</f>
        <v>1.37</v>
      </c>
      <c r="M83" s="56" t="n">
        <f aca="false">K83*L83</f>
        <v>260.3</v>
      </c>
      <c r="N83" s="56" t="n">
        <f aca="false">SUM(B83:F83)+M83</f>
        <v>449.7</v>
      </c>
      <c r="O83" s="56" t="n">
        <f aca="false">N83*mining_va</f>
        <v>314.79</v>
      </c>
      <c r="P83" s="56" t="n">
        <f aca="false">SUM(B83:F83)*roy_metal*0.9</f>
        <v>8.52300000000001</v>
      </c>
      <c r="Q83" s="56" t="n">
        <f aca="false">M83*roy_oil</f>
        <v>32.5375</v>
      </c>
      <c r="R83" s="56" t="n">
        <f aca="false">SUM(B83:E83)*gold_retained+(G83+H83)*conc_gold</f>
        <v>11.1466666666667</v>
      </c>
    </row>
    <row r="84" customFormat="false" ht="14.25" hidden="false" customHeight="true" outlineLevel="0" collapsed="false">
      <c r="A84" s="61" t="n">
        <v>1924</v>
      </c>
      <c r="B84" s="55" t="n">
        <v>13.2</v>
      </c>
      <c r="C84" s="55" t="n">
        <v>17.1111111111111</v>
      </c>
      <c r="D84" s="55" t="n">
        <v>3.6</v>
      </c>
      <c r="E84" s="55" t="n">
        <v>7.4</v>
      </c>
      <c r="F84" s="55" t="n">
        <v>173.333333333333</v>
      </c>
      <c r="G84" s="55" t="n">
        <v>4.44444444444445</v>
      </c>
      <c r="H84" s="55" t="n">
        <v>0</v>
      </c>
      <c r="I84" s="55" t="n">
        <v>230</v>
      </c>
      <c r="J84" s="71" t="n">
        <v>1.33</v>
      </c>
      <c r="K84" s="56" t="n">
        <f aca="false">I84*IF(AND(oil_compact=1,$A84&gt;=compact_year),1-compact_cut,1)</f>
        <v>230</v>
      </c>
      <c r="L84" s="70" t="n">
        <f aca="false">IF(AND(oil_compact=1,$A84&gt;=compact_year),MAX(J84,compact_price),J84)</f>
        <v>1.33</v>
      </c>
      <c r="M84" s="56" t="n">
        <f aca="false">K84*L84</f>
        <v>305.9</v>
      </c>
      <c r="N84" s="56" t="n">
        <f aca="false">SUM(B84:F84)+M84</f>
        <v>520.544444444444</v>
      </c>
      <c r="O84" s="56" t="n">
        <f aca="false">N84*mining_va</f>
        <v>364.381111111111</v>
      </c>
      <c r="P84" s="56" t="n">
        <f aca="false">SUM(B84:F84)*roy_metal*0.9</f>
        <v>9.65899999999999</v>
      </c>
      <c r="Q84" s="56" t="n">
        <f aca="false">M84*roy_oil</f>
        <v>38.2375</v>
      </c>
      <c r="R84" s="56" t="n">
        <f aca="false">SUM(B84:E84)*gold_retained+(G84+H84)*conc_gold</f>
        <v>10.9288888888889</v>
      </c>
    </row>
    <row r="85" customFormat="false" ht="14.25" hidden="false" customHeight="true" outlineLevel="0" collapsed="false">
      <c r="A85" s="61" t="n">
        <v>1925</v>
      </c>
      <c r="B85" s="55" t="n">
        <v>13</v>
      </c>
      <c r="C85" s="55" t="n">
        <v>16.8888888888889</v>
      </c>
      <c r="D85" s="55" t="n">
        <v>3</v>
      </c>
      <c r="E85" s="55" t="n">
        <v>7</v>
      </c>
      <c r="F85" s="55" t="n">
        <v>200</v>
      </c>
      <c r="G85" s="55" t="n">
        <v>4.55555555555556</v>
      </c>
      <c r="H85" s="55" t="n">
        <v>0</v>
      </c>
      <c r="I85" s="55" t="n">
        <v>230</v>
      </c>
      <c r="J85" s="71" t="n">
        <v>1.3</v>
      </c>
      <c r="K85" s="56" t="n">
        <f aca="false">I85*IF(AND(oil_compact=1,$A85&gt;=compact_year),1-compact_cut,1)</f>
        <v>230</v>
      </c>
      <c r="L85" s="70" t="n">
        <f aca="false">IF(AND(oil_compact=1,$A85&gt;=compact_year),MAX(J85,compact_price),J85)</f>
        <v>1.3</v>
      </c>
      <c r="M85" s="56" t="n">
        <f aca="false">K85*L85</f>
        <v>299</v>
      </c>
      <c r="N85" s="56" t="n">
        <f aca="false">SUM(B85:F85)+M85</f>
        <v>538.888888888889</v>
      </c>
      <c r="O85" s="56" t="n">
        <f aca="false">N85*mining_va</f>
        <v>377.222222222222</v>
      </c>
      <c r="P85" s="56" t="n">
        <f aca="false">SUM(B85:F85)*roy_metal*0.9</f>
        <v>10.795</v>
      </c>
      <c r="Q85" s="56" t="n">
        <f aca="false">M85*roy_oil</f>
        <v>37.375</v>
      </c>
      <c r="R85" s="56" t="n">
        <f aca="false">SUM(B85:E85)*gold_retained+(G85+H85)*conc_gold</f>
        <v>10.7111111111111</v>
      </c>
    </row>
    <row r="86" customFormat="false" ht="14.25" hidden="false" customHeight="true" outlineLevel="0" collapsed="false">
      <c r="A86" s="61" t="n">
        <v>1926</v>
      </c>
      <c r="B86" s="55" t="n">
        <v>12</v>
      </c>
      <c r="C86" s="55" t="n">
        <v>16.6666666666667</v>
      </c>
      <c r="D86" s="55" t="n">
        <v>2.75</v>
      </c>
      <c r="E86" s="55" t="n">
        <v>7.25</v>
      </c>
      <c r="F86" s="55" t="n">
        <v>220</v>
      </c>
      <c r="G86" s="55" t="n">
        <v>4.66666666666667</v>
      </c>
      <c r="H86" s="55" t="n">
        <v>0</v>
      </c>
      <c r="I86" s="55" t="n">
        <v>230</v>
      </c>
      <c r="J86" s="71" t="n">
        <v>1.27</v>
      </c>
      <c r="K86" s="56" t="n">
        <f aca="false">I86*IF(AND(oil_compact=1,$A86&gt;=compact_year),1-compact_cut,1)</f>
        <v>230</v>
      </c>
      <c r="L86" s="70" t="n">
        <f aca="false">IF(AND(oil_compact=1,$A86&gt;=compact_year),MAX(J86,compact_price),J86)</f>
        <v>1.27</v>
      </c>
      <c r="M86" s="56" t="n">
        <f aca="false">K86*L86</f>
        <v>292.1</v>
      </c>
      <c r="N86" s="56" t="n">
        <f aca="false">SUM(B86:F86)+M86</f>
        <v>550.766666666667</v>
      </c>
      <c r="O86" s="56" t="n">
        <f aca="false">N86*mining_va</f>
        <v>385.536666666667</v>
      </c>
      <c r="P86" s="56" t="n">
        <f aca="false">SUM(B86:F86)*roy_metal*0.9</f>
        <v>11.64</v>
      </c>
      <c r="Q86" s="56" t="n">
        <f aca="false">M86*roy_oil</f>
        <v>36.5125</v>
      </c>
      <c r="R86" s="56" t="n">
        <f aca="false">SUM(B86:E86)*gold_retained+(G86+H86)*conc_gold</f>
        <v>10.5333333333333</v>
      </c>
    </row>
    <row r="87" customFormat="false" ht="14.25" hidden="false" customHeight="true" outlineLevel="0" collapsed="false">
      <c r="A87" s="61" t="n">
        <v>1927</v>
      </c>
      <c r="B87" s="55" t="n">
        <v>11</v>
      </c>
      <c r="C87" s="55" t="n">
        <v>16.4444444444444</v>
      </c>
      <c r="D87" s="55" t="n">
        <v>2.5</v>
      </c>
      <c r="E87" s="55" t="n">
        <v>7.5</v>
      </c>
      <c r="F87" s="55" t="n">
        <v>240</v>
      </c>
      <c r="G87" s="55" t="n">
        <v>4.77777777777778</v>
      </c>
      <c r="H87" s="55" t="n">
        <v>0</v>
      </c>
      <c r="I87" s="55" t="n">
        <v>253.33</v>
      </c>
      <c r="J87" s="71" t="n">
        <v>1.25</v>
      </c>
      <c r="K87" s="56" t="n">
        <f aca="false">I87*IF(AND(oil_compact=1,$A87&gt;=compact_year),1-compact_cut,1)</f>
        <v>253.33</v>
      </c>
      <c r="L87" s="70" t="n">
        <f aca="false">IF(AND(oil_compact=1,$A87&gt;=compact_year),MAX(J87,compact_price),J87)</f>
        <v>1.25</v>
      </c>
      <c r="M87" s="56" t="n">
        <f aca="false">K87*L87</f>
        <v>316.6625</v>
      </c>
      <c r="N87" s="56" t="n">
        <f aca="false">SUM(B87:F87)+M87</f>
        <v>594.106944444445</v>
      </c>
      <c r="O87" s="56" t="n">
        <f aca="false">N87*mining_va</f>
        <v>415.874861111111</v>
      </c>
      <c r="P87" s="56" t="n">
        <f aca="false">SUM(B87:F87)*roy_metal*0.9</f>
        <v>12.485</v>
      </c>
      <c r="Q87" s="56" t="n">
        <f aca="false">M87*roy_oil</f>
        <v>39.5828125</v>
      </c>
      <c r="R87" s="56" t="n">
        <f aca="false">SUM(B87:E87)*gold_retained+(G87+H87)*conc_gold</f>
        <v>10.3555555555555</v>
      </c>
    </row>
    <row r="88" customFormat="false" ht="14.25" hidden="false" customHeight="true" outlineLevel="0" collapsed="false">
      <c r="A88" s="61" t="n">
        <v>1928</v>
      </c>
      <c r="B88" s="55" t="n">
        <v>10</v>
      </c>
      <c r="C88" s="55" t="n">
        <v>16.2222222222222</v>
      </c>
      <c r="D88" s="55" t="n">
        <v>2.25</v>
      </c>
      <c r="E88" s="55" t="n">
        <v>7.75</v>
      </c>
      <c r="F88" s="55" t="n">
        <v>260</v>
      </c>
      <c r="G88" s="55" t="n">
        <v>4.88888888888889</v>
      </c>
      <c r="H88" s="55" t="n">
        <v>0</v>
      </c>
      <c r="I88" s="55" t="n">
        <v>276.67</v>
      </c>
      <c r="J88" s="71" t="n">
        <v>1.23</v>
      </c>
      <c r="K88" s="56" t="n">
        <f aca="false">I88*IF(AND(oil_compact=1,$A88&gt;=compact_year),1-compact_cut,1)</f>
        <v>276.67</v>
      </c>
      <c r="L88" s="70" t="n">
        <f aca="false">IF(AND(oil_compact=1,$A88&gt;=compact_year),MAX(J88,compact_price),J88)</f>
        <v>1.23</v>
      </c>
      <c r="M88" s="56" t="n">
        <f aca="false">K88*L88</f>
        <v>340.3041</v>
      </c>
      <c r="N88" s="56" t="n">
        <f aca="false">SUM(B88:F88)+M88</f>
        <v>636.526322222222</v>
      </c>
      <c r="O88" s="56" t="n">
        <f aca="false">N88*mining_va</f>
        <v>445.568425555556</v>
      </c>
      <c r="P88" s="56" t="n">
        <f aca="false">SUM(B88:F88)*roy_metal*0.9</f>
        <v>13.33</v>
      </c>
      <c r="Q88" s="56" t="n">
        <f aca="false">M88*roy_oil</f>
        <v>42.5380125</v>
      </c>
      <c r="R88" s="56" t="n">
        <f aca="false">SUM(B88:E88)*gold_retained+(G88+H88)*conc_gold</f>
        <v>10.1777777777778</v>
      </c>
    </row>
    <row r="89" customFormat="false" ht="14.25" hidden="false" customHeight="true" outlineLevel="0" collapsed="false">
      <c r="A89" s="61" t="n">
        <v>1929</v>
      </c>
      <c r="B89" s="55" t="n">
        <v>9</v>
      </c>
      <c r="C89" s="55" t="n">
        <v>16</v>
      </c>
      <c r="D89" s="55" t="n">
        <v>2</v>
      </c>
      <c r="E89" s="55" t="n">
        <v>8</v>
      </c>
      <c r="F89" s="55" t="n">
        <v>280</v>
      </c>
      <c r="G89" s="55" t="n">
        <v>5</v>
      </c>
      <c r="H89" s="55" t="n">
        <v>0.5</v>
      </c>
      <c r="I89" s="55" t="n">
        <v>300</v>
      </c>
      <c r="J89" s="71" t="n">
        <v>1.2</v>
      </c>
      <c r="K89" s="56" t="n">
        <f aca="false">I89*IF(AND(oil_compact=1,$A89&gt;=compact_year),1-compact_cut,1)</f>
        <v>300</v>
      </c>
      <c r="L89" s="70" t="n">
        <f aca="false">IF(AND(oil_compact=1,$A89&gt;=compact_year),MAX(J89,compact_price),J89)</f>
        <v>1.2</v>
      </c>
      <c r="M89" s="56" t="n">
        <f aca="false">K89*L89</f>
        <v>360</v>
      </c>
      <c r="N89" s="56" t="n">
        <f aca="false">SUM(B89:F89)+M89</f>
        <v>675</v>
      </c>
      <c r="O89" s="56" t="n">
        <f aca="false">N89*mining_va</f>
        <v>472.5</v>
      </c>
      <c r="P89" s="56" t="n">
        <f aca="false">SUM(B89:F89)*roy_metal*0.9</f>
        <v>14.175</v>
      </c>
      <c r="Q89" s="56" t="n">
        <f aca="false">M89*roy_oil</f>
        <v>45</v>
      </c>
      <c r="R89" s="56" t="n">
        <f aca="false">SUM(B89:E89)*gold_retained+(G89+H89)*conc_gold</f>
        <v>10.3</v>
      </c>
    </row>
    <row r="90" customFormat="false" ht="14.25" hidden="false" customHeight="true" outlineLevel="0" collapsed="false">
      <c r="A90" s="61" t="n">
        <v>1930</v>
      </c>
      <c r="B90" s="55" t="n">
        <v>9.66666666666667</v>
      </c>
      <c r="C90" s="55" t="n">
        <v>14</v>
      </c>
      <c r="D90" s="55" t="n">
        <v>1.66666666666667</v>
      </c>
      <c r="E90" s="55" t="n">
        <v>8.66666666666667</v>
      </c>
      <c r="F90" s="55" t="n">
        <v>150</v>
      </c>
      <c r="G90" s="55" t="n">
        <v>5.66666666666667</v>
      </c>
      <c r="H90" s="55" t="n">
        <v>2.5</v>
      </c>
      <c r="I90" s="55" t="n">
        <v>260</v>
      </c>
      <c r="J90" s="71" t="n">
        <v>1.1</v>
      </c>
      <c r="K90" s="56" t="n">
        <f aca="false">I90*IF(AND(oil_compact=1,$A90&gt;=compact_year),1-compact_cut,1)</f>
        <v>260</v>
      </c>
      <c r="L90" s="70" t="n">
        <f aca="false">IF(AND(oil_compact=1,$A90&gt;=compact_year),MAX(J90,compact_price),J90)</f>
        <v>1.1</v>
      </c>
      <c r="M90" s="56" t="n">
        <f aca="false">K90*L90</f>
        <v>286</v>
      </c>
      <c r="N90" s="56" t="n">
        <f aca="false">SUM(B90:F90)+M90</f>
        <v>470</v>
      </c>
      <c r="O90" s="56" t="n">
        <f aca="false">N90*mining_va</f>
        <v>329</v>
      </c>
      <c r="P90" s="56" t="n">
        <f aca="false">SUM(B90:F90)*roy_metal*0.9</f>
        <v>8.28</v>
      </c>
      <c r="Q90" s="56" t="n">
        <f aca="false">M90*roy_oil</f>
        <v>35.75</v>
      </c>
      <c r="R90" s="56" t="n">
        <f aca="false">SUM(B90:E90)*gold_retained+(G90+H90)*conc_gold</f>
        <v>11.7</v>
      </c>
    </row>
    <row r="91" customFormat="false" ht="14.25" hidden="false" customHeight="true" outlineLevel="0" collapsed="false">
      <c r="A91" s="61" t="n">
        <v>1931</v>
      </c>
      <c r="B91" s="55" t="n">
        <v>10.3333333333333</v>
      </c>
      <c r="C91" s="55" t="n">
        <v>12</v>
      </c>
      <c r="D91" s="55" t="n">
        <v>1.33333333333333</v>
      </c>
      <c r="E91" s="55" t="n">
        <v>9.33333333333333</v>
      </c>
      <c r="F91" s="55" t="n">
        <v>80</v>
      </c>
      <c r="G91" s="55" t="n">
        <v>6.33333333333333</v>
      </c>
      <c r="H91" s="55" t="n">
        <v>7</v>
      </c>
      <c r="I91" s="55" t="n">
        <v>220</v>
      </c>
      <c r="J91" s="71" t="n">
        <v>0.7</v>
      </c>
      <c r="K91" s="56" t="n">
        <f aca="false">I91*IF(AND(oil_compact=1,$A91&gt;=compact_year),1-compact_cut,1)</f>
        <v>220</v>
      </c>
      <c r="L91" s="70" t="n">
        <f aca="false">IF(AND(oil_compact=1,$A91&gt;=compact_year),MAX(J91,compact_price),J91)</f>
        <v>0.7</v>
      </c>
      <c r="M91" s="56" t="n">
        <f aca="false">K91*L91</f>
        <v>154</v>
      </c>
      <c r="N91" s="56" t="n">
        <f aca="false">SUM(B91:F91)+M91</f>
        <v>267</v>
      </c>
      <c r="O91" s="56" t="n">
        <f aca="false">N91*mining_va</f>
        <v>186.9</v>
      </c>
      <c r="P91" s="56" t="n">
        <f aca="false">SUM(B91:F91)*roy_metal*0.9</f>
        <v>5.085</v>
      </c>
      <c r="Q91" s="56" t="n">
        <f aca="false">M91*roy_oil</f>
        <v>19.25</v>
      </c>
      <c r="R91" s="56" t="n">
        <f aca="false">SUM(B91:E91)*gold_retained+(G91+H91)*conc_gold</f>
        <v>14.6</v>
      </c>
    </row>
    <row r="92" customFormat="false" ht="14.25" hidden="false" customHeight="true" outlineLevel="0" collapsed="false">
      <c r="A92" s="61" t="n">
        <v>1932</v>
      </c>
      <c r="B92" s="55" t="n">
        <v>11</v>
      </c>
      <c r="C92" s="55" t="n">
        <v>10</v>
      </c>
      <c r="D92" s="55" t="n">
        <v>1</v>
      </c>
      <c r="E92" s="55" t="n">
        <v>10</v>
      </c>
      <c r="F92" s="55" t="n">
        <v>40</v>
      </c>
      <c r="G92" s="55" t="n">
        <v>7</v>
      </c>
      <c r="H92" s="55" t="n">
        <v>14</v>
      </c>
      <c r="I92" s="55" t="n">
        <v>180</v>
      </c>
      <c r="J92" s="71" t="n">
        <v>0.7</v>
      </c>
      <c r="K92" s="56" t="n">
        <f aca="false">I92*IF(AND(oil_compact=1,$A92&gt;=compact_year),1-compact_cut,1)</f>
        <v>153</v>
      </c>
      <c r="L92" s="70" t="n">
        <f aca="false">IF(AND(oil_compact=1,$A92&gt;=compact_year),MAX(J92,compact_price),J92)</f>
        <v>0.95</v>
      </c>
      <c r="M92" s="56" t="n">
        <f aca="false">K92*L92</f>
        <v>145.35</v>
      </c>
      <c r="N92" s="56" t="n">
        <f aca="false">SUM(B92:F92)+M92</f>
        <v>217.35</v>
      </c>
      <c r="O92" s="56" t="n">
        <f aca="false">N92*mining_va</f>
        <v>152.145</v>
      </c>
      <c r="P92" s="56" t="n">
        <f aca="false">SUM(B92:F92)*roy_metal*0.9</f>
        <v>3.24</v>
      </c>
      <c r="Q92" s="56" t="n">
        <f aca="false">M92*roy_oil</f>
        <v>18.16875</v>
      </c>
      <c r="R92" s="56" t="n">
        <f aca="false">SUM(B92:E92)*gold_retained+(G92+H92)*conc_gold</f>
        <v>19</v>
      </c>
    </row>
  </sheetData>
  <mergeCells count="5">
    <mergeCell ref="B4:F4"/>
    <mergeCell ref="G4:H4"/>
    <mergeCell ref="I4:M4"/>
    <mergeCell ref="N4:O4"/>
    <mergeCell ref="P4:R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AC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9" min="2" style="1" width="12.44"/>
  </cols>
  <sheetData>
    <row r="1" customFormat="false" ht="18" hidden="false" customHeight="true" outlineLevel="0" collapsed="false">
      <c r="A1" s="19" t="s">
        <v>69</v>
      </c>
    </row>
    <row r="2" customFormat="false" ht="14.25" hidden="false" customHeight="true" outlineLevel="0" collapsed="false">
      <c r="A2" s="3" t="s">
        <v>1420</v>
      </c>
    </row>
    <row r="3" customFormat="false" ht="14.25" hidden="false" customHeight="true" outlineLevel="0" collapsed="false">
      <c r="A3" s="20" t="s">
        <v>1315</v>
      </c>
    </row>
    <row r="4" customFormat="false" ht="14.25" hidden="false" customHeight="true" outlineLevel="0" collapsed="false">
      <c r="B4" s="58" t="s">
        <v>1421</v>
      </c>
      <c r="C4" s="58"/>
      <c r="D4" s="58"/>
      <c r="E4" s="58"/>
      <c r="F4" s="58"/>
      <c r="G4" s="58"/>
      <c r="H4" s="58"/>
      <c r="I4" s="58"/>
      <c r="J4" s="58"/>
      <c r="K4" s="58"/>
      <c r="L4" s="58"/>
      <c r="M4" s="58"/>
      <c r="N4" s="58" t="s">
        <v>1422</v>
      </c>
      <c r="O4" s="58"/>
      <c r="P4" s="58"/>
      <c r="Q4" s="58"/>
      <c r="R4" s="58"/>
      <c r="S4" s="58"/>
      <c r="T4" s="58"/>
      <c r="U4" s="58"/>
      <c r="V4" s="58"/>
      <c r="W4" s="58"/>
      <c r="X4" s="58"/>
      <c r="Y4" s="58"/>
      <c r="Z4" s="58" t="s">
        <v>1423</v>
      </c>
      <c r="AA4" s="58"/>
      <c r="AB4" s="58"/>
      <c r="AC4" s="58"/>
    </row>
    <row r="5" customFormat="false" ht="54" hidden="false" customHeight="true" outlineLevel="0" collapsed="false">
      <c r="A5" s="60" t="s">
        <v>103</v>
      </c>
      <c r="B5" s="7" t="s">
        <v>1424</v>
      </c>
      <c r="C5" s="7" t="s">
        <v>1425</v>
      </c>
      <c r="D5" s="7" t="s">
        <v>1426</v>
      </c>
      <c r="E5" s="7" t="s">
        <v>1427</v>
      </c>
      <c r="F5" s="7" t="s">
        <v>1428</v>
      </c>
      <c r="G5" s="7" t="s">
        <v>1429</v>
      </c>
      <c r="H5" s="7" t="s">
        <v>1430</v>
      </c>
      <c r="I5" s="7" t="s">
        <v>1431</v>
      </c>
      <c r="J5" s="7" t="s">
        <v>1432</v>
      </c>
      <c r="K5" s="7" t="s">
        <v>1433</v>
      </c>
      <c r="L5" s="7" t="s">
        <v>342</v>
      </c>
      <c r="M5" s="7" t="s">
        <v>1434</v>
      </c>
      <c r="N5" s="7" t="s">
        <v>1435</v>
      </c>
      <c r="O5" s="7" t="s">
        <v>35</v>
      </c>
      <c r="P5" s="7" t="s">
        <v>1436</v>
      </c>
      <c r="Q5" s="7" t="s">
        <v>1437</v>
      </c>
      <c r="R5" s="7" t="s">
        <v>1438</v>
      </c>
      <c r="S5" s="7" t="s">
        <v>1439</v>
      </c>
      <c r="T5" s="7" t="s">
        <v>1440</v>
      </c>
      <c r="U5" s="7" t="s">
        <v>1441</v>
      </c>
      <c r="V5" s="7" t="s">
        <v>1442</v>
      </c>
      <c r="W5" s="7" t="s">
        <v>1443</v>
      </c>
      <c r="X5" s="7" t="s">
        <v>1444</v>
      </c>
      <c r="Y5" s="7" t="s">
        <v>1445</v>
      </c>
      <c r="Z5" s="7" t="s">
        <v>1446</v>
      </c>
      <c r="AA5" s="7" t="s">
        <v>1447</v>
      </c>
      <c r="AB5" s="7" t="s">
        <v>1448</v>
      </c>
      <c r="AC5" s="7" t="s">
        <v>29</v>
      </c>
    </row>
    <row r="6" customFormat="false" ht="14.25" hidden="false" customHeight="true" outlineLevel="0" collapsed="false">
      <c r="A6" s="61" t="n">
        <v>1846</v>
      </c>
      <c r="B6" s="56" t="n">
        <f aca="false">Economy!O6*Paths!N6*Paths!O6*cust_coll</f>
        <v>0.407743780068</v>
      </c>
      <c r="C6" s="56" t="n">
        <f aca="false">(Economy!J6+Economy!L6+Economy!M6+Economy!N6)*Paths!P6*Paths!Q6</f>
        <v>0.4813641848025</v>
      </c>
      <c r="D6" s="56" t="n">
        <f aca="false">Resources!P6+Resources!Q6</f>
        <v>0</v>
      </c>
      <c r="E6" s="56" t="n">
        <f aca="false">Paths!S6*(1-canal_opcost)*canal_share</f>
        <v>0</v>
      </c>
      <c r="F6" s="56" t="n">
        <f aca="false">Economy!O6*Paths!R6</f>
        <v>0</v>
      </c>
      <c r="G6" s="56" t="n">
        <f aca="false">SUMPRODUCT((Events!$B$6:$B$400&lt;=$A6)*(Events!$C$6:$C$400&gt;=$A6)*(Events!$E$6:$E$400="Receipt")*Events!$H$6:$H$400)+'Land Fund'!O6</f>
        <v>0</v>
      </c>
      <c r="H6" s="72" t="n">
        <f aca="false">Loans!Y6</f>
        <v>0</v>
      </c>
      <c r="I6" s="56" t="n">
        <f aca="false">0</f>
        <v>0</v>
      </c>
      <c r="J6" s="72" t="n">
        <f aca="false">Labour!Q6</f>
        <v>0</v>
      </c>
      <c r="K6" s="72" t="n">
        <f aca="false">Champions!BD6</f>
        <v>0</v>
      </c>
      <c r="L6" s="72" t="n">
        <f aca="false">Abroad!N6</f>
        <v>0</v>
      </c>
      <c r="M6" s="56" t="n">
        <f aca="false">SUM(B6:L6)</f>
        <v>0.8891079648705</v>
      </c>
      <c r="N6" s="56" t="n">
        <f aca="false">(Paths!W6*army_cost+Paths!X6*res_cost)*Economy!H6/1000000</f>
        <v>0.259</v>
      </c>
      <c r="O6" s="72" t="n">
        <f aca="false">Navy!Y6</f>
        <v>0</v>
      </c>
      <c r="P6" s="56" t="n">
        <f aca="false">SUMPRODUCT((Events!$B$6:$B$400&lt;=$A6)*(Events!$C$6:$C$400&gt;=$A6)*(Events!$E$6:$E$400="War &amp; operations")*Events!$H$6:$H$400)</f>
        <v>0</v>
      </c>
      <c r="Q6" s="56" t="n">
        <f aca="false">Economy!O6*Paths!T6</f>
        <v>0.33978648339</v>
      </c>
      <c r="R6" s="56" t="n">
        <f aca="false">Economy!O6*Paths!U6</f>
        <v>0.18877026855</v>
      </c>
      <c r="S6" s="56" t="n">
        <f aca="false">Economy!O6*Paths!V6+SUMPRODUCT((Events!$B$6:$B$400&lt;=$A6)*(Events!$C$6:$C$400&gt;=$A6)*(Events!$E$6:$E$400="Programme")*Events!$H$6:$H$400)+SUMPRODUCT((Events!$B$6:$B$400&lt;=$A6)*(Events!$C$6:$C$400&gt;=$A6)*(Events!$E$6:$E$400="Investment")*Events!$H$6:$H$400)</f>
        <v>0</v>
      </c>
      <c r="T6" s="56" t="n">
        <f aca="false">(People!T6*assist_cost+Labour!AD6*talent_cost+Labour!L6*gw_admin)*Economy!H6/1000000</f>
        <v>0.01776</v>
      </c>
      <c r="U6" s="56" t="n">
        <f aca="false">SUMPRODUCT((Events!$B$6:$B$400&lt;=$A6)*(Events!$C$6:$C$400&gt;=$A6)*(Events!$E$6:$E$400="Purchase")*Events!$H$6:$H$400)</f>
        <v>0</v>
      </c>
      <c r="V6" s="56" t="n">
        <f aca="false">SUMPRODUCT((Events!$B$6:$B$400&lt;=$A6)*(Events!$C$6:$C$400&gt;=$A6)*(Events!$E$6:$E$400="Subsidy &amp; guarantee")*Events!$H$6:$H$400)+SUMPRODUCT((Events!$B$6:$B$400&lt;=$A6)*(Events!$C$6:$C$400&gt;=$A6)*(Events!$E$6:$E$400="Relief")*Events!$H$6:$H$400)</f>
        <v>0</v>
      </c>
      <c r="W6" s="56" t="n">
        <f aca="false">SUMPRODUCT((Events!$B$6:$B$400&lt;=$A6)*(Events!$C$6:$C$400&gt;=$A6)*(Events!$E$6:$E$400="Bank rescue &amp; capital")*Events!$H$6:$H$400)</f>
        <v>0</v>
      </c>
      <c r="X6" s="56" t="n">
        <f aca="false">0</f>
        <v>0</v>
      </c>
      <c r="Y6" s="56" t="n">
        <f aca="false">SUM(N6:X6)</f>
        <v>0.80531675194</v>
      </c>
      <c r="Z6" s="56" t="n">
        <f aca="false">M6-Y6</f>
        <v>0.0837912129305001</v>
      </c>
      <c r="AA6" s="66" t="n">
        <f aca="false">M6/Economy!O6</f>
        <v>0.0471</v>
      </c>
      <c r="AB6" s="66" t="n">
        <f aca="false">Y6/Economy!O6</f>
        <v>0.0426612070918728</v>
      </c>
      <c r="AC6" s="66" t="n">
        <f aca="false">(N6+O6+P6)/Economy!O6</f>
        <v>0.0137203809683302</v>
      </c>
    </row>
    <row r="7" customFormat="false" ht="14.25" hidden="false" customHeight="true" outlineLevel="0" collapsed="false">
      <c r="A7" s="61" t="n">
        <v>1847</v>
      </c>
      <c r="B7" s="56" t="n">
        <f aca="false">Economy!O7*Paths!N7*Paths!O7*cust_coll</f>
        <v>0.420794911544579</v>
      </c>
      <c r="C7" s="56" t="n">
        <f aca="false">(Economy!J7+Economy!L7+Economy!M7+Economy!N7)*Paths!P7*Paths!Q7</f>
        <v>0.502297037991366</v>
      </c>
      <c r="D7" s="56" t="n">
        <f aca="false">Resources!P7+Resources!Q7</f>
        <v>0</v>
      </c>
      <c r="E7" s="56" t="n">
        <f aca="false">Paths!S7*(1-canal_opcost)*canal_share</f>
        <v>0</v>
      </c>
      <c r="F7" s="56" t="n">
        <f aca="false">Economy!O7*Paths!R7</f>
        <v>0.000393958461169699</v>
      </c>
      <c r="G7" s="56" t="n">
        <f aca="false">SUMPRODUCT((Events!$B$6:$B$400&lt;=$A7)*(Events!$C$6:$C$400&gt;=$A7)*(Events!$E$6:$E$400="Receipt")*Events!$H$6:$H$400)+'Land Fund'!O7</f>
        <v>0</v>
      </c>
      <c r="H7" s="72" t="n">
        <f aca="false">Loans!Y7</f>
        <v>0</v>
      </c>
      <c r="I7" s="56" t="n">
        <f aca="false">'Debt &amp; cash'!S6*fund_yield</f>
        <v>0</v>
      </c>
      <c r="J7" s="72" t="n">
        <f aca="false">Labour!Q7</f>
        <v>0</v>
      </c>
      <c r="K7" s="72" t="n">
        <f aca="false">Champions!BD7</f>
        <v>0</v>
      </c>
      <c r="L7" s="72" t="n">
        <f aca="false">Abroad!N7</f>
        <v>0.00022652432226</v>
      </c>
      <c r="M7" s="56" t="n">
        <f aca="false">SUM(B7:L7)</f>
        <v>0.923712432319375</v>
      </c>
      <c r="N7" s="56" t="n">
        <f aca="false">(Paths!W7*army_cost+Paths!X7*res_cost)*Economy!H7/1000000</f>
        <v>0.7881</v>
      </c>
      <c r="O7" s="72" t="n">
        <f aca="false">Navy!Y7</f>
        <v>0</v>
      </c>
      <c r="P7" s="56" t="n">
        <f aca="false">SUMPRODUCT((Events!$B$6:$B$400&lt;=$A7)*(Events!$C$6:$C$400&gt;=$A7)*(Events!$E$6:$E$400="War &amp; operations")*Events!$H$6:$H$400)</f>
        <v>0</v>
      </c>
      <c r="Q7" s="56" t="n">
        <f aca="false">Economy!O7*Paths!T7</f>
        <v>0.360471991970275</v>
      </c>
      <c r="R7" s="56" t="n">
        <f aca="false">Economy!O7*Paths!U7</f>
        <v>0.212737569031637</v>
      </c>
      <c r="S7" s="56" t="n">
        <f aca="false">Economy!O7*Paths!V7+SUMPRODUCT((Events!$B$6:$B$400&lt;=$A7)*(Events!$C$6:$C$400&gt;=$A7)*(Events!$E$6:$E$400="Programme")*Events!$H$6:$H$400)+SUMPRODUCT((Events!$B$6:$B$400&lt;=$A7)*(Events!$C$6:$C$400&gt;=$A7)*(Events!$E$6:$E$400="Investment")*Events!$H$6:$H$400)</f>
        <v>0.0137885461409395</v>
      </c>
      <c r="T7" s="56" t="n">
        <f aca="false">(People!T7*assist_cost+Labour!AD7*talent_cost+Labour!L7*gw_admin)*Economy!H7/1000000</f>
        <v>0.02664</v>
      </c>
      <c r="U7" s="56" t="n">
        <f aca="false">SUMPRODUCT((Events!$B$6:$B$400&lt;=$A7)*(Events!$C$6:$C$400&gt;=$A7)*(Events!$E$6:$E$400="Purchase")*Events!$H$6:$H$400)</f>
        <v>0</v>
      </c>
      <c r="V7" s="56" t="n">
        <f aca="false">SUMPRODUCT((Events!$B$6:$B$400&lt;=$A7)*(Events!$C$6:$C$400&gt;=$A7)*(Events!$E$6:$E$400="Subsidy &amp; guarantee")*Events!$H$6:$H$400)+SUMPRODUCT((Events!$B$6:$B$400&lt;=$A7)*(Events!$C$6:$C$400&gt;=$A7)*(Events!$E$6:$E$400="Relief")*Events!$H$6:$H$400)</f>
        <v>0</v>
      </c>
      <c r="W7" s="56" t="n">
        <f aca="false">SUMPRODUCT((Events!$B$6:$B$400&lt;=$A7)*(Events!$C$6:$C$400&gt;=$A7)*(Events!$E$6:$E$400="Bank rescue &amp; capital")*Events!$H$6:$H$400)</f>
        <v>0</v>
      </c>
      <c r="X7" s="56" t="n">
        <f aca="false">'Debt &amp; cash'!R6*Paths!Y7</f>
        <v>0.00550071384609653</v>
      </c>
      <c r="Y7" s="56" t="n">
        <f aca="false">SUM(N7:X7)</f>
        <v>1.40723882098895</v>
      </c>
      <c r="Z7" s="56" t="n">
        <f aca="false">M7-Y7</f>
        <v>-0.483526388669573</v>
      </c>
      <c r="AA7" s="66" t="n">
        <f aca="false">M7/Economy!O7</f>
        <v>0.0468938999089796</v>
      </c>
      <c r="AB7" s="66" t="n">
        <f aca="false">Y7/Economy!O7</f>
        <v>0.0714409746048214</v>
      </c>
      <c r="AC7" s="66" t="n">
        <f aca="false">(N7+O7+P7)/Economy!O7</f>
        <v>0.0400092942621442</v>
      </c>
    </row>
    <row r="8" customFormat="false" ht="14.25" hidden="false" customHeight="true" outlineLevel="0" collapsed="false">
      <c r="A8" s="61" t="n">
        <v>1848</v>
      </c>
      <c r="B8" s="56" t="n">
        <f aca="false">Economy!O8*Paths!N8*Paths!O8*cust_coll</f>
        <v>0.612007145407898</v>
      </c>
      <c r="C8" s="56" t="n">
        <f aca="false">(Economy!J8+Economy!L8+Economy!M8+Economy!N8)*Paths!P8*Paths!Q8</f>
        <v>0.560513060570397</v>
      </c>
      <c r="D8" s="56" t="n">
        <f aca="false">Resources!P8+Resources!Q8</f>
        <v>0.45</v>
      </c>
      <c r="E8" s="56" t="n">
        <f aca="false">Paths!S8*(1-canal_opcost)*canal_share</f>
        <v>0</v>
      </c>
      <c r="F8" s="56" t="n">
        <f aca="false">Economy!O8*Paths!R8</f>
        <v>0.00115923617344376</v>
      </c>
      <c r="G8" s="56" t="n">
        <f aca="false">SUMPRODUCT((Events!$B$6:$B$400&lt;=$A8)*(Events!$C$6:$C$400&gt;=$A8)*(Events!$E$6:$E$400="Receipt")*Events!$H$6:$H$400)+'Land Fund'!O8</f>
        <v>-0.365</v>
      </c>
      <c r="H8" s="72" t="n">
        <f aca="false">Loans!Y8</f>
        <v>0</v>
      </c>
      <c r="I8" s="56" t="n">
        <f aca="false">'Debt &amp; cash'!S7*fund_yield</f>
        <v>0</v>
      </c>
      <c r="J8" s="72" t="n">
        <f aca="false">Labour!Q8</f>
        <v>0</v>
      </c>
      <c r="K8" s="72" t="n">
        <f aca="false">Champions!BD8</f>
        <v>0</v>
      </c>
      <c r="L8" s="72" t="n">
        <f aca="false">Abroad!N8</f>
        <v>0.000456103669294019</v>
      </c>
      <c r="M8" s="56" t="n">
        <f aca="false">SUM(B8:L8)</f>
        <v>1.25913554582103</v>
      </c>
      <c r="N8" s="56" t="n">
        <f aca="false">(Paths!W8*army_cost+Paths!X8*res_cost)*Economy!H8/1000000</f>
        <v>0.5402</v>
      </c>
      <c r="O8" s="72" t="n">
        <f aca="false">Navy!Y8</f>
        <v>0</v>
      </c>
      <c r="P8" s="56" t="n">
        <f aca="false">SUMPRODUCT((Events!$B$6:$B$400&lt;=$A8)*(Events!$C$6:$C$400&gt;=$A8)*(Events!$E$6:$E$400="War &amp; operations")*Events!$H$6:$H$400)</f>
        <v>0</v>
      </c>
      <c r="Q8" s="56" t="n">
        <f aca="false">Economy!O8*Paths!T8</f>
        <v>0.541942911084958</v>
      </c>
      <c r="R8" s="56" t="n">
        <f aca="false">Economy!O8*Paths!U8</f>
        <v>0.3390765807323</v>
      </c>
      <c r="S8" s="56" t="n">
        <f aca="false">Economy!O8*Paths!V8+SUMPRODUCT((Events!$B$6:$B$400&lt;=$A8)*(Events!$C$6:$C$400&gt;=$A8)*(Events!$E$6:$E$400="Programme")*Events!$H$6:$H$400)+SUMPRODUCT((Events!$B$6:$B$400&lt;=$A8)*(Events!$C$6:$C$400&gt;=$A8)*(Events!$E$6:$E$400="Investment")*Events!$H$6:$H$400)</f>
        <v>0.0376751756369222</v>
      </c>
      <c r="T8" s="56" t="n">
        <f aca="false">(People!T8*assist_cost+Labour!AD8*talent_cost+Labour!L8*gw_admin)*Economy!H8/1000000</f>
        <v>0.27972</v>
      </c>
      <c r="U8" s="56" t="n">
        <f aca="false">SUMPRODUCT((Events!$B$6:$B$400&lt;=$A8)*(Events!$C$6:$C$400&gt;=$A8)*(Events!$E$6:$E$400="Purchase")*Events!$H$6:$H$400)</f>
        <v>0</v>
      </c>
      <c r="V8" s="56" t="n">
        <f aca="false">SUMPRODUCT((Events!$B$6:$B$400&lt;=$A8)*(Events!$C$6:$C$400&gt;=$A8)*(Events!$E$6:$E$400="Subsidy &amp; guarantee")*Events!$H$6:$H$400)+SUMPRODUCT((Events!$B$6:$B$400&lt;=$A8)*(Events!$C$6:$C$400&gt;=$A8)*(Events!$E$6:$E$400="Relief")*Events!$H$6:$H$400)</f>
        <v>0.1</v>
      </c>
      <c r="W8" s="56" t="n">
        <f aca="false">SUMPRODUCT((Events!$B$6:$B$400&lt;=$A8)*(Events!$C$6:$C$400&gt;=$A8)*(Events!$E$6:$E$400="Bank rescue &amp; capital")*Events!$H$6:$H$400)</f>
        <v>0</v>
      </c>
      <c r="X8" s="56" t="n">
        <f aca="false">'Debt &amp; cash'!R7*Paths!Y8</f>
        <v>0.0362200412845839</v>
      </c>
      <c r="Y8" s="56" t="n">
        <f aca="false">SUM(N8:X8)</f>
        <v>1.87483470873876</v>
      </c>
      <c r="Z8" s="56" t="n">
        <f aca="false">M8-Y8</f>
        <v>-0.61569916291773</v>
      </c>
      <c r="AA8" s="66" t="n">
        <f aca="false">M8/Economy!O8</f>
        <v>0.0434470757440393</v>
      </c>
      <c r="AB8" s="66" t="n">
        <f aca="false">Y8/Economy!O8</f>
        <v>0.0646920705784798</v>
      </c>
      <c r="AC8" s="66" t="n">
        <f aca="false">(N8+O8+P8)/Economy!O8</f>
        <v>0.0186398600173154</v>
      </c>
    </row>
    <row r="9" customFormat="false" ht="14.25" hidden="false" customHeight="true" outlineLevel="0" collapsed="false">
      <c r="A9" s="61" t="n">
        <v>1849</v>
      </c>
      <c r="B9" s="56" t="n">
        <f aca="false">Economy!O9*Paths!N9*Paths!O9*cust_coll</f>
        <v>1.56528603311896</v>
      </c>
      <c r="C9" s="56" t="n">
        <f aca="false">(Economy!J9+Economy!L9+Economy!M9+Economy!N9)*Paths!P9*Paths!Q9</f>
        <v>2.39525611537678</v>
      </c>
      <c r="D9" s="56" t="n">
        <f aca="false">Resources!P9+Resources!Q9</f>
        <v>1.8</v>
      </c>
      <c r="E9" s="56" t="n">
        <f aca="false">Paths!S9*(1-canal_opcost)*canal_share</f>
        <v>0</v>
      </c>
      <c r="F9" s="56" t="n">
        <f aca="false">Economy!O9*Paths!R9</f>
        <v>0.0044979483710315</v>
      </c>
      <c r="G9" s="56" t="n">
        <f aca="false">SUMPRODUCT((Events!$B$6:$B$400&lt;=$A9)*(Events!$C$6:$C$400&gt;=$A9)*(Events!$E$6:$E$400="Receipt")*Events!$H$6:$H$400)+'Land Fund'!O9</f>
        <v>0.975</v>
      </c>
      <c r="H9" s="72" t="n">
        <f aca="false">Loans!Y9</f>
        <v>0</v>
      </c>
      <c r="I9" s="56" t="n">
        <f aca="false">'Debt &amp; cash'!S8*fund_yield</f>
        <v>0</v>
      </c>
      <c r="J9" s="72" t="n">
        <f aca="false">Labour!Q9</f>
        <v>0</v>
      </c>
      <c r="K9" s="72" t="n">
        <f aca="false">Champions!BD9</f>
        <v>0</v>
      </c>
      <c r="L9" s="72" t="n">
        <f aca="false">Abroad!N9</f>
        <v>0.000790191411248327</v>
      </c>
      <c r="M9" s="56" t="n">
        <f aca="false">SUM(B9:L9)</f>
        <v>6.74083028827802</v>
      </c>
      <c r="N9" s="56" t="n">
        <f aca="false">(Paths!W9*army_cost+Paths!X9*res_cost)*Economy!H9/1000000</f>
        <v>1.0443</v>
      </c>
      <c r="O9" s="72" t="n">
        <f aca="false">Navy!Y9</f>
        <v>0</v>
      </c>
      <c r="P9" s="56" t="n">
        <f aca="false">SUMPRODUCT((Events!$B$6:$B$400&lt;=$A9)*(Events!$C$6:$C$400&gt;=$A9)*(Events!$E$6:$E$400="War &amp; operations")*Events!$H$6:$H$400)</f>
        <v>0</v>
      </c>
      <c r="Q9" s="56" t="n">
        <f aca="false">Economy!O9*Paths!T9</f>
        <v>1.42435031749331</v>
      </c>
      <c r="R9" s="56" t="n">
        <f aca="false">Economy!O9*Paths!U9</f>
        <v>0.937072577298229</v>
      </c>
      <c r="S9" s="56" t="n">
        <f aca="false">Economy!O9*Paths!V9+SUMPRODUCT((Events!$B$6:$B$400&lt;=$A9)*(Events!$C$6:$C$400&gt;=$A9)*(Events!$E$6:$E$400="Programme")*Events!$H$6:$H$400)+SUMPRODUCT((Events!$B$6:$B$400&lt;=$A9)*(Events!$C$6:$C$400&gt;=$A9)*(Events!$E$6:$E$400="Investment")*Events!$H$6:$H$400)</f>
        <v>0.149931612367717</v>
      </c>
      <c r="T9" s="56" t="n">
        <f aca="false">(People!T9*assist_cost+Labour!AD9*talent_cost+Labour!L9*gw_admin)*Economy!H9/1000000</f>
        <v>1.7930808</v>
      </c>
      <c r="U9" s="56" t="n">
        <f aca="false">SUMPRODUCT((Events!$B$6:$B$400&lt;=$A9)*(Events!$C$6:$C$400&gt;=$A9)*(Events!$E$6:$E$400="Purchase")*Events!$H$6:$H$400)</f>
        <v>0</v>
      </c>
      <c r="V9" s="56" t="n">
        <f aca="false">SUMPRODUCT((Events!$B$6:$B$400&lt;=$A9)*(Events!$C$6:$C$400&gt;=$A9)*(Events!$E$6:$E$400="Subsidy &amp; guarantee")*Events!$H$6:$H$400)+SUMPRODUCT((Events!$B$6:$B$400&lt;=$A9)*(Events!$C$6:$C$400&gt;=$A9)*(Events!$E$6:$E$400="Relief")*Events!$H$6:$H$400)</f>
        <v>0.1</v>
      </c>
      <c r="W9" s="56" t="n">
        <f aca="false">SUMPRODUCT((Events!$B$6:$B$400&lt;=$A9)*(Events!$C$6:$C$400&gt;=$A9)*(Events!$E$6:$E$400="Bank rescue &amp; capital")*Events!$H$6:$H$400)</f>
        <v>0</v>
      </c>
      <c r="X9" s="56" t="n">
        <f aca="false">'Debt &amp; cash'!R8*Paths!Y9</f>
        <v>0.967950552235808</v>
      </c>
      <c r="Y9" s="56" t="n">
        <f aca="false">SUM(N9:X9)</f>
        <v>6.41668585939506</v>
      </c>
      <c r="Z9" s="56" t="n">
        <f aca="false">M9-Y9</f>
        <v>0.324144428882955</v>
      </c>
      <c r="AA9" s="66" t="n">
        <f aca="false">M9/Economy!O9</f>
        <v>0.0899187327052244</v>
      </c>
      <c r="AB9" s="66" t="n">
        <f aca="false">Y9/Economy!O9</f>
        <v>0.0855948356462377</v>
      </c>
      <c r="AC9" s="66" t="n">
        <f aca="false">(N9+O9+P9)/Economy!O9</f>
        <v>0.0139303510915202</v>
      </c>
    </row>
    <row r="10" customFormat="false" ht="14.25" hidden="false" customHeight="true" outlineLevel="0" collapsed="false">
      <c r="A10" s="61" t="n">
        <v>1850</v>
      </c>
      <c r="B10" s="56" t="n">
        <f aca="false">Economy!O10*Paths!N10*Paths!O10*cust_coll</f>
        <v>1.84666726823129</v>
      </c>
      <c r="C10" s="56" t="n">
        <f aca="false">(Economy!J10+Economy!L10+Economy!M10+Economy!N10)*Paths!P10*Paths!Q10</f>
        <v>3.09875546447099</v>
      </c>
      <c r="D10" s="56" t="n">
        <f aca="false">Resources!P10+Resources!Q10</f>
        <v>1.845</v>
      </c>
      <c r="E10" s="56" t="n">
        <f aca="false">Paths!S10*(1-canal_opcost)*canal_share</f>
        <v>0</v>
      </c>
      <c r="F10" s="56" t="n">
        <f aca="false">Economy!O10*Paths!R10</f>
        <v>0.00715679288544469</v>
      </c>
      <c r="G10" s="56" t="n">
        <f aca="false">SUMPRODUCT((Events!$B$6:$B$400&lt;=$A10)*(Events!$C$6:$C$400&gt;=$A10)*(Events!$E$6:$E$400="Receipt")*Events!$H$6:$H$400)+'Land Fund'!O10</f>
        <v>0.975</v>
      </c>
      <c r="H10" s="72" t="n">
        <f aca="false">Loans!Y10</f>
        <v>0</v>
      </c>
      <c r="I10" s="56" t="n">
        <f aca="false">'Debt &amp; cash'!S9*fund_yield</f>
        <v>0</v>
      </c>
      <c r="J10" s="72" t="n">
        <f aca="false">Labour!Q10</f>
        <v>0</v>
      </c>
      <c r="K10" s="72" t="n">
        <f aca="false">Champions!BD10</f>
        <v>0</v>
      </c>
      <c r="L10" s="72" t="n">
        <f aca="false">Abroad!N10</f>
        <v>0.00166607534311718</v>
      </c>
      <c r="M10" s="56" t="n">
        <f aca="false">SUM(B10:L10)</f>
        <v>7.77424560093084</v>
      </c>
      <c r="N10" s="56" t="n">
        <f aca="false">(Paths!W10*army_cost+Paths!X10*res_cost)*Economy!H10/1000000</f>
        <v>1.221</v>
      </c>
      <c r="O10" s="72" t="n">
        <f aca="false">Navy!Y10</f>
        <v>0</v>
      </c>
      <c r="P10" s="56" t="n">
        <f aca="false">SUMPRODUCT((Events!$B$6:$B$400&lt;=$A10)*(Events!$C$6:$C$400&gt;=$A10)*(Events!$E$6:$E$400="War &amp; operations")*Events!$H$6:$H$400)</f>
        <v>0</v>
      </c>
      <c r="Q10" s="56" t="n">
        <f aca="false">Economy!O10*Paths!T10</f>
        <v>1.72657628361353</v>
      </c>
      <c r="R10" s="56" t="n">
        <f aca="false">Economy!O10*Paths!U10</f>
        <v>1.18981681720518</v>
      </c>
      <c r="S10" s="56" t="n">
        <f aca="false">Economy!O10*Paths!V10+SUMPRODUCT((Events!$B$6:$B$400&lt;=$A10)*(Events!$C$6:$C$400&gt;=$A10)*(Events!$E$6:$E$400="Programme")*Events!$H$6:$H$400)+SUMPRODUCT((Events!$B$6:$B$400&lt;=$A10)*(Events!$C$6:$C$400&gt;=$A10)*(Events!$E$6:$E$400="Investment")*Events!$H$6:$H$400)</f>
        <v>0.741541759883758</v>
      </c>
      <c r="T10" s="56" t="n">
        <f aca="false">(People!T10*assist_cost+Labour!AD10*talent_cost+Labour!L10*gw_admin)*Economy!H10/1000000</f>
        <v>1.49688</v>
      </c>
      <c r="U10" s="56" t="n">
        <f aca="false">SUMPRODUCT((Events!$B$6:$B$400&lt;=$A10)*(Events!$C$6:$C$400&gt;=$A10)*(Events!$E$6:$E$400="Purchase")*Events!$H$6:$H$400)</f>
        <v>0</v>
      </c>
      <c r="V10" s="56" t="n">
        <f aca="false">SUMPRODUCT((Events!$B$6:$B$400&lt;=$A10)*(Events!$C$6:$C$400&gt;=$A10)*(Events!$E$6:$E$400="Subsidy &amp; guarantee")*Events!$H$6:$H$400)+SUMPRODUCT((Events!$B$6:$B$400&lt;=$A10)*(Events!$C$6:$C$400&gt;=$A10)*(Events!$E$6:$E$400="Relief")*Events!$H$6:$H$400)</f>
        <v>0.1</v>
      </c>
      <c r="W10" s="56" t="n">
        <f aca="false">SUMPRODUCT((Events!$B$6:$B$400&lt;=$A10)*(Events!$C$6:$C$400&gt;=$A10)*(Events!$E$6:$E$400="Bank rescue &amp; capital")*Events!$H$6:$H$400)</f>
        <v>0</v>
      </c>
      <c r="X10" s="56" t="n">
        <f aca="false">'Debt &amp; cash'!R9*Paths!Y10</f>
        <v>1.03923311740116</v>
      </c>
      <c r="Y10" s="56" t="n">
        <f aca="false">SUM(N10:X10)</f>
        <v>7.51504797810362</v>
      </c>
      <c r="Z10" s="56" t="n">
        <f aca="false">M10-Y10</f>
        <v>0.25919762282722</v>
      </c>
      <c r="AA10" s="66" t="n">
        <f aca="false">M10/Economy!O10</f>
        <v>0.0869020045751713</v>
      </c>
      <c r="AB10" s="66" t="n">
        <f aca="false">Y10/Economy!O10</f>
        <v>0.0840046439615437</v>
      </c>
      <c r="AC10" s="66" t="n">
        <f aca="false">(N10+O10+P10)/Economy!O10</f>
        <v>0.0136485715827629</v>
      </c>
    </row>
    <row r="11" customFormat="false" ht="14.25" hidden="false" customHeight="true" outlineLevel="0" collapsed="false">
      <c r="A11" s="61" t="n">
        <v>1851</v>
      </c>
      <c r="B11" s="56" t="n">
        <f aca="false">Economy!O11*Paths!N11*Paths!O11*cust_coll</f>
        <v>2.52943368811822</v>
      </c>
      <c r="C11" s="56" t="n">
        <f aca="false">(Economy!J11+Economy!L11+Economy!M11+Economy!N11)*Paths!P11*Paths!Q11</f>
        <v>3.64682825891426</v>
      </c>
      <c r="D11" s="56" t="n">
        <f aca="false">Resources!P11+Resources!Q11</f>
        <v>3.375</v>
      </c>
      <c r="E11" s="56" t="n">
        <f aca="false">Paths!S11*(1-canal_opcost)*canal_share</f>
        <v>0</v>
      </c>
      <c r="F11" s="56" t="n">
        <f aca="false">Economy!O11*Paths!R11</f>
        <v>0.0124006436449299</v>
      </c>
      <c r="G11" s="56" t="n">
        <f aca="false">SUMPRODUCT((Events!$B$6:$B$400&lt;=$A11)*(Events!$C$6:$C$400&gt;=$A11)*(Events!$E$6:$E$400="Receipt")*Events!$H$6:$H$400)+'Land Fund'!O11</f>
        <v>0.975</v>
      </c>
      <c r="H11" s="72" t="n">
        <f aca="false">Loans!Y11</f>
        <v>0</v>
      </c>
      <c r="I11" s="56" t="n">
        <f aca="false">'Debt &amp; cash'!S10*fund_yield</f>
        <v>0</v>
      </c>
      <c r="J11" s="72" t="n">
        <f aca="false">Labour!Q11</f>
        <v>0</v>
      </c>
      <c r="K11" s="72" t="n">
        <f aca="false">Champions!BD11</f>
        <v>0</v>
      </c>
      <c r="L11" s="72" t="n">
        <f aca="false">Abroad!N11</f>
        <v>0.00268961201564037</v>
      </c>
      <c r="M11" s="56" t="n">
        <f aca="false">SUM(B11:L11)</f>
        <v>10.5413522026931</v>
      </c>
      <c r="N11" s="56" t="n">
        <f aca="false">(Paths!W11*army_cost+Paths!X11*res_cost)*Economy!H11/1000000</f>
        <v>1.6626</v>
      </c>
      <c r="O11" s="72" t="n">
        <f aca="false">Navy!Y11</f>
        <v>0.21</v>
      </c>
      <c r="P11" s="56" t="n">
        <f aca="false">SUMPRODUCT((Events!$B$6:$B$400&lt;=$A11)*(Events!$C$6:$C$400&gt;=$A11)*(Events!$E$6:$E$400="War &amp; operations")*Events!$H$6:$H$400)</f>
        <v>0</v>
      </c>
      <c r="Q11" s="56" t="n">
        <f aca="false">Economy!O11*Paths!T11</f>
        <v>2.44292679805119</v>
      </c>
      <c r="R11" s="56" t="n">
        <f aca="false">Economy!O11*Paths!U11</f>
        <v>1.76089139758005</v>
      </c>
      <c r="S11" s="56" t="n">
        <f aca="false">Economy!O11*Paths!V11+SUMPRODUCT((Events!$B$6:$B$400&lt;=$A11)*(Events!$C$6:$C$400&gt;=$A11)*(Events!$E$6:$E$400="Programme")*Events!$H$6:$H$400)+SUMPRODUCT((Events!$B$6:$B$400&lt;=$A11)*(Events!$C$6:$C$400&gt;=$A11)*(Events!$E$6:$E$400="Investment")*Events!$H$6:$H$400)</f>
        <v>0.909221240282687</v>
      </c>
      <c r="T11" s="56" t="n">
        <f aca="false">(People!T11*assist_cost+Labour!AD11*talent_cost+Labour!L11*gw_admin)*Economy!H11/1000000</f>
        <v>1.105272</v>
      </c>
      <c r="U11" s="56" t="n">
        <f aca="false">SUMPRODUCT((Events!$B$6:$B$400&lt;=$A11)*(Events!$C$6:$C$400&gt;=$A11)*(Events!$E$6:$E$400="Purchase")*Events!$H$6:$H$400)</f>
        <v>0</v>
      </c>
      <c r="V11" s="56" t="n">
        <f aca="false">SUMPRODUCT((Events!$B$6:$B$400&lt;=$A11)*(Events!$C$6:$C$400&gt;=$A11)*(Events!$E$6:$E$400="Subsidy &amp; guarantee")*Events!$H$6:$H$400)+SUMPRODUCT((Events!$B$6:$B$400&lt;=$A11)*(Events!$C$6:$C$400&gt;=$A11)*(Events!$E$6:$E$400="Relief")*Events!$H$6:$H$400)</f>
        <v>0</v>
      </c>
      <c r="W11" s="56" t="n">
        <f aca="false">SUMPRODUCT((Events!$B$6:$B$400&lt;=$A11)*(Events!$C$6:$C$400&gt;=$A11)*(Events!$E$6:$E$400="Bank rescue &amp; capital")*Events!$H$6:$H$400)</f>
        <v>0</v>
      </c>
      <c r="X11" s="56" t="n">
        <f aca="false">'Debt &amp; cash'!R10*Paths!Y11</f>
        <v>1.04322646690401</v>
      </c>
      <c r="Y11" s="56" t="n">
        <f aca="false">SUM(N11:X11)</f>
        <v>9.13413790281793</v>
      </c>
      <c r="Z11" s="56" t="n">
        <f aca="false">M11-Y11</f>
        <v>1.40721429987512</v>
      </c>
      <c r="AA11" s="66" t="n">
        <f aca="false">M11/Economy!O11</f>
        <v>0.0850064924412448</v>
      </c>
      <c r="AB11" s="66" t="n">
        <f aca="false">Y11/Economy!O11</f>
        <v>0.0736585790573257</v>
      </c>
      <c r="AC11" s="66" t="n">
        <f aca="false">(N11+O11+P11)/Economy!O11</f>
        <v>0.0151008290667688</v>
      </c>
    </row>
    <row r="12" customFormat="false" ht="14.25" hidden="false" customHeight="true" outlineLevel="0" collapsed="false">
      <c r="A12" s="61" t="n">
        <v>1852</v>
      </c>
      <c r="B12" s="56" t="n">
        <f aca="false">Economy!O12*Paths!N12*Paths!O12*cust_coll</f>
        <v>4.41537862762807</v>
      </c>
      <c r="C12" s="56" t="n">
        <f aca="false">(Economy!J12+Economy!L12+Economy!M12+Economy!N12)*Paths!P12*Paths!Q12</f>
        <v>5.69358887272782</v>
      </c>
      <c r="D12" s="56" t="n">
        <f aca="false">Resources!P12+Resources!Q12</f>
        <v>3.645</v>
      </c>
      <c r="E12" s="56" t="n">
        <f aca="false">Paths!S12*(1-canal_opcost)*canal_share</f>
        <v>0</v>
      </c>
      <c r="F12" s="56" t="n">
        <f aca="false">Economy!O12*Paths!R12</f>
        <v>0.0189814557404646</v>
      </c>
      <c r="G12" s="56" t="n">
        <f aca="false">SUMPRODUCT((Events!$B$6:$B$400&lt;=$A12)*(Events!$C$6:$C$400&gt;=$A12)*(Events!$E$6:$E$400="Receipt")*Events!$H$6:$H$400)+'Land Fund'!O12</f>
        <v>0.615827044025157</v>
      </c>
      <c r="H12" s="72" t="n">
        <f aca="false">Loans!Y12</f>
        <v>0</v>
      </c>
      <c r="I12" s="56" t="n">
        <f aca="false">'Debt &amp; cash'!S11*fund_yield</f>
        <v>0.003000560988223</v>
      </c>
      <c r="J12" s="72" t="n">
        <f aca="false">Labour!Q12</f>
        <v>0</v>
      </c>
      <c r="K12" s="72" t="n">
        <f aca="false">Champions!BD12</f>
        <v>0</v>
      </c>
      <c r="L12" s="72" t="n">
        <f aca="false">Abroad!N12</f>
        <v>0.00409700089256274</v>
      </c>
      <c r="M12" s="56" t="n">
        <f aca="false">SUM(B12:L12)</f>
        <v>14.3958735620023</v>
      </c>
      <c r="N12" s="56" t="n">
        <f aca="false">(Paths!W12*army_cost+Paths!X12*res_cost)*Economy!H12/1000000</f>
        <v>2.205</v>
      </c>
      <c r="O12" s="72" t="n">
        <f aca="false">Navy!Y12</f>
        <v>0.5504</v>
      </c>
      <c r="P12" s="56" t="n">
        <f aca="false">SUMPRODUCT((Events!$B$6:$B$400&lt;=$A12)*(Events!$C$6:$C$400&gt;=$A12)*(Events!$E$6:$E$400="War &amp; operations")*Events!$H$6:$H$400)</f>
        <v>0</v>
      </c>
      <c r="Q12" s="56" t="n">
        <f aca="false">Economy!O12*Paths!T12</f>
        <v>2.92022396007147</v>
      </c>
      <c r="R12" s="56" t="n">
        <f aca="false">Economy!O12*Paths!U12</f>
        <v>2.1901679700536</v>
      </c>
      <c r="S12" s="56" t="n">
        <f aca="false">Economy!O12*Paths!V12+SUMPRODUCT((Events!$B$6:$B$400&lt;=$A12)*(Events!$C$6:$C$400&gt;=$A12)*(Events!$E$6:$E$400="Programme")*Events!$H$6:$H$400)+SUMPRODUCT((Events!$B$6:$B$400&lt;=$A12)*(Events!$C$6:$C$400&gt;=$A12)*(Events!$E$6:$E$400="Investment")*Events!$H$6:$H$400)</f>
        <v>0.584044792014295</v>
      </c>
      <c r="T12" s="56" t="n">
        <f aca="false">(People!T12*assist_cost+Labour!AD12*talent_cost+Labour!L12*gw_admin)*Economy!H12/1000000</f>
        <v>3.78</v>
      </c>
      <c r="U12" s="56" t="n">
        <f aca="false">SUMPRODUCT((Events!$B$6:$B$400&lt;=$A12)*(Events!$C$6:$C$400&gt;=$A12)*(Events!$E$6:$E$400="Purchase")*Events!$H$6:$H$400)</f>
        <v>0</v>
      </c>
      <c r="V12" s="56" t="n">
        <f aca="false">SUMPRODUCT((Events!$B$6:$B$400&lt;=$A12)*(Events!$C$6:$C$400&gt;=$A12)*(Events!$E$6:$E$400="Subsidy &amp; guarantee")*Events!$H$6:$H$400)+SUMPRODUCT((Events!$B$6:$B$400&lt;=$A12)*(Events!$C$6:$C$400&gt;=$A12)*(Events!$E$6:$E$400="Relief")*Events!$H$6:$H$400)</f>
        <v>0</v>
      </c>
      <c r="W12" s="56" t="n">
        <f aca="false">SUMPRODUCT((Events!$B$6:$B$400&lt;=$A12)*(Events!$C$6:$C$400&gt;=$A12)*(Events!$E$6:$E$400="Bank rescue &amp; capital")*Events!$H$6:$H$400)</f>
        <v>0</v>
      </c>
      <c r="X12" s="56" t="n">
        <f aca="false">'Debt &amp; cash'!R11*Paths!Y12</f>
        <v>1.0088818845093</v>
      </c>
      <c r="Y12" s="56" t="n">
        <f aca="false">SUM(N12:X12)</f>
        <v>13.2387186066487</v>
      </c>
      <c r="Z12" s="56" t="n">
        <f aca="false">M12-Y12</f>
        <v>1.15715495535362</v>
      </c>
      <c r="AA12" s="66" t="n">
        <f aca="false">M12/Economy!O12</f>
        <v>0.0985943116612875</v>
      </c>
      <c r="AB12" s="66" t="n">
        <f aca="false">Y12/Economy!O12</f>
        <v>0.0906692006343558</v>
      </c>
      <c r="AC12" s="66" t="n">
        <f aca="false">(N12+O12+P12)/Economy!O12</f>
        <v>0.0188711553474999</v>
      </c>
    </row>
    <row r="13" customFormat="false" ht="14.25" hidden="false" customHeight="true" outlineLevel="0" collapsed="false">
      <c r="A13" s="61" t="n">
        <v>1853</v>
      </c>
      <c r="B13" s="56" t="n">
        <f aca="false">Economy!O13*Paths!N13*Paths!O13*cust_coll</f>
        <v>4.71324584247087</v>
      </c>
      <c r="C13" s="56" t="n">
        <f aca="false">(Economy!J13+Economy!L13+Economy!M13+Economy!N13)*Paths!P13*Paths!Q13</f>
        <v>7.00697833098835</v>
      </c>
      <c r="D13" s="56" t="n">
        <f aca="false">Resources!P13+Resources!Q13</f>
        <v>3.015</v>
      </c>
      <c r="E13" s="56" t="n">
        <f aca="false">Paths!S13*(1-canal_opcost)*canal_share</f>
        <v>0</v>
      </c>
      <c r="F13" s="56" t="n">
        <f aca="false">Economy!O13*Paths!R13</f>
        <v>0.0235220078376196</v>
      </c>
      <c r="G13" s="56" t="n">
        <f aca="false">SUMPRODUCT((Events!$B$6:$B$400&lt;=$A13)*(Events!$C$6:$C$400&gt;=$A13)*(Events!$E$6:$E$400="Receipt")*Events!$H$6:$H$400)+'Land Fund'!O13</f>
        <v>0.619895440251572</v>
      </c>
      <c r="H13" s="72" t="n">
        <f aca="false">Loans!Y13</f>
        <v>0</v>
      </c>
      <c r="I13" s="56" t="n">
        <f aca="false">'Debt &amp; cash'!S12*fund_yield</f>
        <v>0</v>
      </c>
      <c r="J13" s="72" t="n">
        <f aca="false">Labour!Q13</f>
        <v>0</v>
      </c>
      <c r="K13" s="72" t="n">
        <f aca="false">Champions!BD13</f>
        <v>0</v>
      </c>
      <c r="L13" s="72" t="n">
        <f aca="false">Abroad!N13</f>
        <v>0.00572622524182875</v>
      </c>
      <c r="M13" s="56" t="n">
        <f aca="false">SUM(B13:L13)</f>
        <v>15.3843678467902</v>
      </c>
      <c r="N13" s="56" t="n">
        <f aca="false">(Paths!W13*army_cost+Paths!X13*res_cost)*Economy!H13/1000000</f>
        <v>2.6829</v>
      </c>
      <c r="O13" s="72" t="n">
        <f aca="false">Navy!Y13</f>
        <v>0.3378125</v>
      </c>
      <c r="P13" s="56" t="n">
        <f aca="false">SUMPRODUCT((Events!$B$6:$B$400&lt;=$A13)*(Events!$C$6:$C$400&gt;=$A13)*(Events!$E$6:$E$400="War &amp; operations")*Events!$H$6:$H$400)</f>
        <v>0.3</v>
      </c>
      <c r="Q13" s="56" t="n">
        <f aca="false">Economy!O13*Paths!T13</f>
        <v>3.16763038879944</v>
      </c>
      <c r="R13" s="56" t="n">
        <f aca="false">Economy!O13*Paths!U13</f>
        <v>2.47765149222927</v>
      </c>
      <c r="S13" s="56" t="n">
        <f aca="false">Economy!O13*Paths!V13+SUMPRODUCT((Events!$B$6:$B$400&lt;=$A13)*(Events!$C$6:$C$400&gt;=$A13)*(Events!$E$6:$E$400="Programme")*Events!$H$6:$H$400)+SUMPRODUCT((Events!$B$6:$B$400&lt;=$A13)*(Events!$C$6:$C$400&gt;=$A13)*(Events!$E$6:$E$400="Investment")*Events!$H$6:$H$400)</f>
        <v>0.705660235128589</v>
      </c>
      <c r="T13" s="56" t="n">
        <f aca="false">(People!T13*assist_cost+Labour!AD13*talent_cost+Labour!L13*gw_admin)*Economy!H13/1000000</f>
        <v>2.295216</v>
      </c>
      <c r="U13" s="56" t="n">
        <f aca="false">SUMPRODUCT((Events!$B$6:$B$400&lt;=$A13)*(Events!$C$6:$C$400&gt;=$A13)*(Events!$E$6:$E$400="Purchase")*Events!$H$6:$H$400)</f>
        <v>0</v>
      </c>
      <c r="V13" s="56" t="n">
        <f aca="false">SUMPRODUCT((Events!$B$6:$B$400&lt;=$A13)*(Events!$C$6:$C$400&gt;=$A13)*(Events!$E$6:$E$400="Subsidy &amp; guarantee")*Events!$H$6:$H$400)+SUMPRODUCT((Events!$B$6:$B$400&lt;=$A13)*(Events!$C$6:$C$400&gt;=$A13)*(Events!$E$6:$E$400="Relief")*Events!$H$6:$H$400)</f>
        <v>0</v>
      </c>
      <c r="W13" s="56" t="n">
        <f aca="false">SUMPRODUCT((Events!$B$6:$B$400&lt;=$A13)*(Events!$C$6:$C$400&gt;=$A13)*(Events!$E$6:$E$400="Bank rescue &amp; capital")*Events!$H$6:$H$400)</f>
        <v>0</v>
      </c>
      <c r="X13" s="56" t="n">
        <f aca="false">'Debt &amp; cash'!R12*Paths!Y13</f>
        <v>0.995674595165787</v>
      </c>
      <c r="Y13" s="56" t="n">
        <f aca="false">SUM(N13:X13)</f>
        <v>12.9625452113231</v>
      </c>
      <c r="Z13" s="56" t="n">
        <f aca="false">M13-Y13</f>
        <v>2.42182263546715</v>
      </c>
      <c r="AA13" s="66" t="n">
        <f aca="false">M13/Economy!O13</f>
        <v>0.0981062158021993</v>
      </c>
      <c r="AB13" s="66" t="n">
        <f aca="false">Y13/Economy!O13</f>
        <v>0.0826622367920795</v>
      </c>
      <c r="AC13" s="66" t="n">
        <f aca="false">(N13+O13+P13)/Economy!O13</f>
        <v>0.0211762056385067</v>
      </c>
    </row>
    <row r="14" customFormat="false" ht="14.25" hidden="false" customHeight="true" outlineLevel="0" collapsed="false">
      <c r="A14" s="61" t="n">
        <v>1854</v>
      </c>
      <c r="B14" s="56" t="n">
        <f aca="false">Economy!O14*Paths!N14*Paths!O14*cust_coll</f>
        <v>5.2151180635647</v>
      </c>
      <c r="C14" s="56" t="n">
        <f aca="false">(Economy!J14+Economy!L14+Economy!M14+Economy!N14)*Paths!P14*Paths!Q14</f>
        <v>8.04616701810522</v>
      </c>
      <c r="D14" s="56" t="n">
        <f aca="false">Resources!P14+Resources!Q14</f>
        <v>3.105</v>
      </c>
      <c r="E14" s="56" t="n">
        <f aca="false">Paths!S14*(1-canal_opcost)*canal_share</f>
        <v>0</v>
      </c>
      <c r="F14" s="56" t="n">
        <f aca="false">Economy!O14*Paths!R14</f>
        <v>0.0296674453816139</v>
      </c>
      <c r="G14" s="56" t="n">
        <f aca="false">SUMPRODUCT((Events!$B$6:$B$400&lt;=$A14)*(Events!$C$6:$C$400&gt;=$A14)*(Events!$E$6:$E$400="Receipt")*Events!$H$6:$H$400)+'Land Fund'!O14</f>
        <v>0.628032232704403</v>
      </c>
      <c r="H14" s="72" t="n">
        <f aca="false">Loans!Y14</f>
        <v>0</v>
      </c>
      <c r="I14" s="56" t="n">
        <f aca="false">'Debt &amp; cash'!S13*fund_yield</f>
        <v>0.014819794209525</v>
      </c>
      <c r="J14" s="72" t="n">
        <f aca="false">Labour!Q14</f>
        <v>0</v>
      </c>
      <c r="K14" s="72" t="n">
        <f aca="false">Champions!BD14</f>
        <v>0</v>
      </c>
      <c r="L14" s="72" t="n">
        <f aca="false">Abroad!N14</f>
        <v>0.00743619911158345</v>
      </c>
      <c r="M14" s="56" t="n">
        <f aca="false">SUM(B14:L14)</f>
        <v>17.046240753077</v>
      </c>
      <c r="N14" s="56" t="n">
        <f aca="false">(Paths!W14*army_cost+Paths!X14*res_cost)*Economy!H14/1000000</f>
        <v>3.05065</v>
      </c>
      <c r="O14" s="72" t="n">
        <f aca="false">Navy!Y14</f>
        <v>0.5570625</v>
      </c>
      <c r="P14" s="56" t="n">
        <f aca="false">SUMPRODUCT((Events!$B$6:$B$400&lt;=$A14)*(Events!$C$6:$C$400&gt;=$A14)*(Events!$E$6:$E$400="War &amp; operations")*Events!$H$6:$H$400)</f>
        <v>0.3</v>
      </c>
      <c r="Q14" s="56" t="n">
        <f aca="false">Economy!O14*Paths!T14</f>
        <v>3.5426420073339</v>
      </c>
      <c r="R14" s="56" t="n">
        <f aca="false">Economy!O14*Paths!U14</f>
        <v>2.87948734586253</v>
      </c>
      <c r="S14" s="56" t="n">
        <f aca="false">Economy!O14*Paths!V14+SUMPRODUCT((Events!$B$6:$B$400&lt;=$A14)*(Events!$C$6:$C$400&gt;=$A14)*(Events!$E$6:$E$400="Programme")*Events!$H$6:$H$400)+SUMPRODUCT((Events!$B$6:$B$400&lt;=$A14)*(Events!$C$6:$C$400&gt;=$A14)*(Events!$E$6:$E$400="Investment")*Events!$H$6:$H$400)</f>
        <v>0.872571922988645</v>
      </c>
      <c r="T14" s="56" t="n">
        <f aca="false">(People!T14*assist_cost+Labour!AD14*talent_cost+Labour!L14*gw_admin)*Economy!H14/1000000</f>
        <v>2.004408</v>
      </c>
      <c r="U14" s="56" t="n">
        <f aca="false">SUMPRODUCT((Events!$B$6:$B$400&lt;=$A14)*(Events!$C$6:$C$400&gt;=$A14)*(Events!$E$6:$E$400="Purchase")*Events!$H$6:$H$400)</f>
        <v>0</v>
      </c>
      <c r="V14" s="56" t="n">
        <f aca="false">SUMPRODUCT((Events!$B$6:$B$400&lt;=$A14)*(Events!$C$6:$C$400&gt;=$A14)*(Events!$E$6:$E$400="Subsidy &amp; guarantee")*Events!$H$6:$H$400)+SUMPRODUCT((Events!$B$6:$B$400&lt;=$A14)*(Events!$C$6:$C$400&gt;=$A14)*(Events!$E$6:$E$400="Relief")*Events!$H$6:$H$400)</f>
        <v>0</v>
      </c>
      <c r="W14" s="56" t="n">
        <f aca="false">SUMPRODUCT((Events!$B$6:$B$400&lt;=$A14)*(Events!$C$6:$C$400&gt;=$A14)*(Events!$E$6:$E$400="Bank rescue &amp; capital")*Events!$H$6:$H$400)</f>
        <v>0</v>
      </c>
      <c r="X14" s="56" t="n">
        <f aca="false">'Debt &amp; cash'!R13*Paths!Y14</f>
        <v>0.888466885606091</v>
      </c>
      <c r="Y14" s="56" t="n">
        <f aca="false">SUM(N14:X14)</f>
        <v>14.0952886617912</v>
      </c>
      <c r="Z14" s="56" t="n">
        <f aca="false">M14-Y14</f>
        <v>2.95095209128588</v>
      </c>
      <c r="AA14" s="66" t="n">
        <f aca="false">M14/Economy!O14</f>
        <v>0.0976781415031783</v>
      </c>
      <c r="AB14" s="66" t="n">
        <f aca="false">Y14/Economy!O14</f>
        <v>0.0807686351717198</v>
      </c>
      <c r="AC14" s="66" t="n">
        <f aca="false">(N14+O14+P14)/Economy!O14</f>
        <v>0.0223919220699636</v>
      </c>
    </row>
    <row r="15" customFormat="false" ht="14.25" hidden="false" customHeight="true" outlineLevel="0" collapsed="false">
      <c r="A15" s="61" t="n">
        <v>1855</v>
      </c>
      <c r="B15" s="56" t="n">
        <f aca="false">Economy!O15*Paths!N15*Paths!O15*cust_coll</f>
        <v>5.36408522066417</v>
      </c>
      <c r="C15" s="56" t="n">
        <f aca="false">(Economy!J15+Economy!L15+Economy!M15+Economy!N15)*Paths!P15*Paths!Q15</f>
        <v>10.267370191683</v>
      </c>
      <c r="D15" s="56" t="n">
        <f aca="false">Resources!P15+Resources!Q15</f>
        <v>2.475</v>
      </c>
      <c r="E15" s="56" t="n">
        <f aca="false">Paths!S15*(1-canal_opcost)*canal_share</f>
        <v>0</v>
      </c>
      <c r="F15" s="56" t="n">
        <f aca="false">Economy!O15*Paths!R15</f>
        <v>0.0343156966978516</v>
      </c>
      <c r="G15" s="56" t="n">
        <f aca="false">SUMPRODUCT((Events!$B$6:$B$400&lt;=$A15)*(Events!$C$6:$C$400&gt;=$A15)*(Events!$E$6:$E$400="Receipt")*Events!$H$6:$H$400)+'Land Fund'!O15</f>
        <v>0.636169025157233</v>
      </c>
      <c r="H15" s="72" t="n">
        <f aca="false">Loans!Y15</f>
        <v>0</v>
      </c>
      <c r="I15" s="56" t="n">
        <f aca="false">'Debt &amp; cash'!S14*fund_yield</f>
        <v>0.0328145394960472</v>
      </c>
      <c r="J15" s="72" t="n">
        <f aca="false">Labour!Q15</f>
        <v>0</v>
      </c>
      <c r="K15" s="72" t="n">
        <f aca="false">Champions!BD15</f>
        <v>0</v>
      </c>
      <c r="L15" s="72" t="n">
        <f aca="false">Abroad!N15</f>
        <v>0.0093072857534087</v>
      </c>
      <c r="M15" s="56" t="n">
        <f aca="false">SUM(B15:L15)</f>
        <v>18.8190619594517</v>
      </c>
      <c r="N15" s="56" t="n">
        <f aca="false">(Paths!W15*army_cost+Paths!X15*res_cost)*Economy!H15/1000000</f>
        <v>3.4675</v>
      </c>
      <c r="O15" s="72" t="n">
        <f aca="false">Navy!Y15</f>
        <v>0.877625</v>
      </c>
      <c r="P15" s="56" t="n">
        <f aca="false">SUMPRODUCT((Events!$B$6:$B$400&lt;=$A15)*(Events!$C$6:$C$400&gt;=$A15)*(Events!$E$6:$E$400="War &amp; operations")*Events!$H$6:$H$400)</f>
        <v>0</v>
      </c>
      <c r="Q15" s="56" t="n">
        <f aca="false">Economy!O15*Paths!T15</f>
        <v>3.7024830647682</v>
      </c>
      <c r="R15" s="56" t="n">
        <f aca="false">Economy!O15*Paths!U15</f>
        <v>3.10647359580551</v>
      </c>
      <c r="S15" s="56" t="n">
        <f aca="false">Economy!O15*Paths!V15+SUMPRODUCT((Events!$B$6:$B$400&lt;=$A15)*(Events!$C$6:$C$400&gt;=$A15)*(Events!$E$6:$E$400="Programme")*Events!$H$6:$H$400)+SUMPRODUCT((Events!$B$6:$B$400&lt;=$A15)*(Events!$C$6:$C$400&gt;=$A15)*(Events!$E$6:$E$400="Investment")*Events!$H$6:$H$400)</f>
        <v>1.39334911493781</v>
      </c>
      <c r="T15" s="56" t="n">
        <f aca="false">(People!T15*assist_cost+Labour!AD15*talent_cost+Labour!L15*gw_admin)*Economy!H15/1000000</f>
        <v>1.72368</v>
      </c>
      <c r="U15" s="56" t="n">
        <f aca="false">SUMPRODUCT((Events!$B$6:$B$400&lt;=$A15)*(Events!$C$6:$C$400&gt;=$A15)*(Events!$E$6:$E$400="Purchase")*Events!$H$6:$H$400)</f>
        <v>0</v>
      </c>
      <c r="V15" s="56" t="n">
        <f aca="false">SUMPRODUCT((Events!$B$6:$B$400&lt;=$A15)*(Events!$C$6:$C$400&gt;=$A15)*(Events!$E$6:$E$400="Subsidy &amp; guarantee")*Events!$H$6:$H$400)+SUMPRODUCT((Events!$B$6:$B$400&lt;=$A15)*(Events!$C$6:$C$400&gt;=$A15)*(Events!$E$6:$E$400="Relief")*Events!$H$6:$H$400)</f>
        <v>0</v>
      </c>
      <c r="W15" s="56" t="n">
        <f aca="false">SUMPRODUCT((Events!$B$6:$B$400&lt;=$A15)*(Events!$C$6:$C$400&gt;=$A15)*(Events!$E$6:$E$400="Bank rescue &amp; capital")*Events!$H$6:$H$400)</f>
        <v>0</v>
      </c>
      <c r="X15" s="56" t="n">
        <f aca="false">'Debt &amp; cash'!R14*Paths!Y15</f>
        <v>0.762616605653384</v>
      </c>
      <c r="Y15" s="56" t="n">
        <f aca="false">SUM(N15:X15)</f>
        <v>15.0337273811649</v>
      </c>
      <c r="Z15" s="56" t="n">
        <f aca="false">M15-Y15</f>
        <v>3.78533457828684</v>
      </c>
      <c r="AA15" s="66" t="n">
        <f aca="false">M15/Economy!O15</f>
        <v>0.104197848692365</v>
      </c>
      <c r="AB15" s="66" t="n">
        <f aca="false">Y15/Economy!O15</f>
        <v>0.0832391143788191</v>
      </c>
      <c r="AC15" s="66" t="n">
        <f aca="false">(N15+O15+P15)/Economy!O15</f>
        <v>0.0240581957950365</v>
      </c>
    </row>
    <row r="16" customFormat="false" ht="14.25" hidden="false" customHeight="true" outlineLevel="0" collapsed="false">
      <c r="A16" s="61" t="n">
        <v>1856</v>
      </c>
      <c r="B16" s="56" t="n">
        <f aca="false">Economy!O16*Paths!N16*Paths!O16*cust_coll</f>
        <v>6.06173431134139</v>
      </c>
      <c r="C16" s="56" t="n">
        <f aca="false">(Economy!J16+Economy!L16+Economy!M16+Economy!N16)*Paths!P16*Paths!Q16</f>
        <v>11.955088153854</v>
      </c>
      <c r="D16" s="56" t="n">
        <f aca="false">Resources!P16+Resources!Q16</f>
        <v>2.565</v>
      </c>
      <c r="E16" s="56" t="n">
        <f aca="false">Paths!S16*(1-canal_opcost)*canal_share</f>
        <v>0</v>
      </c>
      <c r="F16" s="56" t="n">
        <f aca="false">Economy!O16*Paths!R16</f>
        <v>0.0431273531115479</v>
      </c>
      <c r="G16" s="56" t="n">
        <f aca="false">SUMPRODUCT((Events!$B$6:$B$400&lt;=$A16)*(Events!$C$6:$C$400&gt;=$A16)*(Events!$E$6:$E$400="Receipt")*Events!$H$6:$H$400)+'Land Fund'!O16</f>
        <v>0.636382659496855</v>
      </c>
      <c r="H16" s="72" t="n">
        <f aca="false">Loans!Y16</f>
        <v>0</v>
      </c>
      <c r="I16" s="56" t="n">
        <f aca="false">'Debt &amp; cash'!S15*fund_yield</f>
        <v>0.0575961465156095</v>
      </c>
      <c r="J16" s="72" t="n">
        <f aca="false">Labour!Q16</f>
        <v>0</v>
      </c>
      <c r="K16" s="72" t="n">
        <f aca="false">Champions!BD16</f>
        <v>0</v>
      </c>
      <c r="L16" s="72" t="n">
        <f aca="false">Abroad!N16</f>
        <v>0.0111953743406708</v>
      </c>
      <c r="M16" s="56" t="n">
        <f aca="false">SUM(B16:L16)</f>
        <v>21.33012399866</v>
      </c>
      <c r="N16" s="56" t="n">
        <f aca="false">(Paths!W16*army_cost+Paths!X16*res_cost)*Economy!H16/1000000</f>
        <v>4.445925</v>
      </c>
      <c r="O16" s="72" t="n">
        <f aca="false">Navy!Y16</f>
        <v>0.6442875</v>
      </c>
      <c r="P16" s="56" t="n">
        <f aca="false">SUMPRODUCT((Events!$B$6:$B$400&lt;=$A16)*(Events!$C$6:$C$400&gt;=$A16)*(Events!$E$6:$E$400="War &amp; operations")*Events!$H$6:$H$400)</f>
        <v>0</v>
      </c>
      <c r="Q16" s="56" t="n">
        <f aca="false">Economy!O16*Paths!T16</f>
        <v>4.23058797189469</v>
      </c>
      <c r="R16" s="56" t="n">
        <f aca="false">Economy!O16*Paths!U16</f>
        <v>3.6966302667041</v>
      </c>
      <c r="S16" s="56" t="n">
        <f aca="false">Economy!O16*Paths!V16+SUMPRODUCT((Events!$B$6:$B$400&lt;=$A16)*(Events!$C$6:$C$400&gt;=$A16)*(Events!$E$6:$E$400="Programme")*Events!$H$6:$H$400)+SUMPRODUCT((Events!$B$6:$B$400&lt;=$A16)*(Events!$C$6:$C$400&gt;=$A16)*(Events!$E$6:$E$400="Investment")*Events!$H$6:$H$400)</f>
        <v>1.63221008890137</v>
      </c>
      <c r="T16" s="56" t="n">
        <f aca="false">(People!T16*assist_cost+Labour!AD16*talent_cost+Labour!L16*gw_admin)*Economy!H16/1000000</f>
        <v>2.51878877313495</v>
      </c>
      <c r="U16" s="56" t="n">
        <f aca="false">SUMPRODUCT((Events!$B$6:$B$400&lt;=$A16)*(Events!$C$6:$C$400&gt;=$A16)*(Events!$E$6:$E$400="Purchase")*Events!$H$6:$H$400)</f>
        <v>0</v>
      </c>
      <c r="V16" s="56" t="n">
        <f aca="false">SUMPRODUCT((Events!$B$6:$B$400&lt;=$A16)*(Events!$C$6:$C$400&gt;=$A16)*(Events!$E$6:$E$400="Subsidy &amp; guarantee")*Events!$H$6:$H$400)+SUMPRODUCT((Events!$B$6:$B$400&lt;=$A16)*(Events!$C$6:$C$400&gt;=$A16)*(Events!$E$6:$E$400="Relief")*Events!$H$6:$H$400)</f>
        <v>0</v>
      </c>
      <c r="W16" s="56" t="n">
        <f aca="false">SUMPRODUCT((Events!$B$6:$B$400&lt;=$A16)*(Events!$C$6:$C$400&gt;=$A16)*(Events!$E$6:$E$400="Bank rescue &amp; capital")*Events!$H$6:$H$400)</f>
        <v>0</v>
      </c>
      <c r="X16" s="56" t="n">
        <f aca="false">'Debt &amp; cash'!R15*Paths!Y16</f>
        <v>0.594626811910486</v>
      </c>
      <c r="Y16" s="56" t="n">
        <f aca="false">SUM(N16:X16)</f>
        <v>17.7630564125456</v>
      </c>
      <c r="Z16" s="56" t="n">
        <f aca="false">M16-Y16</f>
        <v>3.56706758611443</v>
      </c>
      <c r="AA16" s="66" t="n">
        <f aca="false">M16/Economy!O16</f>
        <v>0.103862762644694</v>
      </c>
      <c r="AB16" s="66" t="n">
        <f aca="false">Y16/Economy!O16</f>
        <v>0.0864936421436854</v>
      </c>
      <c r="AC16" s="66" t="n">
        <f aca="false">(N16+O16+P16)/Economy!O16</f>
        <v>0.0247857693059716</v>
      </c>
    </row>
    <row r="17" customFormat="false" ht="14.25" hidden="false" customHeight="true" outlineLevel="0" collapsed="false">
      <c r="A17" s="61" t="n">
        <v>1857</v>
      </c>
      <c r="B17" s="56" t="n">
        <f aca="false">Economy!O17*Paths!N17*Paths!O17*cust_coll</f>
        <v>6.37052922065225</v>
      </c>
      <c r="C17" s="56" t="n">
        <f aca="false">(Economy!J17+Economy!L17+Economy!M17+Economy!N17)*Paths!P17*Paths!Q17</f>
        <v>13.5108328794737</v>
      </c>
      <c r="D17" s="56" t="n">
        <f aca="false">Resources!P17+Resources!Q17</f>
        <v>1.935</v>
      </c>
      <c r="E17" s="56" t="n">
        <f aca="false">Paths!S17*(1-canal_opcost)*canal_share</f>
        <v>0</v>
      </c>
      <c r="F17" s="56" t="n">
        <f aca="false">Economy!O17*Paths!R17</f>
        <v>0.049933263837771</v>
      </c>
      <c r="G17" s="56" t="n">
        <f aca="false">SUMPRODUCT((Events!$B$6:$B$400&lt;=$A17)*(Events!$C$6:$C$400&gt;=$A17)*(Events!$E$6:$E$400="Receipt")*Events!$H$6:$H$400)+'Land Fund'!O17</f>
        <v>0.638967663836478</v>
      </c>
      <c r="H17" s="72" t="n">
        <f aca="false">Loans!Y17</f>
        <v>0</v>
      </c>
      <c r="I17" s="56" t="n">
        <f aca="false">'Debt &amp; cash'!S16*fund_yield</f>
        <v>0.0795907501883179</v>
      </c>
      <c r="J17" s="72" t="n">
        <f aca="false">Labour!Q17</f>
        <v>0</v>
      </c>
      <c r="K17" s="72" t="n">
        <f aca="false">Champions!BD17</f>
        <v>0</v>
      </c>
      <c r="L17" s="72" t="n">
        <f aca="false">Abroad!N17</f>
        <v>0.0133239332882534</v>
      </c>
      <c r="M17" s="56" t="n">
        <f aca="false">SUM(B17:L17)</f>
        <v>22.5981777112768</v>
      </c>
      <c r="N17" s="56" t="n">
        <f aca="false">(Paths!W17*army_cost+Paths!X17*res_cost)*Economy!H17/1000000</f>
        <v>5.4694</v>
      </c>
      <c r="O17" s="72" t="n">
        <f aca="false">Navy!Y17</f>
        <v>0.87595</v>
      </c>
      <c r="P17" s="56" t="n">
        <f aca="false">SUMPRODUCT((Events!$B$6:$B$400&lt;=$A17)*(Events!$C$6:$C$400&gt;=$A17)*(Events!$E$6:$E$400="War &amp; operations")*Events!$H$6:$H$400)</f>
        <v>0.3</v>
      </c>
      <c r="Q17" s="56" t="n">
        <f aca="false">Economy!O17*Paths!T17</f>
        <v>4.51570386011147</v>
      </c>
      <c r="R17" s="56" t="n">
        <f aca="false">Economy!O17*Paths!U17</f>
        <v>3.92953076288546</v>
      </c>
      <c r="S17" s="56" t="n">
        <f aca="false">Economy!O17*Paths!V17+SUMPRODUCT((Events!$B$6:$B$400&lt;=$A17)*(Events!$C$6:$C$400&gt;=$A17)*(Events!$E$6:$E$400="Programme")*Events!$H$6:$H$400)+SUMPRODUCT((Events!$B$6:$B$400&lt;=$A17)*(Events!$C$6:$C$400&gt;=$A17)*(Events!$E$6:$E$400="Investment")*Events!$H$6:$H$400)</f>
        <v>1.72431699743654</v>
      </c>
      <c r="T17" s="56" t="n">
        <f aca="false">(People!T17*assist_cost+Labour!AD17*talent_cost+Labour!L17*gw_admin)*Economy!H17/1000000</f>
        <v>2.64572807807165</v>
      </c>
      <c r="U17" s="56" t="n">
        <f aca="false">SUMPRODUCT((Events!$B$6:$B$400&lt;=$A17)*(Events!$C$6:$C$400&gt;=$A17)*(Events!$E$6:$E$400="Purchase")*Events!$H$6:$H$400)</f>
        <v>0</v>
      </c>
      <c r="V17" s="56" t="n">
        <f aca="false">SUMPRODUCT((Events!$B$6:$B$400&lt;=$A17)*(Events!$C$6:$C$400&gt;=$A17)*(Events!$E$6:$E$400="Subsidy &amp; guarantee")*Events!$H$6:$H$400)+SUMPRODUCT((Events!$B$6:$B$400&lt;=$A17)*(Events!$C$6:$C$400&gt;=$A17)*(Events!$E$6:$E$400="Relief")*Events!$H$6:$H$400)</f>
        <v>0</v>
      </c>
      <c r="W17" s="56" t="n">
        <f aca="false">SUMPRODUCT((Events!$B$6:$B$400&lt;=$A17)*(Events!$C$6:$C$400&gt;=$A17)*(Events!$E$6:$E$400="Bank rescue &amp; capital")*Events!$H$6:$H$400)</f>
        <v>0</v>
      </c>
      <c r="X17" s="56" t="n">
        <f aca="false">'Debt &amp; cash'!R16*Paths!Y17</f>
        <v>0.44718087484413</v>
      </c>
      <c r="Y17" s="56" t="n">
        <f aca="false">SUM(N17:X17)</f>
        <v>19.9078105733492</v>
      </c>
      <c r="Z17" s="56" t="n">
        <f aca="false">M17-Y17</f>
        <v>2.69036713792756</v>
      </c>
      <c r="AA17" s="66" t="n">
        <f aca="false">M17/Economy!O17</f>
        <v>0.104090549547896</v>
      </c>
      <c r="AB17" s="66" t="n">
        <f aca="false">Y17/Economy!O17</f>
        <v>0.0916983205172898</v>
      </c>
      <c r="AC17" s="66" t="n">
        <f aca="false">(N17+O17+P17)/Economy!O17</f>
        <v>0.0306094651646594</v>
      </c>
    </row>
    <row r="18" customFormat="false" ht="14.25" hidden="false" customHeight="true" outlineLevel="0" collapsed="false">
      <c r="A18" s="61" t="n">
        <v>1858</v>
      </c>
      <c r="B18" s="56" t="n">
        <f aca="false">Economy!O18*Paths!N18*Paths!O18*cust_coll</f>
        <v>7.08489180230666</v>
      </c>
      <c r="C18" s="56" t="n">
        <f aca="false">(Economy!J18+Economy!L18+Economy!M18+Economy!N18)*Paths!P18*Paths!Q18</f>
        <v>15.177276533493</v>
      </c>
      <c r="D18" s="56" t="n">
        <f aca="false">Resources!P18+Resources!Q18</f>
        <v>2.115</v>
      </c>
      <c r="E18" s="56" t="n">
        <f aca="false">Paths!S18*(1-canal_opcost)*canal_share</f>
        <v>0</v>
      </c>
      <c r="F18" s="56" t="n">
        <f aca="false">Economy!O18*Paths!R18</f>
        <v>0.0607415277975537</v>
      </c>
      <c r="G18" s="56" t="n">
        <f aca="false">SUMPRODUCT((Events!$B$6:$B$400&lt;=$A18)*(Events!$C$6:$C$400&gt;=$A18)*(Events!$E$6:$E$400="Receipt")*Events!$H$6:$H$400)+'Land Fund'!O18</f>
        <v>0.595254624150943</v>
      </c>
      <c r="H18" s="72" t="n">
        <f aca="false">Loans!Y18</f>
        <v>0</v>
      </c>
      <c r="I18" s="56" t="n">
        <f aca="false">'Debt &amp; cash'!S17*fund_yield</f>
        <v>0.0974400768462336</v>
      </c>
      <c r="J18" s="72" t="n">
        <f aca="false">Labour!Q18</f>
        <v>0</v>
      </c>
      <c r="K18" s="72" t="n">
        <f aca="false">Champions!BD18</f>
        <v>0</v>
      </c>
      <c r="L18" s="72" t="n">
        <f aca="false">Abroad!N18</f>
        <v>0.0155294290550547</v>
      </c>
      <c r="M18" s="56" t="n">
        <f aca="false">SUM(B18:L18)</f>
        <v>25.1461339936494</v>
      </c>
      <c r="N18" s="56" t="n">
        <f aca="false">(Paths!W18*army_cost+Paths!X18*res_cost)*Economy!H18/1000000</f>
        <v>6.392235</v>
      </c>
      <c r="O18" s="72" t="n">
        <f aca="false">Navy!Y18</f>
        <v>1.183031625</v>
      </c>
      <c r="P18" s="56" t="n">
        <f aca="false">SUMPRODUCT((Events!$B$6:$B$400&lt;=$A18)*(Events!$C$6:$C$400&gt;=$A18)*(Events!$E$6:$E$400="War &amp; operations")*Events!$H$6:$H$400)</f>
        <v>0.3</v>
      </c>
      <c r="Q18" s="56" t="n">
        <f aca="false">Economy!O18*Paths!T18</f>
        <v>5.07799172387549</v>
      </c>
      <c r="R18" s="56" t="n">
        <f aca="false">Economy!O18*Paths!U18</f>
        <v>4.42198322366191</v>
      </c>
      <c r="S18" s="56" t="n">
        <f aca="false">Economy!O18*Paths!V18+SUMPRODUCT((Events!$B$6:$B$400&lt;=$A18)*(Events!$C$6:$C$400&gt;=$A18)*(Events!$E$6:$E$400="Programme")*Events!$H$6:$H$400)+SUMPRODUCT((Events!$B$6:$B$400&lt;=$A18)*(Events!$C$6:$C$400&gt;=$A18)*(Events!$E$6:$E$400="Investment")*Events!$H$6:$H$400)</f>
        <v>1.90638988937933</v>
      </c>
      <c r="T18" s="56" t="n">
        <f aca="false">(People!T18*assist_cost+Labour!AD18*talent_cost+Labour!L18*gw_admin)*Economy!H18/1000000</f>
        <v>2.69870881507635</v>
      </c>
      <c r="U18" s="56" t="n">
        <f aca="false">SUMPRODUCT((Events!$B$6:$B$400&lt;=$A18)*(Events!$C$6:$C$400&gt;=$A18)*(Events!$E$6:$E$400="Purchase")*Events!$H$6:$H$400)</f>
        <v>0</v>
      </c>
      <c r="V18" s="56" t="n">
        <f aca="false">SUMPRODUCT((Events!$B$6:$B$400&lt;=$A18)*(Events!$C$6:$C$400&gt;=$A18)*(Events!$E$6:$E$400="Subsidy &amp; guarantee")*Events!$H$6:$H$400)+SUMPRODUCT((Events!$B$6:$B$400&lt;=$A18)*(Events!$C$6:$C$400&gt;=$A18)*(Events!$E$6:$E$400="Relief")*Events!$H$6:$H$400)</f>
        <v>0</v>
      </c>
      <c r="W18" s="56" t="n">
        <f aca="false">SUMPRODUCT((Events!$B$6:$B$400&lt;=$A18)*(Events!$C$6:$C$400&gt;=$A18)*(Events!$E$6:$E$400="Bank rescue &amp; capital")*Events!$H$6:$H$400)</f>
        <v>0</v>
      </c>
      <c r="X18" s="56" t="n">
        <f aca="false">'Debt &amp; cash'!R17*Paths!Y18</f>
        <v>0.327519674668968</v>
      </c>
      <c r="Y18" s="56" t="n">
        <f aca="false">SUM(N18:X18)</f>
        <v>22.307859951662</v>
      </c>
      <c r="Z18" s="56" t="n">
        <f aca="false">M18-Y18</f>
        <v>2.83827404198741</v>
      </c>
      <c r="AA18" s="66" t="n">
        <f aca="false">M18/Economy!O18</f>
        <v>0.103496466525584</v>
      </c>
      <c r="AB18" s="66" t="n">
        <f aca="false">Y18/Economy!O18</f>
        <v>0.0918146972941323</v>
      </c>
      <c r="AC18" s="66" t="n">
        <f aca="false">(N18+O18+P18)/Economy!O18</f>
        <v>0.0324130249540627</v>
      </c>
    </row>
    <row r="19" customFormat="false" ht="14.25" hidden="false" customHeight="true" outlineLevel="0" collapsed="false">
      <c r="A19" s="61" t="n">
        <v>1859</v>
      </c>
      <c r="B19" s="56" t="n">
        <f aca="false">Economy!O19*Paths!N19*Paths!O19*cust_coll</f>
        <v>7.80572335167764</v>
      </c>
      <c r="C19" s="56" t="n">
        <f aca="false">(Economy!J19+Economy!L19+Economy!M19+Economy!N19)*Paths!P19*Paths!Q19</f>
        <v>17.136406398956</v>
      </c>
      <c r="D19" s="56" t="n">
        <f aca="false">Resources!P19+Resources!Q19</f>
        <v>2.07</v>
      </c>
      <c r="E19" s="56" t="n">
        <f aca="false">Paths!S19*(1-canal_opcost)*canal_share</f>
        <v>0</v>
      </c>
      <c r="F19" s="56" t="n">
        <f aca="false">Economy!O19*Paths!R19</f>
        <v>0.0727331657815658</v>
      </c>
      <c r="G19" s="56" t="n">
        <f aca="false">SUMPRODUCT((Events!$B$6:$B$400&lt;=$A19)*(Events!$C$6:$C$400&gt;=$A19)*(Events!$E$6:$E$400="Receipt")*Events!$H$6:$H$400)+'Land Fund'!O19</f>
        <v>0.59920921009434</v>
      </c>
      <c r="H19" s="72" t="n">
        <f aca="false">Loans!Y19</f>
        <v>0</v>
      </c>
      <c r="I19" s="56" t="n">
        <f aca="false">'Debt &amp; cash'!S18*fund_yield</f>
        <v>0.114221192884048</v>
      </c>
      <c r="J19" s="72" t="n">
        <f aca="false">Labour!Q19</f>
        <v>0</v>
      </c>
      <c r="K19" s="72" t="n">
        <f aca="false">Champions!BD19</f>
        <v>0</v>
      </c>
      <c r="L19" s="72" t="n">
        <f aca="false">Abroad!N19</f>
        <v>0.0179791395176856</v>
      </c>
      <c r="M19" s="56" t="n">
        <f aca="false">SUM(B19:L19)</f>
        <v>27.8162724589113</v>
      </c>
      <c r="N19" s="56" t="n">
        <f aca="false">(Paths!W19*army_cost+Paths!X19*res_cost)*Economy!H19/1000000</f>
        <v>8.3478885</v>
      </c>
      <c r="O19" s="72" t="n">
        <f aca="false">Navy!Y19</f>
        <v>0.932043375</v>
      </c>
      <c r="P19" s="56" t="n">
        <f aca="false">SUMPRODUCT((Events!$B$6:$B$400&lt;=$A19)*(Events!$C$6:$C$400&gt;=$A19)*(Events!$E$6:$E$400="War &amp; operations")*Events!$H$6:$H$400)</f>
        <v>0</v>
      </c>
      <c r="Q19" s="56" t="n">
        <f aca="false">Economy!O19*Paths!T19</f>
        <v>5.68396221478163</v>
      </c>
      <c r="R19" s="56" t="n">
        <f aca="false">Economy!O19*Paths!U19</f>
        <v>4.90275413786851</v>
      </c>
      <c r="S19" s="56" t="n">
        <f aca="false">Economy!O19*Paths!V19+SUMPRODUCT((Events!$B$6:$B$400&lt;=$A19)*(Events!$C$6:$C$400&gt;=$A19)*(Events!$E$6:$E$400="Programme")*Events!$H$6:$H$400)+SUMPRODUCT((Events!$B$6:$B$400&lt;=$A19)*(Events!$C$6:$C$400&gt;=$A19)*(Events!$E$6:$E$400="Investment")*Events!$H$6:$H$400)</f>
        <v>2.09710720156987</v>
      </c>
      <c r="T19" s="56" t="n">
        <f aca="false">(People!T19*assist_cost+Labour!AD19*talent_cost+Labour!L19*gw_admin)*Economy!H19/1000000</f>
        <v>2.72730757600681</v>
      </c>
      <c r="U19" s="56" t="n">
        <f aca="false">SUMPRODUCT((Events!$B$6:$B$400&lt;=$A19)*(Events!$C$6:$C$400&gt;=$A19)*(Events!$E$6:$E$400="Purchase")*Events!$H$6:$H$400)</f>
        <v>0</v>
      </c>
      <c r="V19" s="56" t="n">
        <f aca="false">SUMPRODUCT((Events!$B$6:$B$400&lt;=$A19)*(Events!$C$6:$C$400&gt;=$A19)*(Events!$E$6:$E$400="Subsidy &amp; guarantee")*Events!$H$6:$H$400)+SUMPRODUCT((Events!$B$6:$B$400&lt;=$A19)*(Events!$C$6:$C$400&gt;=$A19)*(Events!$E$6:$E$400="Relief")*Events!$H$6:$H$400)</f>
        <v>0</v>
      </c>
      <c r="W19" s="56" t="n">
        <f aca="false">SUMPRODUCT((Events!$B$6:$B$400&lt;=$A19)*(Events!$C$6:$C$400&gt;=$A19)*(Events!$E$6:$E$400="Bank rescue &amp; capital")*Events!$H$6:$H$400)</f>
        <v>0</v>
      </c>
      <c r="X19" s="56" t="n">
        <f aca="false">'Debt &amp; cash'!R18*Paths!Y19</f>
        <v>0.215592731069184</v>
      </c>
      <c r="Y19" s="56" t="n">
        <f aca="false">SUM(N19:X19)</f>
        <v>24.906655736296</v>
      </c>
      <c r="Z19" s="56" t="n">
        <f aca="false">M19-Y19</f>
        <v>2.90961672261532</v>
      </c>
      <c r="AA19" s="66" t="n">
        <f aca="false">M19/Economy!O19</f>
        <v>0.103259544434811</v>
      </c>
      <c r="AB19" s="66" t="n">
        <f aca="false">Y19/Economy!O19</f>
        <v>0.0924584675579228</v>
      </c>
      <c r="AC19" s="66" t="n">
        <f aca="false">(N19+O19+P19)/Economy!O19</f>
        <v>0.0344489557044008</v>
      </c>
    </row>
    <row r="20" customFormat="false" ht="14.25" hidden="false" customHeight="true" outlineLevel="0" collapsed="false">
      <c r="A20" s="61" t="n">
        <v>1860</v>
      </c>
      <c r="B20" s="56" t="n">
        <f aca="false">Economy!O20*Paths!N20*Paths!O20*cust_coll</f>
        <v>8.45985493170694</v>
      </c>
      <c r="C20" s="56" t="n">
        <f aca="false">(Economy!J20+Economy!L20+Economy!M20+Economy!N20)*Paths!P20*Paths!Q20</f>
        <v>18.9445460173668</v>
      </c>
      <c r="D20" s="56" t="n">
        <f aca="false">Resources!P20+Resources!Q20</f>
        <v>2.025</v>
      </c>
      <c r="E20" s="56" t="n">
        <f aca="false">Paths!S20*(1-canal_opcost)*canal_share</f>
        <v>0</v>
      </c>
      <c r="F20" s="56" t="n">
        <f aca="false">Economy!O20*Paths!R20</f>
        <v>0.0851753923188426</v>
      </c>
      <c r="G20" s="56" t="n">
        <f aca="false">SUMPRODUCT((Events!$B$6:$B$400&lt;=$A20)*(Events!$C$6:$C$400&gt;=$A20)*(Events!$E$6:$E$400="Receipt")*Events!$H$6:$H$400)+'Land Fund'!O20</f>
        <v>0.603234256869992</v>
      </c>
      <c r="H20" s="72" t="n">
        <f aca="false">Loans!Y20</f>
        <v>0</v>
      </c>
      <c r="I20" s="56" t="n">
        <f aca="false">'Debt &amp; cash'!S19*fund_yield</f>
        <v>0.13161376713238</v>
      </c>
      <c r="J20" s="72" t="n">
        <f aca="false">Labour!Q20</f>
        <v>0</v>
      </c>
      <c r="K20" s="72" t="n">
        <f aca="false">Champions!BD20</f>
        <v>0</v>
      </c>
      <c r="L20" s="72" t="n">
        <f aca="false">Abroad!N20</f>
        <v>0.0206723504780024</v>
      </c>
      <c r="M20" s="56" t="n">
        <f aca="false">SUM(B20:L20)</f>
        <v>30.270096715873</v>
      </c>
      <c r="N20" s="56" t="n">
        <f aca="false">(Paths!W20*army_cost+Paths!X20*res_cost)*Economy!H20/1000000</f>
        <v>10.2564</v>
      </c>
      <c r="O20" s="72" t="n">
        <f aca="false">Navy!Y20</f>
        <v>1.45115</v>
      </c>
      <c r="P20" s="56" t="n">
        <f aca="false">SUMPRODUCT((Events!$B$6:$B$400&lt;=$A20)*(Events!$C$6:$C$400&gt;=$A20)*(Events!$E$6:$E$400="War &amp; operations")*Events!$H$6:$H$400)</f>
        <v>1</v>
      </c>
      <c r="Q20" s="56" t="n">
        <f aca="false">Economy!O20*Paths!T20</f>
        <v>6.22661488675677</v>
      </c>
      <c r="R20" s="56" t="n">
        <f aca="false">Economy!O20*Paths!U20</f>
        <v>5.37486096356834</v>
      </c>
      <c r="S20" s="56" t="n">
        <f aca="false">Economy!O20*Paths!V20+SUMPRODUCT((Events!$B$6:$B$400&lt;=$A20)*(Events!$C$6:$C$400&gt;=$A20)*(Events!$E$6:$E$400="Programme")*Events!$H$6:$H$400)+SUMPRODUCT((Events!$B$6:$B$400&lt;=$A20)*(Events!$C$6:$C$400&gt;=$A20)*(Events!$E$6:$E$400="Investment")*Events!$H$6:$H$400)</f>
        <v>2.27973279600204</v>
      </c>
      <c r="T20" s="56" t="n">
        <f aca="false">(People!T20*assist_cost+Labour!AD20*talent_cost+Labour!L20*gw_admin)*Economy!H20/1000000</f>
        <v>2.77660443346725</v>
      </c>
      <c r="U20" s="56" t="n">
        <f aca="false">SUMPRODUCT((Events!$B$6:$B$400&lt;=$A20)*(Events!$C$6:$C$400&gt;=$A20)*(Events!$E$6:$E$400="Purchase")*Events!$H$6:$H$400)</f>
        <v>0</v>
      </c>
      <c r="V20" s="56" t="n">
        <f aca="false">SUMPRODUCT((Events!$B$6:$B$400&lt;=$A20)*(Events!$C$6:$C$400&gt;=$A20)*(Events!$E$6:$E$400="Subsidy &amp; guarantee")*Events!$H$6:$H$400)+SUMPRODUCT((Events!$B$6:$B$400&lt;=$A20)*(Events!$C$6:$C$400&gt;=$A20)*(Events!$E$6:$E$400="Relief")*Events!$H$6:$H$400)</f>
        <v>0</v>
      </c>
      <c r="W20" s="56" t="n">
        <f aca="false">SUMPRODUCT((Events!$B$6:$B$400&lt;=$A20)*(Events!$C$6:$C$400&gt;=$A20)*(Events!$E$6:$E$400="Bank rescue &amp; capital")*Events!$H$6:$H$400)</f>
        <v>0</v>
      </c>
      <c r="X20" s="56" t="n">
        <f aca="false">'Debt &amp; cash'!R19*Paths!Y20</f>
        <v>0.101489930267227</v>
      </c>
      <c r="Y20" s="56" t="n">
        <f aca="false">SUM(N20:X20)</f>
        <v>29.4668530100616</v>
      </c>
      <c r="Z20" s="56" t="n">
        <f aca="false">M20-Y20</f>
        <v>0.803243705811344</v>
      </c>
      <c r="AA20" s="66" t="n">
        <f aca="false">M20/Economy!O20</f>
        <v>0.103061785905754</v>
      </c>
      <c r="AB20" s="66" t="n">
        <f aca="false">Y20/Economy!O20</f>
        <v>0.100326950546108</v>
      </c>
      <c r="AC20" s="66" t="n">
        <f aca="false">(N20+O20+P20)/Economy!O20</f>
        <v>0.0432658940531203</v>
      </c>
    </row>
    <row r="21" customFormat="false" ht="14.25" hidden="false" customHeight="true" outlineLevel="0" collapsed="false">
      <c r="A21" s="64" t="n">
        <v>1861</v>
      </c>
      <c r="B21" s="56" t="n">
        <f aca="false">Economy!O21*Paths!N21*Paths!O21*cust_coll</f>
        <v>8.88619256254498</v>
      </c>
      <c r="C21" s="56" t="n">
        <f aca="false">(Economy!J21+Economy!L21+Economy!M21+Economy!N21)*Paths!P21*Paths!Q21</f>
        <v>28.742468671544</v>
      </c>
      <c r="D21" s="56" t="n">
        <f aca="false">Resources!P21+Resources!Q21</f>
        <v>1.845</v>
      </c>
      <c r="E21" s="56" t="n">
        <f aca="false">Paths!S21*(1-canal_opcost)*canal_share</f>
        <v>0</v>
      </c>
      <c r="F21" s="56" t="n">
        <f aca="false">Economy!O21*Paths!R21</f>
        <v>0.0962515616488101</v>
      </c>
      <c r="G21" s="56" t="n">
        <f aca="false">SUMPRODUCT((Events!$B$6:$B$400&lt;=$A21)*(Events!$C$6:$C$400&gt;=$A21)*(Events!$E$6:$E$400="Receipt")*Events!$H$6:$H$400)+'Land Fund'!O21</f>
        <v>0.664663976664513</v>
      </c>
      <c r="H21" s="72" t="n">
        <f aca="false">Loans!Y21</f>
        <v>0</v>
      </c>
      <c r="I21" s="56" t="n">
        <f aca="false">'Debt &amp; cash'!S20*fund_yield</f>
        <v>0.132877148502895</v>
      </c>
      <c r="J21" s="72" t="n">
        <f aca="false">Labour!Q21</f>
        <v>0</v>
      </c>
      <c r="K21" s="72" t="n">
        <f aca="false">Champions!BD21</f>
        <v>0</v>
      </c>
      <c r="L21" s="72" t="n">
        <f aca="false">Abroad!N21</f>
        <v>0.0235766789561662</v>
      </c>
      <c r="M21" s="56" t="n">
        <f aca="false">SUM(B21:L21)</f>
        <v>40.3910305998613</v>
      </c>
      <c r="N21" s="56" t="n">
        <f aca="false">(Paths!W21*army_cost+Paths!X21*res_cost)*Economy!H21/1000000</f>
        <v>13.508</v>
      </c>
      <c r="O21" s="72" t="n">
        <f aca="false">Navy!Y21</f>
        <v>2.573875</v>
      </c>
      <c r="P21" s="56" t="n">
        <f aca="false">SUMPRODUCT((Events!$B$6:$B$400&lt;=$A21)*(Events!$C$6:$C$400&gt;=$A21)*(Events!$E$6:$E$400="War &amp; operations")*Events!$H$6:$H$400)</f>
        <v>6</v>
      </c>
      <c r="Q21" s="56" t="n">
        <f aca="false">Economy!O21*Paths!T21</f>
        <v>6.64446264285334</v>
      </c>
      <c r="R21" s="56" t="n">
        <f aca="false">Economy!O21*Paths!U21</f>
        <v>5.7129959172197</v>
      </c>
      <c r="S21" s="56" t="n">
        <f aca="false">Economy!O21*Paths!V21+SUMPRODUCT((Events!$B$6:$B$400&lt;=$A21)*(Events!$C$6:$C$400&gt;=$A21)*(Events!$E$6:$E$400="Programme")*Events!$H$6:$H$400)+SUMPRODUCT((Events!$B$6:$B$400&lt;=$A21)*(Events!$C$6:$C$400&gt;=$A21)*(Events!$E$6:$E$400="Investment")*Events!$H$6:$H$400)</f>
        <v>2.41817790553957</v>
      </c>
      <c r="T21" s="56" t="n">
        <f aca="false">(People!T21*assist_cost+Labour!AD21*talent_cost+Labour!L21*gw_admin)*Economy!H21/1000000</f>
        <v>1.90629208568728</v>
      </c>
      <c r="U21" s="56" t="n">
        <f aca="false">SUMPRODUCT((Events!$B$6:$B$400&lt;=$A21)*(Events!$C$6:$C$400&gt;=$A21)*(Events!$E$6:$E$400="Purchase")*Events!$H$6:$H$400)</f>
        <v>0</v>
      </c>
      <c r="V21" s="56" t="n">
        <f aca="false">SUMPRODUCT((Events!$B$6:$B$400&lt;=$A21)*(Events!$C$6:$C$400&gt;=$A21)*(Events!$E$6:$E$400="Subsidy &amp; guarantee")*Events!$H$6:$H$400)+SUMPRODUCT((Events!$B$6:$B$400&lt;=$A21)*(Events!$C$6:$C$400&gt;=$A21)*(Events!$E$6:$E$400="Relief")*Events!$H$6:$H$400)</f>
        <v>0</v>
      </c>
      <c r="W21" s="56" t="n">
        <f aca="false">SUMPRODUCT((Events!$B$6:$B$400&lt;=$A21)*(Events!$C$6:$C$400&gt;=$A21)*(Events!$E$6:$E$400="Bank rescue &amp; capital")*Events!$H$6:$H$400)</f>
        <v>0</v>
      </c>
      <c r="X21" s="56" t="n">
        <f aca="false">'Debt &amp; cash'!R20*Paths!Y21</f>
        <v>0.0916994014128079</v>
      </c>
      <c r="Y21" s="56" t="n">
        <f aca="false">SUM(N21:X21)</f>
        <v>38.8555029527127</v>
      </c>
      <c r="Z21" s="56" t="n">
        <f aca="false">M21-Y21</f>
        <v>1.53552764714863</v>
      </c>
      <c r="AA21" s="66" t="n">
        <f aca="false">M21/Economy!O21</f>
        <v>0.130088481386336</v>
      </c>
      <c r="AB21" s="66" t="n">
        <f aca="false">Y21/Economy!O21</f>
        <v>0.125142966088071</v>
      </c>
      <c r="AC21" s="66" t="n">
        <f aca="false">(N21+O21+P21)/Economy!O21</f>
        <v>0.0711196902443673</v>
      </c>
    </row>
    <row r="22" customFormat="false" ht="14.25" hidden="false" customHeight="true" outlineLevel="0" collapsed="false">
      <c r="A22" s="64" t="n">
        <v>1862</v>
      </c>
      <c r="B22" s="56" t="n">
        <f aca="false">Economy!O22*Paths!N22*Paths!O22*cust_coll</f>
        <v>9.88191641082298</v>
      </c>
      <c r="C22" s="56" t="n">
        <f aca="false">(Economy!J22+Economy!L22+Economy!M22+Economy!N22)*Paths!P22*Paths!Q22</f>
        <v>32.7327591897689</v>
      </c>
      <c r="D22" s="56" t="n">
        <f aca="false">Resources!P22+Resources!Q22</f>
        <v>1.71</v>
      </c>
      <c r="E22" s="56" t="n">
        <f aca="false">Paths!S22*(1-canal_opcost)*canal_share</f>
        <v>0</v>
      </c>
      <c r="F22" s="56" t="n">
        <f aca="false">Economy!O22*Paths!R22</f>
        <v>0.114678103261017</v>
      </c>
      <c r="G22" s="56" t="n">
        <f aca="false">SUMPRODUCT((Events!$B$6:$B$400&lt;=$A22)*(Events!$C$6:$C$400&gt;=$A22)*(Events!$E$6:$E$400="Receipt")*Events!$H$6:$H$400)+'Land Fund'!O22</f>
        <v>0.720810384139033</v>
      </c>
      <c r="H22" s="72" t="n">
        <f aca="false">Loans!Y22</f>
        <v>0</v>
      </c>
      <c r="I22" s="56" t="n">
        <f aca="false">'Debt &amp; cash'!S21*fund_yield</f>
        <v>0.0919408792245394</v>
      </c>
      <c r="J22" s="72" t="n">
        <f aca="false">Labour!Q22</f>
        <v>0</v>
      </c>
      <c r="K22" s="72" t="n">
        <f aca="false">Champions!BD22</f>
        <v>0</v>
      </c>
      <c r="L22" s="72" t="n">
        <f aca="false">Abroad!N22</f>
        <v>0.0265952454900158</v>
      </c>
      <c r="M22" s="56" t="n">
        <f aca="false">SUM(B22:L22)</f>
        <v>45.2787002127065</v>
      </c>
      <c r="N22" s="56" t="n">
        <f aca="false">(Paths!W22*army_cost+Paths!X22*res_cost)*Economy!H22/1000000</f>
        <v>24.7016</v>
      </c>
      <c r="O22" s="72" t="n">
        <f aca="false">Navy!Y22</f>
        <v>3.264536</v>
      </c>
      <c r="P22" s="56" t="n">
        <f aca="false">SUMPRODUCT((Events!$B$6:$B$400&lt;=$A22)*(Events!$C$6:$C$400&gt;=$A22)*(Events!$E$6:$E$400="War &amp; operations")*Events!$H$6:$H$400)</f>
        <v>5</v>
      </c>
      <c r="Q22" s="56" t="n">
        <f aca="false">Economy!O22*Paths!T22</f>
        <v>7.47145218215717</v>
      </c>
      <c r="R22" s="56" t="n">
        <f aca="false">Economy!O22*Paths!U22</f>
        <v>6.42892397069338</v>
      </c>
      <c r="S22" s="56" t="n">
        <f aca="false">Economy!O22*Paths!V22+SUMPRODUCT((Events!$B$6:$B$400&lt;=$A22)*(Events!$C$6:$C$400&gt;=$A22)*(Events!$E$6:$E$400="Programme")*Events!$H$6:$H$400)+SUMPRODUCT((Events!$B$6:$B$400&lt;=$A22)*(Events!$C$6:$C$400&gt;=$A22)*(Events!$E$6:$E$400="Investment")*Events!$H$6:$H$400)</f>
        <v>2.29356206522034</v>
      </c>
      <c r="T22" s="56" t="n">
        <f aca="false">(People!T22*assist_cost+Labour!AD22*talent_cost+Labour!L22*gw_admin)*Economy!H22/1000000</f>
        <v>1.75613979422212</v>
      </c>
      <c r="U22" s="56" t="n">
        <f aca="false">SUMPRODUCT((Events!$B$6:$B$400&lt;=$A22)*(Events!$C$6:$C$400&gt;=$A22)*(Events!$E$6:$E$400="Purchase")*Events!$H$6:$H$400)</f>
        <v>0</v>
      </c>
      <c r="V22" s="56" t="n">
        <f aca="false">SUMPRODUCT((Events!$B$6:$B$400&lt;=$A22)*(Events!$C$6:$C$400&gt;=$A22)*(Events!$E$6:$E$400="Subsidy &amp; guarantee")*Events!$H$6:$H$400)+SUMPRODUCT((Events!$B$6:$B$400&lt;=$A22)*(Events!$C$6:$C$400&gt;=$A22)*(Events!$E$6:$E$400="Relief")*Events!$H$6:$H$400)</f>
        <v>0.8</v>
      </c>
      <c r="W22" s="56" t="n">
        <f aca="false">SUMPRODUCT((Events!$B$6:$B$400&lt;=$A22)*(Events!$C$6:$C$400&gt;=$A22)*(Events!$E$6:$E$400="Bank rescue &amp; capital")*Events!$H$6:$H$400)</f>
        <v>0</v>
      </c>
      <c r="X22" s="56" t="n">
        <f aca="false">'Debt &amp; cash'!R21*Paths!Y22</f>
        <v>0.090287316733775</v>
      </c>
      <c r="Y22" s="56" t="n">
        <f aca="false">SUM(N22:X22)</f>
        <v>51.8065013290268</v>
      </c>
      <c r="Z22" s="56" t="n">
        <f aca="false">M22-Y22</f>
        <v>-6.52780111632032</v>
      </c>
      <c r="AA22" s="66" t="n">
        <f aca="false">M22/Economy!O22</f>
        <v>0.130294891921817</v>
      </c>
      <c r="AB22" s="66" t="n">
        <f aca="false">Y22/Economy!O22</f>
        <v>0.149079422770593</v>
      </c>
      <c r="AC22" s="66" t="n">
        <f aca="false">(N22+O22+P22)/Economy!O22</f>
        <v>0.0948640112684711</v>
      </c>
    </row>
    <row r="23" customFormat="false" ht="14.25" hidden="false" customHeight="true" outlineLevel="0" collapsed="false">
      <c r="A23" s="64" t="n">
        <v>1863</v>
      </c>
      <c r="B23" s="56" t="n">
        <f aca="false">Economy!O23*Paths!N23*Paths!O23*cust_coll</f>
        <v>11.7061524558361</v>
      </c>
      <c r="C23" s="56" t="n">
        <f aca="false">(Economy!J23+Economy!L23+Economy!M23+Economy!N23)*Paths!P23*Paths!Q23</f>
        <v>39.5329240073904</v>
      </c>
      <c r="D23" s="56" t="n">
        <f aca="false">Resources!P23+Resources!Q23</f>
        <v>1.71</v>
      </c>
      <c r="E23" s="56" t="n">
        <f aca="false">Paths!S23*(1-canal_opcost)*canal_share</f>
        <v>0</v>
      </c>
      <c r="F23" s="56" t="n">
        <f aca="false">Economy!O23*Paths!R23</f>
        <v>0.144962190221438</v>
      </c>
      <c r="G23" s="56" t="n">
        <f aca="false">SUMPRODUCT((Events!$B$6:$B$400&lt;=$A23)*(Events!$C$6:$C$400&gt;=$A23)*(Events!$E$6:$E$400="Receipt")*Events!$H$6:$H$400)+'Land Fund'!O23</f>
        <v>0.773802053726007</v>
      </c>
      <c r="H23" s="72" t="n">
        <f aca="false">Loans!Y23</f>
        <v>0</v>
      </c>
      <c r="I23" s="56" t="n">
        <f aca="false">'Debt &amp; cash'!S22*fund_yield</f>
        <v>0</v>
      </c>
      <c r="J23" s="72" t="n">
        <f aca="false">Labour!Q23</f>
        <v>0</v>
      </c>
      <c r="K23" s="72" t="n">
        <f aca="false">Champions!BD23</f>
        <v>0</v>
      </c>
      <c r="L23" s="72" t="n">
        <f aca="false">Abroad!N23</f>
        <v>0.0299675009711705</v>
      </c>
      <c r="M23" s="56" t="n">
        <f aca="false">SUM(B23:L23)</f>
        <v>53.8978082081451</v>
      </c>
      <c r="N23" s="56" t="n">
        <f aca="false">(Paths!W23*army_cost+Paths!X23*res_cost)*Economy!H23/1000000</f>
        <v>27.9797175</v>
      </c>
      <c r="O23" s="72" t="n">
        <f aca="false">Navy!Y23</f>
        <v>4.558677905</v>
      </c>
      <c r="P23" s="56" t="n">
        <f aca="false">SUMPRODUCT((Events!$B$6:$B$400&lt;=$A23)*(Events!$C$6:$C$400&gt;=$A23)*(Events!$E$6:$E$400="War &amp; operations")*Events!$H$6:$H$400)</f>
        <v>5</v>
      </c>
      <c r="Q23" s="56" t="n">
        <f aca="false">Economy!O23*Paths!T23</f>
        <v>8.98765579372915</v>
      </c>
      <c r="R23" s="56" t="n">
        <f aca="false">Economy!O23*Paths!U23</f>
        <v>7.70370496605355</v>
      </c>
      <c r="S23" s="56" t="n">
        <f aca="false">Economy!O23*Paths!V23+SUMPRODUCT((Events!$B$6:$B$400&lt;=$A23)*(Events!$C$6:$C$400&gt;=$A23)*(Events!$E$6:$E$400="Programme")*Events!$H$6:$H$400)+SUMPRODUCT((Events!$B$6:$B$400&lt;=$A23)*(Events!$C$6:$C$400&gt;=$A23)*(Events!$E$6:$E$400="Investment")*Events!$H$6:$H$400)</f>
        <v>2.77499049852467</v>
      </c>
      <c r="T23" s="56" t="n">
        <f aca="false">(People!T23*assist_cost+Labour!AD23*talent_cost+Labour!L23*gw_admin)*Economy!H23/1000000</f>
        <v>1.69763772950874</v>
      </c>
      <c r="U23" s="56" t="n">
        <f aca="false">SUMPRODUCT((Events!$B$6:$B$400&lt;=$A23)*(Events!$C$6:$C$400&gt;=$A23)*(Events!$E$6:$E$400="Purchase")*Events!$H$6:$H$400)</f>
        <v>0</v>
      </c>
      <c r="V23" s="56" t="n">
        <f aca="false">SUMPRODUCT((Events!$B$6:$B$400&lt;=$A23)*(Events!$C$6:$C$400&gt;=$A23)*(Events!$E$6:$E$400="Subsidy &amp; guarantee")*Events!$H$6:$H$400)+SUMPRODUCT((Events!$B$6:$B$400&lt;=$A23)*(Events!$C$6:$C$400&gt;=$A23)*(Events!$E$6:$E$400="Relief")*Events!$H$6:$H$400)</f>
        <v>0.8</v>
      </c>
      <c r="W23" s="56" t="n">
        <f aca="false">SUMPRODUCT((Events!$B$6:$B$400&lt;=$A23)*(Events!$C$6:$C$400&gt;=$A23)*(Events!$E$6:$E$400="Bank rescue &amp; capital")*Events!$H$6:$H$400)</f>
        <v>0</v>
      </c>
      <c r="X23" s="56" t="n">
        <f aca="false">'Debt &amp; cash'!R22*Paths!Y23</f>
        <v>0.453241799765749</v>
      </c>
      <c r="Y23" s="56" t="n">
        <f aca="false">SUM(N23:X23)</f>
        <v>59.9556261925819</v>
      </c>
      <c r="Z23" s="56" t="n">
        <f aca="false">M23-Y23</f>
        <v>-6.05781798443672</v>
      </c>
      <c r="AA23" s="66" t="n">
        <f aca="false">M23/Economy!O23</f>
        <v>0.130132090609521</v>
      </c>
      <c r="AB23" s="66" t="n">
        <f aca="false">Y23/Economy!O23</f>
        <v>0.144758223750267</v>
      </c>
      <c r="AC23" s="66" t="n">
        <f aca="false">(N23+O23+P23)/Economy!O23</f>
        <v>0.0906335532850346</v>
      </c>
    </row>
    <row r="24" customFormat="false" ht="14.25" hidden="false" customHeight="true" outlineLevel="0" collapsed="false">
      <c r="A24" s="64" t="n">
        <v>1864</v>
      </c>
      <c r="B24" s="56" t="n">
        <f aca="false">Economy!O24*Paths!N24*Paths!O24*cust_coll</f>
        <v>13.654540487638</v>
      </c>
      <c r="C24" s="56" t="n">
        <f aca="false">(Economy!J24+Economy!L24+Economy!M24+Economy!N24)*Paths!P24*Paths!Q24</f>
        <v>45.3872265576593</v>
      </c>
      <c r="D24" s="56" t="n">
        <f aca="false">Resources!P24+Resources!Q24</f>
        <v>2.655</v>
      </c>
      <c r="E24" s="56" t="n">
        <f aca="false">Paths!S24*(1-canal_opcost)*canal_share</f>
        <v>0</v>
      </c>
      <c r="F24" s="56" t="n">
        <f aca="false">Economy!O24*Paths!R24</f>
        <v>0.18478366756775</v>
      </c>
      <c r="G24" s="56" t="n">
        <f aca="false">SUMPRODUCT((Events!$B$6:$B$400&lt;=$A24)*(Events!$C$6:$C$400&gt;=$A24)*(Events!$E$6:$E$400="Receipt")*Events!$H$6:$H$400)+'Land Fund'!O24</f>
        <v>0.833845789950716</v>
      </c>
      <c r="H24" s="72" t="n">
        <f aca="false">Loans!Y24</f>
        <v>0</v>
      </c>
      <c r="I24" s="56" t="n">
        <f aca="false">'Debt &amp; cash'!S23*fund_yield</f>
        <v>0</v>
      </c>
      <c r="J24" s="72" t="n">
        <f aca="false">Labour!Q24</f>
        <v>0</v>
      </c>
      <c r="K24" s="72" t="n">
        <f aca="false">Champions!BD24</f>
        <v>0</v>
      </c>
      <c r="L24" s="72" t="n">
        <f aca="false">Abroad!N24</f>
        <v>0.0340386081781989</v>
      </c>
      <c r="M24" s="56" t="n">
        <f aca="false">SUM(B24:L24)</f>
        <v>62.749435110994</v>
      </c>
      <c r="N24" s="56" t="n">
        <f aca="false">(Paths!W24*army_cost+Paths!X24*res_cost)*Economy!H24/1000000</f>
        <v>28.801836</v>
      </c>
      <c r="O24" s="72" t="n">
        <f aca="false">Navy!Y24</f>
        <v>4.85373945</v>
      </c>
      <c r="P24" s="56" t="n">
        <f aca="false">SUMPRODUCT((Events!$B$6:$B$400&lt;=$A24)*(Events!$C$6:$C$400&gt;=$A24)*(Events!$E$6:$E$400="War &amp; operations")*Events!$H$6:$H$400)</f>
        <v>5</v>
      </c>
      <c r="Q24" s="56" t="n">
        <f aca="false">Economy!O24*Paths!T24</f>
        <v>10.6007472446762</v>
      </c>
      <c r="R24" s="56" t="n">
        <f aca="false">Economy!O24*Paths!U24</f>
        <v>9.09330153557088</v>
      </c>
      <c r="S24" s="56" t="n">
        <f aca="false">Economy!O24*Paths!V24+SUMPRODUCT((Events!$B$6:$B$400&lt;=$A24)*(Events!$C$6:$C$400&gt;=$A24)*(Events!$E$6:$E$400="Programme")*Events!$H$6:$H$400)+SUMPRODUCT((Events!$B$6:$B$400&lt;=$A24)*(Events!$C$6:$C$400&gt;=$A24)*(Events!$E$6:$E$400="Investment")*Events!$H$6:$H$400)</f>
        <v>3.30665510384396</v>
      </c>
      <c r="T24" s="56" t="n">
        <f aca="false">(People!T24*assist_cost+Labour!AD24*talent_cost+Labour!L24*gw_admin)*Economy!H24/1000000</f>
        <v>2.00419793315732</v>
      </c>
      <c r="U24" s="56" t="n">
        <f aca="false">SUMPRODUCT((Events!$B$6:$B$400&lt;=$A24)*(Events!$C$6:$C$400&gt;=$A24)*(Events!$E$6:$E$400="Purchase")*Events!$H$6:$H$400)</f>
        <v>0</v>
      </c>
      <c r="V24" s="56" t="n">
        <f aca="false">SUMPRODUCT((Events!$B$6:$B$400&lt;=$A24)*(Events!$C$6:$C$400&gt;=$A24)*(Events!$E$6:$E$400="Subsidy &amp; guarantee")*Events!$H$6:$H$400)+SUMPRODUCT((Events!$B$6:$B$400&lt;=$A24)*(Events!$C$6:$C$400&gt;=$A24)*(Events!$E$6:$E$400="Relief")*Events!$H$6:$H$400)</f>
        <v>0.8</v>
      </c>
      <c r="W24" s="56" t="n">
        <f aca="false">SUMPRODUCT((Events!$B$6:$B$400&lt;=$A24)*(Events!$C$6:$C$400&gt;=$A24)*(Events!$E$6:$E$400="Bank rescue &amp; capital")*Events!$H$6:$H$400)</f>
        <v>0</v>
      </c>
      <c r="X24" s="56" t="n">
        <f aca="false">'Debt &amp; cash'!R23*Paths!Y24</f>
        <v>1.00271697774649</v>
      </c>
      <c r="Y24" s="56" t="n">
        <f aca="false">SUM(N24:X24)</f>
        <v>65.4631942449949</v>
      </c>
      <c r="Z24" s="56" t="n">
        <f aca="false">M24-Y24</f>
        <v>-2.71375913400088</v>
      </c>
      <c r="AA24" s="66" t="n">
        <f aca="false">M24/Economy!O24</f>
        <v>0.129041628278295</v>
      </c>
      <c r="AB24" s="66" t="n">
        <f aca="false">Y24/Economy!O24</f>
        <v>0.134622362141272</v>
      </c>
      <c r="AC24" s="66" t="n">
        <f aca="false">(N24+O24+P24)/Economy!O24</f>
        <v>0.0794935984567699</v>
      </c>
    </row>
    <row r="25" customFormat="false" ht="14.25" hidden="false" customHeight="true" outlineLevel="0" collapsed="false">
      <c r="A25" s="64" t="n">
        <v>1865</v>
      </c>
      <c r="B25" s="56" t="n">
        <f aca="false">Economy!O25*Paths!N25*Paths!O25*cust_coll</f>
        <v>14.8052552556519</v>
      </c>
      <c r="C25" s="56" t="n">
        <f aca="false">(Economy!J25+Economy!L25+Economy!M25+Economy!N25)*Paths!P25*Paths!Q25</f>
        <v>49.9925246410465</v>
      </c>
      <c r="D25" s="56" t="n">
        <f aca="false">Resources!P25+Resources!Q25</f>
        <v>2.61</v>
      </c>
      <c r="E25" s="56" t="n">
        <f aca="false">Paths!S25*(1-canal_opcost)*canal_share</f>
        <v>0</v>
      </c>
      <c r="F25" s="56" t="n">
        <f aca="false">Economy!O25*Paths!R25</f>
        <v>0.212289116239398</v>
      </c>
      <c r="G25" s="56" t="n">
        <f aca="false">SUMPRODUCT((Events!$B$6:$B$400&lt;=$A25)*(Events!$C$6:$C$400&gt;=$A25)*(Events!$E$6:$E$400="Receipt")*Events!$H$6:$H$400)+'Land Fund'!O25</f>
        <v>0.901841627097689</v>
      </c>
      <c r="H25" s="72" t="n">
        <f aca="false">Loans!Y25</f>
        <v>0</v>
      </c>
      <c r="I25" s="56" t="n">
        <f aca="false">'Debt &amp; cash'!S24*fund_yield</f>
        <v>0</v>
      </c>
      <c r="J25" s="72" t="n">
        <f aca="false">Labour!Q25</f>
        <v>0</v>
      </c>
      <c r="K25" s="72" t="n">
        <f aca="false">Champions!BD25</f>
        <v>0</v>
      </c>
      <c r="L25" s="72" t="n">
        <f aca="false">Abroad!N25</f>
        <v>0.0388527236455188</v>
      </c>
      <c r="M25" s="56" t="n">
        <f aca="false">SUM(B25:L25)</f>
        <v>68.560763363681</v>
      </c>
      <c r="N25" s="56" t="n">
        <f aca="false">(Paths!W25*army_cost+Paths!X25*res_cost)*Economy!H25/1000000</f>
        <v>22.99</v>
      </c>
      <c r="O25" s="72" t="n">
        <f aca="false">Navy!Y25</f>
        <v>3.77429</v>
      </c>
      <c r="P25" s="56" t="n">
        <f aca="false">SUMPRODUCT((Events!$B$6:$B$400&lt;=$A25)*(Events!$C$6:$C$400&gt;=$A25)*(Events!$E$6:$E$400="War &amp; operations")*Events!$H$6:$H$400)</f>
        <v>0</v>
      </c>
      <c r="Q25" s="56" t="n">
        <f aca="false">Economy!O25*Paths!T25</f>
        <v>11.6759013931669</v>
      </c>
      <c r="R25" s="56" t="n">
        <f aca="false">Economy!O25*Paths!U25</f>
        <v>9.92451618419187</v>
      </c>
      <c r="S25" s="56" t="n">
        <f aca="false">Economy!O25*Paths!V25+SUMPRODUCT((Events!$B$6:$B$400&lt;=$A25)*(Events!$C$6:$C$400&gt;=$A25)*(Events!$E$6:$E$400="Programme")*Events!$H$6:$H$400)+SUMPRODUCT((Events!$B$6:$B$400&lt;=$A25)*(Events!$C$6:$C$400&gt;=$A25)*(Events!$E$6:$E$400="Investment")*Events!$H$6:$H$400)</f>
        <v>3.66198725512962</v>
      </c>
      <c r="T25" s="56" t="n">
        <f aca="false">(People!T25*assist_cost+Labour!AD25*talent_cost+Labour!L25*gw_admin)*Economy!H25/1000000</f>
        <v>2.70981280931141</v>
      </c>
      <c r="U25" s="56" t="n">
        <f aca="false">SUMPRODUCT((Events!$B$6:$B$400&lt;=$A25)*(Events!$C$6:$C$400&gt;=$A25)*(Events!$E$6:$E$400="Purchase")*Events!$H$6:$H$400)</f>
        <v>0</v>
      </c>
      <c r="V25" s="56" t="n">
        <f aca="false">SUMPRODUCT((Events!$B$6:$B$400&lt;=$A25)*(Events!$C$6:$C$400&gt;=$A25)*(Events!$E$6:$E$400="Subsidy &amp; guarantee")*Events!$H$6:$H$400)+SUMPRODUCT((Events!$B$6:$B$400&lt;=$A25)*(Events!$C$6:$C$400&gt;=$A25)*(Events!$E$6:$E$400="Relief")*Events!$H$6:$H$400)</f>
        <v>2</v>
      </c>
      <c r="W25" s="56" t="n">
        <f aca="false">SUMPRODUCT((Events!$B$6:$B$400&lt;=$A25)*(Events!$C$6:$C$400&gt;=$A25)*(Events!$E$6:$E$400="Bank rescue &amp; capital")*Events!$H$6:$H$400)</f>
        <v>0</v>
      </c>
      <c r="X25" s="56" t="n">
        <f aca="false">'Debt &amp; cash'!R24*Paths!Y25</f>
        <v>1.3381268771343</v>
      </c>
      <c r="Y25" s="56" t="n">
        <f aca="false">SUM(N25:X25)</f>
        <v>58.0746345189341</v>
      </c>
      <c r="Z25" s="56" t="n">
        <f aca="false">M25-Y25</f>
        <v>10.4861288447469</v>
      </c>
      <c r="AA25" s="66" t="n">
        <f aca="false">M25/Economy!O25</f>
        <v>0.129183755772698</v>
      </c>
      <c r="AB25" s="66" t="n">
        <f aca="false">Y25/Economy!O25</f>
        <v>0.10942555237442</v>
      </c>
      <c r="AC25" s="66" t="n">
        <f aca="false">(N25+O25+P25)/Economy!O25</f>
        <v>0.0504298863250586</v>
      </c>
    </row>
    <row r="26" customFormat="false" ht="14.25" hidden="false" customHeight="true" outlineLevel="0" collapsed="false">
      <c r="A26" s="61" t="n">
        <v>1866</v>
      </c>
      <c r="B26" s="56" t="n">
        <f aca="false">Economy!O26*Paths!N26*Paths!O26*cust_coll</f>
        <v>15.7578822247378</v>
      </c>
      <c r="C26" s="56" t="n">
        <f aca="false">(Economy!J26+Economy!L26+Economy!M26+Economy!N26)*Paths!P26*Paths!Q26</f>
        <v>51.728552460291</v>
      </c>
      <c r="D26" s="56" t="n">
        <f aca="false">Resources!P26+Resources!Q26</f>
        <v>2.52</v>
      </c>
      <c r="E26" s="56" t="n">
        <f aca="false">Paths!S26*(1-canal_opcost)*canal_share</f>
        <v>0</v>
      </c>
      <c r="F26" s="56" t="n">
        <f aca="false">Economy!O26*Paths!R26</f>
        <v>0.238724788064677</v>
      </c>
      <c r="G26" s="56" t="n">
        <f aca="false">SUMPRODUCT((Events!$B$6:$B$400&lt;=$A26)*(Events!$C$6:$C$400&gt;=$A26)*(Events!$E$6:$E$400="Receipt")*Events!$H$6:$H$400)+'Land Fund'!O26</f>
        <v>0.94605166913221</v>
      </c>
      <c r="H26" s="72" t="n">
        <f aca="false">Loans!Y26</f>
        <v>0</v>
      </c>
      <c r="I26" s="56" t="n">
        <f aca="false">'Debt &amp; cash'!S25*fund_yield</f>
        <v>0.0689725234781168</v>
      </c>
      <c r="J26" s="72" t="n">
        <f aca="false">Labour!Q26</f>
        <v>0</v>
      </c>
      <c r="K26" s="72" t="n">
        <f aca="false">Champions!BD26</f>
        <v>0</v>
      </c>
      <c r="L26" s="72" t="n">
        <f aca="false">Abroad!N26</f>
        <v>0.0440558154233352</v>
      </c>
      <c r="M26" s="56" t="n">
        <f aca="false">SUM(B26:L26)</f>
        <v>71.3042394811271</v>
      </c>
      <c r="N26" s="56" t="n">
        <f aca="false">(Paths!W26*army_cost+Paths!X26*res_cost)*Economy!H26/1000000</f>
        <v>16.34</v>
      </c>
      <c r="O26" s="72" t="n">
        <f aca="false">Navy!Y26</f>
        <v>3.818265</v>
      </c>
      <c r="P26" s="56" t="n">
        <f aca="false">SUMPRODUCT((Events!$B$6:$B$400&lt;=$A26)*(Events!$C$6:$C$400&gt;=$A26)*(Events!$E$6:$E$400="War &amp; operations")*Events!$H$6:$H$400)</f>
        <v>0</v>
      </c>
      <c r="Q26" s="56" t="n">
        <f aca="false">Economy!O26*Paths!T26</f>
        <v>12.6751494615293</v>
      </c>
      <c r="R26" s="56" t="n">
        <f aca="false">Economy!O26*Paths!U26</f>
        <v>10.685776227657</v>
      </c>
      <c r="S26" s="56" t="n">
        <f aca="false">Economy!O26*Paths!V26+SUMPRODUCT((Events!$B$6:$B$400&lt;=$A26)*(Events!$C$6:$C$400&gt;=$A26)*(Events!$E$6:$E$400="Programme")*Events!$H$6:$H$400)+SUMPRODUCT((Events!$B$6:$B$400&lt;=$A26)*(Events!$C$6:$C$400&gt;=$A26)*(Events!$E$6:$E$400="Investment")*Events!$H$6:$H$400)</f>
        <v>3.97874646774462</v>
      </c>
      <c r="T26" s="56" t="n">
        <f aca="false">(People!T26*assist_cost+Labour!AD26*talent_cost+Labour!L26*gw_admin)*Economy!H26/1000000</f>
        <v>4.01266554181578</v>
      </c>
      <c r="U26" s="56" t="n">
        <f aca="false">SUMPRODUCT((Events!$B$6:$B$400&lt;=$A26)*(Events!$C$6:$C$400&gt;=$A26)*(Events!$E$6:$E$400="Purchase")*Events!$H$6:$H$400)</f>
        <v>5.71428571428571</v>
      </c>
      <c r="V26" s="56" t="n">
        <f aca="false">SUMPRODUCT((Events!$B$6:$B$400&lt;=$A26)*(Events!$C$6:$C$400&gt;=$A26)*(Events!$E$6:$E$400="Subsidy &amp; guarantee")*Events!$H$6:$H$400)+SUMPRODUCT((Events!$B$6:$B$400&lt;=$A26)*(Events!$C$6:$C$400&gt;=$A26)*(Events!$E$6:$E$400="Relief")*Events!$H$6:$H$400)</f>
        <v>0</v>
      </c>
      <c r="W26" s="56" t="n">
        <f aca="false">SUMPRODUCT((Events!$B$6:$B$400&lt;=$A26)*(Events!$C$6:$C$400&gt;=$A26)*(Events!$E$6:$E$400="Bank rescue &amp; capital")*Events!$H$6:$H$400)</f>
        <v>0</v>
      </c>
      <c r="X26" s="56" t="n">
        <f aca="false">'Debt &amp; cash'!R25*Paths!Y26</f>
        <v>0.853748628431719</v>
      </c>
      <c r="Y26" s="56" t="n">
        <f aca="false">SUM(N26:X26)</f>
        <v>58.0786370414641</v>
      </c>
      <c r="Z26" s="56" t="n">
        <f aca="false">M26-Y26</f>
        <v>13.225602439663</v>
      </c>
      <c r="AA26" s="66" t="n">
        <f aca="false">M26/Economy!O26</f>
        <v>0.125448977564742</v>
      </c>
      <c r="AB26" s="66" t="n">
        <f aca="false">Y26/Economy!O26</f>
        <v>0.102180539168836</v>
      </c>
      <c r="AC26" s="66" t="n">
        <f aca="false">(N26+O26+P26)/Economy!O26</f>
        <v>0.0354654050324518</v>
      </c>
    </row>
    <row r="27" customFormat="false" ht="14.25" hidden="false" customHeight="true" outlineLevel="0" collapsed="false">
      <c r="A27" s="61" t="n">
        <v>1867</v>
      </c>
      <c r="B27" s="56" t="n">
        <f aca="false">Economy!O27*Paths!N27*Paths!O27*cust_coll</f>
        <v>16.9758523773412</v>
      </c>
      <c r="C27" s="56" t="n">
        <f aca="false">(Economy!J27+Economy!L27+Economy!M27+Economy!N27)*Paths!P27*Paths!Q27</f>
        <v>56.8325470183405</v>
      </c>
      <c r="D27" s="56" t="n">
        <f aca="false">Resources!P27+Resources!Q27</f>
        <v>2.25</v>
      </c>
      <c r="E27" s="56" t="n">
        <f aca="false">Paths!S27*(1-canal_opcost)*canal_share</f>
        <v>0</v>
      </c>
      <c r="F27" s="56" t="n">
        <f aca="false">Economy!O27*Paths!R27</f>
        <v>0.27121913747386</v>
      </c>
      <c r="G27" s="56" t="n">
        <f aca="false">SUMPRODUCT((Events!$B$6:$B$400&lt;=$A27)*(Events!$C$6:$C$400&gt;=$A27)*(Events!$E$6:$E$400="Receipt")*Events!$H$6:$H$400)+'Land Fund'!O27</f>
        <v>0.96360700484673</v>
      </c>
      <c r="H27" s="72" t="n">
        <f aca="false">Loans!Y27</f>
        <v>0</v>
      </c>
      <c r="I27" s="56" t="n">
        <f aca="false">'Debt &amp; cash'!S26*fund_yield</f>
        <v>0.167165977377184</v>
      </c>
      <c r="J27" s="72" t="n">
        <f aca="false">Labour!Q27</f>
        <v>0</v>
      </c>
      <c r="K27" s="72" t="n">
        <f aca="false">Champions!BD27</f>
        <v>0</v>
      </c>
      <c r="L27" s="72" t="n">
        <f aca="false">Abroad!N27</f>
        <v>0.0514898543242934</v>
      </c>
      <c r="M27" s="56" t="n">
        <f aca="false">SUM(B27:L27)</f>
        <v>77.5118813697038</v>
      </c>
      <c r="N27" s="56" t="n">
        <f aca="false">(Paths!W27*army_cost+Paths!X27*res_cost)*Economy!H27/1000000</f>
        <v>13.68</v>
      </c>
      <c r="O27" s="72" t="n">
        <f aca="false">Navy!Y27</f>
        <v>4.7817675</v>
      </c>
      <c r="P27" s="56" t="n">
        <f aca="false">SUMPRODUCT((Events!$B$6:$B$400&lt;=$A27)*(Events!$C$6:$C$400&gt;=$A27)*(Events!$E$6:$E$400="War &amp; operations")*Events!$H$6:$H$400)</f>
        <v>0</v>
      </c>
      <c r="Q27" s="56" t="n">
        <f aca="false">Economy!O27*Paths!T27</f>
        <v>13.8691604390042</v>
      </c>
      <c r="R27" s="56" t="n">
        <f aca="false">Economy!O27*Paths!U27</f>
        <v>11.6500947687635</v>
      </c>
      <c r="S27" s="56" t="n">
        <f aca="false">Economy!O27*Paths!V27+SUMPRODUCT((Events!$B$6:$B$400&lt;=$A27)*(Events!$C$6:$C$400&gt;=$A27)*(Events!$E$6:$E$400="Programme")*Events!$H$6:$H$400)+SUMPRODUCT((Events!$B$6:$B$400&lt;=$A27)*(Events!$C$6:$C$400&gt;=$A27)*(Events!$E$6:$E$400="Investment")*Events!$H$6:$H$400)</f>
        <v>4.37649062741911</v>
      </c>
      <c r="T27" s="56" t="n">
        <f aca="false">(People!T27*assist_cost+Labour!AD27*talent_cost+Labour!L27*gw_admin)*Economy!H27/1000000</f>
        <v>3.98127367766837</v>
      </c>
      <c r="U27" s="56" t="n">
        <f aca="false">SUMPRODUCT((Events!$B$6:$B$400&lt;=$A27)*(Events!$C$6:$C$400&gt;=$A27)*(Events!$E$6:$E$400="Purchase")*Events!$H$6:$H$400)</f>
        <v>13.9142857142857</v>
      </c>
      <c r="V27" s="56" t="n">
        <f aca="false">SUMPRODUCT((Events!$B$6:$B$400&lt;=$A27)*(Events!$C$6:$C$400&gt;=$A27)*(Events!$E$6:$E$400="Subsidy &amp; guarantee")*Events!$H$6:$H$400)+SUMPRODUCT((Events!$B$6:$B$400&lt;=$A27)*(Events!$C$6:$C$400&gt;=$A27)*(Events!$E$6:$E$400="Relief")*Events!$H$6:$H$400)</f>
        <v>1</v>
      </c>
      <c r="W27" s="56" t="n">
        <f aca="false">SUMPRODUCT((Events!$B$6:$B$400&lt;=$A27)*(Events!$C$6:$C$400&gt;=$A27)*(Events!$E$6:$E$400="Bank rescue &amp; capital")*Events!$H$6:$H$400)</f>
        <v>0</v>
      </c>
      <c r="X27" s="56" t="n">
        <f aca="false">'Debt &amp; cash'!R26*Paths!Y27</f>
        <v>0.203054866683927</v>
      </c>
      <c r="Y27" s="56" t="n">
        <f aca="false">SUM(N27:X27)</f>
        <v>67.4561275938249</v>
      </c>
      <c r="Z27" s="56" t="n">
        <f aca="false">M27-Y27</f>
        <v>10.0557537758789</v>
      </c>
      <c r="AA27" s="66" t="n">
        <f aca="false">M27/Economy!O27</f>
        <v>0.125747866173185</v>
      </c>
      <c r="AB27" s="66" t="n">
        <f aca="false">Y27/Economy!O27</f>
        <v>0.109434372580525</v>
      </c>
      <c r="AC27" s="66" t="n">
        <f aca="false">(N27+O27+P27)/Economy!O27</f>
        <v>0.0299506066410336</v>
      </c>
    </row>
    <row r="28" customFormat="false" ht="14.25" hidden="false" customHeight="true" outlineLevel="0" collapsed="false">
      <c r="A28" s="61" t="n">
        <v>1868</v>
      </c>
      <c r="B28" s="56" t="n">
        <f aca="false">Economy!O28*Paths!N28*Paths!O28*cust_coll</f>
        <v>18.2408721260533</v>
      </c>
      <c r="C28" s="56" t="n">
        <f aca="false">(Economy!J28+Economy!L28+Economy!M28+Economy!N28)*Paths!P28*Paths!Q28</f>
        <v>62.2588919741525</v>
      </c>
      <c r="D28" s="56" t="n">
        <f aca="false">Resources!P28+Resources!Q28</f>
        <v>1.92</v>
      </c>
      <c r="E28" s="56" t="n">
        <f aca="false">Paths!S28*(1-canal_opcost)*canal_share</f>
        <v>0</v>
      </c>
      <c r="F28" s="56" t="n">
        <f aca="false">Economy!O28*Paths!R28</f>
        <v>0.306721687721502</v>
      </c>
      <c r="G28" s="56" t="n">
        <f aca="false">SUMPRODUCT((Events!$B$6:$B$400&lt;=$A28)*(Events!$C$6:$C$400&gt;=$A28)*(Events!$E$6:$E$400="Receipt")*Events!$H$6:$H$400)+'Land Fund'!O28</f>
        <v>1.00564074864125</v>
      </c>
      <c r="H28" s="72" t="n">
        <f aca="false">Loans!Y28</f>
        <v>0.5</v>
      </c>
      <c r="I28" s="56" t="n">
        <f aca="false">'Debt &amp; cash'!S27*fund_yield</f>
        <v>0.104765560260108</v>
      </c>
      <c r="J28" s="72" t="n">
        <f aca="false">Labour!Q28</f>
        <v>0</v>
      </c>
      <c r="K28" s="72" t="n">
        <f aca="false">Champions!BD28</f>
        <v>0</v>
      </c>
      <c r="L28" s="72" t="n">
        <f aca="false">Abroad!N28</f>
        <v>0.0575587308506246</v>
      </c>
      <c r="M28" s="56" t="n">
        <f aca="false">SUM(B28:L28)</f>
        <v>84.3944508276792</v>
      </c>
      <c r="N28" s="56" t="n">
        <f aca="false">(Paths!W28*army_cost+Paths!X28*res_cost)*Economy!H28/1000000</f>
        <v>13.68</v>
      </c>
      <c r="O28" s="72" t="n">
        <f aca="false">Navy!Y28</f>
        <v>6.100655</v>
      </c>
      <c r="P28" s="56" t="n">
        <f aca="false">SUMPRODUCT((Events!$B$6:$B$400&lt;=$A28)*(Events!$C$6:$C$400&gt;=$A28)*(Events!$E$6:$E$400="War &amp; operations")*Events!$H$6:$H$400)</f>
        <v>0.5</v>
      </c>
      <c r="Q28" s="56" t="n">
        <f aca="false">Economy!O28*Paths!T28</f>
        <v>15.202727130544</v>
      </c>
      <c r="R28" s="56" t="n">
        <f aca="false">Economy!O28*Paths!U28</f>
        <v>12.6689392754533</v>
      </c>
      <c r="S28" s="56" t="n">
        <f aca="false">Economy!O28*Paths!V28+SUMPRODUCT((Events!$B$6:$B$400&lt;=$A28)*(Events!$C$6:$C$400&gt;=$A28)*(Events!$E$6:$E$400="Programme")*Events!$H$6:$H$400)+SUMPRODUCT((Events!$B$6:$B$400&lt;=$A28)*(Events!$C$6:$C$400&gt;=$A28)*(Events!$E$6:$E$400="Investment")*Events!$H$6:$H$400)</f>
        <v>4.95086119911916</v>
      </c>
      <c r="T28" s="56" t="n">
        <f aca="false">(People!T28*assist_cost+Labour!AD28*talent_cost+Labour!L28*gw_admin)*Economy!H28/1000000</f>
        <v>4.00682459245252</v>
      </c>
      <c r="U28" s="56" t="n">
        <f aca="false">SUMPRODUCT((Events!$B$6:$B$400&lt;=$A28)*(Events!$C$6:$C$400&gt;=$A28)*(Events!$E$6:$E$400="Purchase")*Events!$H$6:$H$400)</f>
        <v>6.71428571428571</v>
      </c>
      <c r="V28" s="56" t="n">
        <f aca="false">SUMPRODUCT((Events!$B$6:$B$400&lt;=$A28)*(Events!$C$6:$C$400&gt;=$A28)*(Events!$E$6:$E$400="Subsidy &amp; guarantee")*Events!$H$6:$H$400)+SUMPRODUCT((Events!$B$6:$B$400&lt;=$A28)*(Events!$C$6:$C$400&gt;=$A28)*(Events!$E$6:$E$400="Relief")*Events!$H$6:$H$400)</f>
        <v>1</v>
      </c>
      <c r="W28" s="56" t="n">
        <f aca="false">SUMPRODUCT((Events!$B$6:$B$400&lt;=$A28)*(Events!$C$6:$C$400&gt;=$A28)*(Events!$E$6:$E$400="Bank rescue &amp; capital")*Events!$H$6:$H$400)</f>
        <v>0</v>
      </c>
      <c r="X28" s="56" t="n">
        <f aca="false">'Debt &amp; cash'!R27*Paths!Y28</f>
        <v>0.196803586354255</v>
      </c>
      <c r="Y28" s="56" t="n">
        <f aca="false">SUM(N28:X28)</f>
        <v>65.021096498209</v>
      </c>
      <c r="Z28" s="56" t="n">
        <f aca="false">M28-Y28</f>
        <v>19.3733543294702</v>
      </c>
      <c r="AA28" s="66" t="n">
        <f aca="false">M28/Economy!O28</f>
        <v>0.12656896768246</v>
      </c>
      <c r="AB28" s="66" t="n">
        <f aca="false">Y28/Economy!O28</f>
        <v>0.0975141491016235</v>
      </c>
      <c r="AC28" s="66" t="n">
        <f aca="false">(N28+O28+P28)/Economy!O28</f>
        <v>0.0304155254533897</v>
      </c>
    </row>
    <row r="29" customFormat="false" ht="14.25" hidden="false" customHeight="true" outlineLevel="0" collapsed="false">
      <c r="A29" s="61" t="n">
        <v>1869</v>
      </c>
      <c r="B29" s="56" t="n">
        <f aca="false">Economy!O29*Paths!N29*Paths!O29*cust_coll</f>
        <v>19.5169156300541</v>
      </c>
      <c r="C29" s="56" t="n">
        <f aca="false">(Economy!J29+Economy!L29+Economy!M29+Economy!N29)*Paths!P29*Paths!Q29</f>
        <v>67.2845723659775</v>
      </c>
      <c r="D29" s="56" t="n">
        <f aca="false">Resources!P29+Resources!Q29</f>
        <v>1.905</v>
      </c>
      <c r="E29" s="56" t="n">
        <f aca="false">Paths!S29*(1-canal_opcost)*canal_share</f>
        <v>0</v>
      </c>
      <c r="F29" s="56" t="n">
        <f aca="false">Economy!O29*Paths!R29</f>
        <v>0.344623946144954</v>
      </c>
      <c r="G29" s="56" t="n">
        <f aca="false">SUMPRODUCT((Events!$B$6:$B$400&lt;=$A29)*(Events!$C$6:$C$400&gt;=$A29)*(Events!$E$6:$E$400="Receipt")*Events!$H$6:$H$400)+'Land Fund'!O29</f>
        <v>1.05264845887577</v>
      </c>
      <c r="H29" s="72" t="n">
        <f aca="false">Loans!Y29</f>
        <v>0.48</v>
      </c>
      <c r="I29" s="56" t="n">
        <f aca="false">'Debt &amp; cash'!S28*fund_yield</f>
        <v>0.701720724802403</v>
      </c>
      <c r="J29" s="72" t="n">
        <f aca="false">Labour!Q29</f>
        <v>0</v>
      </c>
      <c r="K29" s="72" t="n">
        <f aca="false">Champions!BD29</f>
        <v>0</v>
      </c>
      <c r="L29" s="72" t="n">
        <f aca="false">Abroad!N29</f>
        <v>0.065181666176191</v>
      </c>
      <c r="M29" s="56" t="n">
        <f aca="false">SUM(B29:L29)</f>
        <v>91.3506627920309</v>
      </c>
      <c r="N29" s="56" t="n">
        <f aca="false">(Paths!W29*army_cost+Paths!X29*res_cost)*Economy!H29/1000000</f>
        <v>13.68</v>
      </c>
      <c r="O29" s="72" t="n">
        <f aca="false">Navy!Y29</f>
        <v>6.9993225</v>
      </c>
      <c r="P29" s="56" t="n">
        <f aca="false">SUMPRODUCT((Events!$B$6:$B$400&lt;=$A29)*(Events!$C$6:$C$400&gt;=$A29)*(Events!$E$6:$E$400="War &amp; operations")*Events!$H$6:$H$400)</f>
        <v>0.5</v>
      </c>
      <c r="Q29" s="56" t="n">
        <f aca="false">Economy!O29*Paths!T29</f>
        <v>16.5850274082259</v>
      </c>
      <c r="R29" s="56" t="n">
        <f aca="false">Economy!O29*Paths!U29</f>
        <v>13.7131611903513</v>
      </c>
      <c r="S29" s="56" t="n">
        <f aca="false">Economy!O29*Paths!V29+SUMPRODUCT((Events!$B$6:$B$400&lt;=$A29)*(Events!$C$6:$C$400&gt;=$A29)*(Events!$E$6:$E$400="Programme")*Events!$H$6:$H$400)+SUMPRODUCT((Events!$B$6:$B$400&lt;=$A29)*(Events!$C$6:$C$400&gt;=$A29)*(Events!$E$6:$E$400="Investment")*Events!$H$6:$H$400)</f>
        <v>5.39115584762117</v>
      </c>
      <c r="T29" s="56" t="n">
        <f aca="false">(People!T29*assist_cost+Labour!AD29*talent_cost+Labour!L29*gw_admin)*Economy!H29/1000000</f>
        <v>4.16621394941674</v>
      </c>
      <c r="U29" s="56" t="n">
        <f aca="false">SUMPRODUCT((Events!$B$6:$B$400&lt;=$A29)*(Events!$C$6:$C$400&gt;=$A29)*(Events!$E$6:$E$400="Purchase")*Events!$H$6:$H$400)</f>
        <v>6.71428571428571</v>
      </c>
      <c r="V29" s="56" t="n">
        <f aca="false">SUMPRODUCT((Events!$B$6:$B$400&lt;=$A29)*(Events!$C$6:$C$400&gt;=$A29)*(Events!$E$6:$E$400="Subsidy &amp; guarantee")*Events!$H$6:$H$400)+SUMPRODUCT((Events!$B$6:$B$400&lt;=$A29)*(Events!$C$6:$C$400&gt;=$A29)*(Events!$E$6:$E$400="Relief")*Events!$H$6:$H$400)</f>
        <v>1</v>
      </c>
      <c r="W29" s="56" t="n">
        <f aca="false">SUMPRODUCT((Events!$B$6:$B$400&lt;=$A29)*(Events!$C$6:$C$400&gt;=$A29)*(Events!$E$6:$E$400="Bank rescue &amp; capital")*Events!$H$6:$H$400)</f>
        <v>0</v>
      </c>
      <c r="X29" s="56" t="n">
        <f aca="false">'Debt &amp; cash'!R28*Paths!Y29</f>
        <v>0</v>
      </c>
      <c r="Y29" s="56" t="n">
        <f aca="false">SUM(N29:X29)</f>
        <v>68.7491666099008</v>
      </c>
      <c r="Z29" s="56" t="n">
        <f aca="false">M29-Y29</f>
        <v>22.6014961821301</v>
      </c>
      <c r="AA29" s="66" t="n">
        <f aca="false">M29/Economy!O29</f>
        <v>0.127235262176853</v>
      </c>
      <c r="AB29" s="66" t="n">
        <f aca="false">Y29/Economy!O29</f>
        <v>0.0957553888576051</v>
      </c>
      <c r="AC29" s="66" t="n">
        <f aca="false">(N29+O29+P29)/Economy!O29</f>
        <v>0.0294990377590419</v>
      </c>
    </row>
    <row r="30" customFormat="false" ht="14.25" hidden="false" customHeight="true" outlineLevel="0" collapsed="false">
      <c r="A30" s="64" t="n">
        <v>1870</v>
      </c>
      <c r="B30" s="56" t="n">
        <f aca="false">Economy!O30*Paths!N30*Paths!O30*cust_coll</f>
        <v>20.9569512053164</v>
      </c>
      <c r="C30" s="56" t="n">
        <f aca="false">(Economy!J30+Economy!L30+Economy!M30+Economy!N30)*Paths!P30*Paths!Q30</f>
        <v>72.9638626970251</v>
      </c>
      <c r="D30" s="56" t="n">
        <f aca="false">Resources!P30+Resources!Q30</f>
        <v>1.9125</v>
      </c>
      <c r="E30" s="56" t="n">
        <f aca="false">Paths!S30*(1-canal_opcost)*canal_share</f>
        <v>0</v>
      </c>
      <c r="F30" s="56" t="n">
        <f aca="false">Economy!O30*Paths!R30</f>
        <v>0.388091688987341</v>
      </c>
      <c r="G30" s="56" t="n">
        <f aca="false">SUMPRODUCT((Events!$B$6:$B$400&lt;=$A30)*(Events!$C$6:$C$400&gt;=$A30)*(Events!$E$6:$E$400="Receipt")*Events!$H$6:$H$400)+'Land Fund'!O30</f>
        <v>1.10504815611029</v>
      </c>
      <c r="H30" s="72" t="n">
        <f aca="false">Loans!Y30</f>
        <v>0.4608</v>
      </c>
      <c r="I30" s="56" t="n">
        <f aca="false">'Debt &amp; cash'!S29*fund_yield</f>
        <v>1.55157845244409</v>
      </c>
      <c r="J30" s="72" t="n">
        <f aca="false">Labour!Q30</f>
        <v>0</v>
      </c>
      <c r="K30" s="72" t="n">
        <f aca="false">Champions!BD30</f>
        <v>0</v>
      </c>
      <c r="L30" s="72" t="n">
        <f aca="false">Abroad!N30</f>
        <v>0.121216167686197</v>
      </c>
      <c r="M30" s="56" t="n">
        <f aca="false">SUM(B30:L30)</f>
        <v>99.4600483675694</v>
      </c>
      <c r="N30" s="56" t="n">
        <f aca="false">(Paths!W30*army_cost+Paths!X30*res_cost)*Economy!H30/1000000</f>
        <v>13.68</v>
      </c>
      <c r="O30" s="72" t="n">
        <f aca="false">Navy!Y30</f>
        <v>6.26874</v>
      </c>
      <c r="P30" s="56" t="n">
        <f aca="false">SUMPRODUCT((Events!$B$6:$B$400&lt;=$A30)*(Events!$C$6:$C$400&gt;=$A30)*(Events!$E$6:$E$400="War &amp; operations")*Events!$H$6:$H$400)</f>
        <v>6</v>
      </c>
      <c r="Q30" s="56" t="n">
        <f aca="false">Economy!O30*Paths!T30</f>
        <v>18.0850727068101</v>
      </c>
      <c r="R30" s="56" t="n">
        <f aca="false">Economy!O30*Paths!U30</f>
        <v>14.9027208571139</v>
      </c>
      <c r="S30" s="56" t="n">
        <f aca="false">Economy!O30*Paths!V30+SUMPRODUCT((Events!$B$6:$B$400&lt;=$A30)*(Events!$C$6:$C$400&gt;=$A30)*(Events!$E$6:$E$400="Programme")*Events!$H$6:$H$400)+SUMPRODUCT((Events!$B$6:$B$400&lt;=$A30)*(Events!$C$6:$C$400&gt;=$A30)*(Events!$E$6:$E$400="Investment")*Events!$H$6:$H$400)</f>
        <v>5.74375699701264</v>
      </c>
      <c r="T30" s="56" t="n">
        <f aca="false">(People!T30*assist_cost+Labour!AD30*talent_cost+Labour!L30*gw_admin)*Economy!H30/1000000</f>
        <v>5.03458187867604</v>
      </c>
      <c r="U30" s="56" t="n">
        <f aca="false">SUMPRODUCT((Events!$B$6:$B$400&lt;=$A30)*(Events!$C$6:$C$400&gt;=$A30)*(Events!$E$6:$E$400="Purchase")*Events!$H$6:$H$400)</f>
        <v>6.71428571428571</v>
      </c>
      <c r="V30" s="56" t="n">
        <f aca="false">SUMPRODUCT((Events!$B$6:$B$400&lt;=$A30)*(Events!$C$6:$C$400&gt;=$A30)*(Events!$E$6:$E$400="Subsidy &amp; guarantee")*Events!$H$6:$H$400)+SUMPRODUCT((Events!$B$6:$B$400&lt;=$A30)*(Events!$C$6:$C$400&gt;=$A30)*(Events!$E$6:$E$400="Relief")*Events!$H$6:$H$400)</f>
        <v>1</v>
      </c>
      <c r="W30" s="56" t="n">
        <f aca="false">SUMPRODUCT((Events!$B$6:$B$400&lt;=$A30)*(Events!$C$6:$C$400&gt;=$A30)*(Events!$E$6:$E$400="Bank rescue &amp; capital")*Events!$H$6:$H$400)</f>
        <v>0</v>
      </c>
      <c r="X30" s="56" t="n">
        <f aca="false">'Debt &amp; cash'!R29*Paths!Y30</f>
        <v>0</v>
      </c>
      <c r="Y30" s="56" t="n">
        <f aca="false">SUM(N30:X30)</f>
        <v>77.4291581538983</v>
      </c>
      <c r="Z30" s="56" t="n">
        <f aca="false">M30-Y30</f>
        <v>22.0308902136711</v>
      </c>
      <c r="AA30" s="66" t="n">
        <f aca="false">M30/Economy!O30</f>
        <v>0.128139884452426</v>
      </c>
      <c r="AB30" s="66" t="n">
        <f aca="false">Y30/Economy!O30</f>
        <v>0.0997562693959469</v>
      </c>
      <c r="AC30" s="66" t="n">
        <f aca="false">(N30+O30+P30)/Economy!O30</f>
        <v>0.0334311977508573</v>
      </c>
    </row>
    <row r="31" customFormat="false" ht="14.25" hidden="false" customHeight="true" outlineLevel="0" collapsed="false">
      <c r="A31" s="64" t="n">
        <v>1871</v>
      </c>
      <c r="B31" s="56" t="n">
        <f aca="false">Economy!O31*Paths!N31*Paths!O31*cust_coll</f>
        <v>22.2579290440167</v>
      </c>
      <c r="C31" s="56" t="n">
        <f aca="false">(Economy!J31+Economy!L31+Economy!M31+Economy!N31)*Paths!P31*Paths!Q31</f>
        <v>78.0476881753568</v>
      </c>
      <c r="D31" s="56" t="n">
        <f aca="false">Resources!P31+Resources!Q31</f>
        <v>2.0295</v>
      </c>
      <c r="E31" s="56" t="n">
        <f aca="false">Paths!S31*(1-canal_opcost)*canal_share</f>
        <v>0</v>
      </c>
      <c r="F31" s="56" t="n">
        <f aca="false">Economy!O31*Paths!R31</f>
        <v>0.539507684797769</v>
      </c>
      <c r="G31" s="56" t="n">
        <f aca="false">SUMPRODUCT((Events!$B$6:$B$400&lt;=$A31)*(Events!$C$6:$C$400&gt;=$A31)*(Events!$E$6:$E$400="Receipt")*Events!$H$6:$H$400)+'Land Fund'!O31</f>
        <v>1.40725992981802</v>
      </c>
      <c r="H31" s="72" t="n">
        <f aca="false">Loans!Y31</f>
        <v>0.717368</v>
      </c>
      <c r="I31" s="56" t="n">
        <f aca="false">'Debt &amp; cash'!S30*fund_yield</f>
        <v>2.16646580523555</v>
      </c>
      <c r="J31" s="72" t="n">
        <f aca="false">Labour!Q31</f>
        <v>0</v>
      </c>
      <c r="K31" s="72" t="n">
        <f aca="false">Champions!BD31</f>
        <v>0</v>
      </c>
      <c r="L31" s="72" t="n">
        <f aca="false">Abroad!N31</f>
        <v>0.175170327176633</v>
      </c>
      <c r="M31" s="56" t="n">
        <f aca="false">SUM(B31:L31)</f>
        <v>107.340888966401</v>
      </c>
      <c r="N31" s="56" t="n">
        <f aca="false">(Paths!W31*army_cost+Paths!X31*res_cost)*Economy!H31/1000000</f>
        <v>13.60944</v>
      </c>
      <c r="O31" s="72" t="n">
        <f aca="false">Navy!Y31</f>
        <v>6.4761762</v>
      </c>
      <c r="P31" s="56" t="n">
        <f aca="false">SUMPRODUCT((Events!$B$6:$B$400&lt;=$A31)*(Events!$C$6:$C$400&gt;=$A31)*(Events!$E$6:$E$400="War &amp; operations")*Events!$H$6:$H$400)</f>
        <v>6</v>
      </c>
      <c r="Q31" s="56" t="n">
        <f aca="false">Economy!O31*Paths!T31</f>
        <v>19.5882790172728</v>
      </c>
      <c r="R31" s="56" t="n">
        <f aca="false">Economy!O31*Paths!U31</f>
        <v>15.9362269971033</v>
      </c>
      <c r="S31" s="56" t="n">
        <f aca="false">Economy!O31*Paths!V31+SUMPRODUCT((Events!$B$6:$B$400&lt;=$A31)*(Events!$C$6:$C$400&gt;=$A31)*(Events!$E$6:$E$400="Programme")*Events!$H$6:$H$400)+SUMPRODUCT((Events!$B$6:$B$400&lt;=$A31)*(Events!$C$6:$C$400&gt;=$A31)*(Events!$E$6:$E$400="Investment")*Events!$H$6:$H$400)</f>
        <v>6.22508867074349</v>
      </c>
      <c r="T31" s="56" t="n">
        <f aca="false">(People!T31*assist_cost+Labour!AD31*talent_cost+Labour!L31*gw_admin)*Economy!H31/1000000</f>
        <v>5.08363061981841</v>
      </c>
      <c r="U31" s="56" t="n">
        <f aca="false">SUMPRODUCT((Events!$B$6:$B$400&lt;=$A31)*(Events!$C$6:$C$400&gt;=$A31)*(Events!$E$6:$E$400="Purchase")*Events!$H$6:$H$400)</f>
        <v>6.71428571428571</v>
      </c>
      <c r="V31" s="56" t="n">
        <f aca="false">SUMPRODUCT((Events!$B$6:$B$400&lt;=$A31)*(Events!$C$6:$C$400&gt;=$A31)*(Events!$E$6:$E$400="Subsidy &amp; guarantee")*Events!$H$6:$H$400)+SUMPRODUCT((Events!$B$6:$B$400&lt;=$A31)*(Events!$C$6:$C$400&gt;=$A31)*(Events!$E$6:$E$400="Relief")*Events!$H$6:$H$400)</f>
        <v>2</v>
      </c>
      <c r="W31" s="56" t="n">
        <f aca="false">SUMPRODUCT((Events!$B$6:$B$400&lt;=$A31)*(Events!$C$6:$C$400&gt;=$A31)*(Events!$E$6:$E$400="Bank rescue &amp; capital")*Events!$H$6:$H$400)</f>
        <v>0</v>
      </c>
      <c r="X31" s="56" t="n">
        <f aca="false">'Debt &amp; cash'!R30*Paths!Y31</f>
        <v>0</v>
      </c>
      <c r="Y31" s="56" t="n">
        <f aca="false">SUM(N31:X31)</f>
        <v>81.6331272192238</v>
      </c>
      <c r="Z31" s="56" t="n">
        <f aca="false">M31-Y31</f>
        <v>25.7077617471777</v>
      </c>
      <c r="AA31" s="66" t="n">
        <f aca="false">M31/Economy!O31</f>
        <v>0.129324530111771</v>
      </c>
      <c r="AB31" s="66" t="n">
        <f aca="false">Y31/Economy!O31</f>
        <v>0.0983517643727082</v>
      </c>
      <c r="AC31" s="66" t="n">
        <f aca="false">(N31+O31+P31)/Economy!O31</f>
        <v>0.0314280055831934</v>
      </c>
    </row>
    <row r="32" customFormat="false" ht="14.25" hidden="false" customHeight="true" outlineLevel="0" collapsed="false">
      <c r="A32" s="61" t="n">
        <v>1872</v>
      </c>
      <c r="B32" s="56" t="n">
        <f aca="false">Economy!O32*Paths!N32*Paths!O32*cust_coll</f>
        <v>23.5961783303657</v>
      </c>
      <c r="C32" s="56" t="n">
        <f aca="false">(Economy!J32+Economy!L32+Economy!M32+Economy!N32)*Paths!P32*Paths!Q32</f>
        <v>83.305751416935</v>
      </c>
      <c r="D32" s="56" t="n">
        <f aca="false">Resources!P32+Resources!Q32</f>
        <v>2.1465</v>
      </c>
      <c r="E32" s="56" t="n">
        <f aca="false">Paths!S32*(1-canal_opcost)*canal_share</f>
        <v>0</v>
      </c>
      <c r="F32" s="56" t="n">
        <f aca="false">Economy!O32*Paths!R32</f>
        <v>0.708498200854711</v>
      </c>
      <c r="G32" s="56" t="n">
        <f aca="false">SUMPRODUCT((Events!$B$6:$B$400&lt;=$A32)*(Events!$C$6:$C$400&gt;=$A32)*(Events!$E$6:$E$400="Receipt")*Events!$H$6:$H$400)+'Land Fund'!O32</f>
        <v>1.51903034821103</v>
      </c>
      <c r="H32" s="72" t="n">
        <f aca="false">Loans!Y32</f>
        <v>1.31367328</v>
      </c>
      <c r="I32" s="56" t="n">
        <f aca="false">'Debt &amp; cash'!S31*fund_yield</f>
        <v>2.63812364513434</v>
      </c>
      <c r="J32" s="72" t="n">
        <f aca="false">Labour!Q32</f>
        <v>0</v>
      </c>
      <c r="K32" s="72" t="n">
        <f aca="false">Champions!BD32</f>
        <v>0</v>
      </c>
      <c r="L32" s="72" t="n">
        <f aca="false">Abroad!N32</f>
        <v>0.226498696249393</v>
      </c>
      <c r="M32" s="56" t="n">
        <f aca="false">SUM(B32:L32)</f>
        <v>115.45425391775</v>
      </c>
      <c r="N32" s="56" t="n">
        <f aca="false">(Paths!W32*army_cost+Paths!X32*res_cost)*Economy!H32/1000000</f>
        <v>13.53496</v>
      </c>
      <c r="O32" s="72" t="n">
        <f aca="false">Navy!Y32</f>
        <v>6.9793633</v>
      </c>
      <c r="P32" s="56" t="n">
        <f aca="false">SUMPRODUCT((Events!$B$6:$B$400&lt;=$A32)*(Events!$C$6:$C$400&gt;=$A32)*(Events!$E$6:$E$400="War &amp; operations")*Events!$H$6:$H$400)</f>
        <v>0</v>
      </c>
      <c r="Q32" s="56" t="n">
        <f aca="false">Economy!O32*Paths!T32</f>
        <v>21.1663837505345</v>
      </c>
      <c r="R32" s="56" t="n">
        <f aca="false">Economy!O32*Paths!U32</f>
        <v>17.0925190956199</v>
      </c>
      <c r="S32" s="56" t="n">
        <f aca="false">Economy!O32*Paths!V32+SUMPRODUCT((Events!$B$6:$B$400&lt;=$A32)*(Events!$C$6:$C$400&gt;=$A32)*(Events!$E$6:$E$400="Programme")*Events!$H$6:$H$400)+SUMPRODUCT((Events!$B$6:$B$400&lt;=$A32)*(Events!$C$6:$C$400&gt;=$A32)*(Events!$E$6:$E$400="Investment")*Events!$H$6:$H$400)</f>
        <v>6.73073290811975</v>
      </c>
      <c r="T32" s="56" t="n">
        <f aca="false">(People!T32*assist_cost+Labour!AD32*talent_cost+Labour!L32*gw_admin)*Economy!H32/1000000</f>
        <v>5.25264836478712</v>
      </c>
      <c r="U32" s="56" t="n">
        <f aca="false">SUMPRODUCT((Events!$B$6:$B$400&lt;=$A32)*(Events!$C$6:$C$400&gt;=$A32)*(Events!$E$6:$E$400="Purchase")*Events!$H$6:$H$400)</f>
        <v>5.71428571428571</v>
      </c>
      <c r="V32" s="56" t="n">
        <f aca="false">SUMPRODUCT((Events!$B$6:$B$400&lt;=$A32)*(Events!$C$6:$C$400&gt;=$A32)*(Events!$E$6:$E$400="Subsidy &amp; guarantee")*Events!$H$6:$H$400)+SUMPRODUCT((Events!$B$6:$B$400&lt;=$A32)*(Events!$C$6:$C$400&gt;=$A32)*(Events!$E$6:$E$400="Relief")*Events!$H$6:$H$400)</f>
        <v>2</v>
      </c>
      <c r="W32" s="56" t="n">
        <f aca="false">SUMPRODUCT((Events!$B$6:$B$400&lt;=$A32)*(Events!$C$6:$C$400&gt;=$A32)*(Events!$E$6:$E$400="Bank rescue &amp; capital")*Events!$H$6:$H$400)</f>
        <v>0</v>
      </c>
      <c r="X32" s="56" t="n">
        <f aca="false">'Debt &amp; cash'!R31*Paths!Y32</f>
        <v>0</v>
      </c>
      <c r="Y32" s="56" t="n">
        <f aca="false">SUM(N32:X32)</f>
        <v>78.470893133347</v>
      </c>
      <c r="Z32" s="56" t="n">
        <f aca="false">M32-Y32</f>
        <v>36.9833607844032</v>
      </c>
      <c r="AA32" s="66" t="n">
        <f aca="false">M32/Economy!O32</f>
        <v>0.130365049654009</v>
      </c>
      <c r="AB32" s="66" t="n">
        <f aca="false">Y32/Economy!O32</f>
        <v>0.0886053266344864</v>
      </c>
      <c r="AC32" s="66" t="n">
        <f aca="false">(N32+O32+P32)/Economy!O32</f>
        <v>0.0231637266265485</v>
      </c>
    </row>
    <row r="33" customFormat="false" ht="14.25" hidden="false" customHeight="true" outlineLevel="0" collapsed="false">
      <c r="A33" s="61" t="n">
        <v>1873</v>
      </c>
      <c r="B33" s="56" t="n">
        <f aca="false">Economy!O33*Paths!N33*Paths!O33*cust_coll</f>
        <v>24.6700774827135</v>
      </c>
      <c r="C33" s="56" t="n">
        <f aca="false">(Economy!J33+Economy!L33+Economy!M33+Economy!N33)*Paths!P33*Paths!Q33</f>
        <v>79.7264579377241</v>
      </c>
      <c r="D33" s="56" t="n">
        <f aca="false">Resources!P33+Resources!Q33</f>
        <v>2.511</v>
      </c>
      <c r="E33" s="56" t="n">
        <f aca="false">Paths!S33*(1-canal_opcost)*canal_share</f>
        <v>0</v>
      </c>
      <c r="F33" s="56" t="n">
        <f aca="false">Economy!O33*Paths!R33</f>
        <v>0.885735964043001</v>
      </c>
      <c r="G33" s="56" t="n">
        <f aca="false">SUMPRODUCT((Events!$B$6:$B$400&lt;=$A33)*(Events!$C$6:$C$400&gt;=$A33)*(Events!$E$6:$E$400="Receipt")*Events!$H$6:$H$400)+'Land Fund'!O33</f>
        <v>1.63325808048404</v>
      </c>
      <c r="H33" s="72" t="n">
        <f aca="false">Loans!Y33</f>
        <v>2.1061263488</v>
      </c>
      <c r="I33" s="56" t="n">
        <f aca="false">'Debt &amp; cash'!S32*fund_yield</f>
        <v>3.41759397195698</v>
      </c>
      <c r="J33" s="72" t="n">
        <f aca="false">Labour!Q33</f>
        <v>0</v>
      </c>
      <c r="K33" s="72" t="n">
        <f aca="false">Champions!BD33</f>
        <v>0</v>
      </c>
      <c r="L33" s="72" t="n">
        <f aca="false">Abroad!N33</f>
        <v>0.266929964532489</v>
      </c>
      <c r="M33" s="56" t="n">
        <f aca="false">SUM(B33:L33)</f>
        <v>115.217179750254</v>
      </c>
      <c r="N33" s="56" t="n">
        <f aca="false">(Paths!W33*army_cost+Paths!X33*res_cost)*Economy!H33/1000000</f>
        <v>13.45656</v>
      </c>
      <c r="O33" s="72" t="n">
        <f aca="false">Navy!Y33</f>
        <v>5.4820362</v>
      </c>
      <c r="P33" s="56" t="n">
        <f aca="false">SUMPRODUCT((Events!$B$6:$B$400&lt;=$A33)*(Events!$C$6:$C$400&gt;=$A33)*(Events!$E$6:$E$400="War &amp; operations")*Events!$H$6:$H$400)</f>
        <v>2</v>
      </c>
      <c r="Q33" s="56" t="n">
        <f aca="false">Economy!O33*Paths!T33</f>
        <v>22.4697228773014</v>
      </c>
      <c r="R33" s="56" t="n">
        <f aca="false">Economy!O33*Paths!U33</f>
        <v>18.0876607394044</v>
      </c>
      <c r="S33" s="56" t="n">
        <f aca="false">Economy!O33*Paths!V33+SUMPRODUCT((Events!$B$6:$B$400&lt;=$A33)*(Events!$C$6:$C$400&gt;=$A33)*(Events!$E$6:$E$400="Programme")*Events!$H$6:$H$400)+SUMPRODUCT((Events!$B$6:$B$400&lt;=$A33)*(Events!$C$6:$C$400&gt;=$A33)*(Events!$E$6:$E$400="Investment")*Events!$H$6:$H$400)</f>
        <v>7.17912307698011</v>
      </c>
      <c r="T33" s="56" t="n">
        <f aca="false">(People!T33*assist_cost+Labour!AD33*talent_cost+Labour!L33*gw_admin)*Economy!H33/1000000</f>
        <v>6.08336457515747</v>
      </c>
      <c r="U33" s="56" t="n">
        <f aca="false">SUMPRODUCT((Events!$B$6:$B$400&lt;=$A33)*(Events!$C$6:$C$400&gt;=$A33)*(Events!$E$6:$E$400="Purchase")*Events!$H$6:$H$400)</f>
        <v>0</v>
      </c>
      <c r="V33" s="56" t="n">
        <f aca="false">SUMPRODUCT((Events!$B$6:$B$400&lt;=$A33)*(Events!$C$6:$C$400&gt;=$A33)*(Events!$E$6:$E$400="Subsidy &amp; guarantee")*Events!$H$6:$H$400)+SUMPRODUCT((Events!$B$6:$B$400&lt;=$A33)*(Events!$C$6:$C$400&gt;=$A33)*(Events!$E$6:$E$400="Relief")*Events!$H$6:$H$400)</f>
        <v>2</v>
      </c>
      <c r="W33" s="56" t="n">
        <f aca="false">SUMPRODUCT((Events!$B$6:$B$400&lt;=$A33)*(Events!$C$6:$C$400&gt;=$A33)*(Events!$E$6:$E$400="Bank rescue &amp; capital")*Events!$H$6:$H$400)</f>
        <v>0</v>
      </c>
      <c r="X33" s="56" t="n">
        <f aca="false">'Debt &amp; cash'!R32*Paths!Y33</f>
        <v>0</v>
      </c>
      <c r="Y33" s="56" t="n">
        <f aca="false">SUM(N33:X33)</f>
        <v>76.7584674688434</v>
      </c>
      <c r="Z33" s="56" t="n">
        <f aca="false">M33-Y33</f>
        <v>38.4587122814106</v>
      </c>
      <c r="AA33" s="66" t="n">
        <f aca="false">M33/Economy!O33</f>
        <v>0.123576692384851</v>
      </c>
      <c r="AB33" s="66" t="n">
        <f aca="false">Y33/Economy!O33</f>
        <v>0.082327631546709</v>
      </c>
      <c r="AC33" s="66" t="n">
        <f aca="false">(N33+O33+P33)/Economy!O33</f>
        <v>0.0224577833547631</v>
      </c>
    </row>
    <row r="34" customFormat="false" ht="14.25" hidden="false" customHeight="true" outlineLevel="0" collapsed="false">
      <c r="A34" s="61" t="n">
        <v>1874</v>
      </c>
      <c r="B34" s="56" t="n">
        <f aca="false">Economy!O34*Paths!N34*Paths!O34*cust_coll</f>
        <v>25.9721050211205</v>
      </c>
      <c r="C34" s="56" t="n">
        <f aca="false">(Economy!J34+Economy!L34+Economy!M34+Economy!N34)*Paths!P34*Paths!Q34</f>
        <v>84.5054215413453</v>
      </c>
      <c r="D34" s="56" t="n">
        <f aca="false">Resources!P34+Resources!Q34</f>
        <v>2.673</v>
      </c>
      <c r="E34" s="56" t="n">
        <f aca="false">Paths!S34*(1-canal_opcost)*canal_share</f>
        <v>0</v>
      </c>
      <c r="F34" s="56" t="n">
        <f aca="false">Economy!O34*Paths!R34</f>
        <v>1.08726140275047</v>
      </c>
      <c r="G34" s="56" t="n">
        <f aca="false">SUMPRODUCT((Events!$B$6:$B$400&lt;=$A34)*(Events!$C$6:$C$400&gt;=$A34)*(Events!$E$6:$E$400="Receipt")*Events!$H$6:$H$400)+'Land Fund'!O34</f>
        <v>1.74939638479705</v>
      </c>
      <c r="H34" s="72" t="n">
        <f aca="false">Loans!Y34</f>
        <v>2.021881294848</v>
      </c>
      <c r="I34" s="56" t="n">
        <f aca="false">'Debt &amp; cash'!S33*fund_yield</f>
        <v>5.02433196804996</v>
      </c>
      <c r="J34" s="72" t="n">
        <f aca="false">Labour!Q34</f>
        <v>0</v>
      </c>
      <c r="K34" s="72" t="n">
        <f aca="false">Champions!BD34</f>
        <v>0</v>
      </c>
      <c r="L34" s="72" t="n">
        <f aca="false">Abroad!N34</f>
        <v>0.325167682185</v>
      </c>
      <c r="M34" s="56" t="n">
        <f aca="false">SUM(B34:L34)</f>
        <v>123.358565295096</v>
      </c>
      <c r="N34" s="56" t="n">
        <f aca="false">(Paths!W34*army_cost+Paths!X34*res_cost)*Economy!H34/1000000</f>
        <v>13.37424</v>
      </c>
      <c r="O34" s="72" t="n">
        <f aca="false">Navy!Y34</f>
        <v>6.9597091</v>
      </c>
      <c r="P34" s="56" t="n">
        <f aca="false">SUMPRODUCT((Events!$B$6:$B$400&lt;=$A34)*(Events!$C$6:$C$400&gt;=$A34)*(Events!$E$6:$E$400="War &amp; operations")*Events!$H$6:$H$400)</f>
        <v>2</v>
      </c>
      <c r="Q34" s="56" t="n">
        <f aca="false">Economy!O34*Paths!T34</f>
        <v>24.1174347519196</v>
      </c>
      <c r="R34" s="56" t="n">
        <f aca="false">Economy!O34*Paths!U34</f>
        <v>19.2741794123948</v>
      </c>
      <c r="S34" s="56" t="n">
        <f aca="false">Economy!O34*Paths!V34+SUMPRODUCT((Events!$B$6:$B$400&lt;=$A34)*(Events!$C$6:$C$400&gt;=$A34)*(Events!$E$6:$E$400="Programme")*Events!$H$6:$H$400)+SUMPRODUCT((Events!$B$6:$B$400&lt;=$A34)*(Events!$C$6:$C$400&gt;=$A34)*(Events!$E$6:$E$400="Investment")*Events!$H$6:$H$400)</f>
        <v>7.70967176495791</v>
      </c>
      <c r="T34" s="56" t="n">
        <f aca="false">(People!T34*assist_cost+Labour!AD34*talent_cost+Labour!L34*gw_admin)*Economy!H34/1000000</f>
        <v>6.04136987858534</v>
      </c>
      <c r="U34" s="56" t="n">
        <f aca="false">SUMPRODUCT((Events!$B$6:$B$400&lt;=$A34)*(Events!$C$6:$C$400&gt;=$A34)*(Events!$E$6:$E$400="Purchase")*Events!$H$6:$H$400)</f>
        <v>0</v>
      </c>
      <c r="V34" s="56" t="n">
        <f aca="false">SUMPRODUCT((Events!$B$6:$B$400&lt;=$A34)*(Events!$C$6:$C$400&gt;=$A34)*(Events!$E$6:$E$400="Subsidy &amp; guarantee")*Events!$H$6:$H$400)+SUMPRODUCT((Events!$B$6:$B$400&lt;=$A34)*(Events!$C$6:$C$400&gt;=$A34)*(Events!$E$6:$E$400="Relief")*Events!$H$6:$H$400)</f>
        <v>2</v>
      </c>
      <c r="W34" s="56" t="n">
        <f aca="false">SUMPRODUCT((Events!$B$6:$B$400&lt;=$A34)*(Events!$C$6:$C$400&gt;=$A34)*(Events!$E$6:$E$400="Bank rescue &amp; capital")*Events!$H$6:$H$400)</f>
        <v>0</v>
      </c>
      <c r="X34" s="56" t="n">
        <f aca="false">'Debt &amp; cash'!R33*Paths!Y34</f>
        <v>0</v>
      </c>
      <c r="Y34" s="56" t="n">
        <f aca="false">SUM(N34:X34)</f>
        <v>81.4766049078576</v>
      </c>
      <c r="Z34" s="56" t="n">
        <f aca="false">M34-Y34</f>
        <v>41.8819603872387</v>
      </c>
      <c r="AA34" s="66" t="n">
        <f aca="false">M34/Economy!O34</f>
        <v>0.124803861777247</v>
      </c>
      <c r="AB34" s="66" t="n">
        <f aca="false">Y34/Economy!O34</f>
        <v>0.0824312029948994</v>
      </c>
      <c r="AC34" s="66" t="n">
        <f aca="false">(N34+O34+P34)/Economy!O34</f>
        <v>0.0225956186321443</v>
      </c>
    </row>
    <row r="35" customFormat="false" ht="14.25" hidden="false" customHeight="true" outlineLevel="0" collapsed="false">
      <c r="A35" s="61" t="n">
        <v>1875</v>
      </c>
      <c r="B35" s="56" t="n">
        <f aca="false">Economy!O35*Paths!N35*Paths!O35*cust_coll</f>
        <v>27.8045861497778</v>
      </c>
      <c r="C35" s="56" t="n">
        <f aca="false">(Economy!J35+Economy!L35+Economy!M35+Economy!N35)*Paths!P35*Paths!Q35</f>
        <v>91.1298633919334</v>
      </c>
      <c r="D35" s="56" t="n">
        <f aca="false">Resources!P35+Resources!Q35</f>
        <v>2.835</v>
      </c>
      <c r="E35" s="56" t="n">
        <f aca="false">Paths!S35*(1-canal_opcost)*canal_share</f>
        <v>0</v>
      </c>
      <c r="F35" s="56" t="n">
        <f aca="false">Economy!O35*Paths!R35</f>
        <v>1.33145361893464</v>
      </c>
      <c r="G35" s="56" t="n">
        <f aca="false">SUMPRODUCT((Events!$B$6:$B$400&lt;=$A35)*(Events!$C$6:$C$400&gt;=$A35)*(Events!$E$6:$E$400="Receipt")*Events!$H$6:$H$400)+'Land Fund'!O35</f>
        <v>1.86732181323007</v>
      </c>
      <c r="H35" s="72" t="n">
        <f aca="false">Loans!Y35</f>
        <v>2.09100604305408</v>
      </c>
      <c r="I35" s="56" t="n">
        <f aca="false">'Debt &amp; cash'!S34*fund_yield</f>
        <v>6.56157454072622</v>
      </c>
      <c r="J35" s="72" t="n">
        <f aca="false">Labour!Q35</f>
        <v>0</v>
      </c>
      <c r="K35" s="72" t="n">
        <f aca="false">Champions!BD35</f>
        <v>0</v>
      </c>
      <c r="L35" s="72" t="n">
        <f aca="false">Abroad!N35</f>
        <v>0.386390614191196</v>
      </c>
      <c r="M35" s="56" t="n">
        <f aca="false">SUM(B35:L35)</f>
        <v>134.007196171847</v>
      </c>
      <c r="N35" s="56" t="n">
        <f aca="false">(Paths!W35*army_cost+Paths!X35*res_cost)*Economy!H35/1000000</f>
        <v>13.288</v>
      </c>
      <c r="O35" s="72" t="n">
        <f aca="false">Navy!Y35</f>
        <v>7.443843</v>
      </c>
      <c r="P35" s="56" t="n">
        <f aca="false">SUMPRODUCT((Events!$B$6:$B$400&lt;=$A35)*(Events!$C$6:$C$400&gt;=$A35)*(Events!$E$6:$E$400="War &amp; operations")*Events!$H$6:$H$400)</f>
        <v>0.5</v>
      </c>
      <c r="Q35" s="56" t="n">
        <f aca="false">Economy!O35*Paths!T35</f>
        <v>26.3095235101485</v>
      </c>
      <c r="R35" s="56" t="n">
        <f aca="false">Economy!O35*Paths!U35</f>
        <v>20.8771927448952</v>
      </c>
      <c r="S35" s="56" t="n">
        <f aca="false">Economy!O35*Paths!V35+SUMPRODUCT((Events!$B$6:$B$400&lt;=$A35)*(Events!$C$6:$C$400&gt;=$A35)*(Events!$E$6:$E$400="Programme")*Events!$H$6:$H$400)+SUMPRODUCT((Events!$B$6:$B$400&lt;=$A35)*(Events!$C$6:$C$400&gt;=$A35)*(Events!$E$6:$E$400="Investment")*Events!$H$6:$H$400)</f>
        <v>9.61478687166693</v>
      </c>
      <c r="T35" s="56" t="n">
        <f aca="false">(People!T35*assist_cost+Labour!AD35*talent_cost+Labour!L35*gw_admin)*Economy!H35/1000000</f>
        <v>6.09819252714649</v>
      </c>
      <c r="U35" s="56" t="n">
        <f aca="false">SUMPRODUCT((Events!$B$6:$B$400&lt;=$A35)*(Events!$C$6:$C$400&gt;=$A35)*(Events!$E$6:$E$400="Purchase")*Events!$H$6:$H$400)</f>
        <v>0</v>
      </c>
      <c r="V35" s="56" t="n">
        <f aca="false">SUMPRODUCT((Events!$B$6:$B$400&lt;=$A35)*(Events!$C$6:$C$400&gt;=$A35)*(Events!$E$6:$E$400="Subsidy &amp; guarantee")*Events!$H$6:$H$400)+SUMPRODUCT((Events!$B$6:$B$400&lt;=$A35)*(Events!$C$6:$C$400&gt;=$A35)*(Events!$E$6:$E$400="Relief")*Events!$H$6:$H$400)</f>
        <v>2</v>
      </c>
      <c r="W35" s="56" t="n">
        <f aca="false">SUMPRODUCT((Events!$B$6:$B$400&lt;=$A35)*(Events!$C$6:$C$400&gt;=$A35)*(Events!$E$6:$E$400="Bank rescue &amp; capital")*Events!$H$6:$H$400)</f>
        <v>0</v>
      </c>
      <c r="X35" s="56" t="n">
        <f aca="false">'Debt &amp; cash'!R34*Paths!Y35</f>
        <v>0</v>
      </c>
      <c r="Y35" s="56" t="n">
        <f aca="false">SUM(N35:X35)</f>
        <v>86.1315386538571</v>
      </c>
      <c r="Z35" s="56" t="n">
        <f aca="false">M35-Y35</f>
        <v>47.8756575179903</v>
      </c>
      <c r="AA35" s="66" t="n">
        <f aca="false">M35/Economy!O35</f>
        <v>0.125809110308207</v>
      </c>
      <c r="AB35" s="66" t="n">
        <f aca="false">Y35/Economy!O35</f>
        <v>0.0808623160328099</v>
      </c>
      <c r="AC35" s="66" t="n">
        <f aca="false">(N35+O35+P35)/Economy!O35</f>
        <v>0.019932954007993</v>
      </c>
    </row>
    <row r="36" customFormat="false" ht="14.25" hidden="false" customHeight="true" outlineLevel="0" collapsed="false">
      <c r="A36" s="61" t="n">
        <v>1876</v>
      </c>
      <c r="B36" s="56" t="n">
        <f aca="false">Economy!O36*Paths!N36*Paths!O36*cust_coll</f>
        <v>29.9489496710662</v>
      </c>
      <c r="C36" s="56" t="n">
        <f aca="false">(Economy!J36+Economy!L36+Economy!M36+Economy!N36)*Paths!P36*Paths!Q36</f>
        <v>98.8233006752569</v>
      </c>
      <c r="D36" s="56" t="n">
        <f aca="false">Resources!P36+Resources!Q36</f>
        <v>3.0985</v>
      </c>
      <c r="E36" s="56" t="n">
        <f aca="false">Paths!S36*(1-canal_opcost)*canal_share</f>
        <v>0</v>
      </c>
      <c r="F36" s="56" t="n">
        <f aca="false">Economy!O36*Paths!R36</f>
        <v>1.61761302235697</v>
      </c>
      <c r="G36" s="56" t="n">
        <f aca="false">SUMPRODUCT((Events!$B$6:$B$400&lt;=$A36)*(Events!$C$6:$C$400&gt;=$A36)*(Events!$E$6:$E$400="Receipt")*Events!$H$6:$H$400)+'Land Fund'!O36</f>
        <v>1.94684192860572</v>
      </c>
      <c r="H36" s="72" t="n">
        <f aca="false">Loans!Y36</f>
        <v>2.15886580133192</v>
      </c>
      <c r="I36" s="56" t="n">
        <f aca="false">'Debt &amp; cash'!S35*fund_yield</f>
        <v>8.31455742480805</v>
      </c>
      <c r="J36" s="72" t="n">
        <f aca="false">Labour!Q36</f>
        <v>0</v>
      </c>
      <c r="K36" s="72" t="n">
        <f aca="false">Champions!BD36</f>
        <v>0</v>
      </c>
      <c r="L36" s="72" t="n">
        <f aca="false">Abroad!N36</f>
        <v>0.442549482788098</v>
      </c>
      <c r="M36" s="56" t="n">
        <f aca="false">SUM(B36:L36)</f>
        <v>146.351178006214</v>
      </c>
      <c r="N36" s="56" t="n">
        <f aca="false">(Paths!W36*army_cost+Paths!X36*res_cost)*Economy!H36/1000000</f>
        <v>13.16736</v>
      </c>
      <c r="O36" s="72" t="n">
        <f aca="false">Navy!Y36</f>
        <v>5.8566004</v>
      </c>
      <c r="P36" s="56" t="n">
        <f aca="false">SUMPRODUCT((Events!$B$6:$B$400&lt;=$A36)*(Events!$C$6:$C$400&gt;=$A36)*(Events!$E$6:$E$400="War &amp; operations")*Events!$H$6:$H$400)</f>
        <v>1</v>
      </c>
      <c r="Q36" s="56" t="n">
        <f aca="false">Economy!O36*Paths!T36</f>
        <v>28.7704030404918</v>
      </c>
      <c r="R36" s="56" t="n">
        <f aca="false">Economy!O36*Paths!U36</f>
        <v>22.7621261003088</v>
      </c>
      <c r="S36" s="56" t="n">
        <f aca="false">Economy!O36*Paths!V36+SUMPRODUCT((Events!$B$6:$B$400&lt;=$A36)*(Events!$C$6:$C$400&gt;=$A36)*(Events!$E$6:$E$400="Programme")*Events!$H$6:$H$400)+SUMPRODUCT((Events!$B$6:$B$400&lt;=$A36)*(Events!$C$6:$C$400&gt;=$A36)*(Events!$E$6:$E$400="Investment")*Events!$H$6:$H$400)</f>
        <v>13.893502984897</v>
      </c>
      <c r="T36" s="56" t="n">
        <f aca="false">(People!T36*assist_cost+Labour!AD36*talent_cost+Labour!L36*gw_admin)*Economy!H36/1000000</f>
        <v>6.34538233931338</v>
      </c>
      <c r="U36" s="56" t="n">
        <f aca="false">SUMPRODUCT((Events!$B$6:$B$400&lt;=$A36)*(Events!$C$6:$C$400&gt;=$A36)*(Events!$E$6:$E$400="Purchase")*Events!$H$6:$H$400)</f>
        <v>0</v>
      </c>
      <c r="V36" s="56" t="n">
        <f aca="false">SUMPRODUCT((Events!$B$6:$B$400&lt;=$A36)*(Events!$C$6:$C$400&gt;=$A36)*(Events!$E$6:$E$400="Subsidy &amp; guarantee")*Events!$H$6:$H$400)+SUMPRODUCT((Events!$B$6:$B$400&lt;=$A36)*(Events!$C$6:$C$400&gt;=$A36)*(Events!$E$6:$E$400="Relief")*Events!$H$6:$H$400)</f>
        <v>2.5</v>
      </c>
      <c r="W36" s="56" t="n">
        <f aca="false">SUMPRODUCT((Events!$B$6:$B$400&lt;=$A36)*(Events!$C$6:$C$400&gt;=$A36)*(Events!$E$6:$E$400="Bank rescue &amp; capital")*Events!$H$6:$H$400)</f>
        <v>0</v>
      </c>
      <c r="X36" s="56" t="n">
        <f aca="false">'Debt &amp; cash'!R35*Paths!Y36</f>
        <v>0</v>
      </c>
      <c r="Y36" s="56" t="n">
        <f aca="false">SUM(N36:X36)</f>
        <v>94.295374865011</v>
      </c>
      <c r="Z36" s="56" t="n">
        <f aca="false">M36-Y36</f>
        <v>52.0558031412029</v>
      </c>
      <c r="AA36" s="66" t="n">
        <f aca="false">M36/Economy!O36</f>
        <v>0.12666295731853</v>
      </c>
      <c r="AB36" s="66" t="n">
        <f aca="false">Y36/Economy!O36</f>
        <v>0.0816100779274531</v>
      </c>
      <c r="AC36" s="66" t="n">
        <f aca="false">(N36+O36+P36)/Economy!O36</f>
        <v>0.017330192185986</v>
      </c>
    </row>
    <row r="37" customFormat="false" ht="14.25" hidden="false" customHeight="true" outlineLevel="0" collapsed="false">
      <c r="A37" s="61" t="n">
        <v>1877</v>
      </c>
      <c r="B37" s="56" t="n">
        <f aca="false">Economy!O37*Paths!N37*Paths!O37*cust_coll</f>
        <v>30.9844603152629</v>
      </c>
      <c r="C37" s="56" t="n">
        <f aca="false">(Economy!J37+Economy!L37+Economy!M37+Economy!N37)*Paths!P37*Paths!Q37</f>
        <v>102.786419590199</v>
      </c>
      <c r="D37" s="56" t="n">
        <f aca="false">Resources!P37+Resources!Q37</f>
        <v>3.361875</v>
      </c>
      <c r="E37" s="56" t="n">
        <f aca="false">Paths!S37*(1-canal_opcost)*canal_share</f>
        <v>0</v>
      </c>
      <c r="F37" s="56" t="n">
        <f aca="false">Economy!O37*Paths!R37</f>
        <v>1.8660695935973</v>
      </c>
      <c r="G37" s="56" t="n">
        <f aca="false">SUMPRODUCT((Events!$B$6:$B$400&lt;=$A37)*(Events!$C$6:$C$400&gt;=$A37)*(Events!$E$6:$E$400="Receipt")*Events!$H$6:$H$400)+'Land Fund'!O37</f>
        <v>2.02560407054137</v>
      </c>
      <c r="H37" s="72" t="n">
        <f aca="false">Loans!Y37</f>
        <v>1.78881616927864</v>
      </c>
      <c r="I37" s="56" t="n">
        <f aca="false">'Debt &amp; cash'!S36*fund_yield</f>
        <v>10.568170908557</v>
      </c>
      <c r="J37" s="72" t="n">
        <f aca="false">Labour!Q37</f>
        <v>0</v>
      </c>
      <c r="K37" s="72" t="n">
        <f aca="false">Champions!BD37</f>
        <v>0</v>
      </c>
      <c r="L37" s="72" t="n">
        <f aca="false">Abroad!N37</f>
        <v>0.501460362998541</v>
      </c>
      <c r="M37" s="56" t="n">
        <f aca="false">SUM(B37:L37)</f>
        <v>153.882876010435</v>
      </c>
      <c r="N37" s="56" t="n">
        <f aca="false">(Paths!W37*army_cost+Paths!X37*res_cost)*Economy!H37/1000000</f>
        <v>13.04224</v>
      </c>
      <c r="O37" s="72" t="n">
        <f aca="false">Navy!Y37</f>
        <v>7.3943578</v>
      </c>
      <c r="P37" s="56" t="n">
        <f aca="false">SUMPRODUCT((Events!$B$6:$B$400&lt;=$A37)*(Events!$C$6:$C$400&gt;=$A37)*(Events!$E$6:$E$400="War &amp; operations")*Events!$H$6:$H$400)</f>
        <v>1</v>
      </c>
      <c r="Q37" s="56" t="n">
        <f aca="false">Economy!O37*Paths!T37</f>
        <v>30.3386798442916</v>
      </c>
      <c r="R37" s="56" t="n">
        <f aca="false">Economy!O37*Paths!U37</f>
        <v>23.837534163372</v>
      </c>
      <c r="S37" s="56" t="n">
        <f aca="false">Economy!O37*Paths!V37+SUMPRODUCT((Events!$B$6:$B$400&lt;=$A37)*(Events!$C$6:$C$400&gt;=$A37)*(Events!$E$6:$E$400="Programme")*Events!$H$6:$H$400)+SUMPRODUCT((Events!$B$6:$B$400&lt;=$A37)*(Events!$C$6:$C$400&gt;=$A37)*(Events!$E$6:$E$400="Investment")*Events!$H$6:$H$400)</f>
        <v>14.9221101080631</v>
      </c>
      <c r="T37" s="56" t="n">
        <f aca="false">(People!T37*assist_cost+Labour!AD37*talent_cost+Labour!L37*gw_admin)*Economy!H37/1000000</f>
        <v>6.19817415649906</v>
      </c>
      <c r="U37" s="56" t="n">
        <f aca="false">SUMPRODUCT((Events!$B$6:$B$400&lt;=$A37)*(Events!$C$6:$C$400&gt;=$A37)*(Events!$E$6:$E$400="Purchase")*Events!$H$6:$H$400)</f>
        <v>0</v>
      </c>
      <c r="V37" s="56" t="n">
        <f aca="false">SUMPRODUCT((Events!$B$6:$B$400&lt;=$A37)*(Events!$C$6:$C$400&gt;=$A37)*(Events!$E$6:$E$400="Subsidy &amp; guarantee")*Events!$H$6:$H$400)+SUMPRODUCT((Events!$B$6:$B$400&lt;=$A37)*(Events!$C$6:$C$400&gt;=$A37)*(Events!$E$6:$E$400="Relief")*Events!$H$6:$H$400)</f>
        <v>3</v>
      </c>
      <c r="W37" s="56" t="n">
        <f aca="false">SUMPRODUCT((Events!$B$6:$B$400&lt;=$A37)*(Events!$C$6:$C$400&gt;=$A37)*(Events!$E$6:$E$400="Bank rescue &amp; capital")*Events!$H$6:$H$400)</f>
        <v>0</v>
      </c>
      <c r="X37" s="56" t="n">
        <f aca="false">'Debt &amp; cash'!R36*Paths!Y37</f>
        <v>0</v>
      </c>
      <c r="Y37" s="56" t="n">
        <f aca="false">SUM(N37:X37)</f>
        <v>99.7330960722258</v>
      </c>
      <c r="Z37" s="56" t="n">
        <f aca="false">M37-Y37</f>
        <v>54.1497799382095</v>
      </c>
      <c r="AA37" s="66" t="n">
        <f aca="false">M37/Economy!O37</f>
        <v>0.127818629398689</v>
      </c>
      <c r="AB37" s="66" t="n">
        <f aca="false">Y37/Economy!O37</f>
        <v>0.0828405861401704</v>
      </c>
      <c r="AC37" s="66" t="n">
        <f aca="false">(N37+O37+P37)/Economy!O37</f>
        <v>0.017805727451969</v>
      </c>
    </row>
    <row r="38" customFormat="false" ht="14.25" hidden="false" customHeight="true" outlineLevel="0" collapsed="false">
      <c r="A38" s="61" t="n">
        <v>1878</v>
      </c>
      <c r="B38" s="56" t="n">
        <f aca="false">Economy!O38*Paths!N38*Paths!O38*cust_coll</f>
        <v>32.8020712493347</v>
      </c>
      <c r="C38" s="56" t="n">
        <f aca="false">(Economy!J38+Economy!L38+Economy!M38+Economy!N38)*Paths!P38*Paths!Q38</f>
        <v>110.869517906799</v>
      </c>
      <c r="D38" s="56" t="n">
        <f aca="false">Resources!P38+Resources!Q38</f>
        <v>2.635125</v>
      </c>
      <c r="E38" s="56" t="n">
        <f aca="false">Paths!S38*(1-canal_opcost)*canal_share</f>
        <v>0</v>
      </c>
      <c r="F38" s="56" t="n">
        <f aca="false">Economy!O38*Paths!R38</f>
        <v>2.18136417108189</v>
      </c>
      <c r="G38" s="56" t="n">
        <f aca="false">SUMPRODUCT((Events!$B$6:$B$400&lt;=$A38)*(Events!$C$6:$C$400&gt;=$A38)*(Events!$E$6:$E$400="Receipt")*Events!$H$6:$H$400)+'Land Fund'!O38</f>
        <v>4.10920005475702</v>
      </c>
      <c r="H38" s="72" t="n">
        <f aca="false">Loans!Y38</f>
        <v>1.71726337250749</v>
      </c>
      <c r="I38" s="56" t="n">
        <f aca="false">'Debt &amp; cash'!S37*fund_yield</f>
        <v>12.71491757543</v>
      </c>
      <c r="J38" s="72" t="n">
        <f aca="false">Labour!Q38</f>
        <v>0</v>
      </c>
      <c r="K38" s="72" t="n">
        <f aca="false">Champions!BD38</f>
        <v>0</v>
      </c>
      <c r="L38" s="72" t="n">
        <f aca="false">Abroad!N38</f>
        <v>0.557335665032266</v>
      </c>
      <c r="M38" s="56" t="n">
        <f aca="false">SUM(B38:L38)</f>
        <v>167.586794994943</v>
      </c>
      <c r="N38" s="56" t="n">
        <f aca="false">(Paths!W38*army_cost+Paths!X38*res_cost)*Economy!H38/1000000</f>
        <v>12.91264</v>
      </c>
      <c r="O38" s="72" t="n">
        <f aca="false">Navy!Y38</f>
        <v>7.8465056</v>
      </c>
      <c r="P38" s="56" t="n">
        <f aca="false">SUMPRODUCT((Events!$B$6:$B$400&lt;=$A38)*(Events!$C$6:$C$400&gt;=$A38)*(Events!$E$6:$E$400="War &amp; operations")*Events!$H$6:$H$400)</f>
        <v>6.5</v>
      </c>
      <c r="Q38" s="56" t="n">
        <f aca="false">Economy!O38*Paths!T38</f>
        <v>32.7204625662284</v>
      </c>
      <c r="R38" s="56" t="n">
        <f aca="false">Economy!O38*Paths!U38</f>
        <v>25.4064768161303</v>
      </c>
      <c r="S38" s="56" t="n">
        <f aca="false">Economy!O38*Paths!V38+SUMPRODUCT((Events!$B$6:$B$400&lt;=$A38)*(Events!$C$6:$C$400&gt;=$A38)*(Events!$E$6:$E$400="Programme")*Events!$H$6:$H$400)+SUMPRODUCT((Events!$B$6:$B$400&lt;=$A38)*(Events!$C$6:$C$400&gt;=$A38)*(Events!$E$6:$E$400="Investment")*Events!$H$6:$H$400)</f>
        <v>18.4085053159341</v>
      </c>
      <c r="T38" s="56" t="n">
        <f aca="false">(People!T38*assist_cost+Labour!AD38*talent_cost+Labour!L38*gw_admin)*Economy!H38/1000000</f>
        <v>5.35148749562123</v>
      </c>
      <c r="U38" s="56" t="n">
        <f aca="false">SUMPRODUCT((Events!$B$6:$B$400&lt;=$A38)*(Events!$C$6:$C$400&gt;=$A38)*(Events!$E$6:$E$400="Purchase")*Events!$H$6:$H$400)</f>
        <v>0.3</v>
      </c>
      <c r="V38" s="56" t="n">
        <f aca="false">SUMPRODUCT((Events!$B$6:$B$400&lt;=$A38)*(Events!$C$6:$C$400&gt;=$A38)*(Events!$E$6:$E$400="Subsidy &amp; guarantee")*Events!$H$6:$H$400)+SUMPRODUCT((Events!$B$6:$B$400&lt;=$A38)*(Events!$C$6:$C$400&gt;=$A38)*(Events!$E$6:$E$400="Relief")*Events!$H$6:$H$400)</f>
        <v>3.05</v>
      </c>
      <c r="W38" s="56" t="n">
        <f aca="false">SUMPRODUCT((Events!$B$6:$B$400&lt;=$A38)*(Events!$C$6:$C$400&gt;=$A38)*(Events!$E$6:$E$400="Bank rescue &amp; capital")*Events!$H$6:$H$400)</f>
        <v>0</v>
      </c>
      <c r="X38" s="56" t="n">
        <f aca="false">'Debt &amp; cash'!R37*Paths!Y38</f>
        <v>0</v>
      </c>
      <c r="Y38" s="56" t="n">
        <f aca="false">SUM(N38:X38)</f>
        <v>112.496077793914</v>
      </c>
      <c r="Z38" s="56" t="n">
        <f aca="false">M38-Y38</f>
        <v>55.0907172010287</v>
      </c>
      <c r="AA38" s="66" t="n">
        <f aca="false">M38/Economy!O38</f>
        <v>0.130605221846154</v>
      </c>
      <c r="AB38" s="66" t="n">
        <f aca="false">Y38/Economy!O38</f>
        <v>0.0876714373440922</v>
      </c>
      <c r="AC38" s="66" t="n">
        <f aca="false">(N38+O38+P38)/Economy!O38</f>
        <v>0.0212438382065368</v>
      </c>
    </row>
    <row r="39" customFormat="false" ht="14.25" hidden="false" customHeight="true" outlineLevel="0" collapsed="false">
      <c r="A39" s="61" t="n">
        <v>1879</v>
      </c>
      <c r="B39" s="56" t="n">
        <f aca="false">Economy!O39*Paths!N39*Paths!O39*cust_coll</f>
        <v>33.9973156041151</v>
      </c>
      <c r="C39" s="56" t="n">
        <f aca="false">(Economy!J39+Economy!L39+Economy!M39+Economy!N39)*Paths!P39*Paths!Q39</f>
        <v>116.662239795913</v>
      </c>
      <c r="D39" s="56" t="n">
        <f aca="false">Resources!P39+Resources!Q39</f>
        <v>2.08825</v>
      </c>
      <c r="E39" s="56" t="n">
        <f aca="false">Paths!S39*(1-canal_opcost)*canal_share</f>
        <v>0</v>
      </c>
      <c r="F39" s="56" t="n">
        <f aca="false">Economy!O39*Paths!R39</f>
        <v>2.47813372212817</v>
      </c>
      <c r="G39" s="56" t="n">
        <f aca="false">SUMPRODUCT((Events!$B$6:$B$400&lt;=$A39)*(Events!$C$6:$C$400&gt;=$A39)*(Events!$E$6:$E$400="Receipt")*Events!$H$6:$H$400)+'Land Fund'!O39</f>
        <v>4.19809843113268</v>
      </c>
      <c r="H39" s="72" t="n">
        <f aca="false">Loans!Y39</f>
        <v>1.64857269210719</v>
      </c>
      <c r="I39" s="56" t="n">
        <f aca="false">'Debt &amp; cash'!S38*fund_yield</f>
        <v>14.8353366214373</v>
      </c>
      <c r="J39" s="72" t="n">
        <f aca="false">Labour!Q39</f>
        <v>0</v>
      </c>
      <c r="K39" s="72" t="n">
        <f aca="false">Champions!BD39</f>
        <v>0</v>
      </c>
      <c r="L39" s="72" t="n">
        <f aca="false">Abroad!N39</f>
        <v>0.624148517563056</v>
      </c>
      <c r="M39" s="56" t="n">
        <f aca="false">SUM(B39:L39)</f>
        <v>176.532095384397</v>
      </c>
      <c r="N39" s="56" t="n">
        <f aca="false">(Paths!W39*army_cost+Paths!X39*res_cost)*Economy!H39/1000000</f>
        <v>12.77856</v>
      </c>
      <c r="O39" s="72" t="n">
        <f aca="false">Navy!Y39</f>
        <v>6.1785728</v>
      </c>
      <c r="P39" s="56" t="n">
        <f aca="false">SUMPRODUCT((Events!$B$6:$B$400&lt;=$A39)*(Events!$C$6:$C$400&gt;=$A39)*(Events!$E$6:$E$400="War &amp; operations")*Events!$H$6:$H$400)</f>
        <v>0</v>
      </c>
      <c r="Q39" s="56" t="n">
        <f aca="false">Economy!O39*Paths!T39</f>
        <v>34.4259657614562</v>
      </c>
      <c r="R39" s="56" t="n">
        <f aca="false">Economy!O39*Paths!U39</f>
        <v>26.656681659649</v>
      </c>
      <c r="S39" s="56" t="n">
        <f aca="false">Economy!O39*Paths!V39+SUMPRODUCT((Events!$B$6:$B$400&lt;=$A39)*(Events!$C$6:$C$400&gt;=$A39)*(Events!$E$6:$E$400="Programme")*Events!$H$6:$H$400)+SUMPRODUCT((Events!$B$6:$B$400&lt;=$A39)*(Events!$C$6:$C$400&gt;=$A39)*(Events!$E$6:$E$400="Investment")*Events!$H$6:$H$400)</f>
        <v>19.2839261527109</v>
      </c>
      <c r="T39" s="56" t="n">
        <f aca="false">(People!T39*assist_cost+Labour!AD39*talent_cost+Labour!L39*gw_admin)*Economy!H39/1000000</f>
        <v>4.90788204494508</v>
      </c>
      <c r="U39" s="56" t="n">
        <f aca="false">SUMPRODUCT((Events!$B$6:$B$400&lt;=$A39)*(Events!$C$6:$C$400&gt;=$A39)*(Events!$E$6:$E$400="Purchase")*Events!$H$6:$H$400)</f>
        <v>0</v>
      </c>
      <c r="V39" s="56" t="n">
        <f aca="false">SUMPRODUCT((Events!$B$6:$B$400&lt;=$A39)*(Events!$C$6:$C$400&gt;=$A39)*(Events!$E$6:$E$400="Subsidy &amp; guarantee")*Events!$H$6:$H$400)+SUMPRODUCT((Events!$B$6:$B$400&lt;=$A39)*(Events!$C$6:$C$400&gt;=$A39)*(Events!$E$6:$E$400="Relief")*Events!$H$6:$H$400)</f>
        <v>3.05</v>
      </c>
      <c r="W39" s="56" t="n">
        <f aca="false">SUMPRODUCT((Events!$B$6:$B$400&lt;=$A39)*(Events!$C$6:$C$400&gt;=$A39)*(Events!$E$6:$E$400="Bank rescue &amp; capital")*Events!$H$6:$H$400)</f>
        <v>0</v>
      </c>
      <c r="X39" s="56" t="n">
        <f aca="false">'Debt &amp; cash'!R38*Paths!Y39</f>
        <v>0</v>
      </c>
      <c r="Y39" s="56" t="n">
        <f aca="false">SUM(N39:X39)</f>
        <v>107.281588418761</v>
      </c>
      <c r="Z39" s="56" t="n">
        <f aca="false">M39-Y39</f>
        <v>69.2505069656355</v>
      </c>
      <c r="AA39" s="66" t="n">
        <f aca="false">M39/Economy!O39</f>
        <v>0.131786421993673</v>
      </c>
      <c r="AB39" s="66" t="n">
        <f aca="false">Y39/Economy!O39</f>
        <v>0.0800888736562066</v>
      </c>
      <c r="AC39" s="66" t="n">
        <f aca="false">(N39+O39+P39)/Economy!O39</f>
        <v>0.0141520594174724</v>
      </c>
    </row>
    <row r="40" customFormat="false" ht="14.25" hidden="false" customHeight="true" outlineLevel="0" collapsed="false">
      <c r="A40" s="61" t="n">
        <v>1880</v>
      </c>
      <c r="B40" s="56" t="n">
        <f aca="false">Economy!O40*Paths!N40*Paths!O40*cust_coll</f>
        <v>35.3725907004884</v>
      </c>
      <c r="C40" s="56" t="n">
        <f aca="false">(Economy!J40+Economy!L40+Economy!M40+Economy!N40)*Paths!P40*Paths!Q40</f>
        <v>122.535054551106</v>
      </c>
      <c r="D40" s="56" t="n">
        <f aca="false">Resources!P40+Resources!Q40</f>
        <v>1.99575</v>
      </c>
      <c r="E40" s="56" t="n">
        <f aca="false">Paths!S40*(1-canal_opcost)*canal_share</f>
        <v>0</v>
      </c>
      <c r="F40" s="56" t="n">
        <f aca="false">Economy!O40*Paths!R40</f>
        <v>2.80774957537493</v>
      </c>
      <c r="G40" s="56" t="n">
        <f aca="false">SUMPRODUCT((Events!$B$6:$B$400&lt;=$A40)*(Events!$C$6:$C$400&gt;=$A40)*(Events!$E$6:$E$400="Receipt")*Events!$H$6:$H$400)+'Land Fund'!O40</f>
        <v>4.31244241482833</v>
      </c>
      <c r="H40" s="72" t="n">
        <f aca="false">Loans!Y40</f>
        <v>1.58262964328791</v>
      </c>
      <c r="I40" s="56" t="n">
        <f aca="false">'Debt &amp; cash'!S39*fund_yield</f>
        <v>17.5675802585751</v>
      </c>
      <c r="J40" s="72" t="n">
        <f aca="false">Labour!Q40</f>
        <v>0</v>
      </c>
      <c r="K40" s="72" t="n">
        <f aca="false">Champions!BD40</f>
        <v>0.975333844662083</v>
      </c>
      <c r="L40" s="72" t="n">
        <f aca="false">Abroad!N40</f>
        <v>0.771053378901019</v>
      </c>
      <c r="M40" s="56" t="n">
        <f aca="false">SUM(B40:L40)</f>
        <v>187.920184367224</v>
      </c>
      <c r="N40" s="56" t="n">
        <f aca="false">(Paths!W40*army_cost+Paths!X40*res_cost)*Economy!H40/1000000</f>
        <v>12.64</v>
      </c>
      <c r="O40" s="72" t="n">
        <f aca="false">Navy!Y40</f>
        <v>7.76064</v>
      </c>
      <c r="P40" s="56" t="n">
        <f aca="false">SUMPRODUCT((Events!$B$6:$B$400&lt;=$A40)*(Events!$C$6:$C$400&gt;=$A40)*(Events!$E$6:$E$400="War &amp; operations")*Events!$H$6:$H$400)</f>
        <v>0</v>
      </c>
      <c r="Q40" s="56" t="n">
        <f aca="false">Economy!O40*Paths!T40</f>
        <v>36.500744479874</v>
      </c>
      <c r="R40" s="56" t="n">
        <f aca="false">Economy!O40*Paths!U40</f>
        <v>28.0774957537493</v>
      </c>
      <c r="S40" s="56" t="n">
        <f aca="false">Economy!O40*Paths!V40+SUMPRODUCT((Events!$B$6:$B$400&lt;=$A40)*(Events!$C$6:$C$400&gt;=$A40)*(Events!$E$6:$E$400="Programme")*Events!$H$6:$H$400)+SUMPRODUCT((Events!$B$6:$B$400&lt;=$A40)*(Events!$C$6:$C$400&gt;=$A40)*(Events!$E$6:$E$400="Investment")*Events!$H$6:$H$400)</f>
        <v>18.1444856104184</v>
      </c>
      <c r="T40" s="56" t="n">
        <f aca="false">(People!T40*assist_cost+Labour!AD40*talent_cost+Labour!L40*gw_admin)*Economy!H40/1000000</f>
        <v>4.27466534552882</v>
      </c>
      <c r="U40" s="56" t="n">
        <f aca="false">SUMPRODUCT((Events!$B$6:$B$400&lt;=$A40)*(Events!$C$6:$C$400&gt;=$A40)*(Events!$E$6:$E$400="Purchase")*Events!$H$6:$H$400)</f>
        <v>10</v>
      </c>
      <c r="V40" s="56" t="n">
        <f aca="false">SUMPRODUCT((Events!$B$6:$B$400&lt;=$A40)*(Events!$C$6:$C$400&gt;=$A40)*(Events!$E$6:$E$400="Subsidy &amp; guarantee")*Events!$H$6:$H$400)+SUMPRODUCT((Events!$B$6:$B$400&lt;=$A40)*(Events!$C$6:$C$400&gt;=$A40)*(Events!$E$6:$E$400="Relief")*Events!$H$6:$H$400)</f>
        <v>2.55</v>
      </c>
      <c r="W40" s="56" t="n">
        <f aca="false">SUMPRODUCT((Events!$B$6:$B$400&lt;=$A40)*(Events!$C$6:$C$400&gt;=$A40)*(Events!$E$6:$E$400="Bank rescue &amp; capital")*Events!$H$6:$H$400)</f>
        <v>0</v>
      </c>
      <c r="X40" s="56" t="n">
        <f aca="false">'Debt &amp; cash'!R39*Paths!Y40</f>
        <v>0</v>
      </c>
      <c r="Y40" s="56" t="n">
        <f aca="false">SUM(N40:X40)</f>
        <v>119.948031189571</v>
      </c>
      <c r="Z40" s="56" t="n">
        <f aca="false">M40-Y40</f>
        <v>67.9721531776532</v>
      </c>
      <c r="AA40" s="66" t="n">
        <f aca="false">M40/Economy!O40</f>
        <v>0.13385822298068</v>
      </c>
      <c r="AB40" s="66" t="n">
        <f aca="false">Y40/Economy!O40</f>
        <v>0.0854406904672427</v>
      </c>
      <c r="AC40" s="66" t="n">
        <f aca="false">(N40+O40+P40)/Economy!O40</f>
        <v>0.0145316663415582</v>
      </c>
    </row>
    <row r="41" customFormat="false" ht="14.25" hidden="false" customHeight="true" outlineLevel="0" collapsed="false">
      <c r="A41" s="61" t="n">
        <v>1881</v>
      </c>
      <c r="B41" s="56" t="n">
        <f aca="false">Economy!O41*Paths!N41*Paths!O41*cust_coll</f>
        <v>37.2011190362521</v>
      </c>
      <c r="C41" s="56" t="n">
        <f aca="false">(Economy!J41+Economy!L41+Economy!M41+Economy!N41)*Paths!P41*Paths!Q41</f>
        <v>111.343130027611</v>
      </c>
      <c r="D41" s="56" t="n">
        <f aca="false">Resources!P41+Resources!Q41</f>
        <v>2.016675</v>
      </c>
      <c r="E41" s="56" t="n">
        <f aca="false">Paths!S41*(1-canal_opcost)*canal_share</f>
        <v>0</v>
      </c>
      <c r="F41" s="56" t="n">
        <f aca="false">Economy!O41*Paths!R41</f>
        <v>2.97328274398984</v>
      </c>
      <c r="G41" s="56" t="n">
        <f aca="false">SUMPRODUCT((Events!$B$6:$B$400&lt;=$A41)*(Events!$C$6:$C$400&gt;=$A41)*(Events!$E$6:$E$400="Receipt")*Events!$H$6:$H$400)+'Land Fund'!O41</f>
        <v>2.4568337280387</v>
      </c>
      <c r="H41" s="72" t="n">
        <f aca="false">Loans!Y41</f>
        <v>1.51932432065544</v>
      </c>
      <c r="I41" s="56" t="n">
        <f aca="false">'Debt &amp; cash'!S40*fund_yield</f>
        <v>2.48103410776531</v>
      </c>
      <c r="J41" s="72" t="n">
        <f aca="false">Labour!Q41</f>
        <v>0</v>
      </c>
      <c r="K41" s="72" t="n">
        <f aca="false">Champions!BD41</f>
        <v>1.10874467203577</v>
      </c>
      <c r="L41" s="72" t="n">
        <f aca="false">Abroad!N41</f>
        <v>0.862389524426531</v>
      </c>
      <c r="M41" s="56" t="n">
        <f aca="false">SUM(B41:L41)</f>
        <v>161.962533160775</v>
      </c>
      <c r="N41" s="56" t="n">
        <f aca="false">(Paths!W41*army_cost+Paths!X41*res_cost)*Economy!H41/1000000</f>
        <v>12.91532</v>
      </c>
      <c r="O41" s="72" t="n">
        <f aca="false">Navy!Y41</f>
        <v>7.956909</v>
      </c>
      <c r="P41" s="56" t="n">
        <f aca="false">SUMPRODUCT((Events!$B$6:$B$400&lt;=$A41)*(Events!$C$6:$C$400&gt;=$A41)*(Events!$E$6:$E$400="War &amp; operations")*Events!$H$6:$H$400)</f>
        <v>0</v>
      </c>
      <c r="Q41" s="56" t="n">
        <f aca="false">Economy!O41*Paths!T41</f>
        <v>39.3959963578654</v>
      </c>
      <c r="R41" s="56" t="n">
        <f aca="false">Economy!O41*Paths!U41</f>
        <v>29.7328274398984</v>
      </c>
      <c r="S41" s="56" t="n">
        <f aca="false">Economy!O41*Paths!V41+SUMPRODUCT((Events!$B$6:$B$400&lt;=$A41)*(Events!$C$6:$C$400&gt;=$A41)*(Events!$E$6:$E$400="Programme")*Events!$H$6:$H$400)+SUMPRODUCT((Events!$B$6:$B$400&lt;=$A41)*(Events!$C$6:$C$400&gt;=$A41)*(Events!$E$6:$E$400="Investment")*Events!$H$6:$H$400)</f>
        <v>19.1584364851538</v>
      </c>
      <c r="T41" s="56" t="n">
        <f aca="false">(People!T41*assist_cost+Labour!AD41*talent_cost+Labour!L41*gw_admin)*Economy!H41/1000000</f>
        <v>3.60520034554354</v>
      </c>
      <c r="U41" s="56" t="n">
        <f aca="false">SUMPRODUCT((Events!$B$6:$B$400&lt;=$A41)*(Events!$C$6:$C$400&gt;=$A41)*(Events!$E$6:$E$400="Purchase")*Events!$H$6:$H$400)</f>
        <v>0</v>
      </c>
      <c r="V41" s="56" t="n">
        <f aca="false">SUMPRODUCT((Events!$B$6:$B$400&lt;=$A41)*(Events!$C$6:$C$400&gt;=$A41)*(Events!$E$6:$E$400="Subsidy &amp; guarantee")*Events!$H$6:$H$400)+SUMPRODUCT((Events!$B$6:$B$400&lt;=$A41)*(Events!$C$6:$C$400&gt;=$A41)*(Events!$E$6:$E$400="Relief")*Events!$H$6:$H$400)</f>
        <v>2.55</v>
      </c>
      <c r="W41" s="56" t="n">
        <f aca="false">SUMPRODUCT((Events!$B$6:$B$400&lt;=$A41)*(Events!$C$6:$C$400&gt;=$A41)*(Events!$E$6:$E$400="Bank rescue &amp; capital")*Events!$H$6:$H$400)</f>
        <v>0</v>
      </c>
      <c r="X41" s="56" t="n">
        <f aca="false">'Debt &amp; cash'!R40*Paths!Y41</f>
        <v>0</v>
      </c>
      <c r="Y41" s="56" t="n">
        <f aca="false">SUM(N41:X41)</f>
        <v>115.314689628461</v>
      </c>
      <c r="Z41" s="56" t="n">
        <f aca="false">M41-Y41</f>
        <v>46.647843532314</v>
      </c>
      <c r="AA41" s="66" t="n">
        <f aca="false">M41/Economy!O41</f>
        <v>0.108945261588838</v>
      </c>
      <c r="AB41" s="66" t="n">
        <f aca="false">Y41/Economy!O41</f>
        <v>0.0775672544843284</v>
      </c>
      <c r="AC41" s="66" t="n">
        <f aca="false">(N41+O41+P41)/Economy!O41</f>
        <v>0.0140398547983308</v>
      </c>
    </row>
    <row r="42" customFormat="false" ht="14.25" hidden="false" customHeight="true" outlineLevel="0" collapsed="false">
      <c r="A42" s="61" t="n">
        <v>1882</v>
      </c>
      <c r="B42" s="56" t="n">
        <f aca="false">Economy!O42*Paths!N42*Paths!O42*cust_coll</f>
        <v>39.012922565736</v>
      </c>
      <c r="C42" s="56" t="n">
        <f aca="false">(Economy!J42+Economy!L42+Economy!M42+Economy!N42)*Paths!P42*Paths!Q42</f>
        <v>117.74615472897</v>
      </c>
      <c r="D42" s="56" t="n">
        <f aca="false">Resources!P42+Resources!Q42</f>
        <v>2.0349</v>
      </c>
      <c r="E42" s="56" t="n">
        <f aca="false">Paths!S42*(1-canal_opcost)*canal_share</f>
        <v>0</v>
      </c>
      <c r="F42" s="56" t="n">
        <f aca="false">Economy!O42*Paths!R42</f>
        <v>3.14113708258744</v>
      </c>
      <c r="G42" s="56" t="n">
        <f aca="false">SUMPRODUCT((Events!$B$6:$B$400&lt;=$A42)*(Events!$C$6:$C$400&gt;=$A42)*(Events!$E$6:$E$400="Receipt")*Events!$H$6:$H$400)+'Land Fund'!O42</f>
        <v>2.46102268756907</v>
      </c>
      <c r="H42" s="72" t="n">
        <f aca="false">Loans!Y42</f>
        <v>1.4585512150353</v>
      </c>
      <c r="I42" s="56" t="n">
        <f aca="false">'Debt &amp; cash'!S41*fund_yield</f>
        <v>2.43590420111805</v>
      </c>
      <c r="J42" s="72" t="n">
        <f aca="false">Labour!Q42</f>
        <v>0</v>
      </c>
      <c r="K42" s="72" t="n">
        <f aca="false">Champions!BD42</f>
        <v>1.28474838599922</v>
      </c>
      <c r="L42" s="72" t="n">
        <f aca="false">Abroad!N42</f>
        <v>1.01157413400192</v>
      </c>
      <c r="M42" s="56" t="n">
        <f aca="false">SUM(B42:L42)</f>
        <v>170.586915001017</v>
      </c>
      <c r="N42" s="56" t="n">
        <f aca="false">(Paths!W42*army_cost+Paths!X42*res_cost)*Economy!H42/1000000</f>
        <v>13.16484</v>
      </c>
      <c r="O42" s="72" t="n">
        <f aca="false">Navy!Y42</f>
        <v>6.2879984</v>
      </c>
      <c r="P42" s="56" t="n">
        <f aca="false">SUMPRODUCT((Events!$B$6:$B$400&lt;=$A42)*(Events!$C$6:$C$400&gt;=$A42)*(Events!$E$6:$E$400="War &amp; operations")*Events!$H$6:$H$400)</f>
        <v>0</v>
      </c>
      <c r="Q42" s="56" t="n">
        <f aca="false">Economy!O42*Paths!T42</f>
        <v>42.4053506149305</v>
      </c>
      <c r="R42" s="56" t="n">
        <f aca="false">Economy!O42*Paths!U42</f>
        <v>31.4113708258744</v>
      </c>
      <c r="S42" s="56" t="n">
        <f aca="false">Economy!O42*Paths!V42+SUMPRODUCT((Events!$B$6:$B$400&lt;=$A42)*(Events!$C$6:$C$400&gt;=$A42)*(Events!$E$6:$E$400="Programme")*Events!$H$6:$H$400)+SUMPRODUCT((Events!$B$6:$B$400&lt;=$A42)*(Events!$C$6:$C$400&gt;=$A42)*(Events!$E$6:$E$400="Investment")*Events!$H$6:$H$400)</f>
        <v>19.9362874340316</v>
      </c>
      <c r="T42" s="56" t="n">
        <f aca="false">(People!T42*assist_cost+Labour!AD42*talent_cost+Labour!L42*gw_admin)*Economy!H42/1000000</f>
        <v>3.90332972324929</v>
      </c>
      <c r="U42" s="56" t="n">
        <f aca="false">SUMPRODUCT((Events!$B$6:$B$400&lt;=$A42)*(Events!$C$6:$C$400&gt;=$A42)*(Events!$E$6:$E$400="Purchase")*Events!$H$6:$H$400)</f>
        <v>0</v>
      </c>
      <c r="V42" s="56" t="n">
        <f aca="false">SUMPRODUCT((Events!$B$6:$B$400&lt;=$A42)*(Events!$C$6:$C$400&gt;=$A42)*(Events!$E$6:$E$400="Subsidy &amp; guarantee")*Events!$H$6:$H$400)+SUMPRODUCT((Events!$B$6:$B$400&lt;=$A42)*(Events!$C$6:$C$400&gt;=$A42)*(Events!$E$6:$E$400="Relief")*Events!$H$6:$H$400)</f>
        <v>2.55</v>
      </c>
      <c r="W42" s="56" t="n">
        <f aca="false">SUMPRODUCT((Events!$B$6:$B$400&lt;=$A42)*(Events!$C$6:$C$400&gt;=$A42)*(Events!$E$6:$E$400="Bank rescue &amp; capital")*Events!$H$6:$H$400)</f>
        <v>0</v>
      </c>
      <c r="X42" s="56" t="n">
        <f aca="false">'Debt &amp; cash'!R41*Paths!Y42</f>
        <v>0</v>
      </c>
      <c r="Y42" s="56" t="n">
        <f aca="false">SUM(N42:X42)</f>
        <v>119.659176998086</v>
      </c>
      <c r="Z42" s="56" t="n">
        <f aca="false">M42-Y42</f>
        <v>50.9277380029309</v>
      </c>
      <c r="AA42" s="66" t="n">
        <f aca="false">M42/Economy!O42</f>
        <v>0.108614753521358</v>
      </c>
      <c r="AB42" s="66" t="n">
        <f aca="false">Y42/Economy!O42</f>
        <v>0.0761884463186301</v>
      </c>
      <c r="AC42" s="66" t="n">
        <f aca="false">(N42+O42+P42)/Economy!O42</f>
        <v>0.0123858576614403</v>
      </c>
    </row>
    <row r="43" customFormat="false" ht="14.25" hidden="false" customHeight="true" outlineLevel="0" collapsed="false">
      <c r="A43" s="61" t="n">
        <v>1883</v>
      </c>
      <c r="B43" s="56" t="n">
        <f aca="false">Economy!O43*Paths!N43*Paths!O43*cust_coll</f>
        <v>40.8549006149785</v>
      </c>
      <c r="C43" s="56" t="n">
        <f aca="false">(Economy!J43+Economy!L43+Economy!M43+Economy!N43)*Paths!P43*Paths!Q43</f>
        <v>124.337742873332</v>
      </c>
      <c r="D43" s="56" t="n">
        <f aca="false">Resources!P43+Resources!Q43</f>
        <v>2.0547</v>
      </c>
      <c r="E43" s="56" t="n">
        <f aca="false">Paths!S43*(1-canal_opcost)*canal_share</f>
        <v>0</v>
      </c>
      <c r="F43" s="56" t="n">
        <f aca="false">Economy!O43*Paths!R43</f>
        <v>3.31393882440084</v>
      </c>
      <c r="G43" s="56" t="n">
        <f aca="false">SUMPRODUCT((Events!$B$6:$B$400&lt;=$A43)*(Events!$C$6:$C$400&gt;=$A43)*(Events!$E$6:$E$400="Receipt")*Events!$H$6:$H$400)+'Land Fund'!O43</f>
        <v>2.47641392309944</v>
      </c>
      <c r="H43" s="72" t="n">
        <f aca="false">Loans!Y43</f>
        <v>1.40020903762379</v>
      </c>
      <c r="I43" s="56" t="n">
        <f aca="false">'Debt &amp; cash'!S42*fund_yield</f>
        <v>2.48365793867914</v>
      </c>
      <c r="J43" s="72" t="n">
        <f aca="false">Labour!Q43</f>
        <v>0</v>
      </c>
      <c r="K43" s="72" t="n">
        <f aca="false">Champions!BD43</f>
        <v>1.38278557040504</v>
      </c>
      <c r="L43" s="72" t="n">
        <f aca="false">Abroad!N43</f>
        <v>1.11068940389242</v>
      </c>
      <c r="M43" s="56" t="n">
        <f aca="false">SUM(B43:L43)</f>
        <v>179.415038186411</v>
      </c>
      <c r="N43" s="56" t="n">
        <f aca="false">(Paths!W43*army_cost+Paths!X43*res_cost)*Economy!H43/1000000</f>
        <v>13.40056</v>
      </c>
      <c r="O43" s="72" t="n">
        <f aca="false">Navy!Y43</f>
        <v>7.9452376</v>
      </c>
      <c r="P43" s="56" t="n">
        <f aca="false">SUMPRODUCT((Events!$B$6:$B$400&lt;=$A43)*(Events!$C$6:$C$400&gt;=$A43)*(Events!$E$6:$E$400="War &amp; operations")*Events!$H$6:$H$400)</f>
        <v>0</v>
      </c>
      <c r="Q43" s="56" t="n">
        <f aca="false">Economy!O43*Paths!T43</f>
        <v>45.5666588355116</v>
      </c>
      <c r="R43" s="56" t="n">
        <f aca="false">Economy!O43*Paths!U43</f>
        <v>33.1393882440084</v>
      </c>
      <c r="S43" s="56" t="n">
        <f aca="false">Economy!O43*Paths!V43+SUMPRODUCT((Events!$B$6:$B$400&lt;=$A43)*(Events!$C$6:$C$400&gt;=$A43)*(Events!$E$6:$E$400="Programme")*Events!$H$6:$H$400)+SUMPRODUCT((Events!$B$6:$B$400&lt;=$A43)*(Events!$C$6:$C$400&gt;=$A43)*(Events!$E$6:$E$400="Investment")*Events!$H$6:$H$400)</f>
        <v>20.3169063571241</v>
      </c>
      <c r="T43" s="56" t="n">
        <f aca="false">(People!T43*assist_cost+Labour!AD43*talent_cost+Labour!L43*gw_admin)*Economy!H43/1000000</f>
        <v>4.08369653915052</v>
      </c>
      <c r="U43" s="56" t="n">
        <f aca="false">SUMPRODUCT((Events!$B$6:$B$400&lt;=$A43)*(Events!$C$6:$C$400&gt;=$A43)*(Events!$E$6:$E$400="Purchase")*Events!$H$6:$H$400)</f>
        <v>0</v>
      </c>
      <c r="V43" s="56" t="n">
        <f aca="false">SUMPRODUCT((Events!$B$6:$B$400&lt;=$A43)*(Events!$C$6:$C$400&gt;=$A43)*(Events!$E$6:$E$400="Subsidy &amp; guarantee")*Events!$H$6:$H$400)+SUMPRODUCT((Events!$B$6:$B$400&lt;=$A43)*(Events!$C$6:$C$400&gt;=$A43)*(Events!$E$6:$E$400="Relief")*Events!$H$6:$H$400)</f>
        <v>2.55</v>
      </c>
      <c r="W43" s="56" t="n">
        <f aca="false">SUMPRODUCT((Events!$B$6:$B$400&lt;=$A43)*(Events!$C$6:$C$400&gt;=$A43)*(Events!$E$6:$E$400="Bank rescue &amp; capital")*Events!$H$6:$H$400)</f>
        <v>0</v>
      </c>
      <c r="X43" s="56" t="n">
        <f aca="false">'Debt &amp; cash'!R42*Paths!Y43</f>
        <v>0</v>
      </c>
      <c r="Y43" s="56" t="n">
        <f aca="false">SUM(N43:X43)</f>
        <v>127.002447575795</v>
      </c>
      <c r="Z43" s="56" t="n">
        <f aca="false">M43-Y43</f>
        <v>52.4125906106168</v>
      </c>
      <c r="AA43" s="66" t="n">
        <f aca="false">M43/Economy!O43</f>
        <v>0.108279028487407</v>
      </c>
      <c r="AB43" s="66" t="n">
        <f aca="false">Y43/Economy!O43</f>
        <v>0.0766474303271163</v>
      </c>
      <c r="AC43" s="66" t="n">
        <f aca="false">(N43+O43+P43)/Economy!O43</f>
        <v>0.0128824330991441</v>
      </c>
    </row>
    <row r="44" customFormat="false" ht="14.25" hidden="false" customHeight="true" outlineLevel="0" collapsed="false">
      <c r="A44" s="61" t="n">
        <v>1884</v>
      </c>
      <c r="B44" s="56" t="n">
        <f aca="false">Economy!O44*Paths!N44*Paths!O44*cust_coll</f>
        <v>41.9149377526482</v>
      </c>
      <c r="C44" s="56" t="n">
        <f aca="false">(Economy!J44+Economy!L44+Economy!M44+Economy!N44)*Paths!P44*Paths!Q44</f>
        <v>128.52668232983</v>
      </c>
      <c r="D44" s="56" t="n">
        <f aca="false">Resources!P44+Resources!Q44</f>
        <v>2.0739</v>
      </c>
      <c r="E44" s="56" t="n">
        <f aca="false">Paths!S44*(1-canal_opcost)*canal_share</f>
        <v>0</v>
      </c>
      <c r="F44" s="56" t="n">
        <f aca="false">Economy!O44*Paths!R44</f>
        <v>3.42391950143346</v>
      </c>
      <c r="G44" s="56" t="n">
        <f aca="false">SUMPRODUCT((Events!$B$6:$B$400&lt;=$A44)*(Events!$C$6:$C$400&gt;=$A44)*(Events!$E$6:$E$400="Receipt")*Events!$H$6:$H$400)+'Land Fund'!O44</f>
        <v>2.50498625554981</v>
      </c>
      <c r="H44" s="72" t="n">
        <f aca="false">Loans!Y44</f>
        <v>1.34420055117303</v>
      </c>
      <c r="I44" s="56" t="n">
        <f aca="false">'Debt &amp; cash'!S43*fund_yield</f>
        <v>2.60399735095204</v>
      </c>
      <c r="J44" s="72" t="n">
        <f aca="false">Labour!Q44</f>
        <v>0</v>
      </c>
      <c r="K44" s="72" t="n">
        <f aca="false">Champions!BD44</f>
        <v>1.57145896093854</v>
      </c>
      <c r="L44" s="72" t="n">
        <f aca="false">Abroad!N44</f>
        <v>1.27525469734297</v>
      </c>
      <c r="M44" s="56" t="n">
        <f aca="false">SUM(B44:L44)</f>
        <v>185.239337399868</v>
      </c>
      <c r="N44" s="56" t="n">
        <f aca="false">(Paths!W44*army_cost+Paths!X44*res_cost)*Economy!H44/1000000</f>
        <v>13.63376</v>
      </c>
      <c r="O44" s="72" t="n">
        <f aca="false">Navy!Y44</f>
        <v>8.4538228</v>
      </c>
      <c r="P44" s="56" t="n">
        <f aca="false">SUMPRODUCT((Events!$B$6:$B$400&lt;=$A44)*(Events!$C$6:$C$400&gt;=$A44)*(Events!$E$6:$E$400="War &amp; operations")*Events!$H$6:$H$400)</f>
        <v>1</v>
      </c>
      <c r="Q44" s="56" t="n">
        <f aca="false">Economy!O44*Paths!T44</f>
        <v>47.9348730200685</v>
      </c>
      <c r="R44" s="56" t="n">
        <f aca="false">Economy!O44*Paths!U44</f>
        <v>34.2391950143346</v>
      </c>
      <c r="S44" s="56" t="n">
        <f aca="false">Economy!O44*Paths!V44+SUMPRODUCT((Events!$B$6:$B$400&lt;=$A44)*(Events!$C$6:$C$400&gt;=$A44)*(Events!$E$6:$E$400="Programme")*Events!$H$6:$H$400)+SUMPRODUCT((Events!$B$6:$B$400&lt;=$A44)*(Events!$C$6:$C$400&gt;=$A44)*(Events!$E$6:$E$400="Investment")*Events!$H$6:$H$400)</f>
        <v>21.187205557024</v>
      </c>
      <c r="T44" s="56" t="n">
        <f aca="false">(People!T44*assist_cost+Labour!AD44*talent_cost+Labour!L44*gw_admin)*Economy!H44/1000000</f>
        <v>4.33692399418542</v>
      </c>
      <c r="U44" s="56" t="n">
        <f aca="false">SUMPRODUCT((Events!$B$6:$B$400&lt;=$A44)*(Events!$C$6:$C$400&gt;=$A44)*(Events!$E$6:$E$400="Purchase")*Events!$H$6:$H$400)</f>
        <v>0</v>
      </c>
      <c r="V44" s="56" t="n">
        <f aca="false">SUMPRODUCT((Events!$B$6:$B$400&lt;=$A44)*(Events!$C$6:$C$400&gt;=$A44)*(Events!$E$6:$E$400="Subsidy &amp; guarantee")*Events!$H$6:$H$400)+SUMPRODUCT((Events!$B$6:$B$400&lt;=$A44)*(Events!$C$6:$C$400&gt;=$A44)*(Events!$E$6:$E$400="Relief")*Events!$H$6:$H$400)</f>
        <v>2.55</v>
      </c>
      <c r="W44" s="56" t="n">
        <f aca="false">SUMPRODUCT((Events!$B$6:$B$400&lt;=$A44)*(Events!$C$6:$C$400&gt;=$A44)*(Events!$E$6:$E$400="Bank rescue &amp; capital")*Events!$H$6:$H$400)</f>
        <v>0</v>
      </c>
      <c r="X44" s="56" t="n">
        <f aca="false">'Debt &amp; cash'!R43*Paths!Y44</f>
        <v>0</v>
      </c>
      <c r="Y44" s="56" t="n">
        <f aca="false">SUM(N44:X44)</f>
        <v>133.335780385612</v>
      </c>
      <c r="Z44" s="56" t="n">
        <f aca="false">M44-Y44</f>
        <v>51.9035570142554</v>
      </c>
      <c r="AA44" s="66" t="n">
        <f aca="false">M44/Economy!O44</f>
        <v>0.10820309141165</v>
      </c>
      <c r="AB44" s="66" t="n">
        <f aca="false">Y44/Economy!O44</f>
        <v>0.0778848803716267</v>
      </c>
      <c r="AC44" s="66" t="n">
        <f aca="false">(N44+O44+P44)/Economy!O44</f>
        <v>0.013486054675254</v>
      </c>
    </row>
    <row r="45" customFormat="false" ht="14.25" hidden="false" customHeight="true" outlineLevel="0" collapsed="false">
      <c r="A45" s="61" t="n">
        <v>1885</v>
      </c>
      <c r="B45" s="56" t="n">
        <f aca="false">Economy!O45*Paths!N45*Paths!O45*cust_coll</f>
        <v>43.8557362057961</v>
      </c>
      <c r="C45" s="56" t="n">
        <f aca="false">(Economy!J45+Economy!L45+Economy!M45+Economy!N45)*Paths!P45*Paths!Q45</f>
        <v>135.595699721951</v>
      </c>
      <c r="D45" s="56" t="n">
        <f aca="false">Resources!P45+Resources!Q45</f>
        <v>2.1225</v>
      </c>
      <c r="E45" s="56" t="n">
        <f aca="false">Paths!S45*(1-canal_opcost)*canal_share</f>
        <v>0</v>
      </c>
      <c r="F45" s="56" t="n">
        <f aca="false">Economy!O45*Paths!R45</f>
        <v>3.60952561364577</v>
      </c>
      <c r="G45" s="56" t="n">
        <f aca="false">SUMPRODUCT((Events!$B$6:$B$400&lt;=$A45)*(Events!$C$6:$C$400&gt;=$A45)*(Events!$E$6:$E$400="Receipt")*Events!$H$6:$H$400)+'Land Fund'!O45</f>
        <v>2.69884267020018</v>
      </c>
      <c r="H45" s="72" t="n">
        <f aca="false">Loans!Y45</f>
        <v>1.29043240792869</v>
      </c>
      <c r="I45" s="56" t="n">
        <f aca="false">'Debt &amp; cash'!S44*fund_yield</f>
        <v>2.67236213148986</v>
      </c>
      <c r="J45" s="72" t="n">
        <f aca="false">Labour!Q45</f>
        <v>0</v>
      </c>
      <c r="K45" s="72" t="n">
        <f aca="false">Champions!BD45</f>
        <v>1.72738920090405</v>
      </c>
      <c r="L45" s="72" t="n">
        <f aca="false">Abroad!N45</f>
        <v>1.37344656534392</v>
      </c>
      <c r="M45" s="56" t="n">
        <f aca="false">SUM(B45:L45)</f>
        <v>194.945934517259</v>
      </c>
      <c r="N45" s="56" t="n">
        <f aca="false">(Paths!W45*army_cost+Paths!X45*res_cost)*Economy!H45/1000000</f>
        <v>13.8528</v>
      </c>
      <c r="O45" s="72" t="n">
        <f aca="false">Navy!Y45</f>
        <v>6.808461</v>
      </c>
      <c r="P45" s="56" t="n">
        <f aca="false">SUMPRODUCT((Events!$B$6:$B$400&lt;=$A45)*(Events!$C$6:$C$400&gt;=$A45)*(Events!$E$6:$E$400="War &amp; operations")*Events!$H$6:$H$400)</f>
        <v>2</v>
      </c>
      <c r="Q45" s="56" t="n">
        <f aca="false">Economy!O45*Paths!T45</f>
        <v>51.4357399944522</v>
      </c>
      <c r="R45" s="56" t="n">
        <f aca="false">Economy!O45*Paths!U45</f>
        <v>36.0952561364577</v>
      </c>
      <c r="S45" s="56" t="n">
        <f aca="false">Economy!O45*Paths!V45+SUMPRODUCT((Events!$B$6:$B$400&lt;=$A45)*(Events!$C$6:$C$400&gt;=$A45)*(Events!$E$6:$E$400="Programme")*Events!$H$6:$H$400)+SUMPRODUCT((Events!$B$6:$B$400&lt;=$A45)*(Events!$C$6:$C$400&gt;=$A45)*(Events!$E$6:$E$400="Investment")*Events!$H$6:$H$400)</f>
        <v>23.8576280682288</v>
      </c>
      <c r="T45" s="56" t="n">
        <f aca="false">(People!T45*assist_cost+Labour!AD45*talent_cost+Labour!L45*gw_admin)*Economy!H45/1000000</f>
        <v>4.10933743771537</v>
      </c>
      <c r="U45" s="56" t="n">
        <f aca="false">SUMPRODUCT((Events!$B$6:$B$400&lt;=$A45)*(Events!$C$6:$C$400&gt;=$A45)*(Events!$E$6:$E$400="Purchase")*Events!$H$6:$H$400)</f>
        <v>0</v>
      </c>
      <c r="V45" s="56" t="n">
        <f aca="false">SUMPRODUCT((Events!$B$6:$B$400&lt;=$A45)*(Events!$C$6:$C$400&gt;=$A45)*(Events!$E$6:$E$400="Subsidy &amp; guarantee")*Events!$H$6:$H$400)+SUMPRODUCT((Events!$B$6:$B$400&lt;=$A45)*(Events!$C$6:$C$400&gt;=$A45)*(Events!$E$6:$E$400="Relief")*Events!$H$6:$H$400)</f>
        <v>2.55</v>
      </c>
      <c r="W45" s="56" t="n">
        <f aca="false">SUMPRODUCT((Events!$B$6:$B$400&lt;=$A45)*(Events!$C$6:$C$400&gt;=$A45)*(Events!$E$6:$E$400="Bank rescue &amp; capital")*Events!$H$6:$H$400)</f>
        <v>0</v>
      </c>
      <c r="X45" s="56" t="n">
        <f aca="false">'Debt &amp; cash'!R44*Paths!Y45</f>
        <v>0</v>
      </c>
      <c r="Y45" s="56" t="n">
        <f aca="false">SUM(N45:X45)</f>
        <v>140.709222636854</v>
      </c>
      <c r="Z45" s="56" t="n">
        <f aca="false">M45-Y45</f>
        <v>54.236711880405</v>
      </c>
      <c r="AA45" s="66" t="n">
        <f aca="false">M45/Economy!O45</f>
        <v>0.108017482286464</v>
      </c>
      <c r="AB45" s="66" t="n">
        <f aca="false">Y45/Economy!O45</f>
        <v>0.0779654933628423</v>
      </c>
      <c r="AC45" s="66" t="n">
        <f aca="false">(N45+O45+P45)/Economy!O45</f>
        <v>0.0125563652543866</v>
      </c>
    </row>
    <row r="46" customFormat="false" ht="14.25" hidden="false" customHeight="true" outlineLevel="0" collapsed="false">
      <c r="A46" s="61" t="n">
        <v>1886</v>
      </c>
      <c r="B46" s="56" t="n">
        <f aca="false">Economy!O46*Paths!N46*Paths!O46*cust_coll</f>
        <v>47.3497062336253</v>
      </c>
      <c r="C46" s="56" t="n">
        <f aca="false">(Economy!J46+Economy!L46+Economy!M46+Economy!N46)*Paths!P46*Paths!Q46</f>
        <v>147.52979280438</v>
      </c>
      <c r="D46" s="56" t="n">
        <f aca="false">Resources!P46+Resources!Q46</f>
        <v>2.31</v>
      </c>
      <c r="E46" s="56" t="n">
        <f aca="false">Paths!S46*(1-canal_opcost)*canal_share</f>
        <v>0</v>
      </c>
      <c r="F46" s="56" t="n">
        <f aca="false">Economy!O46*Paths!R46</f>
        <v>3.92676404717332</v>
      </c>
      <c r="G46" s="56" t="n">
        <f aca="false">SUMPRODUCT((Events!$B$6:$B$400&lt;=$A46)*(Events!$C$6:$C$400&gt;=$A46)*(Events!$E$6:$E$400="Receipt")*Events!$H$6:$H$400)+'Land Fund'!O46</f>
        <v>3.11090076905734</v>
      </c>
      <c r="H46" s="72" t="n">
        <f aca="false">Loans!Y46</f>
        <v>1.27181499405003</v>
      </c>
      <c r="I46" s="56" t="n">
        <f aca="false">'Debt &amp; cash'!S45*fund_yield</f>
        <v>2.79237113686265</v>
      </c>
      <c r="J46" s="72" t="n">
        <f aca="false">Labour!Q46</f>
        <v>0</v>
      </c>
      <c r="K46" s="72" t="n">
        <f aca="false">Champions!BD46</f>
        <v>1.9428853648798</v>
      </c>
      <c r="L46" s="72" t="n">
        <f aca="false">Abroad!N46</f>
        <v>1.53336436234134</v>
      </c>
      <c r="M46" s="56" t="n">
        <f aca="false">SUM(B46:L46)</f>
        <v>211.767599712369</v>
      </c>
      <c r="N46" s="56" t="n">
        <f aca="false">(Paths!W46*army_cost+Paths!X46*res_cost)*Economy!H46/1000000</f>
        <v>14.85963</v>
      </c>
      <c r="O46" s="72" t="n">
        <f aca="false">Navy!Y46</f>
        <v>7.4395288</v>
      </c>
      <c r="P46" s="56" t="n">
        <f aca="false">SUMPRODUCT((Events!$B$6:$B$400&lt;=$A46)*(Events!$C$6:$C$400&gt;=$A46)*(Events!$E$6:$E$400="War &amp; operations")*Events!$H$6:$H$400)</f>
        <v>1</v>
      </c>
      <c r="Q46" s="56" t="n">
        <f aca="false">Economy!O46*Paths!T46</f>
        <v>56.9380786840131</v>
      </c>
      <c r="R46" s="56" t="n">
        <f aca="false">Economy!O46*Paths!U46</f>
        <v>39.2676404717332</v>
      </c>
      <c r="S46" s="56" t="n">
        <f aca="false">Economy!O46*Paths!V46+SUMPRODUCT((Events!$B$6:$B$400&lt;=$A46)*(Events!$C$6:$C$400&gt;=$A46)*(Events!$E$6:$E$400="Programme")*Events!$H$6:$H$400)+SUMPRODUCT((Events!$B$6:$B$400&lt;=$A46)*(Events!$C$6:$C$400&gt;=$A46)*(Events!$E$6:$E$400="Investment")*Events!$H$6:$H$400)</f>
        <v>24.5474820335079</v>
      </c>
      <c r="T46" s="56" t="n">
        <f aca="false">(People!T46*assist_cost+Labour!AD46*talent_cost+Labour!L46*gw_admin)*Economy!H46/1000000</f>
        <v>4.5479547387776</v>
      </c>
      <c r="U46" s="56" t="n">
        <f aca="false">SUMPRODUCT((Events!$B$6:$B$400&lt;=$A46)*(Events!$C$6:$C$400&gt;=$A46)*(Events!$E$6:$E$400="Purchase")*Events!$H$6:$H$400)</f>
        <v>0</v>
      </c>
      <c r="V46" s="56" t="n">
        <f aca="false">SUMPRODUCT((Events!$B$6:$B$400&lt;=$A46)*(Events!$C$6:$C$400&gt;=$A46)*(Events!$E$6:$E$400="Subsidy &amp; guarantee")*Events!$H$6:$H$400)+SUMPRODUCT((Events!$B$6:$B$400&lt;=$A46)*(Events!$C$6:$C$400&gt;=$A46)*(Events!$E$6:$E$400="Relief")*Events!$H$6:$H$400)</f>
        <v>2.55</v>
      </c>
      <c r="W46" s="56" t="n">
        <f aca="false">SUMPRODUCT((Events!$B$6:$B$400&lt;=$A46)*(Events!$C$6:$C$400&gt;=$A46)*(Events!$E$6:$E$400="Bank rescue &amp; capital")*Events!$H$6:$H$400)</f>
        <v>0</v>
      </c>
      <c r="X46" s="56" t="n">
        <f aca="false">'Debt &amp; cash'!R45*Paths!Y46</f>
        <v>0</v>
      </c>
      <c r="Y46" s="56" t="n">
        <f aca="false">SUM(N46:X46)</f>
        <v>151.150314728032</v>
      </c>
      <c r="Z46" s="56" t="n">
        <f aca="false">M46-Y46</f>
        <v>60.6172849843374</v>
      </c>
      <c r="AA46" s="66" t="n">
        <f aca="false">M46/Economy!O46</f>
        <v>0.107858581350112</v>
      </c>
      <c r="AB46" s="66" t="n">
        <f aca="false">Y46/Economy!O46</f>
        <v>0.0769846687563707</v>
      </c>
      <c r="AC46" s="66" t="n">
        <f aca="false">(N46+O46+P46)/Economy!O46</f>
        <v>0.0118668494058215</v>
      </c>
    </row>
    <row r="47" customFormat="false" ht="14.25" hidden="false" customHeight="true" outlineLevel="0" collapsed="false">
      <c r="A47" s="61" t="n">
        <v>1887</v>
      </c>
      <c r="B47" s="56" t="n">
        <f aca="false">Economy!O47*Paths!N47*Paths!O47*cust_coll</f>
        <v>50.1993910292057</v>
      </c>
      <c r="C47" s="56" t="n">
        <f aca="false">(Economy!J47+Economy!L47+Economy!M47+Economy!N47)*Paths!P47*Paths!Q47</f>
        <v>157.485594958821</v>
      </c>
      <c r="D47" s="56" t="n">
        <f aca="false">Resources!P47+Resources!Q47</f>
        <v>2.57375</v>
      </c>
      <c r="E47" s="56" t="n">
        <f aca="false">Paths!S47*(1-canal_opcost)*canal_share</f>
        <v>0</v>
      </c>
      <c r="F47" s="56" t="n">
        <f aca="false">Economy!O47*Paths!R47</f>
        <v>4.19313645643977</v>
      </c>
      <c r="G47" s="56" t="n">
        <f aca="false">SUMPRODUCT((Events!$B$6:$B$400&lt;=$A47)*(Events!$C$6:$C$400&gt;=$A47)*(Events!$E$6:$E$400="Receipt")*Events!$H$6:$H$400)+'Land Fund'!O47</f>
        <v>3.2924721646345</v>
      </c>
      <c r="H47" s="72" t="n">
        <f aca="false">Loans!Y47</f>
        <v>1.22094228025337</v>
      </c>
      <c r="I47" s="56" t="n">
        <f aca="false">'Debt &amp; cash'!S46*fund_yield</f>
        <v>3.04493846844827</v>
      </c>
      <c r="J47" s="72" t="n">
        <f aca="false">Labour!Q47</f>
        <v>0</v>
      </c>
      <c r="K47" s="72" t="n">
        <f aca="false">Champions!BD47</f>
        <v>2.05150928903891</v>
      </c>
      <c r="L47" s="72" t="n">
        <f aca="false">Abroad!N47</f>
        <v>1.62979838918614</v>
      </c>
      <c r="M47" s="56" t="n">
        <f aca="false">SUM(B47:L47)</f>
        <v>225.691533036028</v>
      </c>
      <c r="N47" s="56" t="n">
        <f aca="false">(Paths!W47*army_cost+Paths!X47*res_cost)*Economy!H47/1000000</f>
        <v>15.8608</v>
      </c>
      <c r="O47" s="72" t="n">
        <f aca="false">Navy!Y47</f>
        <v>7.5404544</v>
      </c>
      <c r="P47" s="56" t="n">
        <f aca="false">SUMPRODUCT((Events!$B$6:$B$400&lt;=$A47)*(Events!$C$6:$C$400&gt;=$A47)*(Events!$E$6:$E$400="War &amp; operations")*Events!$H$6:$H$400)</f>
        <v>1.5</v>
      </c>
      <c r="Q47" s="56" t="n">
        <f aca="false">Economy!O47*Paths!T47</f>
        <v>61.8487627324866</v>
      </c>
      <c r="R47" s="56" t="n">
        <f aca="false">Economy!O47*Paths!U47</f>
        <v>41.9313645643977</v>
      </c>
      <c r="S47" s="56" t="n">
        <f aca="false">Economy!O47*Paths!V47+SUMPRODUCT((Events!$B$6:$B$400&lt;=$A47)*(Events!$C$6:$C$400&gt;=$A47)*(Events!$E$6:$E$400="Programme")*Events!$H$6:$H$400)+SUMPRODUCT((Events!$B$6:$B$400&lt;=$A47)*(Events!$C$6:$C$400&gt;=$A47)*(Events!$E$6:$E$400="Investment")*Events!$H$6:$H$400)</f>
        <v>25.0660254593769</v>
      </c>
      <c r="T47" s="56" t="n">
        <f aca="false">(People!T47*assist_cost+Labour!AD47*talent_cost+Labour!L47*gw_admin)*Economy!H47/1000000</f>
        <v>5.43424001610621</v>
      </c>
      <c r="U47" s="56" t="n">
        <f aca="false">SUMPRODUCT((Events!$B$6:$B$400&lt;=$A47)*(Events!$C$6:$C$400&gt;=$A47)*(Events!$E$6:$E$400="Purchase")*Events!$H$6:$H$400)</f>
        <v>0</v>
      </c>
      <c r="V47" s="56" t="n">
        <f aca="false">SUMPRODUCT((Events!$B$6:$B$400&lt;=$A47)*(Events!$C$6:$C$400&gt;=$A47)*(Events!$E$6:$E$400="Subsidy &amp; guarantee")*Events!$H$6:$H$400)+SUMPRODUCT((Events!$B$6:$B$400&lt;=$A47)*(Events!$C$6:$C$400&gt;=$A47)*(Events!$E$6:$E$400="Relief")*Events!$H$6:$H$400)</f>
        <v>2.55</v>
      </c>
      <c r="W47" s="56" t="n">
        <f aca="false">SUMPRODUCT((Events!$B$6:$B$400&lt;=$A47)*(Events!$C$6:$C$400&gt;=$A47)*(Events!$E$6:$E$400="Bank rescue &amp; capital")*Events!$H$6:$H$400)</f>
        <v>0</v>
      </c>
      <c r="X47" s="56" t="n">
        <f aca="false">'Debt &amp; cash'!R46*Paths!Y47</f>
        <v>0</v>
      </c>
      <c r="Y47" s="56" t="n">
        <f aca="false">SUM(N47:X47)</f>
        <v>161.731647172367</v>
      </c>
      <c r="Z47" s="56" t="n">
        <f aca="false">M47-Y47</f>
        <v>63.9598858636604</v>
      </c>
      <c r="AA47" s="66" t="n">
        <f aca="false">M47/Economy!O47</f>
        <v>0.107648074600298</v>
      </c>
      <c r="AB47" s="66" t="n">
        <f aca="false">Y47/Economy!O47</f>
        <v>0.0771411323492618</v>
      </c>
      <c r="AC47" s="66" t="n">
        <f aca="false">(N47+O47+P47)/Economy!O47</f>
        <v>0.0118771495555586</v>
      </c>
    </row>
    <row r="48" customFormat="false" ht="14.25" hidden="false" customHeight="true" outlineLevel="0" collapsed="false">
      <c r="A48" s="61" t="n">
        <v>1888</v>
      </c>
      <c r="B48" s="56" t="n">
        <f aca="false">Economy!O48*Paths!N48*Paths!O48*cust_coll</f>
        <v>53.3543042189702</v>
      </c>
      <c r="C48" s="56" t="n">
        <f aca="false">(Economy!J48+Economy!L48+Economy!M48+Economy!N48)*Paths!P48*Paths!Q48</f>
        <v>159.287517635547</v>
      </c>
      <c r="D48" s="56" t="n">
        <f aca="false">Resources!P48+Resources!Q48</f>
        <v>2.82</v>
      </c>
      <c r="E48" s="56" t="n">
        <f aca="false">Paths!S48*(1-canal_opcost)*canal_share</f>
        <v>0</v>
      </c>
      <c r="F48" s="56" t="n">
        <f aca="false">Economy!O48*Paths!R48</f>
        <v>4.49110304873486</v>
      </c>
      <c r="G48" s="56" t="n">
        <f aca="false">SUMPRODUCT((Events!$B$6:$B$400&lt;=$A48)*(Events!$C$6:$C$400&gt;=$A48)*(Events!$E$6:$E$400="Receipt")*Events!$H$6:$H$400)+'Land Fund'!O48</f>
        <v>3.49285794769166</v>
      </c>
      <c r="H48" s="72" t="n">
        <f aca="false">Loans!Y48</f>
        <v>1.17210447842962</v>
      </c>
      <c r="I48" s="56" t="n">
        <f aca="false">'Debt &amp; cash'!S47*fund_yield</f>
        <v>3.25308881471662</v>
      </c>
      <c r="J48" s="72" t="n">
        <f aca="false">Labour!Q48</f>
        <v>0</v>
      </c>
      <c r="K48" s="72" t="n">
        <f aca="false">Champions!BD48</f>
        <v>2.26693631190073</v>
      </c>
      <c r="L48" s="72" t="n">
        <f aca="false">Abroad!N48</f>
        <v>1.82525546264709</v>
      </c>
      <c r="M48" s="56" t="n">
        <f aca="false">SUM(B48:L48)</f>
        <v>231.963167918638</v>
      </c>
      <c r="N48" s="56" t="n">
        <f aca="false">(Paths!W48*army_cost+Paths!X48*res_cost)*Economy!H48/1000000</f>
        <v>15.32592</v>
      </c>
      <c r="O48" s="72" t="n">
        <f aca="false">Navy!Y48</f>
        <v>6.2264223</v>
      </c>
      <c r="P48" s="56" t="n">
        <f aca="false">SUMPRODUCT((Events!$B$6:$B$400&lt;=$A48)*(Events!$C$6:$C$400&gt;=$A48)*(Events!$E$6:$E$400="War &amp; operations")*Events!$H$6:$H$400)</f>
        <v>0.5</v>
      </c>
      <c r="Q48" s="56" t="n">
        <f aca="false">Economy!O48*Paths!T48</f>
        <v>67.366545731023</v>
      </c>
      <c r="R48" s="56" t="n">
        <f aca="false">Economy!O48*Paths!U48</f>
        <v>44.9110304873486</v>
      </c>
      <c r="S48" s="56" t="n">
        <f aca="false">Economy!O48*Paths!V48+SUMPRODUCT((Events!$B$6:$B$400&lt;=$A48)*(Events!$C$6:$C$400&gt;=$A48)*(Events!$E$6:$E$400="Programme")*Events!$H$6:$H$400)+SUMPRODUCT((Events!$B$6:$B$400&lt;=$A48)*(Events!$C$6:$C$400&gt;=$A48)*(Events!$E$6:$E$400="Investment")*Events!$H$6:$H$400)</f>
        <v>26.5164049388008</v>
      </c>
      <c r="T48" s="56" t="n">
        <f aca="false">(People!T48*assist_cost+Labour!AD48*talent_cost+Labour!L48*gw_admin)*Economy!H48/1000000</f>
        <v>4.75318509870645</v>
      </c>
      <c r="U48" s="56" t="n">
        <f aca="false">SUMPRODUCT((Events!$B$6:$B$400&lt;=$A48)*(Events!$C$6:$C$400&gt;=$A48)*(Events!$E$6:$E$400="Purchase")*Events!$H$6:$H$400)</f>
        <v>0</v>
      </c>
      <c r="V48" s="56" t="n">
        <f aca="false">SUMPRODUCT((Events!$B$6:$B$400&lt;=$A48)*(Events!$C$6:$C$400&gt;=$A48)*(Events!$E$6:$E$400="Subsidy &amp; guarantee")*Events!$H$6:$H$400)+SUMPRODUCT((Events!$B$6:$B$400&lt;=$A48)*(Events!$C$6:$C$400&gt;=$A48)*(Events!$E$6:$E$400="Relief")*Events!$H$6:$H$400)</f>
        <v>2.55</v>
      </c>
      <c r="W48" s="56" t="n">
        <f aca="false">SUMPRODUCT((Events!$B$6:$B$400&lt;=$A48)*(Events!$C$6:$C$400&gt;=$A48)*(Events!$E$6:$E$400="Bank rescue &amp; capital")*Events!$H$6:$H$400)</f>
        <v>0</v>
      </c>
      <c r="X48" s="56" t="n">
        <f aca="false">'Debt &amp; cash'!R47*Paths!Y48</f>
        <v>5.19948920598532</v>
      </c>
      <c r="Y48" s="56" t="n">
        <f aca="false">SUM(N48:X48)</f>
        <v>173.348997761864</v>
      </c>
      <c r="Z48" s="56" t="n">
        <f aca="false">M48-Y48</f>
        <v>58.6141701567735</v>
      </c>
      <c r="AA48" s="66" t="n">
        <f aca="false">M48/Economy!O48</f>
        <v>0.10329897372717</v>
      </c>
      <c r="AB48" s="66" t="n">
        <f aca="false">Y48/Economy!O48</f>
        <v>0.0771966244732222</v>
      </c>
      <c r="AC48" s="66" t="n">
        <f aca="false">(N48+O48+P48)/Economy!O48</f>
        <v>0.00982045705061794</v>
      </c>
    </row>
    <row r="49" customFormat="false" ht="14.25" hidden="false" customHeight="true" outlineLevel="0" collapsed="false">
      <c r="A49" s="61" t="n">
        <v>1889</v>
      </c>
      <c r="B49" s="56" t="n">
        <f aca="false">Economy!O49*Paths!N49*Paths!O49*cust_coll</f>
        <v>56.5069991781572</v>
      </c>
      <c r="C49" s="56" t="n">
        <f aca="false">(Economy!J49+Economy!L49+Economy!M49+Economy!N49)*Paths!P49*Paths!Q49</f>
        <v>169.989881865673</v>
      </c>
      <c r="D49" s="56" t="n">
        <f aca="false">Resources!P49+Resources!Q49</f>
        <v>3.09</v>
      </c>
      <c r="E49" s="56" t="n">
        <f aca="false">Paths!S49*(1-canal_opcost)*canal_share</f>
        <v>0</v>
      </c>
      <c r="F49" s="56" t="n">
        <f aca="false">Economy!O49*Paths!R49</f>
        <v>4.7935222661778</v>
      </c>
      <c r="G49" s="56" t="n">
        <f aca="false">SUMPRODUCT((Events!$B$6:$B$400&lt;=$A49)*(Events!$C$6:$C$400&gt;=$A49)*(Events!$E$6:$E$400="Receipt")*Events!$H$6:$H$400)+'Land Fund'!O49</f>
        <v>3.71392395502882</v>
      </c>
      <c r="H49" s="72" t="n">
        <f aca="false">Loans!Y49</f>
        <v>1.27522019199723</v>
      </c>
      <c r="I49" s="56" t="n">
        <f aca="false">'Debt &amp; cash'!S48*fund_yield</f>
        <v>2.82154143398888</v>
      </c>
      <c r="J49" s="72" t="n">
        <f aca="false">Labour!Q49</f>
        <v>0</v>
      </c>
      <c r="K49" s="72" t="n">
        <f aca="false">Champions!BD49</f>
        <v>2.40360270892783</v>
      </c>
      <c r="L49" s="72" t="n">
        <f aca="false">Abroad!N49</f>
        <v>1.94975374288987</v>
      </c>
      <c r="M49" s="56" t="n">
        <f aca="false">SUM(B49:L49)</f>
        <v>246.544445342841</v>
      </c>
      <c r="N49" s="56" t="n">
        <f aca="false">(Paths!W49*army_cost+Paths!X49*res_cost)*Economy!H49/1000000</f>
        <v>14.79372</v>
      </c>
      <c r="O49" s="72" t="n">
        <f aca="false">Navy!Y49</f>
        <v>7.5767196</v>
      </c>
      <c r="P49" s="56" t="n">
        <f aca="false">SUMPRODUCT((Events!$B$6:$B$400&lt;=$A49)*(Events!$C$6:$C$400&gt;=$A49)*(Events!$E$6:$E$400="War &amp; operations")*Events!$H$6:$H$400)</f>
        <v>0.5</v>
      </c>
      <c r="Q49" s="56" t="n">
        <f aca="false">Economy!O49*Paths!T49</f>
        <v>73.1012145592115</v>
      </c>
      <c r="R49" s="56" t="n">
        <f aca="false">Economy!O49*Paths!U49</f>
        <v>47.935222661778</v>
      </c>
      <c r="S49" s="56" t="n">
        <f aca="false">Economy!O49*Paths!V49+SUMPRODUCT((Events!$B$6:$B$400&lt;=$A49)*(Events!$C$6:$C$400&gt;=$A49)*(Events!$E$6:$E$400="Programme")*Events!$H$6:$H$400)+SUMPRODUCT((Events!$B$6:$B$400&lt;=$A49)*(Events!$C$6:$C$400&gt;=$A49)*(Events!$E$6:$E$400="Investment")*Events!$H$6:$H$400)</f>
        <v>27.7785829909623</v>
      </c>
      <c r="T49" s="56" t="n">
        <f aca="false">(People!T49*assist_cost+Labour!AD49*talent_cost+Labour!L49*gw_admin)*Economy!H49/1000000</f>
        <v>5.38784485430539</v>
      </c>
      <c r="U49" s="56" t="n">
        <f aca="false">SUMPRODUCT((Events!$B$6:$B$400&lt;=$A49)*(Events!$C$6:$C$400&gt;=$A49)*(Events!$E$6:$E$400="Purchase")*Events!$H$6:$H$400)</f>
        <v>30</v>
      </c>
      <c r="V49" s="56" t="n">
        <f aca="false">SUMPRODUCT((Events!$B$6:$B$400&lt;=$A49)*(Events!$C$6:$C$400&gt;=$A49)*(Events!$E$6:$E$400="Subsidy &amp; guarantee")*Events!$H$6:$H$400)+SUMPRODUCT((Events!$B$6:$B$400&lt;=$A49)*(Events!$C$6:$C$400&gt;=$A49)*(Events!$E$6:$E$400="Relief")*Events!$H$6:$H$400)</f>
        <v>1.55</v>
      </c>
      <c r="W49" s="56" t="n">
        <f aca="false">SUMPRODUCT((Events!$B$6:$B$400&lt;=$A49)*(Events!$C$6:$C$400&gt;=$A49)*(Events!$E$6:$E$400="Bank rescue &amp; capital")*Events!$H$6:$H$400)</f>
        <v>0</v>
      </c>
      <c r="X49" s="56" t="n">
        <f aca="false">'Debt &amp; cash'!R48*Paths!Y49</f>
        <v>5.49037347707837</v>
      </c>
      <c r="Y49" s="56" t="n">
        <f aca="false">SUM(N49:X49)</f>
        <v>214.113678143336</v>
      </c>
      <c r="Z49" s="56" t="n">
        <f aca="false">M49-Y49</f>
        <v>32.4307671995051</v>
      </c>
      <c r="AA49" s="66" t="n">
        <f aca="false">M49/Economy!O49</f>
        <v>0.102865672318834</v>
      </c>
      <c r="AB49" s="66" t="n">
        <f aca="false">Y49/Economy!O49</f>
        <v>0.0893345920823532</v>
      </c>
      <c r="AC49" s="66" t="n">
        <f aca="false">(N49+O49+P49)/Economy!O49</f>
        <v>0.00954222733515584</v>
      </c>
    </row>
    <row r="50" customFormat="false" ht="14.25" hidden="false" customHeight="true" outlineLevel="0" collapsed="false">
      <c r="A50" s="61" t="n">
        <v>1890</v>
      </c>
      <c r="B50" s="56" t="n">
        <f aca="false">Economy!O50*Paths!N50*Paths!O50*cust_coll</f>
        <v>60.9391699786806</v>
      </c>
      <c r="C50" s="56" t="n">
        <f aca="false">(Economy!J50+Economy!L50+Economy!M50+Economy!N50)*Paths!P50*Paths!Q50</f>
        <v>184.738730249606</v>
      </c>
      <c r="D50" s="56" t="n">
        <f aca="false">Resources!P50+Resources!Q50</f>
        <v>3.335</v>
      </c>
      <c r="E50" s="56" t="n">
        <f aca="false">Paths!S50*(1-canal_opcost)*canal_share</f>
        <v>0</v>
      </c>
      <c r="F50" s="56" t="n">
        <f aca="false">Economy!O50*Paths!R50</f>
        <v>5.20767488580224</v>
      </c>
      <c r="G50" s="56" t="n">
        <f aca="false">SUMPRODUCT((Events!$B$6:$B$400&lt;=$A50)*(Events!$C$6:$C$400&gt;=$A50)*(Events!$E$6:$E$400="Receipt")*Events!$H$6:$H$400)+'Land Fund'!O50</f>
        <v>3.95783708212599</v>
      </c>
      <c r="H50" s="72" t="n">
        <f aca="false">Loans!Y50</f>
        <v>1.37421128024098</v>
      </c>
      <c r="I50" s="56" t="n">
        <f aca="false">'Debt &amp; cash'!S49*fund_yield</f>
        <v>2.88043751240722</v>
      </c>
      <c r="J50" s="72" t="n">
        <f aca="false">Labour!Q50</f>
        <v>8.71007422872479</v>
      </c>
      <c r="K50" s="72" t="n">
        <f aca="false">Champions!BD50</f>
        <v>2.72699277826796</v>
      </c>
      <c r="L50" s="72" t="n">
        <f aca="false">Abroad!N50</f>
        <v>2.17481582652202</v>
      </c>
      <c r="M50" s="56" t="n">
        <f aca="false">SUM(B50:L50)</f>
        <v>276.044943822378</v>
      </c>
      <c r="N50" s="56" t="n">
        <f aca="false">(Paths!W50*army_cost+Paths!X50*res_cost)*Economy!H50/1000000</f>
        <v>14.25325</v>
      </c>
      <c r="O50" s="72" t="n">
        <f aca="false">Navy!Y50</f>
        <v>8.1940925</v>
      </c>
      <c r="P50" s="56" t="n">
        <f aca="false">SUMPRODUCT((Events!$B$6:$B$400&lt;=$A50)*(Events!$C$6:$C$400&gt;=$A50)*(Events!$E$6:$E$400="War &amp; operations")*Events!$H$6:$H$400)</f>
        <v>0</v>
      </c>
      <c r="Q50" s="56" t="n">
        <f aca="false">Economy!O50*Paths!T50</f>
        <v>80.7189607299346</v>
      </c>
      <c r="R50" s="56" t="n">
        <f aca="false">Economy!O50*Paths!U50</f>
        <v>52.0767488580224</v>
      </c>
      <c r="S50" s="56" t="n">
        <f aca="false">Economy!O50*Paths!V50+SUMPRODUCT((Events!$B$6:$B$400&lt;=$A50)*(Events!$C$6:$C$400&gt;=$A50)*(Events!$E$6:$E$400="Programme")*Events!$H$6:$H$400)+SUMPRODUCT((Events!$B$6:$B$400&lt;=$A50)*(Events!$C$6:$C$400&gt;=$A50)*(Events!$E$6:$E$400="Investment")*Events!$H$6:$H$400)</f>
        <v>29.7872231961408</v>
      </c>
      <c r="T50" s="56" t="n">
        <f aca="false">(People!T50*assist_cost+Labour!AD50*talent_cost+Labour!L50*gw_admin)*Economy!H50/1000000</f>
        <v>8.0273975260953</v>
      </c>
      <c r="U50" s="56" t="n">
        <f aca="false">SUMPRODUCT((Events!$B$6:$B$400&lt;=$A50)*(Events!$C$6:$C$400&gt;=$A50)*(Events!$E$6:$E$400="Purchase")*Events!$H$6:$H$400)</f>
        <v>18.75</v>
      </c>
      <c r="V50" s="56" t="n">
        <f aca="false">SUMPRODUCT((Events!$B$6:$B$400&lt;=$A50)*(Events!$C$6:$C$400&gt;=$A50)*(Events!$E$6:$E$400="Subsidy &amp; guarantee")*Events!$H$6:$H$400)+SUMPRODUCT((Events!$B$6:$B$400&lt;=$A50)*(Events!$C$6:$C$400&gt;=$A50)*(Events!$E$6:$E$400="Relief")*Events!$H$6:$H$400)</f>
        <v>1.75</v>
      </c>
      <c r="W50" s="56" t="n">
        <f aca="false">SUMPRODUCT((Events!$B$6:$B$400&lt;=$A50)*(Events!$C$6:$C$400&gt;=$A50)*(Events!$E$6:$E$400="Bank rescue &amp; capital")*Events!$H$6:$H$400)</f>
        <v>0</v>
      </c>
      <c r="X50" s="56" t="n">
        <f aca="false">'Debt &amp; cash'!R49*Paths!Y50</f>
        <v>5.7881781364097</v>
      </c>
      <c r="Y50" s="56" t="n">
        <f aca="false">SUM(N50:X50)</f>
        <v>219.345850946603</v>
      </c>
      <c r="Z50" s="56" t="n">
        <f aca="false">M50-Y50</f>
        <v>56.6990928757747</v>
      </c>
      <c r="AA50" s="66" t="n">
        <f aca="false">M50/Economy!O50</f>
        <v>0.106014661005418</v>
      </c>
      <c r="AB50" s="66" t="n">
        <f aca="false">Y50/Economy!O50</f>
        <v>0.0842394564778261</v>
      </c>
      <c r="AC50" s="66" t="n">
        <f aca="false">(N50+O50+P50)/Economy!O50</f>
        <v>0.00862086938691144</v>
      </c>
    </row>
    <row r="51" customFormat="false" ht="14.25" hidden="false" customHeight="true" outlineLevel="0" collapsed="false">
      <c r="A51" s="61" t="n">
        <v>1891</v>
      </c>
      <c r="B51" s="56" t="n">
        <f aca="false">Economy!O51*Paths!N51*Paths!O51*cust_coll</f>
        <v>64.8349763957634</v>
      </c>
      <c r="C51" s="56" t="n">
        <f aca="false">(Economy!J51+Economy!L51+Economy!M51+Economy!N51)*Paths!P51*Paths!Q51</f>
        <v>198.247062493278</v>
      </c>
      <c r="D51" s="56" t="n">
        <f aca="false">Resources!P51+Resources!Q51</f>
        <v>3.489</v>
      </c>
      <c r="E51" s="56" t="n">
        <f aca="false">Paths!S51*(1-canal_opcost)*canal_share</f>
        <v>0</v>
      </c>
      <c r="F51" s="56" t="n">
        <f aca="false">Economy!O51*Paths!R51</f>
        <v>5.58440795829142</v>
      </c>
      <c r="G51" s="56" t="n">
        <f aca="false">SUMPRODUCT((Events!$B$6:$B$400&lt;=$A51)*(Events!$C$6:$C$400&gt;=$A51)*(Events!$E$6:$E$400="Receipt")*Events!$H$6:$H$400)+'Land Fund'!O51</f>
        <v>4.41124946034466</v>
      </c>
      <c r="H51" s="72" t="n">
        <f aca="false">Loans!Y51</f>
        <v>1.39424272807728</v>
      </c>
      <c r="I51" s="56" t="n">
        <f aca="false">'Debt &amp; cash'!S50*fund_yield</f>
        <v>2.99205512351451</v>
      </c>
      <c r="J51" s="72" t="n">
        <f aca="false">Labour!Q51</f>
        <v>14.3380470351882</v>
      </c>
      <c r="K51" s="72" t="n">
        <f aca="false">Champions!BD51</f>
        <v>3.2260252028563</v>
      </c>
      <c r="L51" s="72" t="n">
        <f aca="false">Abroad!N51</f>
        <v>2.51816156046074</v>
      </c>
      <c r="M51" s="56" t="n">
        <f aca="false">SUM(B51:L51)</f>
        <v>301.035227957774</v>
      </c>
      <c r="N51" s="56" t="n">
        <f aca="false">(Paths!W51*army_cost+Paths!X51*res_cost)*Economy!H51/1000000</f>
        <v>14.405132</v>
      </c>
      <c r="O51" s="72" t="n">
        <f aca="false">Navy!Y51</f>
        <v>8.163556325</v>
      </c>
      <c r="P51" s="56" t="n">
        <f aca="false">SUMPRODUCT((Events!$B$6:$B$400&lt;=$A51)*(Events!$C$6:$C$400&gt;=$A51)*(Events!$E$6:$E$400="War &amp; operations")*Events!$H$6:$H$400)</f>
        <v>0</v>
      </c>
      <c r="Q51" s="56" t="n">
        <f aca="false">Economy!O51*Paths!T51</f>
        <v>87.9544253430899</v>
      </c>
      <c r="R51" s="56" t="n">
        <f aca="false">Economy!O51*Paths!U51</f>
        <v>55.8440795829142</v>
      </c>
      <c r="S51" s="56" t="n">
        <f aca="false">Economy!O51*Paths!V51+SUMPRODUCT((Events!$B$6:$B$400&lt;=$A51)*(Events!$C$6:$C$400&gt;=$A51)*(Events!$E$6:$E$400="Programme")*Events!$H$6:$H$400)+SUMPRODUCT((Events!$B$6:$B$400&lt;=$A51)*(Events!$C$6:$C$400&gt;=$A51)*(Events!$E$6:$E$400="Investment")*Events!$H$6:$H$400)</f>
        <v>31.0351581997988</v>
      </c>
      <c r="T51" s="56" t="n">
        <f aca="false">(People!T51*assist_cost+Labour!AD51*talent_cost+Labour!L51*gw_admin)*Economy!H51/1000000</f>
        <v>9.75878889412939</v>
      </c>
      <c r="U51" s="56" t="n">
        <f aca="false">SUMPRODUCT((Events!$B$6:$B$400&lt;=$A51)*(Events!$C$6:$C$400&gt;=$A51)*(Events!$E$6:$E$400="Purchase")*Events!$H$6:$H$400)</f>
        <v>18.75</v>
      </c>
      <c r="V51" s="56" t="n">
        <f aca="false">SUMPRODUCT((Events!$B$6:$B$400&lt;=$A51)*(Events!$C$6:$C$400&gt;=$A51)*(Events!$E$6:$E$400="Subsidy &amp; guarantee")*Events!$H$6:$H$400)+SUMPRODUCT((Events!$B$6:$B$400&lt;=$A51)*(Events!$C$6:$C$400&gt;=$A51)*(Events!$E$6:$E$400="Relief")*Events!$H$6:$H$400)</f>
        <v>1.75</v>
      </c>
      <c r="W51" s="56" t="n">
        <f aca="false">SUMPRODUCT((Events!$B$6:$B$400&lt;=$A51)*(Events!$C$6:$C$400&gt;=$A51)*(Events!$E$6:$E$400="Bank rescue &amp; capital")*Events!$H$6:$H$400)</f>
        <v>0</v>
      </c>
      <c r="X51" s="56" t="n">
        <f aca="false">'Debt &amp; cash'!R50*Paths!Y51</f>
        <v>6.19713311410466</v>
      </c>
      <c r="Y51" s="56" t="n">
        <f aca="false">SUM(N51:X51)</f>
        <v>233.858273459037</v>
      </c>
      <c r="Z51" s="56" t="n">
        <f aca="false">M51-Y51</f>
        <v>67.1769544987371</v>
      </c>
      <c r="AA51" s="66" t="n">
        <f aca="false">M51/Economy!O51</f>
        <v>0.107812763754415</v>
      </c>
      <c r="AB51" s="66" t="n">
        <f aca="false">Y51/Economy!O51</f>
        <v>0.0837540076604959</v>
      </c>
      <c r="AC51" s="66" t="n">
        <f aca="false">(N51+O51+P51)/Economy!O51</f>
        <v>0.00808275057752228</v>
      </c>
    </row>
    <row r="52" customFormat="false" ht="14.25" hidden="false" customHeight="true" outlineLevel="0" collapsed="false">
      <c r="A52" s="61" t="n">
        <v>1892</v>
      </c>
      <c r="B52" s="56" t="n">
        <f aca="false">Economy!O52*Paths!N52*Paths!O52*cust_coll</f>
        <v>68.7860668667223</v>
      </c>
      <c r="C52" s="56" t="n">
        <f aca="false">(Economy!J52+Economy!L52+Economy!M52+Economy!N52)*Paths!P52*Paths!Q52</f>
        <v>212.149765387174</v>
      </c>
      <c r="D52" s="56" t="n">
        <f aca="false">Resources!P52+Resources!Q52</f>
        <v>3.633</v>
      </c>
      <c r="E52" s="56" t="n">
        <f aca="false">Paths!S52*(1-canal_opcost)*canal_share</f>
        <v>0</v>
      </c>
      <c r="F52" s="56" t="n">
        <f aca="false">Economy!O52*Paths!R52</f>
        <v>5.97194586538889</v>
      </c>
      <c r="G52" s="56" t="n">
        <f aca="false">SUMPRODUCT((Events!$B$6:$B$400&lt;=$A52)*(Events!$C$6:$C$400&gt;=$A52)*(Events!$E$6:$E$400="Receipt")*Events!$H$6:$H$400)+'Land Fund'!O52</f>
        <v>4.67311457697918</v>
      </c>
      <c r="H52" s="72" t="n">
        <f aca="false">Loans!Y52</f>
        <v>1.41422292102875</v>
      </c>
      <c r="I52" s="56" t="n">
        <f aca="false">'Debt &amp; cash'!S51*fund_yield</f>
        <v>3.13103305527397</v>
      </c>
      <c r="J52" s="72" t="n">
        <f aca="false">Labour!Q52</f>
        <v>18.3371962117449</v>
      </c>
      <c r="K52" s="72" t="n">
        <f aca="false">Champions!BD52</f>
        <v>3.73190517785</v>
      </c>
      <c r="L52" s="72" t="n">
        <f aca="false">Abroad!N52</f>
        <v>2.86854080595781</v>
      </c>
      <c r="M52" s="56" t="n">
        <f aca="false">SUM(B52:L52)</f>
        <v>324.696790868119</v>
      </c>
      <c r="N52" s="56" t="n">
        <f aca="false">(Paths!W52*army_cost+Paths!X52*res_cost)*Economy!H52/1000000</f>
        <v>14.558453</v>
      </c>
      <c r="O52" s="72" t="n">
        <f aca="false">Navy!Y52</f>
        <v>8.165112735</v>
      </c>
      <c r="P52" s="56" t="n">
        <f aca="false">SUMPRODUCT((Events!$B$6:$B$400&lt;=$A52)*(Events!$C$6:$C$400&gt;=$A52)*(Events!$E$6:$E$400="War &amp; operations")*Events!$H$6:$H$400)</f>
        <v>0</v>
      </c>
      <c r="Q52" s="56" t="n">
        <f aca="false">Economy!O52*Paths!T52</f>
        <v>95.5511338462222</v>
      </c>
      <c r="R52" s="56" t="n">
        <f aca="false">Economy!O52*Paths!U52</f>
        <v>59.7194586538889</v>
      </c>
      <c r="S52" s="56" t="n">
        <f aca="false">Economy!O52*Paths!V52+SUMPRODUCT((Events!$B$6:$B$400&lt;=$A52)*(Events!$C$6:$C$400&gt;=$A52)*(Events!$E$6:$E$400="Programme")*Events!$H$6:$H$400)+SUMPRODUCT((Events!$B$6:$B$400&lt;=$A52)*(Events!$C$6:$C$400&gt;=$A52)*(Events!$E$6:$E$400="Investment")*Events!$H$6:$H$400)</f>
        <v>32.7467428605972</v>
      </c>
      <c r="T52" s="56" t="n">
        <f aca="false">(People!T52*assist_cost+Labour!AD52*talent_cost+Labour!L52*gw_admin)*Economy!H52/1000000</f>
        <v>10.9108263705214</v>
      </c>
      <c r="U52" s="56" t="n">
        <f aca="false">SUMPRODUCT((Events!$B$6:$B$400&lt;=$A52)*(Events!$C$6:$C$400&gt;=$A52)*(Events!$E$6:$E$400="Purchase")*Events!$H$6:$H$400)</f>
        <v>18.75</v>
      </c>
      <c r="V52" s="56" t="n">
        <f aca="false">SUMPRODUCT((Events!$B$6:$B$400&lt;=$A52)*(Events!$C$6:$C$400&gt;=$A52)*(Events!$E$6:$E$400="Subsidy &amp; guarantee")*Events!$H$6:$H$400)+SUMPRODUCT((Events!$B$6:$B$400&lt;=$A52)*(Events!$C$6:$C$400&gt;=$A52)*(Events!$E$6:$E$400="Relief")*Events!$H$6:$H$400)</f>
        <v>1.75</v>
      </c>
      <c r="W52" s="56" t="n">
        <f aca="false">SUMPRODUCT((Events!$B$6:$B$400&lt;=$A52)*(Events!$C$6:$C$400&gt;=$A52)*(Events!$E$6:$E$400="Bank rescue &amp; capital")*Events!$H$6:$H$400)</f>
        <v>0</v>
      </c>
      <c r="X52" s="56" t="n">
        <f aca="false">'Debt &amp; cash'!R51*Paths!Y52</f>
        <v>6.56167935099242</v>
      </c>
      <c r="Y52" s="56" t="n">
        <f aca="false">SUM(N52:X52)</f>
        <v>248.713406817222</v>
      </c>
      <c r="Z52" s="56" t="n">
        <f aca="false">M52-Y52</f>
        <v>75.9833840508972</v>
      </c>
      <c r="AA52" s="66" t="n">
        <f aca="false">M52/Economy!O52</f>
        <v>0.108740701334866</v>
      </c>
      <c r="AB52" s="66" t="n">
        <f aca="false">Y52/Economy!O52</f>
        <v>0.0832939254384973</v>
      </c>
      <c r="AC52" s="66" t="n">
        <f aca="false">(N52+O52+P52)/Economy!O52</f>
        <v>0.00761010439384493</v>
      </c>
    </row>
    <row r="53" customFormat="false" ht="14.25" hidden="false" customHeight="true" outlineLevel="0" collapsed="false">
      <c r="A53" s="61" t="n">
        <v>1893</v>
      </c>
      <c r="B53" s="56" t="n">
        <f aca="false">Economy!O53*Paths!N53*Paths!O53*cust_coll</f>
        <v>69.1790533717166</v>
      </c>
      <c r="C53" s="56" t="n">
        <f aca="false">(Economy!J53+Economy!L53+Economy!M53+Economy!N53)*Paths!P53*Paths!Q53</f>
        <v>214.914383020933</v>
      </c>
      <c r="D53" s="56" t="n">
        <f aca="false">Resources!P53+Resources!Q53</f>
        <v>3.8033</v>
      </c>
      <c r="E53" s="56" t="n">
        <f aca="false">Paths!S53*(1-canal_opcost)*canal_share</f>
        <v>0</v>
      </c>
      <c r="F53" s="56" t="n">
        <f aca="false">Economy!O53*Paths!R53</f>
        <v>6.05145763324381</v>
      </c>
      <c r="G53" s="56" t="n">
        <f aca="false">SUMPRODUCT((Events!$B$6:$B$400&lt;=$A53)*(Events!$C$6:$C$400&gt;=$A53)*(Events!$E$6:$E$400="Receipt")*Events!$H$6:$H$400)+'Land Fund'!O53</f>
        <v>4.8876653215737</v>
      </c>
      <c r="H53" s="72" t="n">
        <f aca="false">Loans!Y53</f>
        <v>1.35913140919992</v>
      </c>
      <c r="I53" s="56" t="n">
        <f aca="false">'Debt &amp; cash'!S52*fund_yield</f>
        <v>3.29509678601337</v>
      </c>
      <c r="J53" s="72" t="n">
        <f aca="false">Labour!Q53</f>
        <v>18.7474142782238</v>
      </c>
      <c r="K53" s="72" t="n">
        <f aca="false">Champions!BD53</f>
        <v>4.28262520513993</v>
      </c>
      <c r="L53" s="72" t="n">
        <f aca="false">Abroad!N53</f>
        <v>3.24533727673108</v>
      </c>
      <c r="M53" s="56" t="n">
        <f aca="false">SUM(B53:L53)</f>
        <v>329.765464302775</v>
      </c>
      <c r="N53" s="56" t="n">
        <f aca="false">(Paths!W53*army_cost+Paths!X53*res_cost)*Economy!H53/1000000</f>
        <v>14.7063</v>
      </c>
      <c r="O53" s="72" t="n">
        <f aca="false">Navy!Y53</f>
        <v>8.28255475</v>
      </c>
      <c r="P53" s="56" t="n">
        <f aca="false">SUMPRODUCT((Events!$B$6:$B$400&lt;=$A53)*(Events!$C$6:$C$400&gt;=$A53)*(Events!$E$6:$E$400="War &amp; operations")*Events!$H$6:$H$400)</f>
        <v>0</v>
      </c>
      <c r="Q53" s="56" t="n">
        <f aca="false">Economy!O53*Paths!T53</f>
        <v>98.336186540212</v>
      </c>
      <c r="R53" s="56" t="n">
        <f aca="false">Economy!O53*Paths!U53</f>
        <v>60.5145763324381</v>
      </c>
      <c r="S53" s="56" t="n">
        <f aca="false">Economy!O53*Paths!V53+SUMPRODUCT((Events!$B$6:$B$400&lt;=$A53)*(Events!$C$6:$C$400&gt;=$A53)*(Events!$E$6:$E$400="Programme")*Events!$H$6:$H$400)+SUMPRODUCT((Events!$B$6:$B$400&lt;=$A53)*(Events!$C$6:$C$400&gt;=$A53)*(Events!$E$6:$E$400="Investment")*Events!$H$6:$H$400)</f>
        <v>33.1244237579081</v>
      </c>
      <c r="T53" s="56" t="n">
        <f aca="false">(People!T53*assist_cost+Labour!AD53*talent_cost+Labour!L53*gw_admin)*Economy!H53/1000000</f>
        <v>11.2660017026714</v>
      </c>
      <c r="U53" s="56" t="n">
        <f aca="false">SUMPRODUCT((Events!$B$6:$B$400&lt;=$A53)*(Events!$C$6:$C$400&gt;=$A53)*(Events!$E$6:$E$400="Purchase")*Events!$H$6:$H$400)</f>
        <v>18.75</v>
      </c>
      <c r="V53" s="56" t="n">
        <f aca="false">SUMPRODUCT((Events!$B$6:$B$400&lt;=$A53)*(Events!$C$6:$C$400&gt;=$A53)*(Events!$E$6:$E$400="Subsidy &amp; guarantee")*Events!$H$6:$H$400)+SUMPRODUCT((Events!$B$6:$B$400&lt;=$A53)*(Events!$C$6:$C$400&gt;=$A53)*(Events!$E$6:$E$400="Relief")*Events!$H$6:$H$400)</f>
        <v>3.75</v>
      </c>
      <c r="W53" s="56" t="n">
        <f aca="false">SUMPRODUCT((Events!$B$6:$B$400&lt;=$A53)*(Events!$C$6:$C$400&gt;=$A53)*(Events!$E$6:$E$400="Bank rescue &amp; capital")*Events!$H$6:$H$400)</f>
        <v>0</v>
      </c>
      <c r="X53" s="56" t="n">
        <f aca="false">'Debt &amp; cash'!R52*Paths!Y53</f>
        <v>6.91252733918764</v>
      </c>
      <c r="Y53" s="56" t="n">
        <f aca="false">SUM(N53:X53)</f>
        <v>255.642570422417</v>
      </c>
      <c r="Z53" s="56" t="n">
        <f aca="false">M53-Y53</f>
        <v>74.1228938803577</v>
      </c>
      <c r="AA53" s="66" t="n">
        <f aca="false">M53/Economy!O53</f>
        <v>0.108987118241133</v>
      </c>
      <c r="AB53" s="66" t="n">
        <f aca="false">Y53/Economy!O53</f>
        <v>0.0844895844657457</v>
      </c>
      <c r="AC53" s="66" t="n">
        <f aca="false">(N53+O53+P53)/Economy!O53</f>
        <v>0.0075977908607375</v>
      </c>
    </row>
    <row r="54" customFormat="false" ht="14.25" hidden="false" customHeight="true" outlineLevel="0" collapsed="false">
      <c r="A54" s="61" t="n">
        <v>1894</v>
      </c>
      <c r="B54" s="56" t="n">
        <f aca="false">Economy!O54*Paths!N54*Paths!O54*cust_coll</f>
        <v>72.1664324941596</v>
      </c>
      <c r="C54" s="56" t="n">
        <f aca="false">(Economy!J54+Economy!L54+Economy!M54+Economy!N54)*Paths!P54*Paths!Q54</f>
        <v>226.097958452744</v>
      </c>
      <c r="D54" s="56" t="n">
        <f aca="false">Resources!P54+Resources!Q54</f>
        <v>3.96135</v>
      </c>
      <c r="E54" s="56" t="n">
        <f aca="false">Paths!S54*(1-canal_opcost)*canal_share</f>
        <v>0</v>
      </c>
      <c r="F54" s="56" t="n">
        <f aca="false">Economy!O54*Paths!R54</f>
        <v>6.36388293599291</v>
      </c>
      <c r="G54" s="56" t="n">
        <f aca="false">SUMPRODUCT((Events!$B$6:$B$400&lt;=$A54)*(Events!$C$6:$C$400&gt;=$A54)*(Events!$E$6:$E$400="Receipt")*Events!$H$6:$H$400)+'Land Fund'!O54</f>
        <v>5.04977289588822</v>
      </c>
      <c r="H54" s="72" t="n">
        <f aca="false">Loans!Y54</f>
        <v>1.30619923569387</v>
      </c>
      <c r="I54" s="56" t="n">
        <f aca="false">'Debt &amp; cash'!S53*fund_yield</f>
        <v>3.46528408255106</v>
      </c>
      <c r="J54" s="72" t="n">
        <f aca="false">Labour!Q54</f>
        <v>19.7133741782042</v>
      </c>
      <c r="K54" s="72" t="n">
        <f aca="false">Champions!BD54</f>
        <v>4.8161734112016</v>
      </c>
      <c r="L54" s="72" t="n">
        <f aca="false">Abroad!N54</f>
        <v>3.61447553650046</v>
      </c>
      <c r="M54" s="56" t="n">
        <f aca="false">SUM(B54:L54)</f>
        <v>346.554903222936</v>
      </c>
      <c r="N54" s="56" t="n">
        <f aca="false">(Paths!W54*army_cost+Paths!X54*res_cost)*Economy!H54/1000000</f>
        <v>14.8362265</v>
      </c>
      <c r="O54" s="72" t="n">
        <f aca="false">Navy!Y54</f>
        <v>9.258088615</v>
      </c>
      <c r="P54" s="56" t="n">
        <f aca="false">SUMPRODUCT((Events!$B$6:$B$400&lt;=$A54)*(Events!$C$6:$C$400&gt;=$A54)*(Events!$E$6:$E$400="War &amp; operations")*Events!$H$6:$H$400)</f>
        <v>0.4</v>
      </c>
      <c r="Q54" s="56" t="n">
        <f aca="false">Economy!O54*Paths!T54</f>
        <v>105.004068443883</v>
      </c>
      <c r="R54" s="56" t="n">
        <f aca="false">Economy!O54*Paths!U54</f>
        <v>63.6388293599291</v>
      </c>
      <c r="S54" s="56" t="n">
        <f aca="false">Economy!O54*Paths!V54+SUMPRODUCT((Events!$B$6:$B$400&lt;=$A54)*(Events!$C$6:$C$400&gt;=$A54)*(Events!$E$6:$E$400="Programme")*Events!$H$6:$H$400)+SUMPRODUCT((Events!$B$6:$B$400&lt;=$A54)*(Events!$C$6:$C$400&gt;=$A54)*(Events!$E$6:$E$400="Investment")*Events!$H$6:$H$400)</f>
        <v>37.1402497991667</v>
      </c>
      <c r="T54" s="56" t="n">
        <f aca="false">(People!T54*assist_cost+Labour!AD54*talent_cost+Labour!L54*gw_admin)*Economy!H54/1000000</f>
        <v>11.5892890926574</v>
      </c>
      <c r="U54" s="56" t="n">
        <f aca="false">SUMPRODUCT((Events!$B$6:$B$400&lt;=$A54)*(Events!$C$6:$C$400&gt;=$A54)*(Events!$E$6:$E$400="Purchase")*Events!$H$6:$H$400)</f>
        <v>18.75</v>
      </c>
      <c r="V54" s="56" t="n">
        <f aca="false">SUMPRODUCT((Events!$B$6:$B$400&lt;=$A54)*(Events!$C$6:$C$400&gt;=$A54)*(Events!$E$6:$E$400="Subsidy &amp; guarantee")*Events!$H$6:$H$400)+SUMPRODUCT((Events!$B$6:$B$400&lt;=$A54)*(Events!$C$6:$C$400&gt;=$A54)*(Events!$E$6:$E$400="Relief")*Events!$H$6:$H$400)</f>
        <v>3.75</v>
      </c>
      <c r="W54" s="56" t="n">
        <f aca="false">SUMPRODUCT((Events!$B$6:$B$400&lt;=$A54)*(Events!$C$6:$C$400&gt;=$A54)*(Events!$E$6:$E$400="Bank rescue &amp; capital")*Events!$H$6:$H$400)</f>
        <v>0</v>
      </c>
      <c r="X54" s="56" t="n">
        <f aca="false">'Debt &amp; cash'!R53*Paths!Y54</f>
        <v>6.91379034598106</v>
      </c>
      <c r="Y54" s="56" t="n">
        <f aca="false">SUM(N54:X54)</f>
        <v>271.280542156617</v>
      </c>
      <c r="Z54" s="56" t="n">
        <f aca="false">M54-Y54</f>
        <v>75.2743610663185</v>
      </c>
      <c r="AA54" s="66" t="n">
        <f aca="false">M54/Economy!O54</f>
        <v>0.108913035236047</v>
      </c>
      <c r="AB54" s="66" t="n">
        <f aca="false">Y54/Economy!O54</f>
        <v>0.0852562955306127</v>
      </c>
      <c r="AC54" s="66" t="n">
        <f aca="false">(N54+O54+P54)/Economy!O54</f>
        <v>0.00769791505009146</v>
      </c>
    </row>
    <row r="55" customFormat="false" ht="14.25" hidden="false" customHeight="true" outlineLevel="0" collapsed="false">
      <c r="A55" s="61" t="n">
        <v>1895</v>
      </c>
      <c r="B55" s="56" t="n">
        <f aca="false">Economy!O55*Paths!N55*Paths!O55*cust_coll</f>
        <v>78.4152209601953</v>
      </c>
      <c r="C55" s="56" t="n">
        <f aca="false">(Economy!J55+Economy!L55+Economy!M55+Economy!N55)*Paths!P55*Paths!Q55</f>
        <v>247.946006750596</v>
      </c>
      <c r="D55" s="56" t="n">
        <f aca="false">Resources!P55+Resources!Q55</f>
        <v>4.105</v>
      </c>
      <c r="E55" s="56" t="n">
        <f aca="false">Paths!S55*(1-canal_opcost)*canal_share</f>
        <v>0</v>
      </c>
      <c r="F55" s="56" t="n">
        <f aca="false">Economy!O55*Paths!R55</f>
        <v>6.97135728029332</v>
      </c>
      <c r="G55" s="56" t="n">
        <f aca="false">SUMPRODUCT((Events!$B$6:$B$400&lt;=$A55)*(Events!$C$6:$C$400&gt;=$A55)*(Events!$E$6:$E$400="Receipt")*Events!$H$6:$H$400)+'Land Fund'!O55</f>
        <v>5.65408234752274</v>
      </c>
      <c r="H55" s="72" t="n">
        <f aca="false">Loans!Y55</f>
        <v>1.80534135664221</v>
      </c>
      <c r="I55" s="56" t="n">
        <f aca="false">'Debt &amp; cash'!S54*fund_yield</f>
        <v>3.60700909494868</v>
      </c>
      <c r="J55" s="72" t="n">
        <f aca="false">Labour!Q55</f>
        <v>22.9034592457773</v>
      </c>
      <c r="K55" s="72" t="n">
        <f aca="false">Champions!BD55</f>
        <v>5.28821589023885</v>
      </c>
      <c r="L55" s="72" t="n">
        <f aca="false">Abroad!N55</f>
        <v>3.96005224685622</v>
      </c>
      <c r="M55" s="56" t="n">
        <f aca="false">SUM(B55:L55)</f>
        <v>380.655745173071</v>
      </c>
      <c r="N55" s="56" t="n">
        <f aca="false">(Paths!W55*army_cost+Paths!X55*res_cost)*Economy!H55/1000000</f>
        <v>14.956759</v>
      </c>
      <c r="O55" s="72" t="n">
        <f aca="false">Navy!Y55</f>
        <v>8.81411885</v>
      </c>
      <c r="P55" s="56" t="n">
        <f aca="false">SUMPRODUCT((Events!$B$6:$B$400&lt;=$A55)*(Events!$C$6:$C$400&gt;=$A55)*(Events!$E$6:$E$400="War &amp; operations")*Events!$H$6:$H$400)</f>
        <v>0.4</v>
      </c>
      <c r="Q55" s="56" t="n">
        <f aca="false">Economy!O55*Paths!T55</f>
        <v>116.770234444913</v>
      </c>
      <c r="R55" s="56" t="n">
        <f aca="false">Economy!O55*Paths!U55</f>
        <v>69.7135728029332</v>
      </c>
      <c r="S55" s="56" t="n">
        <f aca="false">Economy!O55*Paths!V55+SUMPRODUCT((Events!$B$6:$B$400&lt;=$A55)*(Events!$C$6:$C$400&gt;=$A55)*(Events!$E$6:$E$400="Programme")*Events!$H$6:$H$400)+SUMPRODUCT((Events!$B$6:$B$400&lt;=$A55)*(Events!$C$6:$C$400&gt;=$A55)*(Events!$E$6:$E$400="Investment")*Events!$H$6:$H$400)</f>
        <v>40.1468113533639</v>
      </c>
      <c r="T55" s="56" t="n">
        <f aca="false">(People!T55*assist_cost+Labour!AD55*talent_cost+Labour!L55*gw_admin)*Economy!H55/1000000</f>
        <v>12.159624602228</v>
      </c>
      <c r="U55" s="56" t="n">
        <f aca="false">SUMPRODUCT((Events!$B$6:$B$400&lt;=$A55)*(Events!$C$6:$C$400&gt;=$A55)*(Events!$E$6:$E$400="Purchase")*Events!$H$6:$H$400)</f>
        <v>18.75</v>
      </c>
      <c r="V55" s="56" t="n">
        <f aca="false">SUMPRODUCT((Events!$B$6:$B$400&lt;=$A55)*(Events!$C$6:$C$400&gt;=$A55)*(Events!$E$6:$E$400="Subsidy &amp; guarantee")*Events!$H$6:$H$400)+SUMPRODUCT((Events!$B$6:$B$400&lt;=$A55)*(Events!$C$6:$C$400&gt;=$A55)*(Events!$E$6:$E$400="Relief")*Events!$H$6:$H$400)</f>
        <v>3.75</v>
      </c>
      <c r="W55" s="56" t="n">
        <f aca="false">SUMPRODUCT((Events!$B$6:$B$400&lt;=$A55)*(Events!$C$6:$C$400&gt;=$A55)*(Events!$E$6:$E$400="Bank rescue &amp; capital")*Events!$H$6:$H$400)</f>
        <v>0</v>
      </c>
      <c r="X55" s="56" t="n">
        <f aca="false">'Debt &amp; cash'!R54*Paths!Y55</f>
        <v>7.15936830299202</v>
      </c>
      <c r="Y55" s="56" t="n">
        <f aca="false">SUM(N55:X55)</f>
        <v>292.62048935643</v>
      </c>
      <c r="Z55" s="56" t="n">
        <f aca="false">M55-Y55</f>
        <v>88.0352558166405</v>
      </c>
      <c r="AA55" s="66" t="n">
        <f aca="false">M55/Economy!O55</f>
        <v>0.109205633815128</v>
      </c>
      <c r="AB55" s="66" t="n">
        <f aca="false">Y55/Economy!O55</f>
        <v>0.083949359526763</v>
      </c>
      <c r="AC55" s="66" t="n">
        <f aca="false">(N55+O55+P55)/Economy!O55</f>
        <v>0.00693433914750759</v>
      </c>
    </row>
    <row r="56" customFormat="false" ht="14.25" hidden="false" customHeight="true" outlineLevel="0" collapsed="false">
      <c r="A56" s="61" t="n">
        <v>1896</v>
      </c>
      <c r="B56" s="56" t="n">
        <f aca="false">Economy!O56*Paths!N56*Paths!O56*cust_coll</f>
        <v>82.9589773501758</v>
      </c>
      <c r="C56" s="56" t="n">
        <f aca="false">(Economy!J56+Economy!L56+Economy!M56+Economy!N56)*Paths!P56*Paths!Q56</f>
        <v>229.970838870713</v>
      </c>
      <c r="D56" s="56" t="n">
        <f aca="false">Resources!P56+Resources!Q56</f>
        <v>4.6621625</v>
      </c>
      <c r="E56" s="56" t="n">
        <f aca="false">Paths!S56*(1-canal_opcost)*canal_share</f>
        <v>0</v>
      </c>
      <c r="F56" s="56" t="n">
        <f aca="false">Economy!O56*Paths!R56</f>
        <v>7.43240134657276</v>
      </c>
      <c r="G56" s="56" t="n">
        <f aca="false">SUMPRODUCT((Events!$B$6:$B$400&lt;=$A56)*(Events!$C$6:$C$400&gt;=$A56)*(Events!$E$6:$E$400="Receipt")*Events!$H$6:$H$400)+'Land Fund'!O56</f>
        <v>5.68734109267726</v>
      </c>
      <c r="H56" s="72" t="n">
        <f aca="false">Loans!Y56</f>
        <v>5.80947609004133</v>
      </c>
      <c r="I56" s="56" t="n">
        <f aca="false">'Debt &amp; cash'!S55*fund_yield</f>
        <v>3.51459794516925</v>
      </c>
      <c r="J56" s="72" t="n">
        <f aca="false">Labour!Q56</f>
        <v>25.5593880168162</v>
      </c>
      <c r="K56" s="72" t="n">
        <f aca="false">Champions!BD56</f>
        <v>5.8562164933292</v>
      </c>
      <c r="L56" s="72" t="n">
        <f aca="false">Abroad!N56</f>
        <v>4.35725589200564</v>
      </c>
      <c r="M56" s="56" t="n">
        <f aca="false">SUM(B56:L56)</f>
        <v>375.808655597501</v>
      </c>
      <c r="N56" s="56" t="n">
        <f aca="false">(Paths!W56*army_cost+Paths!X56*res_cost)*Economy!H56/1000000</f>
        <v>14.9872</v>
      </c>
      <c r="O56" s="72" t="n">
        <f aca="false">Navy!Y56</f>
        <v>9.791304</v>
      </c>
      <c r="P56" s="56" t="n">
        <f aca="false">SUMPRODUCT((Events!$B$6:$B$400&lt;=$A56)*(Events!$C$6:$C$400&gt;=$A56)*(Events!$E$6:$E$400="War &amp; operations")*Events!$H$6:$H$400)</f>
        <v>2</v>
      </c>
      <c r="Q56" s="56" t="n">
        <f aca="false">Economy!O56*Paths!T56</f>
        <v>126.350822891737</v>
      </c>
      <c r="R56" s="56" t="n">
        <f aca="false">Economy!O56*Paths!U56</f>
        <v>74.3240134657276</v>
      </c>
      <c r="S56" s="56" t="n">
        <f aca="false">Economy!O56*Paths!V56+SUMPRODUCT((Events!$B$6:$B$400&lt;=$A56)*(Events!$C$6:$C$400&gt;=$A56)*(Events!$E$6:$E$400="Programme")*Events!$H$6:$H$400)+SUMPRODUCT((Events!$B$6:$B$400&lt;=$A56)*(Events!$C$6:$C$400&gt;=$A56)*(Events!$E$6:$E$400="Investment")*Events!$H$6:$H$400)</f>
        <v>41.7906662615633</v>
      </c>
      <c r="T56" s="56" t="n">
        <f aca="false">(People!T56*assist_cost+Labour!AD56*talent_cost+Labour!L56*gw_admin)*Economy!H56/1000000</f>
        <v>12.7123531545045</v>
      </c>
      <c r="U56" s="56" t="n">
        <f aca="false">SUMPRODUCT((Events!$B$6:$B$400&lt;=$A56)*(Events!$C$6:$C$400&gt;=$A56)*(Events!$E$6:$E$400="Purchase")*Events!$H$6:$H$400)</f>
        <v>18.75</v>
      </c>
      <c r="V56" s="56" t="n">
        <f aca="false">SUMPRODUCT((Events!$B$6:$B$400&lt;=$A56)*(Events!$C$6:$C$400&gt;=$A56)*(Events!$E$6:$E$400="Subsidy &amp; guarantee")*Events!$H$6:$H$400)+SUMPRODUCT((Events!$B$6:$B$400&lt;=$A56)*(Events!$C$6:$C$400&gt;=$A56)*(Events!$E$6:$E$400="Relief")*Events!$H$6:$H$400)</f>
        <v>1.75</v>
      </c>
      <c r="W56" s="56" t="n">
        <f aca="false">SUMPRODUCT((Events!$B$6:$B$400&lt;=$A56)*(Events!$C$6:$C$400&gt;=$A56)*(Events!$E$6:$E$400="Bank rescue &amp; capital")*Events!$H$6:$H$400)</f>
        <v>0</v>
      </c>
      <c r="X56" s="56" t="n">
        <f aca="false">'Debt &amp; cash'!R55*Paths!Y56</f>
        <v>7.75563497432631</v>
      </c>
      <c r="Y56" s="56" t="n">
        <f aca="false">SUM(N56:X56)</f>
        <v>310.211994747859</v>
      </c>
      <c r="Z56" s="56" t="n">
        <f aca="false">M56-Y56</f>
        <v>65.596660849642</v>
      </c>
      <c r="AA56" s="66" t="n">
        <f aca="false">M56/Economy!O56</f>
        <v>0.101127115739194</v>
      </c>
      <c r="AB56" s="66" t="n">
        <f aca="false">Y56/Economy!O56</f>
        <v>0.0834755768109601</v>
      </c>
      <c r="AC56" s="66" t="n">
        <f aca="false">(N56+O56+P56)/Economy!O56</f>
        <v>0.00720588212377637</v>
      </c>
    </row>
    <row r="57" customFormat="false" ht="14.25" hidden="false" customHeight="true" outlineLevel="0" collapsed="false">
      <c r="A57" s="61" t="n">
        <v>1897</v>
      </c>
      <c r="B57" s="56" t="n">
        <f aca="false">Economy!O57*Paths!N57*Paths!O57*cust_coll</f>
        <v>92.4691545631525</v>
      </c>
      <c r="C57" s="56" t="n">
        <f aca="false">(Economy!J57+Economy!L57+Economy!M57+Economy!N57)*Paths!P57*Paths!Q57</f>
        <v>258.54259169888</v>
      </c>
      <c r="D57" s="56" t="n">
        <f aca="false">Resources!P57+Resources!Q57</f>
        <v>5.211675</v>
      </c>
      <c r="E57" s="56" t="n">
        <f aca="false">Paths!S57*(1-canal_opcost)*canal_share</f>
        <v>0</v>
      </c>
      <c r="F57" s="56" t="n">
        <f aca="false">Economy!O57*Paths!R57</f>
        <v>8.35313049350971</v>
      </c>
      <c r="G57" s="56" t="n">
        <f aca="false">SUMPRODUCT((Events!$B$6:$B$400&lt;=$A57)*(Events!$C$6:$C$400&gt;=$A57)*(Events!$E$6:$E$400="Receipt")*Events!$H$6:$H$400)+'Land Fund'!O57</f>
        <v>5.69550663143178</v>
      </c>
      <c r="H57" s="72" t="n">
        <f aca="false">Loans!Y57</f>
        <v>5.74340498247455</v>
      </c>
      <c r="I57" s="56" t="n">
        <f aca="false">'Debt &amp; cash'!S56*fund_yield</f>
        <v>3.67019166437233</v>
      </c>
      <c r="J57" s="72" t="n">
        <f aca="false">Labour!Q57</f>
        <v>30.5360335956942</v>
      </c>
      <c r="K57" s="72" t="n">
        <f aca="false">Champions!BD57</f>
        <v>6.46426912641803</v>
      </c>
      <c r="L57" s="72" t="n">
        <f aca="false">Abroad!N57</f>
        <v>5.07607455481589</v>
      </c>
      <c r="M57" s="56" t="n">
        <f aca="false">SUM(B57:L57)</f>
        <v>421.76203231075</v>
      </c>
      <c r="N57" s="56" t="n">
        <f aca="false">(Paths!W57*army_cost+Paths!X57*res_cost)*Economy!H57/1000000</f>
        <v>15.645</v>
      </c>
      <c r="O57" s="72" t="n">
        <f aca="false">Navy!Y57</f>
        <v>11.0046225</v>
      </c>
      <c r="P57" s="56" t="n">
        <f aca="false">SUMPRODUCT((Events!$B$6:$B$400&lt;=$A57)*(Events!$C$6:$C$400&gt;=$A57)*(Events!$E$6:$E$400="War &amp; operations")*Events!$H$6:$H$400)</f>
        <v>0.1</v>
      </c>
      <c r="Q57" s="56" t="n">
        <f aca="false">Economy!O57*Paths!T57</f>
        <v>144.091501013043</v>
      </c>
      <c r="R57" s="56" t="n">
        <f aca="false">Economy!O57*Paths!U57</f>
        <v>83.5313049350971</v>
      </c>
      <c r="S57" s="56" t="n">
        <f aca="false">Economy!O57*Paths!V57+SUMPRODUCT((Events!$B$6:$B$400&lt;=$A57)*(Events!$C$6:$C$400&gt;=$A57)*(Events!$E$6:$E$400="Programme")*Events!$H$6:$H$400)+SUMPRODUCT((Events!$B$6:$B$400&lt;=$A57)*(Events!$C$6:$C$400&gt;=$A57)*(Events!$E$6:$E$400="Investment")*Events!$H$6:$H$400)</f>
        <v>45.6544002701447</v>
      </c>
      <c r="T57" s="56" t="n">
        <f aca="false">(People!T57*assist_cost+Labour!AD57*talent_cost+Labour!L57*gw_admin)*Economy!H57/1000000</f>
        <v>13.9267293904601</v>
      </c>
      <c r="U57" s="56" t="n">
        <f aca="false">SUMPRODUCT((Events!$B$6:$B$400&lt;=$A57)*(Events!$C$6:$C$400&gt;=$A57)*(Events!$E$6:$E$400="Purchase")*Events!$H$6:$H$400)</f>
        <v>18.75</v>
      </c>
      <c r="V57" s="56" t="n">
        <f aca="false">SUMPRODUCT((Events!$B$6:$B$400&lt;=$A57)*(Events!$C$6:$C$400&gt;=$A57)*(Events!$E$6:$E$400="Subsidy &amp; guarantee")*Events!$H$6:$H$400)+SUMPRODUCT((Events!$B$6:$B$400&lt;=$A57)*(Events!$C$6:$C$400&gt;=$A57)*(Events!$E$6:$E$400="Relief")*Events!$H$6:$H$400)</f>
        <v>1.75</v>
      </c>
      <c r="W57" s="56" t="n">
        <f aca="false">SUMPRODUCT((Events!$B$6:$B$400&lt;=$A57)*(Events!$C$6:$C$400&gt;=$A57)*(Events!$E$6:$E$400="Bank rescue &amp; capital")*Events!$H$6:$H$400)</f>
        <v>0</v>
      </c>
      <c r="X57" s="56" t="n">
        <f aca="false">'Debt &amp; cash'!R56*Paths!Y57</f>
        <v>8.17564148123003</v>
      </c>
      <c r="Y57" s="56" t="n">
        <f aca="false">SUM(N57:X57)</f>
        <v>342.629199589974</v>
      </c>
      <c r="Z57" s="56" t="n">
        <f aca="false">M57-Y57</f>
        <v>79.1328327207751</v>
      </c>
      <c r="AA57" s="66" t="n">
        <f aca="false">M57/Economy!O57</f>
        <v>0.100982986591303</v>
      </c>
      <c r="AB57" s="66" t="n">
        <f aca="false">Y57/Economy!O57</f>
        <v>0.0820361180413004</v>
      </c>
      <c r="AC57" s="66" t="n">
        <f aca="false">(N57+O57+P57)/Economy!O57</f>
        <v>0.00640469402956991</v>
      </c>
    </row>
    <row r="58" customFormat="false" ht="14.25" hidden="false" customHeight="true" outlineLevel="0" collapsed="false">
      <c r="A58" s="61" t="n">
        <v>1898</v>
      </c>
      <c r="B58" s="56" t="n">
        <f aca="false">Economy!O58*Paths!N58*Paths!O58*cust_coll</f>
        <v>100.623153148796</v>
      </c>
      <c r="C58" s="56" t="n">
        <f aca="false">(Economy!J58+Economy!L58+Economy!M58+Economy!N58)*Paths!P58*Paths!Q58</f>
        <v>283.71548753472</v>
      </c>
      <c r="D58" s="56" t="n">
        <f aca="false">Resources!P58+Resources!Q58</f>
        <v>5.7555</v>
      </c>
      <c r="E58" s="56" t="n">
        <f aca="false">Paths!S58*(1-canal_opcost)*canal_share</f>
        <v>0</v>
      </c>
      <c r="F58" s="56" t="n">
        <f aca="false">Economy!O58*Paths!R58</f>
        <v>9.16572417598475</v>
      </c>
      <c r="G58" s="56" t="n">
        <f aca="false">SUMPRODUCT((Events!$B$6:$B$400&lt;=$A58)*(Events!$C$6:$C$400&gt;=$A58)*(Events!$E$6:$E$400="Receipt")*Events!$H$6:$H$400)+'Land Fund'!O58</f>
        <v>5.7037000956263</v>
      </c>
      <c r="H58" s="72" t="n">
        <f aca="false">Loans!Y58</f>
        <v>6.77993748112939</v>
      </c>
      <c r="I58" s="56" t="n">
        <f aca="false">'Debt &amp; cash'!S57*fund_yield</f>
        <v>3.77909578251499</v>
      </c>
      <c r="J58" s="72" t="n">
        <f aca="false">Labour!Q58</f>
        <v>34.5885108574998</v>
      </c>
      <c r="K58" s="72" t="n">
        <f aca="false">Champions!BD58</f>
        <v>7.05236448065198</v>
      </c>
      <c r="L58" s="72" t="n">
        <f aca="false">Abroad!N58</f>
        <v>5.86391126014044</v>
      </c>
      <c r="M58" s="56" t="n">
        <f aca="false">SUM(B58:L58)</f>
        <v>463.027384817064</v>
      </c>
      <c r="N58" s="56" t="n">
        <f aca="false">(Paths!W58*army_cost+Paths!X58*res_cost)*Economy!H58/1000000</f>
        <v>16.3044</v>
      </c>
      <c r="O58" s="72" t="n">
        <f aca="false">Navy!Y58</f>
        <v>15.013575</v>
      </c>
      <c r="P58" s="56" t="n">
        <f aca="false">SUMPRODUCT((Events!$B$6:$B$400&lt;=$A58)*(Events!$C$6:$C$400&gt;=$A58)*(Events!$E$6:$E$400="War &amp; operations")*Events!$H$6:$H$400)</f>
        <v>6</v>
      </c>
      <c r="Q58" s="56" t="n">
        <f aca="false">Economy!O58*Paths!T58</f>
        <v>160.400173079733</v>
      </c>
      <c r="R58" s="56" t="n">
        <f aca="false">Economy!O58*Paths!U58</f>
        <v>91.6572417598475</v>
      </c>
      <c r="S58" s="56" t="n">
        <f aca="false">Economy!O58*Paths!V58+SUMPRODUCT((Events!$B$6:$B$400&lt;=$A58)*(Events!$C$6:$C$400&gt;=$A58)*(Events!$E$6:$E$400="Programme")*Events!$H$6:$H$400)+SUMPRODUCT((Events!$B$6:$B$400&lt;=$A58)*(Events!$C$6:$C$400&gt;=$A58)*(Events!$E$6:$E$400="Investment")*Events!$H$6:$H$400)</f>
        <v>51.9340450007306</v>
      </c>
      <c r="T58" s="56" t="n">
        <f aca="false">(People!T58*assist_cost+Labour!AD58*talent_cost+Labour!L58*gw_admin)*Economy!H58/1000000</f>
        <v>15.0672856258518</v>
      </c>
      <c r="U58" s="56" t="n">
        <f aca="false">SUMPRODUCT((Events!$B$6:$B$400&lt;=$A58)*(Events!$C$6:$C$400&gt;=$A58)*(Events!$E$6:$E$400="Purchase")*Events!$H$6:$H$400)</f>
        <v>18.75</v>
      </c>
      <c r="V58" s="56" t="n">
        <f aca="false">SUMPRODUCT((Events!$B$6:$B$400&lt;=$A58)*(Events!$C$6:$C$400&gt;=$A58)*(Events!$E$6:$E$400="Subsidy &amp; guarantee")*Events!$H$6:$H$400)+SUMPRODUCT((Events!$B$6:$B$400&lt;=$A58)*(Events!$C$6:$C$400&gt;=$A58)*(Events!$E$6:$E$400="Relief")*Events!$H$6:$H$400)</f>
        <v>1.75</v>
      </c>
      <c r="W58" s="56" t="n">
        <f aca="false">SUMPRODUCT((Events!$B$6:$B$400&lt;=$A58)*(Events!$C$6:$C$400&gt;=$A58)*(Events!$E$6:$E$400="Bank rescue &amp; capital")*Events!$H$6:$H$400)</f>
        <v>0</v>
      </c>
      <c r="X58" s="56" t="n">
        <f aca="false">'Debt &amp; cash'!R57*Paths!Y58</f>
        <v>9.08402941169181</v>
      </c>
      <c r="Y58" s="56" t="n">
        <f aca="false">SUM(N58:X58)</f>
        <v>385.960749877855</v>
      </c>
      <c r="Z58" s="56" t="n">
        <f aca="false">M58-Y58</f>
        <v>77.0666349392089</v>
      </c>
      <c r="AA58" s="66" t="n">
        <f aca="false">M58/Economy!O58</f>
        <v>0.10103454477285</v>
      </c>
      <c r="AB58" s="66" t="n">
        <f aca="false">Y58/Economy!O58</f>
        <v>0.0842182772397006</v>
      </c>
      <c r="AC58" s="66" t="n">
        <f aca="false">(N58+O58+P58)/Economy!O58</f>
        <v>0.00814294087046114</v>
      </c>
    </row>
    <row r="59" customFormat="false" ht="14.25" hidden="false" customHeight="true" outlineLevel="0" collapsed="false">
      <c r="A59" s="61" t="n">
        <v>1899</v>
      </c>
      <c r="B59" s="56" t="n">
        <f aca="false">Economy!O59*Paths!N59*Paths!O59*cust_coll</f>
        <v>109.269764472954</v>
      </c>
      <c r="C59" s="56" t="n">
        <f aca="false">(Economy!J59+Economy!L59+Economy!M59+Economy!N59)*Paths!P59*Paths!Q59</f>
        <v>310.428491374176</v>
      </c>
      <c r="D59" s="56" t="n">
        <f aca="false">Resources!P59+Resources!Q59</f>
        <v>6.5065</v>
      </c>
      <c r="E59" s="56" t="n">
        <f aca="false">Paths!S59*(1-canal_opcost)*canal_share</f>
        <v>0</v>
      </c>
      <c r="F59" s="56" t="n">
        <f aca="false">Economy!O59*Paths!R59</f>
        <v>10.0322962662695</v>
      </c>
      <c r="G59" s="56" t="n">
        <f aca="false">SUMPRODUCT((Events!$B$6:$B$400&lt;=$A59)*(Events!$C$6:$C$400&gt;=$A59)*(Events!$E$6:$E$400="Receipt")*Events!$H$6:$H$400)+'Land Fund'!O59</f>
        <v>5.71199568646082</v>
      </c>
      <c r="H59" s="72" t="n">
        <f aca="false">Loans!Y59</f>
        <v>7.78497061889942</v>
      </c>
      <c r="I59" s="56" t="n">
        <f aca="false">'Debt &amp; cash'!S58*fund_yield</f>
        <v>3.88413174336451</v>
      </c>
      <c r="J59" s="72" t="n">
        <f aca="false">Labour!Q59</f>
        <v>38.482935093885</v>
      </c>
      <c r="K59" s="72" t="n">
        <f aca="false">Champions!BD59</f>
        <v>7.63374174237222</v>
      </c>
      <c r="L59" s="72" t="n">
        <f aca="false">Abroad!N59</f>
        <v>6.67644522774968</v>
      </c>
      <c r="M59" s="56" t="n">
        <f aca="false">SUM(B59:L59)</f>
        <v>506.411272226131</v>
      </c>
      <c r="N59" s="56" t="n">
        <f aca="false">(Paths!W59*army_cost+Paths!X59*res_cost)*Economy!H59/1000000</f>
        <v>16.9756</v>
      </c>
      <c r="O59" s="72" t="n">
        <f aca="false">Navy!Y59</f>
        <v>14.0799595</v>
      </c>
      <c r="P59" s="56" t="n">
        <f aca="false">SUMPRODUCT((Events!$B$6:$B$400&lt;=$A59)*(Events!$C$6:$C$400&gt;=$A59)*(Events!$E$6:$E$400="War &amp; operations")*Events!$H$6:$H$400)</f>
        <v>6</v>
      </c>
      <c r="Q59" s="56" t="n">
        <f aca="false">Economy!O59*Paths!T59</f>
        <v>178.073258726284</v>
      </c>
      <c r="R59" s="56" t="n">
        <f aca="false">Economy!O59*Paths!U59</f>
        <v>100.322962662695</v>
      </c>
      <c r="S59" s="56" t="n">
        <f aca="false">Economy!O59*Paths!V59+SUMPRODUCT((Events!$B$6:$B$400&lt;=$A59)*(Events!$C$6:$C$400&gt;=$A59)*(Events!$E$6:$E$400="Programme")*Events!$H$6:$H$400)+SUMPRODUCT((Events!$B$6:$B$400&lt;=$A59)*(Events!$C$6:$C$400&gt;=$A59)*(Events!$E$6:$E$400="Investment")*Events!$H$6:$H$400)</f>
        <v>56.8769480115263</v>
      </c>
      <c r="T59" s="56" t="n">
        <f aca="false">(People!T59*assist_cost+Labour!AD59*talent_cost+Labour!L59*gw_admin)*Economy!H59/1000000</f>
        <v>16.1843461742669</v>
      </c>
      <c r="U59" s="56" t="n">
        <f aca="false">SUMPRODUCT((Events!$B$6:$B$400&lt;=$A59)*(Events!$C$6:$C$400&gt;=$A59)*(Events!$E$6:$E$400="Purchase")*Events!$H$6:$H$400)</f>
        <v>21.75</v>
      </c>
      <c r="V59" s="56" t="n">
        <f aca="false">SUMPRODUCT((Events!$B$6:$B$400&lt;=$A59)*(Events!$C$6:$C$400&gt;=$A59)*(Events!$E$6:$E$400="Subsidy &amp; guarantee")*Events!$H$6:$H$400)+SUMPRODUCT((Events!$B$6:$B$400&lt;=$A59)*(Events!$C$6:$C$400&gt;=$A59)*(Events!$E$6:$E$400="Relief")*Events!$H$6:$H$400)</f>
        <v>1.85</v>
      </c>
      <c r="W59" s="56" t="n">
        <f aca="false">SUMPRODUCT((Events!$B$6:$B$400&lt;=$A59)*(Events!$C$6:$C$400&gt;=$A59)*(Events!$E$6:$E$400="Bank rescue &amp; capital")*Events!$H$6:$H$400)</f>
        <v>0</v>
      </c>
      <c r="X59" s="56" t="n">
        <f aca="false">'Debt &amp; cash'!R58*Paths!Y59</f>
        <v>9.85315348918361</v>
      </c>
      <c r="Y59" s="56" t="n">
        <f aca="false">SUM(N59:X59)</f>
        <v>421.966228563956</v>
      </c>
      <c r="Z59" s="56" t="n">
        <f aca="false">M59-Y59</f>
        <v>84.4450436621758</v>
      </c>
      <c r="AA59" s="66" t="n">
        <f aca="false">M59/Economy!O59</f>
        <v>0.100956203601918</v>
      </c>
      <c r="AB59" s="66" t="n">
        <f aca="false">Y59/Economy!O59</f>
        <v>0.0841215644682836</v>
      </c>
      <c r="AC59" s="66" t="n">
        <f aca="false">(N59+O59+P59)/Economy!O59</f>
        <v>0.00738725382833596</v>
      </c>
    </row>
    <row r="60" customFormat="false" ht="14.25" hidden="false" customHeight="true" outlineLevel="0" collapsed="false">
      <c r="A60" s="61" t="n">
        <v>1900</v>
      </c>
      <c r="B60" s="56" t="n">
        <f aca="false">Economy!O60*Paths!N60*Paths!O60*cust_coll</f>
        <v>118.721216055466</v>
      </c>
      <c r="C60" s="56" t="n">
        <f aca="false">(Economy!J60+Economy!L60+Economy!M60+Economy!N60)*Paths!P60*Paths!Q60</f>
        <v>340.095745735594</v>
      </c>
      <c r="D60" s="56" t="n">
        <f aca="false">Resources!P60+Resources!Q60</f>
        <v>7.24875</v>
      </c>
      <c r="E60" s="56" t="n">
        <f aca="false">Paths!S60*(1-canal_opcost)*canal_share</f>
        <v>0</v>
      </c>
      <c r="F60" s="56" t="n">
        <f aca="false">Economy!O60*Paths!R60</f>
        <v>10.9927051903209</v>
      </c>
      <c r="G60" s="56" t="n">
        <f aca="false">SUMPRODUCT((Events!$B$6:$B$400&lt;=$A60)*(Events!$C$6:$C$400&gt;=$A60)*(Events!$E$6:$E$400="Receipt")*Events!$H$6:$H$400)+'Land Fund'!O60</f>
        <v>6.07021414521535</v>
      </c>
      <c r="H60" s="72" t="n">
        <f aca="false">Loans!Y60</f>
        <v>8.74976551204819</v>
      </c>
      <c r="I60" s="56" t="n">
        <f aca="false">'Debt &amp; cash'!S59*fund_yield</f>
        <v>4.00643706370218</v>
      </c>
      <c r="J60" s="72" t="n">
        <f aca="false">Labour!Q60</f>
        <v>42.411537897923</v>
      </c>
      <c r="K60" s="72" t="n">
        <f aca="false">Champions!BD60</f>
        <v>8.29850493092359</v>
      </c>
      <c r="L60" s="72" t="n">
        <f aca="false">Abroad!N60</f>
        <v>7.53049188846014</v>
      </c>
      <c r="M60" s="56" t="n">
        <f aca="false">SUM(B60:L60)</f>
        <v>554.125368419653</v>
      </c>
      <c r="N60" s="56" t="n">
        <f aca="false">(Paths!W60*army_cost+Paths!X60*res_cost)*Economy!H60/1000000</f>
        <v>17.67</v>
      </c>
      <c r="O60" s="72" t="n">
        <f aca="false">Navy!Y60</f>
        <v>14.693034</v>
      </c>
      <c r="P60" s="56" t="n">
        <f aca="false">SUMPRODUCT((Events!$B$6:$B$400&lt;=$A60)*(Events!$C$6:$C$400&gt;=$A60)*(Events!$E$6:$E$400="War &amp; operations")*Events!$H$6:$H$400)</f>
        <v>1</v>
      </c>
      <c r="Q60" s="56" t="n">
        <f aca="false">Economy!O60*Paths!T60</f>
        <v>197.868693425777</v>
      </c>
      <c r="R60" s="56" t="n">
        <f aca="false">Economy!O60*Paths!U60</f>
        <v>109.927051903209</v>
      </c>
      <c r="S60" s="56" t="n">
        <f aca="false">Economy!O60*Paths!V60+SUMPRODUCT((Events!$B$6:$B$400&lt;=$A60)*(Events!$C$6:$C$400&gt;=$A60)*(Events!$E$6:$E$400="Programme")*Events!$H$6:$H$400)+SUMPRODUCT((Events!$B$6:$B$400&lt;=$A60)*(Events!$C$6:$C$400&gt;=$A60)*(Events!$E$6:$E$400="Investment")*Events!$H$6:$H$400)</f>
        <v>60.7471733564442</v>
      </c>
      <c r="T60" s="56" t="n">
        <f aca="false">(People!T60*assist_cost+Labour!AD60*talent_cost+Labour!L60*gw_admin)*Economy!H60/1000000</f>
        <v>17.8685755657332</v>
      </c>
      <c r="U60" s="56" t="n">
        <f aca="false">SUMPRODUCT((Events!$B$6:$B$400&lt;=$A60)*(Events!$C$6:$C$400&gt;=$A60)*(Events!$E$6:$E$400="Purchase")*Events!$H$6:$H$400)</f>
        <v>18.75</v>
      </c>
      <c r="V60" s="56" t="n">
        <f aca="false">SUMPRODUCT((Events!$B$6:$B$400&lt;=$A60)*(Events!$C$6:$C$400&gt;=$A60)*(Events!$E$6:$E$400="Subsidy &amp; guarantee")*Events!$H$6:$H$400)+SUMPRODUCT((Events!$B$6:$B$400&lt;=$A60)*(Events!$C$6:$C$400&gt;=$A60)*(Events!$E$6:$E$400="Relief")*Events!$H$6:$H$400)</f>
        <v>1.85</v>
      </c>
      <c r="W60" s="56" t="n">
        <f aca="false">SUMPRODUCT((Events!$B$6:$B$400&lt;=$A60)*(Events!$C$6:$C$400&gt;=$A60)*(Events!$E$6:$E$400="Bank rescue &amp; capital")*Events!$H$6:$H$400)</f>
        <v>10</v>
      </c>
      <c r="X60" s="56" t="n">
        <f aca="false">'Debt &amp; cash'!R59*Paths!Y60</f>
        <v>10.6593147829114</v>
      </c>
      <c r="Y60" s="56" t="n">
        <f aca="false">SUM(N60:X60)</f>
        <v>461.033843034075</v>
      </c>
      <c r="Z60" s="56" t="n">
        <f aca="false">M60-Y60</f>
        <v>93.091525385578</v>
      </c>
      <c r="AA60" s="66" t="n">
        <f aca="false">M60/Economy!O60</f>
        <v>0.10081692519282</v>
      </c>
      <c r="AB60" s="66" t="n">
        <f aca="false">Y60/Economy!O60</f>
        <v>0.0838799613110729</v>
      </c>
      <c r="AC60" s="66" t="n">
        <f aca="false">(N60+O60+P60)/Economy!O60</f>
        <v>0.00607003161139555</v>
      </c>
    </row>
    <row r="61" customFormat="false" ht="14.25" hidden="false" customHeight="true" outlineLevel="0" collapsed="false">
      <c r="A61" s="61" t="n">
        <v>1901</v>
      </c>
      <c r="B61" s="56" t="n">
        <f aca="false">Economy!O61*Paths!N61*Paths!O61*cust_coll</f>
        <v>128.371093549028</v>
      </c>
      <c r="C61" s="56" t="n">
        <f aca="false">(Economy!J61+Economy!L61+Economy!M61+Economy!N61)*Paths!P61*Paths!Q61</f>
        <v>370.349613924185</v>
      </c>
      <c r="D61" s="56" t="n">
        <f aca="false">Resources!P61+Resources!Q61</f>
        <v>7.8495</v>
      </c>
      <c r="E61" s="56" t="n">
        <f aca="false">Paths!S61*(1-canal_opcost)*canal_share</f>
        <v>2.4</v>
      </c>
      <c r="F61" s="56" t="n">
        <f aca="false">Economy!O61*Paths!R61</f>
        <v>11.970002382327</v>
      </c>
      <c r="G61" s="56" t="n">
        <f aca="false">SUMPRODUCT((Events!$B$6:$B$400&lt;=$A61)*(Events!$C$6:$C$400&gt;=$A61)*(Events!$E$6:$E$400="Receipt")*Events!$H$6:$H$400)+'Land Fund'!O61</f>
        <v>5.33240460672987</v>
      </c>
      <c r="H61" s="72" t="n">
        <f aca="false">Loans!Y61</f>
        <v>8.40093279793387</v>
      </c>
      <c r="I61" s="56" t="n">
        <f aca="false">'Debt &amp; cash'!S60*fund_yield</f>
        <v>4.20519099067058</v>
      </c>
      <c r="J61" s="72" t="n">
        <f aca="false">Labour!Q61</f>
        <v>46.1407987373573</v>
      </c>
      <c r="K61" s="72" t="n">
        <f aca="false">Champions!BD61</f>
        <v>11.2734860057953</v>
      </c>
      <c r="L61" s="72" t="n">
        <f aca="false">Abroad!N61</f>
        <v>12.7128646462478</v>
      </c>
      <c r="M61" s="56" t="n">
        <f aca="false">SUM(B61:L61)</f>
        <v>609.005887640274</v>
      </c>
      <c r="N61" s="56" t="n">
        <f aca="false">(Paths!W61*army_cost+Paths!X61*res_cost)*Economy!H61/1000000</f>
        <v>18.18832</v>
      </c>
      <c r="O61" s="72" t="n">
        <f aca="false">Navy!Y61</f>
        <v>15.7189258</v>
      </c>
      <c r="P61" s="56" t="n">
        <f aca="false">SUMPRODUCT((Events!$B$6:$B$400&lt;=$A61)*(Events!$C$6:$C$400&gt;=$A61)*(Events!$E$6:$E$400="War &amp; operations")*Events!$H$6:$H$400)</f>
        <v>0</v>
      </c>
      <c r="Q61" s="56" t="n">
        <f aca="false">Economy!O61*Paths!T61</f>
        <v>217.255543239235</v>
      </c>
      <c r="R61" s="56" t="n">
        <f aca="false">Economy!O61*Paths!U61</f>
        <v>119.70002382327</v>
      </c>
      <c r="S61" s="56" t="n">
        <f aca="false">Economy!O61*Paths!V61+SUMPRODUCT((Events!$B$6:$B$400&lt;=$A61)*(Events!$C$6:$C$400&gt;=$A61)*(Events!$E$6:$E$400="Programme")*Events!$H$6:$H$400)+SUMPRODUCT((Events!$B$6:$B$400&lt;=$A61)*(Events!$C$6:$C$400&gt;=$A61)*(Events!$E$6:$E$400="Investment")*Events!$H$6:$H$400)</f>
        <v>60.4465106013552</v>
      </c>
      <c r="T61" s="56" t="n">
        <f aca="false">(People!T61*assist_cost+Labour!AD61*talent_cost+Labour!L61*gw_admin)*Economy!H61/1000000</f>
        <v>18.9058894926773</v>
      </c>
      <c r="U61" s="56" t="n">
        <f aca="false">SUMPRODUCT((Events!$B$6:$B$400&lt;=$A61)*(Events!$C$6:$C$400&gt;=$A61)*(Events!$E$6:$E$400="Purchase")*Events!$H$6:$H$400)</f>
        <v>18.75</v>
      </c>
      <c r="V61" s="56" t="n">
        <f aca="false">SUMPRODUCT((Events!$B$6:$B$400&lt;=$A61)*(Events!$C$6:$C$400&gt;=$A61)*(Events!$E$6:$E$400="Subsidy &amp; guarantee")*Events!$H$6:$H$400)+SUMPRODUCT((Events!$B$6:$B$400&lt;=$A61)*(Events!$C$6:$C$400&gt;=$A61)*(Events!$E$6:$E$400="Relief")*Events!$H$6:$H$400)</f>
        <v>0.75</v>
      </c>
      <c r="W61" s="56" t="n">
        <f aca="false">SUMPRODUCT((Events!$B$6:$B$400&lt;=$A61)*(Events!$C$6:$C$400&gt;=$A61)*(Events!$E$6:$E$400="Bank rescue &amp; capital")*Events!$H$6:$H$400)</f>
        <v>0</v>
      </c>
      <c r="X61" s="56" t="n">
        <f aca="false">'Debt &amp; cash'!R60*Paths!Y61</f>
        <v>11.542340449837</v>
      </c>
      <c r="Y61" s="56" t="n">
        <f aca="false">SUM(N61:X61)</f>
        <v>481.257553406375</v>
      </c>
      <c r="Z61" s="56" t="n">
        <f aca="false">M61-Y61</f>
        <v>127.748334233899</v>
      </c>
      <c r="AA61" s="66" t="n">
        <f aca="false">M61/Economy!O61</f>
        <v>0.101755349445784</v>
      </c>
      <c r="AB61" s="66" t="n">
        <f aca="false">Y61/Economy!O61</f>
        <v>0.080410602777644</v>
      </c>
      <c r="AC61" s="66" t="n">
        <f aca="false">(N61+O61+P61)/Economy!O61</f>
        <v>0.0056653699334366</v>
      </c>
    </row>
    <row r="62" customFormat="false" ht="14.25" hidden="false" customHeight="true" outlineLevel="0" collapsed="false">
      <c r="A62" s="61" t="n">
        <v>1902</v>
      </c>
      <c r="B62" s="56" t="n">
        <f aca="false">Economy!O62*Paths!N62*Paths!O62*cust_coll</f>
        <v>139.020001760921</v>
      </c>
      <c r="C62" s="56" t="n">
        <f aca="false">(Economy!J62+Economy!L62+Economy!M62+Economy!N62)*Paths!P62*Paths!Q62</f>
        <v>404.003626616384</v>
      </c>
      <c r="D62" s="56" t="n">
        <f aca="false">Resources!P62+Resources!Q62</f>
        <v>8.37275</v>
      </c>
      <c r="E62" s="56" t="n">
        <f aca="false">Paths!S62*(1-canal_opcost)*canal_share</f>
        <v>3.6</v>
      </c>
      <c r="F62" s="56" t="n">
        <f aca="false">Economy!O62*Paths!R62</f>
        <v>13.0549922771505</v>
      </c>
      <c r="G62" s="56" t="n">
        <f aca="false">SUMPRODUCT((Events!$B$6:$B$400&lt;=$A62)*(Events!$C$6:$C$400&gt;=$A62)*(Events!$E$6:$E$400="Receipt")*Events!$H$6:$H$400)+'Land Fund'!O62</f>
        <v>4.59345642756438</v>
      </c>
      <c r="H62" s="72" t="n">
        <f aca="false">Loans!Y62</f>
        <v>8.06601865519309</v>
      </c>
      <c r="I62" s="56" t="n">
        <f aca="false">'Debt &amp; cash'!S61*fund_yield</f>
        <v>4.48103052256386</v>
      </c>
      <c r="J62" s="72" t="n">
        <f aca="false">Labour!Q62</f>
        <v>50.4405136509189</v>
      </c>
      <c r="K62" s="72" t="n">
        <f aca="false">Champions!BD62</f>
        <v>12.9291180023759</v>
      </c>
      <c r="L62" s="72" t="n">
        <f aca="false">Abroad!N62</f>
        <v>14.3877293072002</v>
      </c>
      <c r="M62" s="56" t="n">
        <f aca="false">SUM(B62:L62)</f>
        <v>662.949237220272</v>
      </c>
      <c r="N62" s="56" t="n">
        <f aca="false">(Paths!W62*army_cost+Paths!X62*res_cost)*Economy!H62/1000000</f>
        <v>18.72584</v>
      </c>
      <c r="O62" s="72" t="n">
        <f aca="false">Navy!Y62</f>
        <v>18.3396938</v>
      </c>
      <c r="P62" s="56" t="n">
        <f aca="false">SUMPRODUCT((Events!$B$6:$B$400&lt;=$A62)*(Events!$C$6:$C$400&gt;=$A62)*(Events!$E$6:$E$400="War &amp; operations")*Events!$H$6:$H$400)</f>
        <v>0</v>
      </c>
      <c r="Q62" s="56" t="n">
        <f aca="false">Economy!O62*Paths!T62</f>
        <v>238.906358671855</v>
      </c>
      <c r="R62" s="56" t="n">
        <f aca="false">Economy!O62*Paths!U62</f>
        <v>130.549922771505</v>
      </c>
      <c r="S62" s="56" t="n">
        <f aca="false">Economy!O62*Paths!V62+SUMPRODUCT((Events!$B$6:$B$400&lt;=$A62)*(Events!$C$6:$C$400&gt;=$A62)*(Events!$E$6:$E$400="Programme")*Events!$H$6:$H$400)+SUMPRODUCT((Events!$B$6:$B$400&lt;=$A62)*(Events!$C$6:$C$400&gt;=$A62)*(Events!$E$6:$E$400="Investment")*Events!$H$6:$H$400)</f>
        <v>63.6219660194623</v>
      </c>
      <c r="T62" s="56" t="n">
        <f aca="false">(People!T62*assist_cost+Labour!AD62*talent_cost+Labour!L62*gw_admin)*Economy!H62/1000000</f>
        <v>20.0636053443458</v>
      </c>
      <c r="U62" s="56" t="n">
        <f aca="false">SUMPRODUCT((Events!$B$6:$B$400&lt;=$A62)*(Events!$C$6:$C$400&gt;=$A62)*(Events!$E$6:$E$400="Purchase")*Events!$H$6:$H$400)</f>
        <v>0</v>
      </c>
      <c r="V62" s="56" t="n">
        <f aca="false">SUMPRODUCT((Events!$B$6:$B$400&lt;=$A62)*(Events!$C$6:$C$400&gt;=$A62)*(Events!$E$6:$E$400="Subsidy &amp; guarantee")*Events!$H$6:$H$400)+SUMPRODUCT((Events!$B$6:$B$400&lt;=$A62)*(Events!$C$6:$C$400&gt;=$A62)*(Events!$E$6:$E$400="Relief")*Events!$H$6:$H$400)</f>
        <v>0.75</v>
      </c>
      <c r="W62" s="56" t="n">
        <f aca="false">SUMPRODUCT((Events!$B$6:$B$400&lt;=$A62)*(Events!$C$6:$C$400&gt;=$A62)*(Events!$E$6:$E$400="Bank rescue &amp; capital")*Events!$H$6:$H$400)</f>
        <v>0</v>
      </c>
      <c r="X62" s="56" t="n">
        <f aca="false">'Debt &amp; cash'!R61*Paths!Y62</f>
        <v>12.4188774716643</v>
      </c>
      <c r="Y62" s="56" t="n">
        <f aca="false">SUM(N62:X62)</f>
        <v>503.376264078832</v>
      </c>
      <c r="Z62" s="56" t="n">
        <f aca="false">M62-Y62</f>
        <v>159.572973141439</v>
      </c>
      <c r="AA62" s="66" t="n">
        <f aca="false">M62/Economy!O62</f>
        <v>0.10156256291022</v>
      </c>
      <c r="AB62" s="66" t="n">
        <f aca="false">Y62/Economy!O62</f>
        <v>0.0771162867648517</v>
      </c>
      <c r="AC62" s="66" t="n">
        <f aca="false">(N62+O62+P62)/Economy!O62</f>
        <v>0.00567836931851333</v>
      </c>
    </row>
    <row r="63" customFormat="false" ht="14.25" hidden="false" customHeight="true" outlineLevel="0" collapsed="false">
      <c r="A63" s="61" t="n">
        <v>1903</v>
      </c>
      <c r="B63" s="56" t="n">
        <f aca="false">Economy!O63*Paths!N63*Paths!O63*cust_coll</f>
        <v>150.829467903051</v>
      </c>
      <c r="C63" s="56" t="n">
        <f aca="false">(Economy!J63+Economy!L63+Economy!M63+Economy!N63)*Paths!P63*Paths!Q63</f>
        <v>441.403897006916</v>
      </c>
      <c r="D63" s="56" t="n">
        <f aca="false">Resources!P63+Resources!Q63</f>
        <v>8.796</v>
      </c>
      <c r="E63" s="56" t="n">
        <f aca="false">Paths!S63*(1-canal_opcost)*canal_share</f>
        <v>4.8</v>
      </c>
      <c r="F63" s="56" t="n">
        <f aca="false">Economy!O63*Paths!R63</f>
        <v>14.2579800638129</v>
      </c>
      <c r="G63" s="56" t="n">
        <f aca="false">SUMPRODUCT((Events!$B$6:$B$400&lt;=$A63)*(Events!$C$6:$C$400&gt;=$A63)*(Events!$E$6:$E$400="Receipt")*Events!$H$6:$H$400)+'Land Fund'!O63</f>
        <v>3.85339715195891</v>
      </c>
      <c r="H63" s="72" t="n">
        <f aca="false">Loans!Y63</f>
        <v>7.74446738308665</v>
      </c>
      <c r="I63" s="56" t="n">
        <f aca="false">'Debt &amp; cash'!S62*fund_yield</f>
        <v>4.8320258268531</v>
      </c>
      <c r="J63" s="72" t="n">
        <f aca="false">Labour!Q63</f>
        <v>55.2761012292816</v>
      </c>
      <c r="K63" s="72" t="n">
        <f aca="false">Champions!BD63</f>
        <v>14.6873860941191</v>
      </c>
      <c r="L63" s="72" t="n">
        <f aca="false">Abroad!N63</f>
        <v>16.2137716784054</v>
      </c>
      <c r="M63" s="56" t="n">
        <f aca="false">SUM(B63:L63)</f>
        <v>722.694494337485</v>
      </c>
      <c r="N63" s="56" t="n">
        <f aca="false">(Paths!W63*army_cost+Paths!X63*res_cost)*Economy!H63/1000000</f>
        <v>19.25922</v>
      </c>
      <c r="O63" s="72" t="n">
        <f aca="false">Navy!Y63</f>
        <v>20.66852</v>
      </c>
      <c r="P63" s="56" t="n">
        <f aca="false">SUMPRODUCT((Events!$B$6:$B$400&lt;=$A63)*(Events!$C$6:$C$400&gt;=$A63)*(Events!$E$6:$E$400="War &amp; operations")*Events!$H$6:$H$400)</f>
        <v>0</v>
      </c>
      <c r="Q63" s="56" t="n">
        <f aca="false">Economy!O63*Paths!T63</f>
        <v>263.059732177348</v>
      </c>
      <c r="R63" s="56" t="n">
        <f aca="false">Economy!O63*Paths!U63</f>
        <v>142.579800638129</v>
      </c>
      <c r="S63" s="56" t="n">
        <f aca="false">Economy!O63*Paths!V63+SUMPRODUCT((Events!$B$6:$B$400&lt;=$A63)*(Events!$C$6:$C$400&gt;=$A63)*(Events!$E$6:$E$400="Programme")*Events!$H$6:$H$400)+SUMPRODUCT((Events!$B$6:$B$400&lt;=$A63)*(Events!$C$6:$C$400&gt;=$A63)*(Events!$E$6:$E$400="Investment")*Events!$H$6:$H$400)</f>
        <v>65.9151122807768</v>
      </c>
      <c r="T63" s="56" t="n">
        <f aca="false">(People!T63*assist_cost+Labour!AD63*talent_cost+Labour!L63*gw_admin)*Economy!H63/1000000</f>
        <v>21.335643239809</v>
      </c>
      <c r="U63" s="56" t="n">
        <f aca="false">SUMPRODUCT((Events!$B$6:$B$400&lt;=$A63)*(Events!$C$6:$C$400&gt;=$A63)*(Events!$E$6:$E$400="Purchase")*Events!$H$6:$H$400)</f>
        <v>0</v>
      </c>
      <c r="V63" s="56" t="n">
        <f aca="false">SUMPRODUCT((Events!$B$6:$B$400&lt;=$A63)*(Events!$C$6:$C$400&gt;=$A63)*(Events!$E$6:$E$400="Subsidy &amp; guarantee")*Events!$H$6:$H$400)+SUMPRODUCT((Events!$B$6:$B$400&lt;=$A63)*(Events!$C$6:$C$400&gt;=$A63)*(Events!$E$6:$E$400="Relief")*Events!$H$6:$H$400)</f>
        <v>0.55</v>
      </c>
      <c r="W63" s="56" t="n">
        <f aca="false">SUMPRODUCT((Events!$B$6:$B$400&lt;=$A63)*(Events!$C$6:$C$400&gt;=$A63)*(Events!$E$6:$E$400="Bank rescue &amp; capital")*Events!$H$6:$H$400)</f>
        <v>0</v>
      </c>
      <c r="X63" s="56" t="n">
        <f aca="false">'Debt &amp; cash'!R62*Paths!Y63</f>
        <v>13.3813670840793</v>
      </c>
      <c r="Y63" s="56" t="n">
        <f aca="false">SUM(N63:X63)</f>
        <v>546.749395420143</v>
      </c>
      <c r="Z63" s="56" t="n">
        <f aca="false">M63-Y63</f>
        <v>175.945098917342</v>
      </c>
      <c r="AA63" s="66" t="n">
        <f aca="false">M63/Economy!O63</f>
        <v>0.101374036308509</v>
      </c>
      <c r="AB63" s="66" t="n">
        <f aca="false">Y63/Economy!O63</f>
        <v>0.0766938083758169</v>
      </c>
      <c r="AC63" s="66" t="n">
        <f aca="false">(N63+O63+P63)/Economy!O63</f>
        <v>0.00560075688439733</v>
      </c>
    </row>
    <row r="64" customFormat="false" ht="14.25" hidden="false" customHeight="true" outlineLevel="0" collapsed="false">
      <c r="A64" s="61" t="n">
        <v>1904</v>
      </c>
      <c r="B64" s="56" t="n">
        <f aca="false">Economy!O64*Paths!N64*Paths!O64*cust_coll</f>
        <v>163.588375158031</v>
      </c>
      <c r="C64" s="56" t="n">
        <f aca="false">(Economy!J64+Economy!L64+Economy!M64+Economy!N64)*Paths!P64*Paths!Q64</f>
        <v>482.416114660817</v>
      </c>
      <c r="D64" s="56" t="n">
        <f aca="false">Resources!P64+Resources!Q64</f>
        <v>9.14175</v>
      </c>
      <c r="E64" s="56" t="n">
        <f aca="false">Paths!S64*(1-canal_opcost)*canal_share</f>
        <v>5.4</v>
      </c>
      <c r="F64" s="56" t="n">
        <f aca="false">Economy!O64*Paths!R64</f>
        <v>15.5753951402486</v>
      </c>
      <c r="G64" s="56" t="n">
        <f aca="false">SUMPRODUCT((Events!$B$6:$B$400&lt;=$A64)*(Events!$C$6:$C$400&gt;=$A64)*(Events!$E$6:$E$400="Receipt")*Events!$H$6:$H$400)+'Land Fund'!O64</f>
        <v>3.11224220755343</v>
      </c>
      <c r="H64" s="72" t="n">
        <f aca="false">Loans!Y64</f>
        <v>7.43574547764143</v>
      </c>
      <c r="I64" s="56" t="n">
        <f aca="false">'Debt &amp; cash'!S63*fund_yield</f>
        <v>5.21694266219684</v>
      </c>
      <c r="J64" s="72" t="n">
        <f aca="false">Labour!Q64</f>
        <v>60.5770671336988</v>
      </c>
      <c r="K64" s="72" t="n">
        <f aca="false">Champions!BD64</f>
        <v>16.6605463460857</v>
      </c>
      <c r="L64" s="72" t="n">
        <f aca="false">Abroad!N64</f>
        <v>18.2105708918314</v>
      </c>
      <c r="M64" s="56" t="n">
        <f aca="false">SUM(B64:L64)</f>
        <v>787.334749678104</v>
      </c>
      <c r="N64" s="56" t="n">
        <f aca="false">(Paths!W64*army_cost+Paths!X64*res_cost)*Economy!H64/1000000</f>
        <v>19.80004</v>
      </c>
      <c r="O64" s="72" t="n">
        <f aca="false">Navy!Y64</f>
        <v>21.5080869</v>
      </c>
      <c r="P64" s="56" t="n">
        <f aca="false">SUMPRODUCT((Events!$B$6:$B$400&lt;=$A64)*(Events!$C$6:$C$400&gt;=$A64)*(Events!$E$6:$E$400="War &amp; operations")*Events!$H$6:$H$400)</f>
        <v>3</v>
      </c>
      <c r="Q64" s="56" t="n">
        <f aca="false">Economy!O64*Paths!T64</f>
        <v>289.702349608623</v>
      </c>
      <c r="R64" s="56" t="n">
        <f aca="false">Economy!O64*Paths!U64</f>
        <v>155.753951402486</v>
      </c>
      <c r="S64" s="56" t="n">
        <f aca="false">Economy!O64*Paths!V64+SUMPRODUCT((Events!$B$6:$B$400&lt;=$A64)*(Events!$C$6:$C$400&gt;=$A64)*(Events!$E$6:$E$400="Programme")*Events!$H$6:$H$400)+SUMPRODUCT((Events!$B$6:$B$400&lt;=$A64)*(Events!$C$6:$C$400&gt;=$A64)*(Events!$E$6:$E$400="Investment")*Events!$H$6:$H$400)</f>
        <v>70.9329688600813</v>
      </c>
      <c r="T64" s="56" t="n">
        <f aca="false">(People!T64*assist_cost+Labour!AD64*talent_cost+Labour!L64*gw_admin)*Economy!H64/1000000</f>
        <v>22.7124978944383</v>
      </c>
      <c r="U64" s="56" t="n">
        <f aca="false">SUMPRODUCT((Events!$B$6:$B$400&lt;=$A64)*(Events!$C$6:$C$400&gt;=$A64)*(Events!$E$6:$E$400="Purchase")*Events!$H$6:$H$400)</f>
        <v>0</v>
      </c>
      <c r="V64" s="56" t="n">
        <f aca="false">SUMPRODUCT((Events!$B$6:$B$400&lt;=$A64)*(Events!$C$6:$C$400&gt;=$A64)*(Events!$E$6:$E$400="Subsidy &amp; guarantee")*Events!$H$6:$H$400)+SUMPRODUCT((Events!$B$6:$B$400&lt;=$A64)*(Events!$C$6:$C$400&gt;=$A64)*(Events!$E$6:$E$400="Relief")*Events!$H$6:$H$400)</f>
        <v>0.55</v>
      </c>
      <c r="W64" s="56" t="n">
        <f aca="false">SUMPRODUCT((Events!$B$6:$B$400&lt;=$A64)*(Events!$C$6:$C$400&gt;=$A64)*(Events!$E$6:$E$400="Bank rescue &amp; capital")*Events!$H$6:$H$400)</f>
        <v>0</v>
      </c>
      <c r="X64" s="56" t="n">
        <f aca="false">'Debt &amp; cash'!R63*Paths!Y64</f>
        <v>14.4362048146106</v>
      </c>
      <c r="Y64" s="56" t="n">
        <f aca="false">SUM(N64:X64)</f>
        <v>598.396099480239</v>
      </c>
      <c r="Z64" s="56" t="n">
        <f aca="false">M64-Y64</f>
        <v>188.938650197865</v>
      </c>
      <c r="AA64" s="66" t="n">
        <f aca="false">M64/Economy!O64</f>
        <v>0.101099810642177</v>
      </c>
      <c r="AB64" s="66" t="n">
        <f aca="false">Y64/Economy!O64</f>
        <v>0.0768386412148115</v>
      </c>
      <c r="AC64" s="66" t="n">
        <f aca="false">(N64+O64+P64)/Economy!O64</f>
        <v>0.00568950277036669</v>
      </c>
    </row>
    <row r="65" customFormat="false" ht="14.25" hidden="false" customHeight="true" outlineLevel="0" collapsed="false">
      <c r="A65" s="61" t="n">
        <v>1905</v>
      </c>
      <c r="B65" s="56" t="n">
        <f aca="false">Economy!O65*Paths!N65*Paths!O65*cust_coll</f>
        <v>177.102683751324</v>
      </c>
      <c r="C65" s="56" t="n">
        <f aca="false">(Economy!J65+Economy!L65+Economy!M65+Economy!N65)*Paths!P65*Paths!Q65</f>
        <v>526.342701351645</v>
      </c>
      <c r="D65" s="56" t="n">
        <f aca="false">Resources!P65+Resources!Q65</f>
        <v>9.3875</v>
      </c>
      <c r="E65" s="56" t="n">
        <f aca="false">Paths!S65*(1-canal_opcost)*canal_share</f>
        <v>6</v>
      </c>
      <c r="F65" s="56" t="n">
        <f aca="false">Economy!O65*Paths!R65</f>
        <v>16.9843569587169</v>
      </c>
      <c r="G65" s="56" t="n">
        <f aca="false">SUMPRODUCT((Events!$B$6:$B$400&lt;=$A65)*(Events!$C$6:$C$400&gt;=$A65)*(Events!$E$6:$E$400="Receipt")*Events!$H$6:$H$400)+'Land Fund'!O65</f>
        <v>2.36999023054795</v>
      </c>
      <c r="H65" s="72" t="n">
        <f aca="false">Loans!Y65</f>
        <v>8.78934074471767</v>
      </c>
      <c r="I65" s="56" t="n">
        <f aca="false">'Debt &amp; cash'!S64*fund_yield</f>
        <v>5.55609848839541</v>
      </c>
      <c r="J65" s="72" t="n">
        <f aca="false">Labour!Q65</f>
        <v>66.3230251703174</v>
      </c>
      <c r="K65" s="72" t="n">
        <f aca="false">Champions!BD65</f>
        <v>18.6826666902286</v>
      </c>
      <c r="L65" s="72" t="n">
        <f aca="false">Abroad!N65</f>
        <v>20.3383076106156</v>
      </c>
      <c r="M65" s="56" t="n">
        <f aca="false">SUM(B65:L65)</f>
        <v>857.876670996509</v>
      </c>
      <c r="N65" s="56" t="n">
        <f aca="false">(Paths!W65*army_cost+Paths!X65*res_cost)*Economy!H65/1000000</f>
        <v>20.3606</v>
      </c>
      <c r="O65" s="72" t="n">
        <f aca="false">Navy!Y65</f>
        <v>28.711684</v>
      </c>
      <c r="P65" s="56" t="n">
        <f aca="false">SUMPRODUCT((Events!$B$6:$B$400&lt;=$A65)*(Events!$C$6:$C$400&gt;=$A65)*(Events!$E$6:$E$400="War &amp; operations")*Events!$H$6:$H$400)</f>
        <v>3</v>
      </c>
      <c r="Q65" s="56" t="n">
        <f aca="false">Economy!O65*Paths!T65</f>
        <v>318.456692975941</v>
      </c>
      <c r="R65" s="56" t="n">
        <f aca="false">Economy!O65*Paths!U65</f>
        <v>169.843569587169</v>
      </c>
      <c r="S65" s="56" t="n">
        <f aca="false">Economy!O65*Paths!V65+SUMPRODUCT((Events!$B$6:$B$400&lt;=$A65)*(Events!$C$6:$C$400&gt;=$A65)*(Events!$E$6:$E$400="Programme")*Events!$H$6:$H$400)+SUMPRODUCT((Events!$B$6:$B$400&lt;=$A65)*(Events!$C$6:$C$400&gt;=$A65)*(Events!$E$6:$E$400="Investment")*Events!$H$6:$H$400)</f>
        <v>76.2127349224825</v>
      </c>
      <c r="T65" s="56" t="n">
        <f aca="false">(People!T65*assist_cost+Labour!AD65*talent_cost+Labour!L65*gw_admin)*Economy!H65/1000000</f>
        <v>24.1921042594358</v>
      </c>
      <c r="U65" s="56" t="n">
        <f aca="false">SUMPRODUCT((Events!$B$6:$B$400&lt;=$A65)*(Events!$C$6:$C$400&gt;=$A65)*(Events!$E$6:$E$400="Purchase")*Events!$H$6:$H$400)</f>
        <v>0</v>
      </c>
      <c r="V65" s="56" t="n">
        <f aca="false">SUMPRODUCT((Events!$B$6:$B$400&lt;=$A65)*(Events!$C$6:$C$400&gt;=$A65)*(Events!$E$6:$E$400="Subsidy &amp; guarantee")*Events!$H$6:$H$400)+SUMPRODUCT((Events!$B$6:$B$400&lt;=$A65)*(Events!$C$6:$C$400&gt;=$A65)*(Events!$E$6:$E$400="Relief")*Events!$H$6:$H$400)</f>
        <v>0.55</v>
      </c>
      <c r="W65" s="56" t="n">
        <f aca="false">SUMPRODUCT((Events!$B$6:$B$400&lt;=$A65)*(Events!$C$6:$C$400&gt;=$A65)*(Events!$E$6:$E$400="Bank rescue &amp; capital")*Events!$H$6:$H$400)</f>
        <v>0</v>
      </c>
      <c r="X65" s="56" t="n">
        <f aca="false">'Debt &amp; cash'!R64*Paths!Y65</f>
        <v>15.5753951402486</v>
      </c>
      <c r="Y65" s="56" t="n">
        <f aca="false">SUM(N65:X65)</f>
        <v>656.902780885277</v>
      </c>
      <c r="Z65" s="56" t="n">
        <f aca="false">M65-Y65</f>
        <v>200.973890111232</v>
      </c>
      <c r="AA65" s="66" t="n">
        <f aca="false">M65/Economy!O65</f>
        <v>0.101019623301808</v>
      </c>
      <c r="AB65" s="66" t="n">
        <f aca="false">Y65/Economy!O65</f>
        <v>0.0773538594934129</v>
      </c>
      <c r="AC65" s="66" t="n">
        <f aca="false">(N65+O65+P65)/Economy!O65</f>
        <v>0.00613179340572856</v>
      </c>
    </row>
    <row r="66" customFormat="false" ht="14.25" hidden="false" customHeight="true" outlineLevel="0" collapsed="false">
      <c r="A66" s="61" t="n">
        <v>1906</v>
      </c>
      <c r="B66" s="56" t="n">
        <f aca="false">Economy!O66*Paths!N66*Paths!O66*cust_coll</f>
        <v>194.387119174046</v>
      </c>
      <c r="C66" s="56" t="n">
        <f aca="false">(Economy!J66+Economy!L66+Economy!M66+Economy!N66)*Paths!P66*Paths!Q66</f>
        <v>581.985345156759</v>
      </c>
      <c r="D66" s="56" t="n">
        <f aca="false">Resources!P66+Resources!Q66</f>
        <v>10.447</v>
      </c>
      <c r="E66" s="56" t="n">
        <f aca="false">Paths!S66*(1-canal_opcost)*canal_share</f>
        <v>6.48</v>
      </c>
      <c r="F66" s="56" t="n">
        <f aca="false">Economy!O66*Paths!R66</f>
        <v>18.7780984151593</v>
      </c>
      <c r="G66" s="56" t="n">
        <f aca="false">SUMPRODUCT((Events!$B$6:$B$400&lt;=$A66)*(Events!$C$6:$C$400&gt;=$A66)*(Events!$E$6:$E$400="Receipt")*Events!$H$6:$H$400)+'Land Fund'!O66</f>
        <v>2.37336850534247</v>
      </c>
      <c r="H66" s="72" t="n">
        <f aca="false">Loans!Y66</f>
        <v>10.0887614485254</v>
      </c>
      <c r="I66" s="56" t="n">
        <f aca="false">'Debt &amp; cash'!S65*fund_yield</f>
        <v>5.92135459703159</v>
      </c>
      <c r="J66" s="72" t="n">
        <f aca="false">Labour!Q66</f>
        <v>73.50563126189</v>
      </c>
      <c r="K66" s="72" t="n">
        <f aca="false">Champions!BD66</f>
        <v>20.5823516458961</v>
      </c>
      <c r="L66" s="72" t="n">
        <f aca="false">Abroad!N66</f>
        <v>22.3776083305227</v>
      </c>
      <c r="M66" s="56" t="n">
        <f aca="false">SUM(B66:L66)</f>
        <v>946.926638535173</v>
      </c>
      <c r="N66" s="56" t="n">
        <f aca="false">(Paths!W66*army_cost+Paths!X66*res_cost)*Economy!H66/1000000</f>
        <v>21.27724</v>
      </c>
      <c r="O66" s="72" t="n">
        <f aca="false">Navy!Y66</f>
        <v>34.4976065</v>
      </c>
      <c r="P66" s="56" t="n">
        <f aca="false">SUMPRODUCT((Events!$B$6:$B$400&lt;=$A66)*(Events!$C$6:$C$400&gt;=$A66)*(Events!$E$6:$E$400="War &amp; operations")*Events!$H$6:$H$400)</f>
        <v>0</v>
      </c>
      <c r="Q66" s="56" t="n">
        <f aca="false">Economy!O66*Paths!T66</f>
        <v>354.906060046511</v>
      </c>
      <c r="R66" s="56" t="n">
        <f aca="false">Economy!O66*Paths!U66</f>
        <v>187.780984151593</v>
      </c>
      <c r="S66" s="56" t="n">
        <f aca="false">Economy!O66*Paths!V66+SUMPRODUCT((Events!$B$6:$B$400&lt;=$A66)*(Events!$C$6:$C$400&gt;=$A66)*(Events!$E$6:$E$400="Programme")*Events!$H$6:$H$400)+SUMPRODUCT((Events!$B$6:$B$400&lt;=$A66)*(Events!$C$6:$C$400&gt;=$A66)*(Events!$E$6:$E$400="Investment")*Events!$H$6:$H$400)</f>
        <v>86.786918264427</v>
      </c>
      <c r="T66" s="56" t="n">
        <f aca="false">(People!T66*assist_cost+Labour!AD66*talent_cost+Labour!L66*gw_admin)*Economy!H66/1000000</f>
        <v>26.1265272721833</v>
      </c>
      <c r="U66" s="56" t="n">
        <f aca="false">SUMPRODUCT((Events!$B$6:$B$400&lt;=$A66)*(Events!$C$6:$C$400&gt;=$A66)*(Events!$E$6:$E$400="Purchase")*Events!$H$6:$H$400)</f>
        <v>0</v>
      </c>
      <c r="V66" s="56" t="n">
        <f aca="false">SUMPRODUCT((Events!$B$6:$B$400&lt;=$A66)*(Events!$C$6:$C$400&gt;=$A66)*(Events!$E$6:$E$400="Subsidy &amp; guarantee")*Events!$H$6:$H$400)+SUMPRODUCT((Events!$B$6:$B$400&lt;=$A66)*(Events!$C$6:$C$400&gt;=$A66)*(Events!$E$6:$E$400="Relief")*Events!$H$6:$H$400)</f>
        <v>0.55</v>
      </c>
      <c r="W66" s="56" t="n">
        <f aca="false">SUMPRODUCT((Events!$B$6:$B$400&lt;=$A66)*(Events!$C$6:$C$400&gt;=$A66)*(Events!$E$6:$E$400="Bank rescue &amp; capital")*Events!$H$6:$H$400)</f>
        <v>0</v>
      </c>
      <c r="X66" s="56" t="n">
        <f aca="false">'Debt &amp; cash'!R65*Paths!Y66</f>
        <v>17.4514267750816</v>
      </c>
      <c r="Y66" s="56" t="n">
        <f aca="false">SUM(N66:X66)</f>
        <v>729.376763009795</v>
      </c>
      <c r="Z66" s="56" t="n">
        <f aca="false">M66-Y66</f>
        <v>217.549875525378</v>
      </c>
      <c r="AA66" s="66" t="n">
        <f aca="false">M66/Economy!O66</f>
        <v>0.100854369553281</v>
      </c>
      <c r="AB66" s="66" t="n">
        <f aca="false">Y66/Economy!O66</f>
        <v>0.0776837725401396</v>
      </c>
      <c r="AC66" s="66" t="n">
        <f aca="false">(N66+O66+P66)/Economy!O66</f>
        <v>0.00594041476052482</v>
      </c>
    </row>
    <row r="67" customFormat="false" ht="14.25" hidden="false" customHeight="true" outlineLevel="0" collapsed="false">
      <c r="A67" s="61" t="n">
        <v>1907</v>
      </c>
      <c r="B67" s="56" t="n">
        <f aca="false">Economy!O67*Paths!N67*Paths!O67*cust_coll</f>
        <v>209.986010898004</v>
      </c>
      <c r="C67" s="56" t="n">
        <f aca="false">(Economy!J67+Economy!L67+Economy!M67+Economy!N67)*Paths!P67*Paths!Q67</f>
        <v>633.66052070536</v>
      </c>
      <c r="D67" s="56" t="n">
        <f aca="false">Resources!P67+Resources!Q67</f>
        <v>11.1615</v>
      </c>
      <c r="E67" s="56" t="n">
        <f aca="false">Paths!S67*(1-canal_opcost)*canal_share</f>
        <v>6.96</v>
      </c>
      <c r="F67" s="56" t="n">
        <f aca="false">Economy!O67*Paths!R67</f>
        <v>20.4342082577221</v>
      </c>
      <c r="G67" s="56" t="n">
        <f aca="false">SUMPRODUCT((Events!$B$6:$B$400&lt;=$A67)*(Events!$C$6:$C$400&gt;=$A67)*(Events!$E$6:$E$400="Receipt")*Events!$H$6:$H$400)+'Land Fund'!O67</f>
        <v>2.37684393513699</v>
      </c>
      <c r="H67" s="72" t="n">
        <f aca="false">Loans!Y67</f>
        <v>9.68617549417293</v>
      </c>
      <c r="I67" s="56" t="n">
        <f aca="false">'Debt &amp; cash'!S66*fund_yield</f>
        <v>6.38784154461464</v>
      </c>
      <c r="J67" s="72" t="n">
        <f aca="false">Labour!Q67</f>
        <v>78.0464844538188</v>
      </c>
      <c r="K67" s="72" t="n">
        <f aca="false">Champions!BD67</f>
        <v>22.6381233419512</v>
      </c>
      <c r="L67" s="72" t="n">
        <f aca="false">Abroad!N67</f>
        <v>24.6100492089229</v>
      </c>
      <c r="M67" s="56" t="n">
        <f aca="false">SUM(B67:L67)</f>
        <v>1025.9477578397</v>
      </c>
      <c r="N67" s="56" t="n">
        <f aca="false">(Paths!W67*army_cost+Paths!X67*res_cost)*Economy!H67/1000000</f>
        <v>22.21212</v>
      </c>
      <c r="O67" s="72" t="n">
        <f aca="false">Navy!Y67</f>
        <v>34.5010179</v>
      </c>
      <c r="P67" s="56" t="n">
        <f aca="false">SUMPRODUCT((Events!$B$6:$B$400&lt;=$A67)*(Events!$C$6:$C$400&gt;=$A67)*(Events!$E$6:$E$400="War &amp; operations")*Events!$H$6:$H$400)</f>
        <v>0</v>
      </c>
      <c r="Q67" s="56" t="n">
        <f aca="false">Economy!O67*Paths!T67</f>
        <v>390.293377722492</v>
      </c>
      <c r="R67" s="56" t="n">
        <f aca="false">Economy!O67*Paths!U67</f>
        <v>204.342082577221</v>
      </c>
      <c r="S67" s="56" t="n">
        <f aca="false">Economy!O67*Paths!V67+SUMPRODUCT((Events!$B$6:$B$400&lt;=$A67)*(Events!$C$6:$C$400&gt;=$A67)*(Events!$E$6:$E$400="Programme")*Events!$H$6:$H$400)+SUMPRODUCT((Events!$B$6:$B$400&lt;=$A67)*(Events!$C$6:$C$400&gt;=$A67)*(Events!$E$6:$E$400="Investment")*Events!$H$6:$H$400)</f>
        <v>93.8253850953189</v>
      </c>
      <c r="T67" s="56" t="n">
        <f aca="false">(People!T67*assist_cost+Labour!AD67*talent_cost+Labour!L67*gw_admin)*Economy!H67/1000000</f>
        <v>27.4630298869125</v>
      </c>
      <c r="U67" s="56" t="n">
        <f aca="false">SUMPRODUCT((Events!$B$6:$B$400&lt;=$A67)*(Events!$C$6:$C$400&gt;=$A67)*(Events!$E$6:$E$400="Purchase")*Events!$H$6:$H$400)</f>
        <v>0</v>
      </c>
      <c r="V67" s="56" t="n">
        <f aca="false">SUMPRODUCT((Events!$B$6:$B$400&lt;=$A67)*(Events!$C$6:$C$400&gt;=$A67)*(Events!$E$6:$E$400="Subsidy &amp; guarantee")*Events!$H$6:$H$400)+SUMPRODUCT((Events!$B$6:$B$400&lt;=$A67)*(Events!$C$6:$C$400&gt;=$A67)*(Events!$E$6:$E$400="Relief")*Events!$H$6:$H$400)</f>
        <v>0.55</v>
      </c>
      <c r="W67" s="56" t="n">
        <f aca="false">SUMPRODUCT((Events!$B$6:$B$400&lt;=$A67)*(Events!$C$6:$C$400&gt;=$A67)*(Events!$E$6:$E$400="Bank rescue &amp; capital")*Events!$H$6:$H$400)</f>
        <v>0</v>
      </c>
      <c r="X67" s="56" t="n">
        <f aca="false">'Debt &amp; cash'!R66*Paths!Y67</f>
        <v>19.8108938279931</v>
      </c>
      <c r="Y67" s="56" t="n">
        <f aca="false">SUM(N67:X67)</f>
        <v>792.997907009937</v>
      </c>
      <c r="Z67" s="56" t="n">
        <f aca="false">M67-Y67</f>
        <v>232.949850829766</v>
      </c>
      <c r="AA67" s="66" t="n">
        <f aca="false">M67/Economy!O67</f>
        <v>0.100414730524438</v>
      </c>
      <c r="AB67" s="66" t="n">
        <f aca="false">Y67/Economy!O67</f>
        <v>0.0776147425932456</v>
      </c>
      <c r="AC67" s="66" t="n">
        <f aca="false">(N67+O67+P67)/Economy!O67</f>
        <v>0.0055508035530144</v>
      </c>
    </row>
    <row r="68" customFormat="false" ht="14.25" hidden="false" customHeight="true" outlineLevel="0" collapsed="false">
      <c r="A68" s="61" t="n">
        <v>1908</v>
      </c>
      <c r="B68" s="56" t="n">
        <f aca="false">Economy!O68*Paths!N68*Paths!O68*cust_coll</f>
        <v>220.980662272831</v>
      </c>
      <c r="C68" s="56" t="n">
        <f aca="false">(Economy!J68+Economy!L68+Economy!M68+Economy!N68)*Paths!P68*Paths!Q68</f>
        <v>671.619184039636</v>
      </c>
      <c r="D68" s="56" t="n">
        <f aca="false">Resources!P68+Resources!Q68</f>
        <v>11.831</v>
      </c>
      <c r="E68" s="56" t="n">
        <f aca="false">Paths!S68*(1-canal_opcost)*canal_share</f>
        <v>7.44</v>
      </c>
      <c r="F68" s="56" t="n">
        <f aca="false">Economy!O68*Paths!R68</f>
        <v>21.6520343202852</v>
      </c>
      <c r="G68" s="56" t="n">
        <f aca="false">SUMPRODUCT((Events!$B$6:$B$400&lt;=$A68)*(Events!$C$6:$C$400&gt;=$A68)*(Events!$E$6:$E$400="Receipt")*Events!$H$6:$H$400)+'Land Fund'!O68</f>
        <v>2.38041943993151</v>
      </c>
      <c r="H68" s="72" t="n">
        <f aca="false">Loans!Y68</f>
        <v>9.2996640428869</v>
      </c>
      <c r="I68" s="56" t="n">
        <f aca="false">'Debt &amp; cash'!S67*fund_yield</f>
        <v>6.8944275027983</v>
      </c>
      <c r="J68" s="72" t="n">
        <f aca="false">Labour!Q68</f>
        <v>77.3318270244416</v>
      </c>
      <c r="K68" s="72" t="n">
        <f aca="false">Champions!BD68</f>
        <v>24.59884375564</v>
      </c>
      <c r="L68" s="72" t="n">
        <f aca="false">Abroad!N68</f>
        <v>26.836874551561</v>
      </c>
      <c r="M68" s="56" t="n">
        <f aca="false">SUM(B68:L68)</f>
        <v>1080.86493695001</v>
      </c>
      <c r="N68" s="56" t="n">
        <f aca="false">(Paths!W68*army_cost+Paths!X68*res_cost)*Economy!H68/1000000</f>
        <v>23.16524</v>
      </c>
      <c r="O68" s="72" t="n">
        <f aca="false">Navy!Y68</f>
        <v>37.4206716</v>
      </c>
      <c r="P68" s="56" t="n">
        <f aca="false">SUMPRODUCT((Events!$B$6:$B$400&lt;=$A68)*(Events!$C$6:$C$400&gt;=$A68)*(Events!$E$6:$E$400="War &amp; operations")*Events!$H$6:$H$400)</f>
        <v>0</v>
      </c>
      <c r="Q68" s="56" t="n">
        <f aca="false">Economy!O68*Paths!T68</f>
        <v>416.80166066549</v>
      </c>
      <c r="R68" s="56" t="n">
        <f aca="false">Economy!O68*Paths!U68</f>
        <v>216.520343202852</v>
      </c>
      <c r="S68" s="56" t="n">
        <f aca="false">Economy!O68*Paths!V68+SUMPRODUCT((Events!$B$6:$B$400&lt;=$A68)*(Events!$C$6:$C$400&gt;=$A68)*(Events!$E$6:$E$400="Programme")*Events!$H$6:$H$400)+SUMPRODUCT((Events!$B$6:$B$400&lt;=$A68)*(Events!$C$6:$C$400&gt;=$A68)*(Events!$E$6:$E$400="Investment")*Events!$H$6:$H$400)</f>
        <v>97.9185441451978</v>
      </c>
      <c r="T68" s="56" t="n">
        <f aca="false">(People!T68*assist_cost+Labour!AD68*talent_cost+Labour!L68*gw_admin)*Economy!H68/1000000</f>
        <v>26.8048747704373</v>
      </c>
      <c r="U68" s="56" t="n">
        <f aca="false">SUMPRODUCT((Events!$B$6:$B$400&lt;=$A68)*(Events!$C$6:$C$400&gt;=$A68)*(Events!$E$6:$E$400="Purchase")*Events!$H$6:$H$400)</f>
        <v>0</v>
      </c>
      <c r="V68" s="56" t="n">
        <f aca="false">SUMPRODUCT((Events!$B$6:$B$400&lt;=$A68)*(Events!$C$6:$C$400&gt;=$A68)*(Events!$E$6:$E$400="Subsidy &amp; guarantee")*Events!$H$6:$H$400)+SUMPRODUCT((Events!$B$6:$B$400&lt;=$A68)*(Events!$C$6:$C$400&gt;=$A68)*(Events!$E$6:$E$400="Relief")*Events!$H$6:$H$400)</f>
        <v>0.55</v>
      </c>
      <c r="W68" s="56" t="n">
        <f aca="false">SUMPRODUCT((Events!$B$6:$B$400&lt;=$A68)*(Events!$C$6:$C$400&gt;=$A68)*(Events!$E$6:$E$400="Bank rescue &amp; capital")*Events!$H$6:$H$400)</f>
        <v>0</v>
      </c>
      <c r="X68" s="56" t="n">
        <f aca="false">'Debt &amp; cash'!R67*Paths!Y68</f>
        <v>22.1200304389842</v>
      </c>
      <c r="Y68" s="56" t="n">
        <f aca="false">SUM(N68:X68)</f>
        <v>841.301364822962</v>
      </c>
      <c r="Z68" s="56" t="n">
        <f aca="false">M68-Y68</f>
        <v>239.56357212705</v>
      </c>
      <c r="AA68" s="66" t="n">
        <f aca="false">M68/Economy!O68</f>
        <v>0.0998395735903096</v>
      </c>
      <c r="AB68" s="66" t="n">
        <f aca="false">Y68/Economy!O68</f>
        <v>0.0777110688425955</v>
      </c>
      <c r="AC68" s="66" t="n">
        <f aca="false">(N68+O68+P68)/Economy!O68</f>
        <v>0.00559632510310948</v>
      </c>
    </row>
    <row r="69" customFormat="false" ht="14.25" hidden="false" customHeight="true" outlineLevel="0" collapsed="false">
      <c r="A69" s="61" t="n">
        <v>1909</v>
      </c>
      <c r="B69" s="56" t="n">
        <f aca="false">Economy!O69*Paths!N69*Paths!O69*cust_coll</f>
        <v>253.084543192191</v>
      </c>
      <c r="C69" s="56" t="n">
        <f aca="false">(Economy!J69+Economy!L69+Economy!M69+Economy!N69)*Paths!P69*Paths!Q69</f>
        <v>775.961085423696</v>
      </c>
      <c r="D69" s="56" t="n">
        <f aca="false">Resources!P69+Resources!Q69</f>
        <v>12.684875</v>
      </c>
      <c r="E69" s="56" t="n">
        <f aca="false">Paths!S69*(1-canal_opcost)*canal_share</f>
        <v>7.92</v>
      </c>
      <c r="F69" s="56" t="n">
        <f aca="false">Economy!O69*Paths!R69</f>
        <v>24.9826801698049</v>
      </c>
      <c r="G69" s="56" t="n">
        <f aca="false">SUMPRODUCT((Events!$B$6:$B$400&lt;=$A69)*(Events!$C$6:$C$400&gt;=$A69)*(Events!$E$6:$E$400="Receipt")*Events!$H$6:$H$400)+'Land Fund'!O69</f>
        <v>2.38409803472603</v>
      </c>
      <c r="H69" s="72" t="n">
        <f aca="false">Loans!Y69</f>
        <v>8.92858498259789</v>
      </c>
      <c r="I69" s="56" t="n">
        <f aca="false">'Debt &amp; cash'!S68*fund_yield</f>
        <v>7.42866466338459</v>
      </c>
      <c r="J69" s="72" t="n">
        <f aca="false">Labour!Q69</f>
        <v>94.1189407191746</v>
      </c>
      <c r="K69" s="72" t="n">
        <f aca="false">Champions!BD69</f>
        <v>26.5754528699587</v>
      </c>
      <c r="L69" s="72" t="n">
        <f aca="false">Abroad!N69</f>
        <v>29.1158641185024</v>
      </c>
      <c r="M69" s="56" t="n">
        <f aca="false">SUM(B69:L69)</f>
        <v>1243.18478917404</v>
      </c>
      <c r="N69" s="56" t="n">
        <f aca="false">(Paths!W69*army_cost+Paths!X69*res_cost)*Economy!H69/1000000</f>
        <v>24.15034</v>
      </c>
      <c r="O69" s="72" t="n">
        <f aca="false">Navy!Y69</f>
        <v>47.7956182</v>
      </c>
      <c r="P69" s="56" t="n">
        <f aca="false">SUMPRODUCT((Events!$B$6:$B$400&lt;=$A69)*(Events!$C$6:$C$400&gt;=$A69)*(Events!$E$6:$E$400="War &amp; operations")*Events!$H$6:$H$400)</f>
        <v>0</v>
      </c>
      <c r="Q69" s="56" t="n">
        <f aca="false">Economy!O69*Paths!T69</f>
        <v>484.663995294214</v>
      </c>
      <c r="R69" s="56" t="n">
        <f aca="false">Economy!O69*Paths!U69</f>
        <v>249.826801698049</v>
      </c>
      <c r="S69" s="56" t="n">
        <f aca="false">Economy!O69*Paths!V69+SUMPRODUCT((Events!$B$6:$B$400&lt;=$A69)*(Events!$C$6:$C$400&gt;=$A69)*(Events!$E$6:$E$400="Programme")*Events!$H$6:$H$400)+SUMPRODUCT((Events!$B$6:$B$400&lt;=$A69)*(Events!$C$6:$C$400&gt;=$A69)*(Events!$E$6:$E$400="Investment")*Events!$H$6:$H$400)</f>
        <v>110.65812270469</v>
      </c>
      <c r="T69" s="56" t="n">
        <f aca="false">(People!T69*assist_cost+Labour!AD69*talent_cost+Labour!L69*gw_admin)*Economy!H69/1000000</f>
        <v>26.5276192624064</v>
      </c>
      <c r="U69" s="56" t="n">
        <f aca="false">SUMPRODUCT((Events!$B$6:$B$400&lt;=$A69)*(Events!$C$6:$C$400&gt;=$A69)*(Events!$E$6:$E$400="Purchase")*Events!$H$6:$H$400)</f>
        <v>0</v>
      </c>
      <c r="V69" s="56" t="n">
        <f aca="false">SUMPRODUCT((Events!$B$6:$B$400&lt;=$A69)*(Events!$C$6:$C$400&gt;=$A69)*(Events!$E$6:$E$400="Subsidy &amp; guarantee")*Events!$H$6:$H$400)+SUMPRODUCT((Events!$B$6:$B$400&lt;=$A69)*(Events!$C$6:$C$400&gt;=$A69)*(Events!$E$6:$E$400="Relief")*Events!$H$6:$H$400)</f>
        <v>0.55</v>
      </c>
      <c r="W69" s="56" t="n">
        <f aca="false">SUMPRODUCT((Events!$B$6:$B$400&lt;=$A69)*(Events!$C$6:$C$400&gt;=$A69)*(Events!$E$6:$E$400="Bank rescue &amp; capital")*Events!$H$6:$H$400)</f>
        <v>0</v>
      </c>
      <c r="X69" s="56" t="n">
        <f aca="false">'Debt &amp; cash'!R68*Paths!Y69</f>
        <v>24.0337580955166</v>
      </c>
      <c r="Y69" s="56" t="n">
        <f aca="false">SUM(N69:X69)</f>
        <v>968.206255254876</v>
      </c>
      <c r="Z69" s="56" t="n">
        <f aca="false">M69-Y69</f>
        <v>274.97853391916</v>
      </c>
      <c r="AA69" s="66" t="n">
        <f aca="false">M69/Economy!O69</f>
        <v>0.0995237324998142</v>
      </c>
      <c r="AB69" s="66" t="n">
        <f aca="false">Y69/Economy!O69</f>
        <v>0.0775101989597651</v>
      </c>
      <c r="AC69" s="66" t="n">
        <f aca="false">(N69+O69+P69)/Economy!O69</f>
        <v>0.00575966691411732</v>
      </c>
    </row>
    <row r="70" customFormat="false" ht="14.25" hidden="false" customHeight="true" outlineLevel="0" collapsed="false">
      <c r="A70" s="61" t="n">
        <v>1910</v>
      </c>
      <c r="B70" s="56" t="n">
        <f aca="false">Economy!O70*Paths!N70*Paths!O70*cust_coll</f>
        <v>275.375022196236</v>
      </c>
      <c r="C70" s="56" t="n">
        <f aca="false">(Economy!J70+Economy!L70+Economy!M70+Economy!N70)*Paths!P70*Paths!Q70</f>
        <v>851.163402664163</v>
      </c>
      <c r="D70" s="56" t="n">
        <f aca="false">Resources!P70+Resources!Q70</f>
        <v>13.595</v>
      </c>
      <c r="E70" s="56" t="n">
        <f aca="false">Paths!S70*(1-canal_opcost)*canal_share</f>
        <v>8.4</v>
      </c>
      <c r="F70" s="56" t="n">
        <f aca="false">Economy!O70*Paths!R70</f>
        <v>27.3874191626125</v>
      </c>
      <c r="G70" s="56" t="n">
        <f aca="false">SUMPRODUCT((Events!$B$6:$B$400&lt;=$A70)*(Events!$C$6:$C$400&gt;=$A70)*(Events!$E$6:$E$400="Receipt")*Events!$H$6:$H$400)+'Land Fund'!O70</f>
        <v>2.38788282452055</v>
      </c>
      <c r="H70" s="72" t="n">
        <f aca="false">Loans!Y70</f>
        <v>8.57232185967764</v>
      </c>
      <c r="I70" s="56" t="n">
        <f aca="false">'Debt &amp; cash'!S69*fund_yield</f>
        <v>7.98132580613642</v>
      </c>
      <c r="J70" s="72" t="n">
        <f aca="false">Labour!Q70</f>
        <v>105.202864102002</v>
      </c>
      <c r="K70" s="72" t="n">
        <f aca="false">Champions!BD70</f>
        <v>28.6000056978684</v>
      </c>
      <c r="L70" s="72" t="n">
        <f aca="false">Abroad!N70</f>
        <v>31.5274170238877</v>
      </c>
      <c r="M70" s="56" t="n">
        <f aca="false">SUM(B70:L70)</f>
        <v>1360.1926613371</v>
      </c>
      <c r="N70" s="56" t="n">
        <f aca="false">(Paths!W70*army_cost+Paths!X70*res_cost)*Economy!H70/1000000</f>
        <v>25.1403</v>
      </c>
      <c r="O70" s="72" t="n">
        <f aca="false">Navy!Y70</f>
        <v>52.99911</v>
      </c>
      <c r="P70" s="56" t="n">
        <f aca="false">SUMPRODUCT((Events!$B$6:$B$400&lt;=$A70)*(Events!$C$6:$C$400&gt;=$A70)*(Events!$E$6:$E$400="War &amp; operations")*Events!$H$6:$H$400)</f>
        <v>0</v>
      </c>
      <c r="Q70" s="56" t="n">
        <f aca="false">Economy!O70*Paths!T70</f>
        <v>535.424044629075</v>
      </c>
      <c r="R70" s="56" t="n">
        <f aca="false">Economy!O70*Paths!U70</f>
        <v>273.874191626125</v>
      </c>
      <c r="S70" s="56" t="n">
        <f aca="false">Economy!O70*Paths!V70+SUMPRODUCT((Events!$B$6:$B$400&lt;=$A70)*(Events!$C$6:$C$400&gt;=$A70)*(Events!$E$6:$E$400="Programme")*Events!$H$6:$H$400)+SUMPRODUCT((Events!$B$6:$B$400&lt;=$A70)*(Events!$C$6:$C$400&gt;=$A70)*(Events!$E$6:$E$400="Investment")*Events!$H$6:$H$400)</f>
        <v>119.268418566711</v>
      </c>
      <c r="T70" s="56" t="n">
        <f aca="false">(People!T70*assist_cost+Labour!AD70*talent_cost+Labour!L70*gw_admin)*Economy!H70/1000000</f>
        <v>29.4339249285623</v>
      </c>
      <c r="U70" s="56" t="n">
        <f aca="false">SUMPRODUCT((Events!$B$6:$B$400&lt;=$A70)*(Events!$C$6:$C$400&gt;=$A70)*(Events!$E$6:$E$400="Purchase")*Events!$H$6:$H$400)</f>
        <v>0</v>
      </c>
      <c r="V70" s="56" t="n">
        <f aca="false">SUMPRODUCT((Events!$B$6:$B$400&lt;=$A70)*(Events!$C$6:$C$400&gt;=$A70)*(Events!$E$6:$E$400="Subsidy &amp; guarantee")*Events!$H$6:$H$400)+SUMPRODUCT((Events!$B$6:$B$400&lt;=$A70)*(Events!$C$6:$C$400&gt;=$A70)*(Events!$E$6:$E$400="Relief")*Events!$H$6:$H$400)</f>
        <v>0.55</v>
      </c>
      <c r="W70" s="56" t="n">
        <f aca="false">SUMPRODUCT((Events!$B$6:$B$400&lt;=$A70)*(Events!$C$6:$C$400&gt;=$A70)*(Events!$E$6:$E$400="Bank rescue &amp; capital")*Events!$H$6:$H$400)</f>
        <v>0</v>
      </c>
      <c r="X70" s="56" t="n">
        <f aca="false">'Debt &amp; cash'!R69*Paths!Y70</f>
        <v>28.4802553935775</v>
      </c>
      <c r="Y70" s="56" t="n">
        <f aca="false">SUM(N70:X70)</f>
        <v>1065.17024514405</v>
      </c>
      <c r="Z70" s="56" t="n">
        <f aca="false">M70-Y70</f>
        <v>295.022416193053</v>
      </c>
      <c r="AA70" s="66" t="n">
        <f aca="false">M70/Economy!O70</f>
        <v>0.0993297435775876</v>
      </c>
      <c r="AB70" s="66" t="n">
        <f aca="false">Y70/Economy!O70</f>
        <v>0.0777853684437817</v>
      </c>
      <c r="AC70" s="66" t="n">
        <f aca="false">(N70+O70+P70)/Economy!O70</f>
        <v>0.00570622660982023</v>
      </c>
    </row>
    <row r="71" customFormat="false" ht="14.25" hidden="false" customHeight="true" outlineLevel="0" collapsed="false">
      <c r="A71" s="61" t="n">
        <v>1911</v>
      </c>
      <c r="B71" s="56" t="n">
        <f aca="false">Economy!O71*Paths!N71*Paths!O71*cust_coll</f>
        <v>298.183041205002</v>
      </c>
      <c r="C71" s="56" t="n">
        <f aca="false">(Economy!J71+Economy!L71+Economy!M71+Economy!N71)*Paths!P71*Paths!Q71</f>
        <v>929.187723344951</v>
      </c>
      <c r="D71" s="56" t="n">
        <f aca="false">Resources!P71+Resources!Q71</f>
        <v>14.4598875</v>
      </c>
      <c r="E71" s="56" t="n">
        <f aca="false">Paths!S71*(1-canal_opcost)*canal_share</f>
        <v>8.82</v>
      </c>
      <c r="F71" s="56" t="n">
        <f aca="false">Economy!O71*Paths!R71</f>
        <v>29.8804554678734</v>
      </c>
      <c r="G71" s="56" t="n">
        <f aca="false">SUMPRODUCT((Events!$B$6:$B$400&lt;=$A71)*(Events!$C$6:$C$400&gt;=$A71)*(Events!$E$6:$E$400="Receipt")*Events!$H$6:$H$400)+'Land Fund'!O71</f>
        <v>2.39177700931507</v>
      </c>
      <c r="H71" s="72" t="n">
        <f aca="false">Loans!Y71</f>
        <v>8.23028285338269</v>
      </c>
      <c r="I71" s="56" t="n">
        <f aca="false">'Debt &amp; cash'!S70*fund_yield</f>
        <v>8.60464046640615</v>
      </c>
      <c r="J71" s="72" t="n">
        <f aca="false">Labour!Q71</f>
        <v>115.905806714311</v>
      </c>
      <c r="K71" s="72" t="n">
        <f aca="false">Champions!BD71</f>
        <v>30.8459816793204</v>
      </c>
      <c r="L71" s="72" t="n">
        <f aca="false">Abroad!N71</f>
        <v>34.2955444423155</v>
      </c>
      <c r="M71" s="56" t="n">
        <f aca="false">SUM(B71:L71)</f>
        <v>1480.80514068288</v>
      </c>
      <c r="N71" s="56" t="n">
        <f aca="false">(Paths!W71*army_cost+Paths!X71*res_cost)*Economy!H71/1000000</f>
        <v>26.04</v>
      </c>
      <c r="O71" s="72" t="n">
        <f aca="false">Navy!Y71</f>
        <v>60.0899185</v>
      </c>
      <c r="P71" s="56" t="n">
        <f aca="false">SUMPRODUCT((Events!$B$6:$B$400&lt;=$A71)*(Events!$C$6:$C$400&gt;=$A71)*(Events!$E$6:$E$400="War &amp; operations")*Events!$H$6:$H$400)</f>
        <v>0</v>
      </c>
      <c r="Q71" s="56" t="n">
        <f aca="false">Economy!O71*Paths!T71</f>
        <v>588.644972717105</v>
      </c>
      <c r="R71" s="56" t="n">
        <f aca="false">Economy!O71*Paths!U71</f>
        <v>298.804554678734</v>
      </c>
      <c r="S71" s="56" t="n">
        <f aca="false">Economy!O71*Paths!V71+SUMPRODUCT((Events!$B$6:$B$400&lt;=$A71)*(Events!$C$6:$C$400&gt;=$A71)*(Events!$E$6:$E$400="Programme")*Events!$H$6:$H$400)+SUMPRODUCT((Events!$B$6:$B$400&lt;=$A71)*(Events!$C$6:$C$400&gt;=$A71)*(Events!$E$6:$E$400="Investment")*Events!$H$6:$H$400)</f>
        <v>131.189867418281</v>
      </c>
      <c r="T71" s="56" t="n">
        <f aca="false">(People!T71*assist_cost+Labour!AD71*talent_cost+Labour!L71*gw_admin)*Economy!H71/1000000</f>
        <v>31.5337160523134</v>
      </c>
      <c r="U71" s="56" t="n">
        <f aca="false">SUMPRODUCT((Events!$B$6:$B$400&lt;=$A71)*(Events!$C$6:$C$400&gt;=$A71)*(Events!$E$6:$E$400="Purchase")*Events!$H$6:$H$400)</f>
        <v>0</v>
      </c>
      <c r="V71" s="56" t="n">
        <f aca="false">SUMPRODUCT((Events!$B$6:$B$400&lt;=$A71)*(Events!$C$6:$C$400&gt;=$A71)*(Events!$E$6:$E$400="Subsidy &amp; guarantee")*Events!$H$6:$H$400)+SUMPRODUCT((Events!$B$6:$B$400&lt;=$A71)*(Events!$C$6:$C$400&gt;=$A71)*(Events!$E$6:$E$400="Relief")*Events!$H$6:$H$400)</f>
        <v>2.55</v>
      </c>
      <c r="W71" s="56" t="n">
        <f aca="false">SUMPRODUCT((Events!$B$6:$B$400&lt;=$A71)*(Events!$C$6:$C$400&gt;=$A71)*(Events!$E$6:$E$400="Bank rescue &amp; capital")*Events!$H$6:$H$400)</f>
        <v>0</v>
      </c>
      <c r="X71" s="56" t="n">
        <f aca="false">'Debt &amp; cash'!R70*Paths!Y71</f>
        <v>31.9748118723501</v>
      </c>
      <c r="Y71" s="56" t="n">
        <f aca="false">SUM(N71:X71)</f>
        <v>1170.82784123878</v>
      </c>
      <c r="Z71" s="56" t="n">
        <f aca="false">M71-Y71</f>
        <v>309.977299444093</v>
      </c>
      <c r="AA71" s="66" t="n">
        <f aca="false">M71/Economy!O71</f>
        <v>0.0991152991141649</v>
      </c>
      <c r="AB71" s="66" t="n">
        <f aca="false">Y71/Economy!O71</f>
        <v>0.0783674694984235</v>
      </c>
      <c r="AC71" s="66" t="n">
        <f aca="false">(N71+O71+P71)/Economy!O71</f>
        <v>0.00576496690906231</v>
      </c>
    </row>
    <row r="72" customFormat="false" ht="14.25" hidden="false" customHeight="true" outlineLevel="0" collapsed="false">
      <c r="A72" s="61" t="n">
        <v>1912</v>
      </c>
      <c r="B72" s="56" t="n">
        <f aca="false">Economy!O72*Paths!N72*Paths!O72*cust_coll</f>
        <v>323.017512739046</v>
      </c>
      <c r="C72" s="56" t="n">
        <f aca="false">(Economy!J72+Economy!L72+Economy!M72+Economy!N72)*Paths!P72*Paths!Q72</f>
        <v>1014.7858434291</v>
      </c>
      <c r="D72" s="56" t="n">
        <f aca="false">Resources!P72+Resources!Q72</f>
        <v>15.4907625</v>
      </c>
      <c r="E72" s="56" t="n">
        <f aca="false">Paths!S72*(1-canal_opcost)*canal_share</f>
        <v>9.18</v>
      </c>
      <c r="F72" s="56" t="n">
        <f aca="false">Economy!O72*Paths!R72</f>
        <v>32.6161711639249</v>
      </c>
      <c r="G72" s="56" t="n">
        <f aca="false">SUMPRODUCT((Events!$B$6:$B$400&lt;=$A72)*(Events!$C$6:$C$400&gt;=$A72)*(Events!$E$6:$E$400="Receipt")*Events!$H$6:$H$400)+'Land Fund'!O72</f>
        <v>2.39229493910959</v>
      </c>
      <c r="H72" s="72" t="n">
        <f aca="false">Loans!Y72</f>
        <v>7.90189979129678</v>
      </c>
      <c r="I72" s="56" t="n">
        <f aca="false">'Debt &amp; cash'!S71*fund_yield</f>
        <v>9.25818183291112</v>
      </c>
      <c r="J72" s="72" t="n">
        <f aca="false">Labour!Q72</f>
        <v>127.019951882342</v>
      </c>
      <c r="K72" s="72" t="n">
        <f aca="false">Champions!BD72</f>
        <v>33.2614172077385</v>
      </c>
      <c r="L72" s="72" t="n">
        <f aca="false">Abroad!N72</f>
        <v>37.1170346735285</v>
      </c>
      <c r="M72" s="56" t="n">
        <f aca="false">SUM(B72:L72)</f>
        <v>1612.041070159</v>
      </c>
      <c r="N72" s="56" t="n">
        <f aca="false">(Paths!W72*army_cost+Paths!X72*res_cost)*Economy!H72/1000000</f>
        <v>26.9696</v>
      </c>
      <c r="O72" s="72" t="n">
        <f aca="false">Navy!Y72</f>
        <v>64.8694525</v>
      </c>
      <c r="P72" s="56" t="n">
        <f aca="false">SUMPRODUCT((Events!$B$6:$B$400&lt;=$A72)*(Events!$C$6:$C$400&gt;=$A72)*(Events!$E$6:$E$400="War &amp; operations")*Events!$H$6:$H$400)</f>
        <v>0</v>
      </c>
      <c r="Q72" s="56" t="n">
        <f aca="false">Economy!O72*Paths!T72</f>
        <v>647.430997603908</v>
      </c>
      <c r="R72" s="56" t="n">
        <f aca="false">Economy!O72*Paths!U72</f>
        <v>326.161711639249</v>
      </c>
      <c r="S72" s="56" t="n">
        <f aca="false">Economy!O72*Paths!V72+SUMPRODUCT((Events!$B$6:$B$400&lt;=$A72)*(Events!$C$6:$C$400&gt;=$A72)*(Events!$E$6:$E$400="Programme")*Events!$H$6:$H$400)+SUMPRODUCT((Events!$B$6:$B$400&lt;=$A72)*(Events!$C$6:$C$400&gt;=$A72)*(Events!$E$6:$E$400="Investment")*Events!$H$6:$H$400)</f>
        <v>140.775493213896</v>
      </c>
      <c r="T72" s="56" t="n">
        <f aca="false">(People!T72*assist_cost+Labour!AD72*talent_cost+Labour!L72*gw_admin)*Economy!H72/1000000</f>
        <v>33.7023238740993</v>
      </c>
      <c r="U72" s="56" t="n">
        <f aca="false">SUMPRODUCT((Events!$B$6:$B$400&lt;=$A72)*(Events!$C$6:$C$400&gt;=$A72)*(Events!$E$6:$E$400="Purchase")*Events!$H$6:$H$400)</f>
        <v>0</v>
      </c>
      <c r="V72" s="56" t="n">
        <f aca="false">SUMPRODUCT((Events!$B$6:$B$400&lt;=$A72)*(Events!$C$6:$C$400&gt;=$A72)*(Events!$E$6:$E$400="Subsidy &amp; guarantee")*Events!$H$6:$H$400)+SUMPRODUCT((Events!$B$6:$B$400&lt;=$A72)*(Events!$C$6:$C$400&gt;=$A72)*(Events!$E$6:$E$400="Relief")*Events!$H$6:$H$400)</f>
        <v>2.55</v>
      </c>
      <c r="W72" s="56" t="n">
        <f aca="false">SUMPRODUCT((Events!$B$6:$B$400&lt;=$A72)*(Events!$C$6:$C$400&gt;=$A72)*(Events!$E$6:$E$400="Bank rescue &amp; capital")*Events!$H$6:$H$400)</f>
        <v>0</v>
      </c>
      <c r="X72" s="56" t="n">
        <f aca="false">'Debt &amp; cash'!R71*Paths!Y72</f>
        <v>35.7071442841087</v>
      </c>
      <c r="Y72" s="56" t="n">
        <f aca="false">SUM(N72:X72)</f>
        <v>1278.16672311526</v>
      </c>
      <c r="Z72" s="56" t="n">
        <f aca="false">M72-Y72</f>
        <v>333.874347043741</v>
      </c>
      <c r="AA72" s="66" t="n">
        <f aca="false">M72/Economy!O72</f>
        <v>0.0988491912221751</v>
      </c>
      <c r="AB72" s="66" t="n">
        <f aca="false">Y72/Economy!O72</f>
        <v>0.0783762580035132</v>
      </c>
      <c r="AC72" s="66" t="n">
        <f aca="false">(N72+O72+P72)/Economy!O72</f>
        <v>0.00563150420314072</v>
      </c>
    </row>
    <row r="73" customFormat="false" ht="14.25" hidden="false" customHeight="true" outlineLevel="0" collapsed="false">
      <c r="A73" s="61" t="n">
        <v>1913</v>
      </c>
      <c r="B73" s="56" t="n">
        <f aca="false">Economy!O73*Paths!N73*Paths!O73*cust_coll</f>
        <v>349.770725920861</v>
      </c>
      <c r="C73" s="56" t="n">
        <f aca="false">(Economy!J73+Economy!L73+Economy!M73+Economy!N73)*Paths!P73*Paths!Q73</f>
        <v>1107.25333103226</v>
      </c>
      <c r="D73" s="56" t="n">
        <f aca="false">Resources!P73+Resources!Q73</f>
        <v>16.464</v>
      </c>
      <c r="E73" s="56" t="n">
        <f aca="false">Paths!S73*(1-canal_opcost)*canal_share</f>
        <v>9.6</v>
      </c>
      <c r="F73" s="56" t="n">
        <f aca="false">Economy!O73*Paths!R73</f>
        <v>35.5696631806761</v>
      </c>
      <c r="G73" s="56" t="n">
        <f aca="false">SUMPRODUCT((Events!$B$6:$B$400&lt;=$A73)*(Events!$C$6:$C$400&gt;=$A73)*(Events!$E$6:$E$400="Receipt")*Events!$H$6:$H$400)+'Land Fund'!O73</f>
        <v>2.39432592390411</v>
      </c>
      <c r="H73" s="72" t="n">
        <f aca="false">Loans!Y73</f>
        <v>7.58662720413282</v>
      </c>
      <c r="I73" s="56" t="n">
        <f aca="false">'Debt &amp; cash'!S72*fund_yield</f>
        <v>9.959118463156</v>
      </c>
      <c r="J73" s="72" t="n">
        <f aca="false">Labour!Q73</f>
        <v>139.320653546814</v>
      </c>
      <c r="K73" s="72" t="n">
        <f aca="false">Champions!BD73</f>
        <v>35.7276570256697</v>
      </c>
      <c r="L73" s="72" t="n">
        <f aca="false">Abroad!N73</f>
        <v>40.1586389313196</v>
      </c>
      <c r="M73" s="56" t="n">
        <f aca="false">SUM(B73:L73)</f>
        <v>1753.8047412288</v>
      </c>
      <c r="N73" s="56" t="n">
        <f aca="false">(Paths!W73*army_cost+Paths!X73*res_cost)*Economy!H73/1000000</f>
        <v>27.9</v>
      </c>
      <c r="O73" s="72" t="n">
        <f aca="false">Navy!Y73</f>
        <v>74.37585</v>
      </c>
      <c r="P73" s="56" t="n">
        <f aca="false">SUMPRODUCT((Events!$B$6:$B$400&lt;=$A73)*(Events!$C$6:$C$400&gt;=$A73)*(Events!$E$6:$E$400="War &amp; operations")*Events!$H$6:$H$400)</f>
        <v>0</v>
      </c>
      <c r="Q73" s="56" t="n">
        <f aca="false">Economy!O73*Paths!T73</f>
        <v>711.393263613522</v>
      </c>
      <c r="R73" s="56" t="n">
        <f aca="false">Economy!O73*Paths!U73</f>
        <v>355.696631806761</v>
      </c>
      <c r="S73" s="56" t="n">
        <f aca="false">Economy!O73*Paths!V73+SUMPRODUCT((Events!$B$6:$B$400&lt;=$A73)*(Events!$C$6:$C$400&gt;=$A73)*(Events!$E$6:$E$400="Programme")*Events!$H$6:$H$400)+SUMPRODUCT((Events!$B$6:$B$400&lt;=$A73)*(Events!$C$6:$C$400&gt;=$A73)*(Events!$E$6:$E$400="Investment")*Events!$H$6:$H$400)</f>
        <v>150.958652722704</v>
      </c>
      <c r="T73" s="56" t="n">
        <f aca="false">(People!T73*assist_cost+Labour!AD73*talent_cost+Labour!L73*gw_admin)*Economy!H73/1000000</f>
        <v>35.9613190461902</v>
      </c>
      <c r="U73" s="56" t="n">
        <f aca="false">SUMPRODUCT((Events!$B$6:$B$400&lt;=$A73)*(Events!$C$6:$C$400&gt;=$A73)*(Events!$E$6:$E$400="Purchase")*Events!$H$6:$H$400)</f>
        <v>0</v>
      </c>
      <c r="V73" s="56" t="n">
        <f aca="false">SUMPRODUCT((Events!$B$6:$B$400&lt;=$A73)*(Events!$C$6:$C$400&gt;=$A73)*(Events!$E$6:$E$400="Subsidy &amp; guarantee")*Events!$H$6:$H$400)+SUMPRODUCT((Events!$B$6:$B$400&lt;=$A73)*(Events!$C$6:$C$400&gt;=$A73)*(Events!$E$6:$E$400="Relief")*Events!$H$6:$H$400)</f>
        <v>2.55</v>
      </c>
      <c r="W73" s="56" t="n">
        <f aca="false">SUMPRODUCT((Events!$B$6:$B$400&lt;=$A73)*(Events!$C$6:$C$400&gt;=$A73)*(Events!$E$6:$E$400="Bank rescue &amp; capital")*Events!$H$6:$H$400)</f>
        <v>0</v>
      </c>
      <c r="X73" s="56" t="n">
        <f aca="false">'Debt &amp; cash'!R72*Paths!Y73</f>
        <v>39.8732692478981</v>
      </c>
      <c r="Y73" s="56" t="n">
        <f aca="false">SUM(N73:X73)</f>
        <v>1398.70898643708</v>
      </c>
      <c r="Z73" s="56" t="n">
        <f aca="false">M73-Y73</f>
        <v>355.09575479172</v>
      </c>
      <c r="AA73" s="66" t="n">
        <f aca="false">M73/Economy!O73</f>
        <v>0.0986123895703114</v>
      </c>
      <c r="AB73" s="66" t="n">
        <f aca="false">Y73/Economy!O73</f>
        <v>0.0786461754969303</v>
      </c>
      <c r="AC73" s="66" t="n">
        <f aca="false">(N73+O73+P73)/Economy!O73</f>
        <v>0.00575073480344696</v>
      </c>
    </row>
    <row r="74" customFormat="false" ht="14.25" hidden="false" customHeight="true" outlineLevel="0" collapsed="false">
      <c r="A74" s="64" t="n">
        <v>1914</v>
      </c>
      <c r="B74" s="56" t="n">
        <f aca="false">Economy!O74*Paths!N74*Paths!O74*cust_coll</f>
        <v>361.935858090928</v>
      </c>
      <c r="C74" s="56" t="n">
        <f aca="false">(Economy!J74+Economy!L74+Economy!M74+Economy!N74)*Paths!P74*Paths!Q74</f>
        <v>1152.89922347351</v>
      </c>
      <c r="D74" s="56" t="n">
        <f aca="false">Resources!P74+Resources!Q74</f>
        <v>19.68325</v>
      </c>
      <c r="E74" s="56" t="n">
        <f aca="false">Paths!S74*(1-canal_opcost)*canal_share</f>
        <v>8.4</v>
      </c>
      <c r="F74" s="56" t="n">
        <f aca="false">Economy!O74*Paths!R74</f>
        <v>37.0919529085376</v>
      </c>
      <c r="G74" s="56" t="n">
        <f aca="false">SUMPRODUCT((Events!$B$6:$B$400&lt;=$A74)*(Events!$C$6:$C$400&gt;=$A74)*(Events!$E$6:$E$400="Receipt")*Events!$H$6:$H$400)+'Land Fund'!O74</f>
        <v>2.14781690369863</v>
      </c>
      <c r="H74" s="72" t="n">
        <f aca="false">Loans!Y74</f>
        <v>7.28394141832078</v>
      </c>
      <c r="I74" s="56" t="n">
        <f aca="false">'Debt &amp; cash'!S73*fund_yield</f>
        <v>10.7008186730436</v>
      </c>
      <c r="J74" s="72" t="n">
        <f aca="false">Labour!Q74</f>
        <v>138.490630492634</v>
      </c>
      <c r="K74" s="72" t="n">
        <f aca="false">Champions!BD74</f>
        <v>41.1904103794814</v>
      </c>
      <c r="L74" s="72" t="n">
        <f aca="false">Abroad!N74</f>
        <v>44.746605723206</v>
      </c>
      <c r="M74" s="56" t="n">
        <f aca="false">SUM(B74:L74)</f>
        <v>1824.57050806336</v>
      </c>
      <c r="N74" s="56" t="n">
        <f aca="false">(Paths!W74*army_cost+Paths!X74*res_cost)*Economy!H74/1000000</f>
        <v>31.0373</v>
      </c>
      <c r="O74" s="72" t="n">
        <f aca="false">Navy!Y74</f>
        <v>90.8056005</v>
      </c>
      <c r="P74" s="56" t="n">
        <f aca="false">SUMPRODUCT((Events!$B$6:$B$400&lt;=$A74)*(Events!$C$6:$C$400&gt;=$A74)*(Events!$E$6:$E$400="War &amp; operations")*Events!$H$6:$H$400)</f>
        <v>25</v>
      </c>
      <c r="Q74" s="56" t="n">
        <f aca="false">Economy!O74*Paths!T74</f>
        <v>747.402851107032</v>
      </c>
      <c r="R74" s="56" t="n">
        <f aca="false">Economy!O74*Paths!U74</f>
        <v>370.919529085376</v>
      </c>
      <c r="S74" s="56" t="n">
        <f aca="false">Economy!O74*Paths!V74+SUMPRODUCT((Events!$B$6:$B$400&lt;=$A74)*(Events!$C$6:$C$400&gt;=$A74)*(Events!$E$6:$E$400="Programme")*Events!$H$6:$H$400)+SUMPRODUCT((Events!$B$6:$B$400&lt;=$A74)*(Events!$C$6:$C$400&gt;=$A74)*(Events!$E$6:$E$400="Investment")*Events!$H$6:$H$400)</f>
        <v>156.84781163415</v>
      </c>
      <c r="T74" s="56" t="n">
        <f aca="false">(People!T74*assist_cost+Labour!AD74*talent_cost+Labour!L74*gw_admin)*Economy!H74/1000000</f>
        <v>29.6725165972784</v>
      </c>
      <c r="U74" s="56" t="n">
        <f aca="false">SUMPRODUCT((Events!$B$6:$B$400&lt;=$A74)*(Events!$C$6:$C$400&gt;=$A74)*(Events!$E$6:$E$400="Purchase")*Events!$H$6:$H$400)</f>
        <v>0</v>
      </c>
      <c r="V74" s="56" t="n">
        <f aca="false">SUMPRODUCT((Events!$B$6:$B$400&lt;=$A74)*(Events!$C$6:$C$400&gt;=$A74)*(Events!$E$6:$E$400="Subsidy &amp; guarantee")*Events!$H$6:$H$400)+SUMPRODUCT((Events!$B$6:$B$400&lt;=$A74)*(Events!$C$6:$C$400&gt;=$A74)*(Events!$E$6:$E$400="Relief")*Events!$H$6:$H$400)</f>
        <v>0.55</v>
      </c>
      <c r="W74" s="56" t="n">
        <f aca="false">SUMPRODUCT((Events!$B$6:$B$400&lt;=$A74)*(Events!$C$6:$C$400&gt;=$A74)*(Events!$E$6:$E$400="Bank rescue &amp; capital")*Events!$H$6:$H$400)</f>
        <v>0</v>
      </c>
      <c r="X74" s="56" t="n">
        <f aca="false">'Debt &amp; cash'!R73*Paths!Y74</f>
        <v>44.4620789758452</v>
      </c>
      <c r="Y74" s="56" t="n">
        <f aca="false">SUM(N74:X74)</f>
        <v>1496.69768789968</v>
      </c>
      <c r="Z74" s="56" t="n">
        <f aca="false">M74-Y74</f>
        <v>327.872820163674</v>
      </c>
      <c r="AA74" s="66" t="n">
        <f aca="false">M74/Economy!O74</f>
        <v>0.0983809352159179</v>
      </c>
      <c r="AB74" s="66" t="n">
        <f aca="false">Y74/Economy!O74</f>
        <v>0.0807020159650414</v>
      </c>
      <c r="AC74" s="66" t="n">
        <f aca="false">(N74+O74+P74)/Economy!O74</f>
        <v>0.00791777671356856</v>
      </c>
    </row>
    <row r="75" customFormat="false" ht="14.25" hidden="false" customHeight="true" outlineLevel="0" collapsed="false">
      <c r="A75" s="64" t="n">
        <v>1915</v>
      </c>
      <c r="B75" s="56" t="n">
        <f aca="false">Economy!O75*Paths!N75*Paths!O75*cust_coll</f>
        <v>402.567441349985</v>
      </c>
      <c r="C75" s="56" t="n">
        <f aca="false">(Economy!J75+Economy!L75+Economy!M75+Economy!N75)*Paths!P75*Paths!Q75</f>
        <v>1658.31010207914</v>
      </c>
      <c r="D75" s="56" t="n">
        <f aca="false">Resources!P75+Resources!Q75</f>
        <v>22.965</v>
      </c>
      <c r="E75" s="56" t="n">
        <f aca="false">Paths!S75*(1-canal_opcost)*canal_share</f>
        <v>7.2</v>
      </c>
      <c r="F75" s="56" t="n">
        <f aca="false">Economy!O75*Paths!R75</f>
        <v>41.5780960267279</v>
      </c>
      <c r="G75" s="56" t="n">
        <f aca="false">SUMPRODUCT((Events!$B$6:$B$400&lt;=$A75)*(Events!$C$6:$C$400&gt;=$A75)*(Events!$E$6:$E$400="Receipt")*Events!$H$6:$H$400)+'Land Fund'!O75</f>
        <v>7.15142720849315</v>
      </c>
      <c r="H75" s="72" t="n">
        <f aca="false">Loans!Y75</f>
        <v>11.2456074547187</v>
      </c>
      <c r="I75" s="56" t="n">
        <f aca="false">'Debt &amp; cash'!S74*fund_yield</f>
        <v>11.2115839409305</v>
      </c>
      <c r="J75" s="72" t="n">
        <f aca="false">Labour!Q75</f>
        <v>162.666133203869</v>
      </c>
      <c r="K75" s="72" t="n">
        <f aca="false">Champions!BD75</f>
        <v>47.017483345228</v>
      </c>
      <c r="L75" s="72" t="n">
        <f aca="false">Abroad!N75</f>
        <v>50.15154656582</v>
      </c>
      <c r="M75" s="56" t="n">
        <f aca="false">SUM(B75:L75)</f>
        <v>2422.06442117491</v>
      </c>
      <c r="N75" s="56" t="n">
        <f aca="false">(Paths!W75*army_cost+Paths!X75*res_cost)*Economy!H75/1000000</f>
        <v>32.8796</v>
      </c>
      <c r="O75" s="72" t="n">
        <f aca="false">Navy!Y75</f>
        <v>118.769211</v>
      </c>
      <c r="P75" s="56" t="n">
        <f aca="false">SUMPRODUCT((Events!$B$6:$B$400&lt;=$A75)*(Events!$C$6:$C$400&gt;=$A75)*(Events!$E$6:$E$400="War &amp; operations")*Events!$H$6:$H$400)</f>
        <v>40</v>
      </c>
      <c r="Q75" s="56" t="n">
        <f aca="false">Economy!O75*Paths!T75</f>
        <v>844.035349342576</v>
      </c>
      <c r="R75" s="56" t="n">
        <f aca="false">Economy!O75*Paths!U75</f>
        <v>415.780960267279</v>
      </c>
      <c r="S75" s="56" t="n">
        <f aca="false">Economy!O75*Paths!V75+SUMPRODUCT((Events!$B$6:$B$400&lt;=$A75)*(Events!$C$6:$C$400&gt;=$A75)*(Events!$E$6:$E$400="Programme")*Events!$H$6:$H$400)+SUMPRODUCT((Events!$B$6:$B$400&lt;=$A75)*(Events!$C$6:$C$400&gt;=$A75)*(Events!$E$6:$E$400="Investment")*Events!$H$6:$H$400)</f>
        <v>174.792384106911</v>
      </c>
      <c r="T75" s="56" t="n">
        <f aca="false">(People!T75*assist_cost+Labour!AD75*talent_cost+Labour!L75*gw_admin)*Economy!H75/1000000</f>
        <v>34.3677868803174</v>
      </c>
      <c r="U75" s="56" t="n">
        <f aca="false">SUMPRODUCT((Events!$B$6:$B$400&lt;=$A75)*(Events!$C$6:$C$400&gt;=$A75)*(Events!$E$6:$E$400="Purchase")*Events!$H$6:$H$400)</f>
        <v>0</v>
      </c>
      <c r="V75" s="56" t="n">
        <f aca="false">SUMPRODUCT((Events!$B$6:$B$400&lt;=$A75)*(Events!$C$6:$C$400&gt;=$A75)*(Events!$E$6:$E$400="Subsidy &amp; guarantee")*Events!$H$6:$H$400)+SUMPRODUCT((Events!$B$6:$B$400&lt;=$A75)*(Events!$C$6:$C$400&gt;=$A75)*(Events!$E$6:$E$400="Relief")*Events!$H$6:$H$400)</f>
        <v>25.05</v>
      </c>
      <c r="W75" s="56" t="n">
        <f aca="false">SUMPRODUCT((Events!$B$6:$B$400&lt;=$A75)*(Events!$C$6:$C$400&gt;=$A75)*(Events!$E$6:$E$400="Bank rescue &amp; capital")*Events!$H$6:$H$400)</f>
        <v>0</v>
      </c>
      <c r="X75" s="56" t="n">
        <f aca="false">'Debt &amp; cash'!R74*Paths!Y75</f>
        <v>46.1794813711293</v>
      </c>
      <c r="Y75" s="56" t="n">
        <f aca="false">SUM(N75:X75)</f>
        <v>1731.85477296821</v>
      </c>
      <c r="Z75" s="56" t="n">
        <f aca="false">M75-Y75</f>
        <v>690.209648206697</v>
      </c>
      <c r="AA75" s="66" t="n">
        <f aca="false">M75/Economy!O75</f>
        <v>0.116506750074266</v>
      </c>
      <c r="AB75" s="66" t="n">
        <f aca="false">Y75/Economy!O75</f>
        <v>0.0833061125191935</v>
      </c>
      <c r="AC75" s="66" t="n">
        <f aca="false">(N75+O75+P75)/Economy!O75</f>
        <v>0.00921873915904188</v>
      </c>
    </row>
    <row r="76" customFormat="false" ht="14.25" hidden="false" customHeight="true" outlineLevel="0" collapsed="false">
      <c r="A76" s="64" t="n">
        <v>1916</v>
      </c>
      <c r="B76" s="56" t="n">
        <f aca="false">Economy!O76*Paths!N76*Paths!O76*cust_coll</f>
        <v>474.699969916102</v>
      </c>
      <c r="C76" s="56" t="n">
        <f aca="false">(Economy!J76+Economy!L76+Economy!M76+Economy!N76)*Paths!P76*Paths!Q76</f>
        <v>1965.94924847034</v>
      </c>
      <c r="D76" s="56" t="n">
        <f aca="false">Resources!P76+Resources!Q76</f>
        <v>30.7575</v>
      </c>
      <c r="E76" s="56" t="n">
        <f aca="false">Paths!S76*(1-canal_opcost)*canal_share</f>
        <v>7.62</v>
      </c>
      <c r="F76" s="56" t="n">
        <f aca="false">Economy!O76*Paths!R76</f>
        <v>49.4139414481817</v>
      </c>
      <c r="G76" s="56" t="n">
        <f aca="false">SUMPRODUCT((Events!$B$6:$B$400&lt;=$A76)*(Events!$C$6:$C$400&gt;=$A76)*(Events!$E$6:$E$400="Receipt")*Events!$H$6:$H$400)+'Land Fund'!O76</f>
        <v>7.15597954328767</v>
      </c>
      <c r="H76" s="72" t="n">
        <f aca="false">Loans!Y76</f>
        <v>22.2993068496606</v>
      </c>
      <c r="I76" s="56" t="n">
        <f aca="false">'Debt &amp; cash'!S75*fund_yield</f>
        <v>11.9337094184646</v>
      </c>
      <c r="J76" s="72" t="n">
        <f aca="false">Labour!Q76</f>
        <v>200.770086039661</v>
      </c>
      <c r="K76" s="72" t="n">
        <f aca="false">Champions!BD76</f>
        <v>53.6208806802921</v>
      </c>
      <c r="L76" s="72" t="n">
        <f aca="false">Abroad!N76</f>
        <v>56.1297101194915</v>
      </c>
      <c r="M76" s="56" t="n">
        <f aca="false">SUM(B76:L76)</f>
        <v>2880.35033248548</v>
      </c>
      <c r="N76" s="56" t="n">
        <f aca="false">(Paths!W76*army_cost+Paths!X76*res_cost)*Economy!H76/1000000</f>
        <v>38.1069</v>
      </c>
      <c r="O76" s="72" t="n">
        <f aca="false">Navy!Y76</f>
        <v>142.881682</v>
      </c>
      <c r="P76" s="56" t="n">
        <f aca="false">SUMPRODUCT((Events!$B$6:$B$400&lt;=$A76)*(Events!$C$6:$C$400&gt;=$A76)*(Events!$E$6:$E$400="War &amp; operations")*Events!$H$6:$H$400)</f>
        <v>40</v>
      </c>
      <c r="Q76" s="56" t="n">
        <f aca="false">Economy!O76*Paths!T76</f>
        <v>1010.51510261532</v>
      </c>
      <c r="R76" s="56" t="n">
        <f aca="false">Economy!O76*Paths!U76</f>
        <v>494.139414481817</v>
      </c>
      <c r="S76" s="56" t="n">
        <f aca="false">Economy!O76*Paths!V76+SUMPRODUCT((Events!$B$6:$B$400&lt;=$A76)*(Events!$C$6:$C$400&gt;=$A76)*(Events!$E$6:$E$400="Programme")*Events!$H$6:$H$400)+SUMPRODUCT((Events!$B$6:$B$400&lt;=$A76)*(Events!$C$6:$C$400&gt;=$A76)*(Events!$E$6:$E$400="Investment")*Events!$H$6:$H$400)</f>
        <v>205.735765792727</v>
      </c>
      <c r="T76" s="56" t="n">
        <f aca="false">(People!T76*assist_cost+Labour!AD76*talent_cost+Labour!L76*gw_admin)*Economy!H76/1000000</f>
        <v>38.5621202775978</v>
      </c>
      <c r="U76" s="56" t="n">
        <f aca="false">SUMPRODUCT((Events!$B$6:$B$400&lt;=$A76)*(Events!$C$6:$C$400&gt;=$A76)*(Events!$E$6:$E$400="Purchase")*Events!$H$6:$H$400)</f>
        <v>0</v>
      </c>
      <c r="V76" s="56" t="n">
        <f aca="false">SUMPRODUCT((Events!$B$6:$B$400&lt;=$A76)*(Events!$C$6:$C$400&gt;=$A76)*(Events!$E$6:$E$400="Subsidy &amp; guarantee")*Events!$H$6:$H$400)+SUMPRODUCT((Events!$B$6:$B$400&lt;=$A76)*(Events!$C$6:$C$400&gt;=$A76)*(Events!$E$6:$E$400="Relief")*Events!$H$6:$H$400)</f>
        <v>25.05</v>
      </c>
      <c r="W76" s="56" t="n">
        <f aca="false">SUMPRODUCT((Events!$B$6:$B$400&lt;=$A76)*(Events!$C$6:$C$400&gt;=$A76)*(Events!$E$6:$E$400="Bank rescue &amp; capital")*Events!$H$6:$H$400)</f>
        <v>0</v>
      </c>
      <c r="X76" s="56" t="n">
        <f aca="false">'Debt &amp; cash'!R75*Paths!Y76</f>
        <v>51.5568390731426</v>
      </c>
      <c r="Y76" s="56" t="n">
        <f aca="false">SUM(N76:X76)</f>
        <v>2046.5478242406</v>
      </c>
      <c r="Z76" s="56" t="n">
        <f aca="false">M76-Y76</f>
        <v>833.802508244878</v>
      </c>
      <c r="AA76" s="66" t="n">
        <f aca="false">M76/Economy!O76</f>
        <v>0.116580472962513</v>
      </c>
      <c r="AB76" s="66" t="n">
        <f aca="false">Y76/Economy!O76</f>
        <v>0.0828328105090232</v>
      </c>
      <c r="AC76" s="66" t="n">
        <f aca="false">(N76+O76+P76)/Economy!O76</f>
        <v>0.00894438191018385</v>
      </c>
    </row>
    <row r="77" customFormat="false" ht="14.25" hidden="false" customHeight="true" outlineLevel="0" collapsed="false">
      <c r="A77" s="64" t="n">
        <v>1917</v>
      </c>
      <c r="B77" s="56" t="n">
        <f aca="false">Economy!O77*Paths!N77*Paths!O77*cust_coll</f>
        <v>596.511869263909</v>
      </c>
      <c r="C77" s="56" t="n">
        <f aca="false">(Economy!J77+Economy!L77+Economy!M77+Economy!N77)*Paths!P77*Paths!Q77</f>
        <v>2494.41004635191</v>
      </c>
      <c r="D77" s="56" t="n">
        <f aca="false">Resources!P77+Resources!Q77</f>
        <v>33.15</v>
      </c>
      <c r="E77" s="56" t="n">
        <f aca="false">Paths!S77*(1-canal_opcost)*canal_share</f>
        <v>7.98</v>
      </c>
      <c r="F77" s="56" t="n">
        <f aca="false">Economy!O77*Paths!R77</f>
        <v>62.5510537796138</v>
      </c>
      <c r="G77" s="56" t="n">
        <f aca="false">SUMPRODUCT((Events!$B$6:$B$400&lt;=$A77)*(Events!$C$6:$C$400&gt;=$A77)*(Events!$E$6:$E$400="Receipt")*Events!$H$6:$H$400)+'Land Fund'!O77</f>
        <v>7.46051868576219</v>
      </c>
      <c r="H77" s="72" t="n">
        <f aca="false">Loans!Y77</f>
        <v>41.8640782688049</v>
      </c>
      <c r="I77" s="56" t="n">
        <f aca="false">'Debt &amp; cash'!S76*fund_yield</f>
        <v>12.6700994689012</v>
      </c>
      <c r="J77" s="72" t="n">
        <f aca="false">Labour!Q77</f>
        <v>262.85101212763</v>
      </c>
      <c r="K77" s="72" t="n">
        <f aca="false">Champions!BD77</f>
        <v>60.0552635388353</v>
      </c>
      <c r="L77" s="72" t="n">
        <f aca="false">Abroad!N77</f>
        <v>63.2447203585558</v>
      </c>
      <c r="M77" s="56" t="n">
        <f aca="false">SUM(B77:L77)</f>
        <v>3642.74866184392</v>
      </c>
      <c r="N77" s="56" t="n">
        <f aca="false">(Paths!W77*army_cost+Paths!X77*res_cost)*Economy!H77/1000000</f>
        <v>47.5842</v>
      </c>
      <c r="O77" s="72" t="n">
        <f aca="false">Navy!Y77</f>
        <v>164.129196</v>
      </c>
      <c r="P77" s="56" t="n">
        <f aca="false">SUMPRODUCT((Events!$B$6:$B$400&lt;=$A77)*(Events!$C$6:$C$400&gt;=$A77)*(Events!$E$6:$E$400="War &amp; operations")*Events!$H$6:$H$400)</f>
        <v>40</v>
      </c>
      <c r="Q77" s="56" t="n">
        <f aca="false">Economy!O77*Paths!T77</f>
        <v>1285.42415517106</v>
      </c>
      <c r="R77" s="56" t="n">
        <f aca="false">Economy!O77*Paths!U77</f>
        <v>625.510537796138</v>
      </c>
      <c r="S77" s="56" t="n">
        <f aca="false">Economy!O77*Paths!V77+SUMPRODUCT((Events!$B$6:$B$400&lt;=$A77)*(Events!$C$6:$C$400&gt;=$A77)*(Events!$E$6:$E$400="Programme")*Events!$H$6:$H$400)+SUMPRODUCT((Events!$B$6:$B$400&lt;=$A77)*(Events!$C$6:$C$400&gt;=$A77)*(Events!$E$6:$E$400="Investment")*Events!$H$6:$H$400)</f>
        <v>258.284215118455</v>
      </c>
      <c r="T77" s="56" t="n">
        <f aca="false">(People!T77*assist_cost+Labour!AD77*talent_cost+Labour!L77*gw_admin)*Economy!H77/1000000</f>
        <v>49.8685777915898</v>
      </c>
      <c r="U77" s="56" t="n">
        <f aca="false">SUMPRODUCT((Events!$B$6:$B$400&lt;=$A77)*(Events!$C$6:$C$400&gt;=$A77)*(Events!$E$6:$E$400="Purchase")*Events!$H$6:$H$400)</f>
        <v>0</v>
      </c>
      <c r="V77" s="56" t="n">
        <f aca="false">SUMPRODUCT((Events!$B$6:$B$400&lt;=$A77)*(Events!$C$6:$C$400&gt;=$A77)*(Events!$E$6:$E$400="Subsidy &amp; guarantee")*Events!$H$6:$H$400)+SUMPRODUCT((Events!$B$6:$B$400&lt;=$A77)*(Events!$C$6:$C$400&gt;=$A77)*(Events!$E$6:$E$400="Relief")*Events!$H$6:$H$400)</f>
        <v>25.05</v>
      </c>
      <c r="W77" s="56" t="n">
        <f aca="false">SUMPRODUCT((Events!$B$6:$B$400&lt;=$A77)*(Events!$C$6:$C$400&gt;=$A77)*(Events!$E$6:$E$400="Bank rescue &amp; capital")*Events!$H$6:$H$400)</f>
        <v>0</v>
      </c>
      <c r="X77" s="56" t="n">
        <f aca="false">'Debt &amp; cash'!R76*Paths!Y77</f>
        <v>60.9026828348839</v>
      </c>
      <c r="Y77" s="56" t="n">
        <f aca="false">SUM(N77:X77)</f>
        <v>2556.75356471213</v>
      </c>
      <c r="Z77" s="56" t="n">
        <f aca="false">M77-Y77</f>
        <v>1085.99509713179</v>
      </c>
      <c r="AA77" s="66" t="n">
        <f aca="false">M77/Economy!O77</f>
        <v>0.116472815140043</v>
      </c>
      <c r="AB77" s="66" t="n">
        <f aca="false">Y77/Economy!O77</f>
        <v>0.0817493362692287</v>
      </c>
      <c r="AC77" s="66" t="n">
        <f aca="false">(N77+O77+P77)/Economy!O77</f>
        <v>0.00804825437112097</v>
      </c>
    </row>
    <row r="78" customFormat="false" ht="14.25" hidden="false" customHeight="true" outlineLevel="0" collapsed="false">
      <c r="A78" s="64" t="n">
        <v>1918</v>
      </c>
      <c r="B78" s="56" t="n">
        <f aca="false">Economy!O78*Paths!N78*Paths!O78*cust_coll</f>
        <v>720.052786859191</v>
      </c>
      <c r="C78" s="56" t="n">
        <f aca="false">(Economy!J78+Economy!L78+Economy!M78+Economy!N78)*Paths!P78*Paths!Q78</f>
        <v>3043.61568817879</v>
      </c>
      <c r="D78" s="56" t="n">
        <f aca="false">Resources!P78+Resources!Q78</f>
        <v>33.64875</v>
      </c>
      <c r="E78" s="56" t="n">
        <f aca="false">Paths!S78*(1-canal_opcost)*canal_share</f>
        <v>8.4</v>
      </c>
      <c r="F78" s="56" t="n">
        <f aca="false">Economy!O78*Paths!R78</f>
        <v>76.1090802954498</v>
      </c>
      <c r="G78" s="56" t="n">
        <f aca="false">SUMPRODUCT((Events!$B$6:$B$400&lt;=$A78)*(Events!$C$6:$C$400&gt;=$A78)*(Events!$E$6:$E$400="Receipt")*Events!$H$6:$H$400)+'Land Fund'!O78</f>
        <v>7.93628725047671</v>
      </c>
      <c r="H78" s="72" t="n">
        <f aca="false">Loans!Y78</f>
        <v>67.1089788311834</v>
      </c>
      <c r="I78" s="56" t="n">
        <f aca="false">'Debt &amp; cash'!S77*fund_yield</f>
        <v>13.5472655356253</v>
      </c>
      <c r="J78" s="72" t="n">
        <f aca="false">Labour!Q78</f>
        <v>323.380667311632</v>
      </c>
      <c r="K78" s="72" t="n">
        <f aca="false">Champions!BD78</f>
        <v>67.8964089035222</v>
      </c>
      <c r="L78" s="72" t="n">
        <f aca="false">Abroad!N78</f>
        <v>73.3463906039479</v>
      </c>
      <c r="M78" s="56" t="n">
        <f aca="false">SUM(B78:L78)</f>
        <v>4435.04230376981</v>
      </c>
      <c r="N78" s="56" t="n">
        <f aca="false">(Paths!W78*army_cost+Paths!X78*res_cost)*Economy!H78/1000000</f>
        <v>57.0708</v>
      </c>
      <c r="O78" s="72" t="n">
        <f aca="false">Navy!Y78</f>
        <v>152.3803925</v>
      </c>
      <c r="P78" s="56" t="n">
        <f aca="false">SUMPRODUCT((Events!$B$6:$B$400&lt;=$A78)*(Events!$C$6:$C$400&gt;=$A78)*(Events!$E$6:$E$400="War &amp; operations")*Events!$H$6:$H$400)</f>
        <v>211.194261061469</v>
      </c>
      <c r="Q78" s="56" t="n">
        <f aca="false">Economy!O78*Paths!T78</f>
        <v>1575.45796211581</v>
      </c>
      <c r="R78" s="56" t="n">
        <f aca="false">Economy!O78*Paths!U78</f>
        <v>761.090802954498</v>
      </c>
      <c r="S78" s="56" t="n">
        <f aca="false">Economy!O78*Paths!V78+SUMPRODUCT((Events!$B$6:$B$400&lt;=$A78)*(Events!$C$6:$C$400&gt;=$A78)*(Events!$E$6:$E$400="Programme")*Events!$H$6:$H$400)+SUMPRODUCT((Events!$B$6:$B$400&lt;=$A78)*(Events!$C$6:$C$400&gt;=$A78)*(Events!$E$6:$E$400="Investment")*Events!$H$6:$H$400)</f>
        <v>312.516321181799</v>
      </c>
      <c r="T78" s="56" t="n">
        <f aca="false">(People!T78*assist_cost+Labour!AD78*talent_cost+Labour!L78*gw_admin)*Economy!H78/1000000</f>
        <v>60.3268361129195</v>
      </c>
      <c r="U78" s="56" t="n">
        <f aca="false">SUMPRODUCT((Events!$B$6:$B$400&lt;=$A78)*(Events!$C$6:$C$400&gt;=$A78)*(Events!$E$6:$E$400="Purchase")*Events!$H$6:$H$400)</f>
        <v>0</v>
      </c>
      <c r="V78" s="56" t="n">
        <f aca="false">SUMPRODUCT((Events!$B$6:$B$400&lt;=$A78)*(Events!$C$6:$C$400&gt;=$A78)*(Events!$E$6:$E$400="Subsidy &amp; guarantee")*Events!$H$6:$H$400)+SUMPRODUCT((Events!$B$6:$B$400&lt;=$A78)*(Events!$C$6:$C$400&gt;=$A78)*(Events!$E$6:$E$400="Relief")*Events!$H$6:$H$400)</f>
        <v>87.955</v>
      </c>
      <c r="W78" s="56" t="n">
        <f aca="false">SUMPRODUCT((Events!$B$6:$B$400&lt;=$A78)*(Events!$C$6:$C$400&gt;=$A78)*(Events!$E$6:$E$400="Bank rescue &amp; capital")*Events!$H$6:$H$400)</f>
        <v>0</v>
      </c>
      <c r="X78" s="56" t="n">
        <f aca="false">'Debt &amp; cash'!R77*Paths!Y78</f>
        <v>76.7814185144759</v>
      </c>
      <c r="Y78" s="56" t="n">
        <f aca="false">SUM(N78:X78)</f>
        <v>3294.77379444097</v>
      </c>
      <c r="Z78" s="56" t="n">
        <f aca="false">M78-Y78</f>
        <v>1140.26850932884</v>
      </c>
      <c r="AA78" s="66" t="n">
        <f aca="false">M78/Economy!O78</f>
        <v>0.116544367283202</v>
      </c>
      <c r="AB78" s="66" t="n">
        <f aca="false">Y78/Economy!O78</f>
        <v>0.0865803076755337</v>
      </c>
      <c r="AC78" s="66" t="n">
        <f aca="false">(N78+O78+P78)/Economy!O78</f>
        <v>0.0110537521128505</v>
      </c>
    </row>
    <row r="79" customFormat="false" ht="14.25" hidden="false" customHeight="true" outlineLevel="0" collapsed="false">
      <c r="A79" s="64" t="n">
        <v>1919</v>
      </c>
      <c r="B79" s="56" t="n">
        <f aca="false">Economy!O79*Paths!N79*Paths!O79*cust_coll</f>
        <v>819.315225191005</v>
      </c>
      <c r="C79" s="56" t="n">
        <f aca="false">(Economy!J79+Economy!L79+Economy!M79+Economy!N79)*Paths!P79*Paths!Q79</f>
        <v>3501.24179752864</v>
      </c>
      <c r="D79" s="56" t="n">
        <f aca="false">Resources!P79+Resources!Q79</f>
        <v>31.5975</v>
      </c>
      <c r="E79" s="56" t="n">
        <f aca="false">Paths!S79*(1-canal_opcost)*canal_share</f>
        <v>10.2</v>
      </c>
      <c r="F79" s="56" t="n">
        <f aca="false">Economy!O79*Paths!R79</f>
        <v>87.2986430966847</v>
      </c>
      <c r="G79" s="56" t="n">
        <f aca="false">SUMPRODUCT((Events!$B$6:$B$400&lt;=$A79)*(Events!$C$6:$C$400&gt;=$A79)*(Events!$E$6:$E$400="Receipt")*Events!$H$6:$H$400)+'Land Fund'!O79</f>
        <v>129.299116038231</v>
      </c>
      <c r="H79" s="72" t="n">
        <f aca="false">Loans!Y79</f>
        <v>83.3290122916747</v>
      </c>
      <c r="I79" s="56" t="n">
        <f aca="false">'Debt &amp; cash'!S78*fund_yield</f>
        <v>14.4754535268457</v>
      </c>
      <c r="J79" s="72" t="n">
        <f aca="false">Labour!Q79</f>
        <v>370.659540830711</v>
      </c>
      <c r="K79" s="72" t="n">
        <f aca="false">Champions!BD79</f>
        <v>74.4586469406757</v>
      </c>
      <c r="L79" s="72" t="n">
        <f aca="false">Abroad!N79</f>
        <v>82.1865584090521</v>
      </c>
      <c r="M79" s="56" t="n">
        <f aca="false">SUM(B79:L79)</f>
        <v>5204.06149385352</v>
      </c>
      <c r="N79" s="56" t="n">
        <f aca="false">(Paths!W79*army_cost+Paths!X79*res_cost)*Economy!H79/1000000</f>
        <v>62.99775</v>
      </c>
      <c r="O79" s="72" t="n">
        <f aca="false">Navy!Y79</f>
        <v>136.04413</v>
      </c>
      <c r="P79" s="56" t="n">
        <f aca="false">SUMPRODUCT((Events!$B$6:$B$400&lt;=$A79)*(Events!$C$6:$C$400&gt;=$A79)*(Events!$E$6:$E$400="War &amp; operations")*Events!$H$6:$H$400)</f>
        <v>434.096804649705</v>
      </c>
      <c r="Q79" s="56" t="n">
        <f aca="false">Economy!O79*Paths!T79</f>
        <v>1820.17670856588</v>
      </c>
      <c r="R79" s="56" t="n">
        <f aca="false">Economy!O79*Paths!U79</f>
        <v>872.986430966847</v>
      </c>
      <c r="S79" s="56" t="n">
        <f aca="false">Economy!O79*Paths!V79+SUMPRODUCT((Events!$B$6:$B$400&lt;=$A79)*(Events!$C$6:$C$400&gt;=$A79)*(Events!$E$6:$E$400="Programme")*Events!$H$6:$H$400)+SUMPRODUCT((Events!$B$6:$B$400&lt;=$A79)*(Events!$C$6:$C$400&gt;=$A79)*(Events!$E$6:$E$400="Investment")*Events!$H$6:$H$400)</f>
        <v>360.074572386739</v>
      </c>
      <c r="T79" s="56" t="n">
        <f aca="false">(People!T79*assist_cost+Labour!AD79*talent_cost+Labour!L79*gw_admin)*Economy!H79/1000000</f>
        <v>83.0688282264005</v>
      </c>
      <c r="U79" s="56" t="n">
        <f aca="false">SUMPRODUCT((Events!$B$6:$B$400&lt;=$A79)*(Events!$C$6:$C$400&gt;=$A79)*(Events!$E$6:$E$400="Purchase")*Events!$H$6:$H$400)</f>
        <v>0</v>
      </c>
      <c r="V79" s="56" t="n">
        <f aca="false">SUMPRODUCT((Events!$B$6:$B$400&lt;=$A79)*(Events!$C$6:$C$400&gt;=$A79)*(Events!$E$6:$E$400="Subsidy &amp; guarantee")*Events!$H$6:$H$400)+SUMPRODUCT((Events!$B$6:$B$400&lt;=$A79)*(Events!$C$6:$C$400&gt;=$A79)*(Events!$E$6:$E$400="Relief")*Events!$H$6:$H$400)</f>
        <v>66.29</v>
      </c>
      <c r="W79" s="56" t="n">
        <f aca="false">SUMPRODUCT((Events!$B$6:$B$400&lt;=$A79)*(Events!$C$6:$C$400&gt;=$A79)*(Events!$E$6:$E$400="Bank rescue &amp; capital")*Events!$H$6:$H$400)</f>
        <v>0</v>
      </c>
      <c r="X79" s="56" t="n">
        <f aca="false">'Debt &amp; cash'!R78*Paths!Y79</f>
        <v>93.0433506611874</v>
      </c>
      <c r="Y79" s="56" t="n">
        <f aca="false">SUM(N79:X79)</f>
        <v>3928.77857545675</v>
      </c>
      <c r="Z79" s="56" t="n">
        <f aca="false">M79-Y79</f>
        <v>1275.28291839677</v>
      </c>
      <c r="AA79" s="66" t="n">
        <f aca="false">M79/Economy!O79</f>
        <v>0.119224338643842</v>
      </c>
      <c r="AB79" s="66" t="n">
        <f aca="false">Y79/Economy!O79</f>
        <v>0.0900077810168382</v>
      </c>
      <c r="AC79" s="66" t="n">
        <f aca="false">(N79+O79+P79)/Economy!O79</f>
        <v>0.0145051208630698</v>
      </c>
    </row>
    <row r="80" customFormat="false" ht="14.25" hidden="false" customHeight="true" outlineLevel="0" collapsed="false">
      <c r="A80" s="64" t="n">
        <v>1920</v>
      </c>
      <c r="B80" s="56" t="n">
        <f aca="false">Economy!O80*Paths!N80*Paths!O80*cust_coll</f>
        <v>954.603539128642</v>
      </c>
      <c r="C80" s="56" t="n">
        <f aca="false">(Economy!J80+Economy!L80+Economy!M80+Economy!N80)*Paths!P80*Paths!Q80</f>
        <v>4115.59309951759</v>
      </c>
      <c r="D80" s="56" t="n">
        <f aca="false">Resources!P80+Resources!Q80</f>
        <v>35.1025</v>
      </c>
      <c r="E80" s="56" t="n">
        <f aca="false">Paths!S80*(1-canal_opcost)*canal_share</f>
        <v>12</v>
      </c>
      <c r="F80" s="56" t="n">
        <f aca="false">Economy!O80*Paths!R80</f>
        <v>102.539694415296</v>
      </c>
      <c r="G80" s="56" t="n">
        <f aca="false">SUMPRODUCT((Events!$B$6:$B$400&lt;=$A80)*(Events!$C$6:$C$400&gt;=$A80)*(Events!$E$6:$E$400="Receipt")*Events!$H$6:$H$400)+'Land Fund'!O80</f>
        <v>92.6519608621458</v>
      </c>
      <c r="H80" s="72" t="n">
        <f aca="false">Loans!Y80</f>
        <v>91.0647676499627</v>
      </c>
      <c r="I80" s="56" t="n">
        <f aca="false">'Debt &amp; cash'!S79*fund_yield</f>
        <v>16.6270287783746</v>
      </c>
      <c r="J80" s="72" t="n">
        <f aca="false">Labour!Q80</f>
        <v>430.23153942835</v>
      </c>
      <c r="K80" s="72" t="n">
        <f aca="false">Champions!BD80</f>
        <v>81.6600355084008</v>
      </c>
      <c r="L80" s="72" t="n">
        <f aca="false">Abroad!N80</f>
        <v>96.2225819026684</v>
      </c>
      <c r="M80" s="56" t="n">
        <f aca="false">SUM(B80:L80)</f>
        <v>6028.29674719143</v>
      </c>
      <c r="N80" s="56" t="n">
        <f aca="false">(Paths!W80*army_cost+Paths!X80*res_cost)*Economy!H80/1000000</f>
        <v>70.6635</v>
      </c>
      <c r="O80" s="72" t="n">
        <f aca="false">Navy!Y80</f>
        <v>152.492015</v>
      </c>
      <c r="P80" s="56" t="n">
        <f aca="false">SUMPRODUCT((Events!$B$6:$B$400&lt;=$A80)*(Events!$C$6:$C$400&gt;=$A80)*(Events!$E$6:$E$400="War &amp; operations")*Events!$H$6:$H$400)</f>
        <v>275.258826547377</v>
      </c>
      <c r="Q80" s="56" t="n">
        <f aca="false">Economy!O80*Paths!T80</f>
        <v>2153.33358272122</v>
      </c>
      <c r="R80" s="56" t="n">
        <f aca="false">Economy!O80*Paths!U80</f>
        <v>1025.39694415296</v>
      </c>
      <c r="S80" s="56" t="n">
        <f aca="false">Economy!O80*Paths!V80+SUMPRODUCT((Events!$B$6:$B$400&lt;=$A80)*(Events!$C$6:$C$400&gt;=$A80)*(Events!$E$6:$E$400="Programme")*Events!$H$6:$H$400)+SUMPRODUCT((Events!$B$6:$B$400&lt;=$A80)*(Events!$C$6:$C$400&gt;=$A80)*(Events!$E$6:$E$400="Investment")*Events!$H$6:$H$400)</f>
        <v>420.038777661185</v>
      </c>
      <c r="T80" s="56" t="n">
        <f aca="false">(People!T80*assist_cost+Labour!AD80*talent_cost+Labour!L80*gw_admin)*Economy!H80/1000000</f>
        <v>96.3212733193628</v>
      </c>
      <c r="U80" s="56" t="n">
        <f aca="false">SUMPRODUCT((Events!$B$6:$B$400&lt;=$A80)*(Events!$C$6:$C$400&gt;=$A80)*(Events!$E$6:$E$400="Purchase")*Events!$H$6:$H$400)</f>
        <v>0</v>
      </c>
      <c r="V80" s="56" t="n">
        <f aca="false">SUMPRODUCT((Events!$B$6:$B$400&lt;=$A80)*(Events!$C$6:$C$400&gt;=$A80)*(Events!$E$6:$E$400="Subsidy &amp; guarantee")*Events!$H$6:$H$400)+SUMPRODUCT((Events!$B$6:$B$400&lt;=$A80)*(Events!$C$6:$C$400&gt;=$A80)*(Events!$E$6:$E$400="Relief")*Events!$H$6:$H$400)</f>
        <v>4.125</v>
      </c>
      <c r="W80" s="56" t="n">
        <f aca="false">SUMPRODUCT((Events!$B$6:$B$400&lt;=$A80)*(Events!$C$6:$C$400&gt;=$A80)*(Events!$E$6:$E$400="Bank rescue &amp; capital")*Events!$H$6:$H$400)</f>
        <v>0</v>
      </c>
      <c r="X80" s="56" t="n">
        <f aca="false">'Debt &amp; cash'!R79*Paths!Y80</f>
        <v>106.286097970214</v>
      </c>
      <c r="Y80" s="56" t="n">
        <f aca="false">SUM(N80:X80)</f>
        <v>4303.91601737232</v>
      </c>
      <c r="Z80" s="56" t="n">
        <f aca="false">M80-Y80</f>
        <v>1724.3807298191</v>
      </c>
      <c r="AA80" s="66" t="n">
        <f aca="false">M80/Economy!O80</f>
        <v>0.117579768138887</v>
      </c>
      <c r="AB80" s="66" t="n">
        <f aca="false">Y80/Economy!O80</f>
        <v>0.0839463398426179</v>
      </c>
      <c r="AC80" s="66" t="n">
        <f aca="false">(N80+O80+P80)/Economy!O80</f>
        <v>0.00972139315197777</v>
      </c>
    </row>
    <row r="81" customFormat="false" ht="14.25" hidden="false" customHeight="true" outlineLevel="0" collapsed="false">
      <c r="A81" s="64" t="n">
        <v>1921</v>
      </c>
      <c r="B81" s="56" t="n">
        <f aca="false">Economy!O81*Paths!N81*Paths!O81*cust_coll</f>
        <v>774.088189856955</v>
      </c>
      <c r="C81" s="56" t="n">
        <f aca="false">(Economy!J81+Economy!L81+Economy!M81+Economy!N81)*Paths!P81*Paths!Q81</f>
        <v>2834.94990087898</v>
      </c>
      <c r="D81" s="56" t="n">
        <f aca="false">Resources!P81+Resources!Q81</f>
        <v>30.872875</v>
      </c>
      <c r="E81" s="56" t="n">
        <f aca="false">Paths!S81*(1-canal_opcost)*canal_share</f>
        <v>12.72</v>
      </c>
      <c r="F81" s="56" t="n">
        <f aca="false">Economy!O81*Paths!R81</f>
        <v>83.8302133265058</v>
      </c>
      <c r="G81" s="56" t="n">
        <f aca="false">SUMPRODUCT((Events!$B$6:$B$400&lt;=$A81)*(Events!$C$6:$C$400&gt;=$A81)*(Events!$E$6:$E$400="Receipt")*Events!$H$6:$H$400)+'Land Fund'!O81</f>
        <v>12.2521129169403</v>
      </c>
      <c r="H81" s="72" t="n">
        <f aca="false">Loans!Y81</f>
        <v>103.516257993919</v>
      </c>
      <c r="I81" s="56" t="n">
        <f aca="false">'Debt &amp; cash'!S80*fund_yield</f>
        <v>19.5709281880918</v>
      </c>
      <c r="J81" s="72" t="n">
        <f aca="false">Labour!Q81</f>
        <v>306.891275298327</v>
      </c>
      <c r="K81" s="72" t="n">
        <f aca="false">Champions!BD81</f>
        <v>86.1551863408943</v>
      </c>
      <c r="L81" s="72" t="n">
        <f aca="false">Abroad!N81</f>
        <v>110.542267594974</v>
      </c>
      <c r="M81" s="56" t="n">
        <f aca="false">SUM(B81:L81)</f>
        <v>4375.38920739558</v>
      </c>
      <c r="N81" s="56" t="n">
        <f aca="false">(Paths!W81*army_cost+Paths!X81*res_cost)*Economy!H81/1000000</f>
        <v>55.675</v>
      </c>
      <c r="O81" s="72" t="n">
        <f aca="false">Navy!Y81</f>
        <v>144.2009425</v>
      </c>
      <c r="P81" s="56" t="n">
        <f aca="false">SUMPRODUCT((Events!$B$6:$B$400&lt;=$A81)*(Events!$C$6:$C$400&gt;=$A81)*(Events!$E$6:$E$400="War &amp; operations")*Events!$H$6:$H$400)</f>
        <v>124.698405201171</v>
      </c>
      <c r="Q81" s="56" t="n">
        <f aca="false">Economy!O81*Paths!T81</f>
        <v>1773.0090118556</v>
      </c>
      <c r="R81" s="56" t="n">
        <f aca="false">Economy!O81*Paths!U81</f>
        <v>838.302133265058</v>
      </c>
      <c r="S81" s="56" t="n">
        <f aca="false">Economy!O81*Paths!V81+SUMPRODUCT((Events!$B$6:$B$400&lt;=$A81)*(Events!$C$6:$C$400&gt;=$A81)*(Events!$E$6:$E$400="Programme")*Events!$H$6:$H$400)+SUMPRODUCT((Events!$B$6:$B$400&lt;=$A81)*(Events!$C$6:$C$400&gt;=$A81)*(Events!$E$6:$E$400="Investment")*Events!$H$6:$H$400)</f>
        <v>345.200853306023</v>
      </c>
      <c r="T81" s="56" t="n">
        <f aca="false">(People!T81*assist_cost+Labour!AD81*talent_cost+Labour!L81*gw_admin)*Economy!H81/1000000</f>
        <v>80.8852335593826</v>
      </c>
      <c r="U81" s="56" t="n">
        <f aca="false">SUMPRODUCT((Events!$B$6:$B$400&lt;=$A81)*(Events!$C$6:$C$400&gt;=$A81)*(Events!$E$6:$E$400="Purchase")*Events!$H$6:$H$400)</f>
        <v>0.1</v>
      </c>
      <c r="V81" s="56" t="n">
        <f aca="false">SUMPRODUCT((Events!$B$6:$B$400&lt;=$A81)*(Events!$C$6:$C$400&gt;=$A81)*(Events!$E$6:$E$400="Subsidy &amp; guarantee")*Events!$H$6:$H$400)+SUMPRODUCT((Events!$B$6:$B$400&lt;=$A81)*(Events!$C$6:$C$400&gt;=$A81)*(Events!$E$6:$E$400="Relief")*Events!$H$6:$H$400)</f>
        <v>0.3</v>
      </c>
      <c r="W81" s="56" t="n">
        <f aca="false">SUMPRODUCT((Events!$B$6:$B$400&lt;=$A81)*(Events!$C$6:$C$400&gt;=$A81)*(Events!$E$6:$E$400="Bank rescue &amp; capital")*Events!$H$6:$H$400)</f>
        <v>0</v>
      </c>
      <c r="X81" s="56" t="n">
        <f aca="false">'Debt &amp; cash'!R80*Paths!Y81</f>
        <v>124.073030242508</v>
      </c>
      <c r="Y81" s="56" t="n">
        <f aca="false">SUM(N81:X81)</f>
        <v>3486.44460992974</v>
      </c>
      <c r="Z81" s="56" t="n">
        <f aca="false">M81-Y81</f>
        <v>888.944597465842</v>
      </c>
      <c r="AA81" s="66" t="n">
        <f aca="false">M81/Economy!O81</f>
        <v>0.104386927666619</v>
      </c>
      <c r="AB81" s="66" t="n">
        <f aca="false">Y81/Economy!O81</f>
        <v>0.0831787125806438</v>
      </c>
      <c r="AC81" s="66" t="n">
        <f aca="false">(N81+O81+P81)/Economy!O81</f>
        <v>0.0077436125907733</v>
      </c>
    </row>
    <row r="82" customFormat="false" ht="14.25" hidden="false" customHeight="true" outlineLevel="0" collapsed="false">
      <c r="A82" s="64" t="n">
        <v>1922</v>
      </c>
      <c r="B82" s="56" t="n">
        <f aca="false">Economy!O82*Paths!N82*Paths!O82*cust_coll</f>
        <v>795.149803916105</v>
      </c>
      <c r="C82" s="56" t="n">
        <f aca="false">(Economy!J82+Economy!L82+Economy!M82+Economy!N82)*Paths!P82*Paths!Q82</f>
        <v>2932.39571435208</v>
      </c>
      <c r="D82" s="56" t="n">
        <f aca="false">Resources!P82+Resources!Q82</f>
        <v>33.637</v>
      </c>
      <c r="E82" s="56" t="n">
        <f aca="false">Paths!S82*(1-canal_opcost)*canal_share</f>
        <v>13.44</v>
      </c>
      <c r="F82" s="56" t="n">
        <f aca="false">Economy!O82*Paths!R82</f>
        <v>86.7707505528389</v>
      </c>
      <c r="G82" s="56" t="n">
        <f aca="false">SUMPRODUCT((Events!$B$6:$B$400&lt;=$A82)*(Events!$C$6:$C$400&gt;=$A82)*(Events!$E$6:$E$400="Receipt")*Events!$H$6:$H$400)+'Land Fund'!O82</f>
        <v>17.1478778840548</v>
      </c>
      <c r="H82" s="72" t="n">
        <f aca="false">Loans!Y82</f>
        <v>107.960392724117</v>
      </c>
      <c r="I82" s="56" t="n">
        <f aca="false">'Debt &amp; cash'!S81*fund_yield</f>
        <v>22.3620360951842</v>
      </c>
      <c r="J82" s="72" t="n">
        <f aca="false">Labour!Q82</f>
        <v>316.795470548822</v>
      </c>
      <c r="K82" s="72" t="n">
        <f aca="false">Champions!BD82</f>
        <v>95.257938242096</v>
      </c>
      <c r="L82" s="72" t="n">
        <f aca="false">Abroad!N82</f>
        <v>123.48876903469</v>
      </c>
      <c r="M82" s="56" t="n">
        <f aca="false">SUM(B82:L82)</f>
        <v>4544.40575334999</v>
      </c>
      <c r="N82" s="56" t="n">
        <f aca="false">(Paths!W82*army_cost+Paths!X82*res_cost)*Economy!H82/1000000</f>
        <v>49.0274</v>
      </c>
      <c r="O82" s="72" t="n">
        <f aca="false">Navy!Y82</f>
        <v>145.2846805</v>
      </c>
      <c r="P82" s="56" t="n">
        <f aca="false">SUMPRODUCT((Events!$B$6:$B$400&lt;=$A82)*(Events!$C$6:$C$400&gt;=$A82)*(Events!$E$6:$E$400="War &amp; operations")*Events!$H$6:$H$400)</f>
        <v>46.0625848483356</v>
      </c>
      <c r="Q82" s="56" t="n">
        <f aca="false">Economy!O82*Paths!T82</f>
        <v>1852.55552430311</v>
      </c>
      <c r="R82" s="56" t="n">
        <f aca="false">Economy!O82*Paths!U82</f>
        <v>867.707505528389</v>
      </c>
      <c r="S82" s="56" t="n">
        <f aca="false">Economy!O82*Paths!V82+SUMPRODUCT((Events!$B$6:$B$400&lt;=$A82)*(Events!$C$6:$C$400&gt;=$A82)*(Events!$E$6:$E$400="Programme")*Events!$H$6:$H$400)+SUMPRODUCT((Events!$B$6:$B$400&lt;=$A82)*(Events!$C$6:$C$400&gt;=$A82)*(Events!$E$6:$E$400="Investment")*Events!$H$6:$H$400)</f>
        <v>356.963002211356</v>
      </c>
      <c r="T82" s="56" t="n">
        <f aca="false">(People!T82*assist_cost+Labour!AD82*talent_cost+Labour!L82*gw_admin)*Economy!H82/1000000</f>
        <v>81.744462602418</v>
      </c>
      <c r="U82" s="56" t="n">
        <f aca="false">SUMPRODUCT((Events!$B$6:$B$400&lt;=$A82)*(Events!$C$6:$C$400&gt;=$A82)*(Events!$E$6:$E$400="Purchase")*Events!$H$6:$H$400)</f>
        <v>0</v>
      </c>
      <c r="V82" s="56" t="n">
        <f aca="false">SUMPRODUCT((Events!$B$6:$B$400&lt;=$A82)*(Events!$C$6:$C$400&gt;=$A82)*(Events!$E$6:$E$400="Subsidy &amp; guarantee")*Events!$H$6:$H$400)+SUMPRODUCT((Events!$B$6:$B$400&lt;=$A82)*(Events!$C$6:$C$400&gt;=$A82)*(Events!$E$6:$E$400="Relief")*Events!$H$6:$H$400)</f>
        <v>0.05</v>
      </c>
      <c r="W82" s="56" t="n">
        <f aca="false">SUMPRODUCT((Events!$B$6:$B$400&lt;=$A82)*(Events!$C$6:$C$400&gt;=$A82)*(Events!$E$6:$E$400="Bank rescue &amp; capital")*Events!$H$6:$H$400)</f>
        <v>0</v>
      </c>
      <c r="X82" s="56" t="n">
        <f aca="false">'Debt &amp; cash'!R81*Paths!Y82</f>
        <v>107.635985022838</v>
      </c>
      <c r="Y82" s="56" t="n">
        <f aca="false">SUM(N82:X82)</f>
        <v>3507.03114501645</v>
      </c>
      <c r="Z82" s="56" t="n">
        <f aca="false">M82-Y82</f>
        <v>1037.37460833354</v>
      </c>
      <c r="AA82" s="66" t="n">
        <f aca="false">M82/Economy!O82</f>
        <v>0.104745106487991</v>
      </c>
      <c r="AB82" s="66" t="n">
        <f aca="false">Y82/Economy!O82</f>
        <v>0.0808344084307729</v>
      </c>
      <c r="AC82" s="66" t="n">
        <f aca="false">(N82+O82+P82)/Economy!O82</f>
        <v>0.00554045375467762</v>
      </c>
    </row>
    <row r="83" customFormat="false" ht="14.25" hidden="false" customHeight="true" outlineLevel="0" collapsed="false">
      <c r="A83" s="61" t="n">
        <v>1923</v>
      </c>
      <c r="B83" s="56" t="n">
        <f aca="false">Economy!O83*Paths!N83*Paths!O83*cust_coll</f>
        <v>890.110639422118</v>
      </c>
      <c r="C83" s="56" t="n">
        <f aca="false">(Economy!J83+Economy!L83+Economy!M83+Economy!N83)*Paths!P83*Paths!Q83</f>
        <v>3308.60041326643</v>
      </c>
      <c r="D83" s="56" t="n">
        <f aca="false">Resources!P83+Resources!Q83</f>
        <v>41.0605</v>
      </c>
      <c r="E83" s="56" t="n">
        <f aca="false">Paths!S83*(1-canal_opcost)*canal_share</f>
        <v>14.16</v>
      </c>
      <c r="F83" s="56" t="n">
        <f aca="false">Economy!O83*Paths!R83</f>
        <v>97.9413568607774</v>
      </c>
      <c r="G83" s="56" t="n">
        <f aca="false">SUMPRODUCT((Events!$B$6:$B$400&lt;=$A83)*(Events!$C$6:$C$400&gt;=$A83)*(Events!$E$6:$E$400="Receipt")*Events!$H$6:$H$400)+'Land Fund'!O83</f>
        <v>17.4224134289293</v>
      </c>
      <c r="H83" s="72" t="n">
        <f aca="false">Loans!Y83</f>
        <v>83.6970793247892</v>
      </c>
      <c r="I83" s="56" t="n">
        <f aca="false">'Debt &amp; cash'!S82*fund_yield</f>
        <v>24.4328420882252</v>
      </c>
      <c r="J83" s="72" t="n">
        <f aca="false">Labour!Q83</f>
        <v>381.076581928479</v>
      </c>
      <c r="K83" s="72" t="n">
        <f aca="false">Champions!BD83</f>
        <v>105.010712205032</v>
      </c>
      <c r="L83" s="72" t="n">
        <f aca="false">Abroad!N83</f>
        <v>133.180107229581</v>
      </c>
      <c r="M83" s="56" t="n">
        <f aca="false">SUM(B83:L83)</f>
        <v>5096.69264575436</v>
      </c>
      <c r="N83" s="56" t="n">
        <f aca="false">(Paths!W83*army_cost+Paths!X83*res_cost)*Economy!H83/1000000</f>
        <v>49.5477</v>
      </c>
      <c r="O83" s="72" t="n">
        <f aca="false">Navy!Y83</f>
        <v>137.193832</v>
      </c>
      <c r="P83" s="56" t="n">
        <f aca="false">SUMPRODUCT((Events!$B$6:$B$400&lt;=$A83)*(Events!$C$6:$C$400&gt;=$A83)*(Events!$E$6:$E$400="War &amp; operations")*Events!$H$6:$H$400)</f>
        <v>10.2407116440635</v>
      </c>
      <c r="Q83" s="56" t="n">
        <f aca="false">Economy!O83*Paths!T83</f>
        <v>2105.73917250671</v>
      </c>
      <c r="R83" s="56" t="n">
        <f aca="false">Economy!O83*Paths!U83</f>
        <v>979.413568607774</v>
      </c>
      <c r="S83" s="56" t="n">
        <f aca="false">Economy!O83*Paths!V83+SUMPRODUCT((Events!$B$6:$B$400&lt;=$A83)*(Events!$C$6:$C$400&gt;=$A83)*(Events!$E$6:$E$400="Programme")*Events!$H$6:$H$400)+SUMPRODUCT((Events!$B$6:$B$400&lt;=$A83)*(Events!$C$6:$C$400&gt;=$A83)*(Events!$E$6:$E$400="Investment")*Events!$H$6:$H$400)</f>
        <v>402.64542744311</v>
      </c>
      <c r="T83" s="56" t="n">
        <f aca="false">(People!T83*assist_cost+Labour!AD83*talent_cost+Labour!L83*gw_admin)*Economy!H83/1000000</f>
        <v>81.5612524282767</v>
      </c>
      <c r="U83" s="56" t="n">
        <f aca="false">SUMPRODUCT((Events!$B$6:$B$400&lt;=$A83)*(Events!$C$6:$C$400&gt;=$A83)*(Events!$E$6:$E$400="Purchase")*Events!$H$6:$H$400)</f>
        <v>0</v>
      </c>
      <c r="V83" s="56" t="n">
        <f aca="false">SUMPRODUCT((Events!$B$6:$B$400&lt;=$A83)*(Events!$C$6:$C$400&gt;=$A83)*(Events!$E$6:$E$400="Subsidy &amp; guarantee")*Events!$H$6:$H$400)+SUMPRODUCT((Events!$B$6:$B$400&lt;=$A83)*(Events!$C$6:$C$400&gt;=$A83)*(Events!$E$6:$E$400="Relief")*Events!$H$6:$H$400)</f>
        <v>0.05</v>
      </c>
      <c r="W83" s="56" t="n">
        <f aca="false">SUMPRODUCT((Events!$B$6:$B$400&lt;=$A83)*(Events!$C$6:$C$400&gt;=$A83)*(Events!$E$6:$E$400="Bank rescue &amp; capital")*Events!$H$6:$H$400)</f>
        <v>0</v>
      </c>
      <c r="X83" s="56" t="n">
        <f aca="false">'Debt &amp; cash'!R82*Paths!Y83</f>
        <v>104.124900663407</v>
      </c>
      <c r="Y83" s="56" t="n">
        <f aca="false">SUM(N83:X83)</f>
        <v>3870.51656529335</v>
      </c>
      <c r="Z83" s="56" t="n">
        <f aca="false">M83-Y83</f>
        <v>1226.17608046102</v>
      </c>
      <c r="AA83" s="66" t="n">
        <f aca="false">M83/Economy!O83</f>
        <v>0.104076414889764</v>
      </c>
      <c r="AB83" s="66" t="n">
        <f aca="false">Y83/Economy!O83</f>
        <v>0.0790374299346341</v>
      </c>
      <c r="AC83" s="66" t="n">
        <f aca="false">(N83+O83+P83)/Economy!O83</f>
        <v>0.00402245282192836</v>
      </c>
    </row>
    <row r="84" customFormat="false" ht="14.25" hidden="false" customHeight="true" outlineLevel="0" collapsed="false">
      <c r="A84" s="61" t="n">
        <v>1924</v>
      </c>
      <c r="B84" s="56" t="n">
        <f aca="false">Economy!O84*Paths!N84*Paths!O84*cust_coll</f>
        <v>941.998412896519</v>
      </c>
      <c r="C84" s="56" t="n">
        <f aca="false">(Economy!J84+Economy!L84+Economy!M84+Economy!N84)*Paths!P84*Paths!Q84</f>
        <v>3528.90759567113</v>
      </c>
      <c r="D84" s="56" t="n">
        <f aca="false">Resources!P84+Resources!Q84</f>
        <v>47.8965</v>
      </c>
      <c r="E84" s="56" t="n">
        <f aca="false">Paths!S84*(1-canal_opcost)*canal_share</f>
        <v>14.88</v>
      </c>
      <c r="F84" s="56" t="n">
        <f aca="false">Economy!O84*Paths!R84</f>
        <v>104.520162094903</v>
      </c>
      <c r="G84" s="56" t="n">
        <f aca="false">SUMPRODUCT((Events!$B$6:$B$400&lt;=$A84)*(Events!$C$6:$C$400&gt;=$A84)*(Events!$E$6:$E$400="Receipt")*Events!$H$6:$H$400)+'Land Fund'!O84</f>
        <v>16.8935120757638</v>
      </c>
      <c r="H84" s="72" t="n">
        <f aca="false">Loans!Y84</f>
        <v>87.432514796003</v>
      </c>
      <c r="I84" s="56" t="n">
        <f aca="false">'Debt &amp; cash'!S83*fund_yield</f>
        <v>26.7335059174863</v>
      </c>
      <c r="J84" s="72" t="n">
        <f aca="false">Labour!Q84</f>
        <v>422.06909981597</v>
      </c>
      <c r="K84" s="72" t="n">
        <f aca="false">Champions!BD84</f>
        <v>113.763891369315</v>
      </c>
      <c r="L84" s="72" t="n">
        <f aca="false">Abroad!N84</f>
        <v>146.758386662221</v>
      </c>
      <c r="M84" s="56" t="n">
        <f aca="false">SUM(B84:L84)</f>
        <v>5451.85358129931</v>
      </c>
      <c r="N84" s="56" t="n">
        <f aca="false">(Paths!W84*army_cost+Paths!X84*res_cost)*Economy!H84/1000000</f>
        <v>48.9402</v>
      </c>
      <c r="O84" s="72" t="n">
        <f aca="false">Navy!Y84</f>
        <v>162.338877</v>
      </c>
      <c r="P84" s="56" t="n">
        <f aca="false">SUMPRODUCT((Events!$B$6:$B$400&lt;=$A84)*(Events!$C$6:$C$400&gt;=$A84)*(Events!$E$6:$E$400="War &amp; operations")*Events!$H$6:$H$400)</f>
        <v>9.99430964406355</v>
      </c>
      <c r="Q84" s="56" t="n">
        <f aca="false">Economy!O84*Paths!T84</f>
        <v>2262.86150935464</v>
      </c>
      <c r="R84" s="56" t="n">
        <f aca="false">Economy!O84*Paths!U84</f>
        <v>1045.20162094903</v>
      </c>
      <c r="S84" s="56" t="n">
        <f aca="false">Economy!O84*Paths!V84+SUMPRODUCT((Events!$B$6:$B$400&lt;=$A84)*(Events!$C$6:$C$400&gt;=$A84)*(Events!$E$6:$E$400="Programme")*Events!$H$6:$H$400)+SUMPRODUCT((Events!$B$6:$B$400&lt;=$A84)*(Events!$C$6:$C$400&gt;=$A84)*(Events!$E$6:$E$400="Investment")*Events!$H$6:$H$400)</f>
        <v>427.16064837961</v>
      </c>
      <c r="T84" s="56" t="n">
        <f aca="false">(People!T84*assist_cost+Labour!AD84*talent_cost+Labour!L84*gw_admin)*Economy!H84/1000000</f>
        <v>80.7473404300585</v>
      </c>
      <c r="U84" s="56" t="n">
        <f aca="false">SUMPRODUCT((Events!$B$6:$B$400&lt;=$A84)*(Events!$C$6:$C$400&gt;=$A84)*(Events!$E$6:$E$400="Purchase")*Events!$H$6:$H$400)</f>
        <v>0</v>
      </c>
      <c r="V84" s="56" t="n">
        <f aca="false">SUMPRODUCT((Events!$B$6:$B$400&lt;=$A84)*(Events!$C$6:$C$400&gt;=$A84)*(Events!$E$6:$E$400="Subsidy &amp; guarantee")*Events!$H$6:$H$400)+SUMPRODUCT((Events!$B$6:$B$400&lt;=$A84)*(Events!$C$6:$C$400&gt;=$A84)*(Events!$E$6:$E$400="Relief")*Events!$H$6:$H$400)</f>
        <v>2.05</v>
      </c>
      <c r="W84" s="56" t="n">
        <f aca="false">SUMPRODUCT((Events!$B$6:$B$400&lt;=$A84)*(Events!$C$6:$C$400&gt;=$A84)*(Events!$E$6:$E$400="Bank rescue &amp; capital")*Events!$H$6:$H$400)</f>
        <v>0</v>
      </c>
      <c r="X84" s="56" t="n">
        <f aca="false">'Debt &amp; cash'!R83*Paths!Y84</f>
        <v>118.019335017237</v>
      </c>
      <c r="Y84" s="56" t="n">
        <f aca="false">SUM(N84:X84)</f>
        <v>4157.31384077464</v>
      </c>
      <c r="Z84" s="56" t="n">
        <f aca="false">M84-Y84</f>
        <v>1294.53974052468</v>
      </c>
      <c r="AA84" s="66" t="n">
        <f aca="false">M84/Economy!O84</f>
        <v>0.104321567667473</v>
      </c>
      <c r="AB84" s="66" t="n">
        <f aca="false">Y84/Economy!O84</f>
        <v>0.0795504667702269</v>
      </c>
      <c r="AC84" s="66" t="n">
        <f aca="false">(N84+O84+P84)/Economy!O84</f>
        <v>0.00423408043403436</v>
      </c>
    </row>
    <row r="85" customFormat="false" ht="14.25" hidden="false" customHeight="true" outlineLevel="0" collapsed="false">
      <c r="A85" s="61" t="n">
        <v>1925</v>
      </c>
      <c r="B85" s="56" t="n">
        <f aca="false">Economy!O85*Paths!N85*Paths!O85*cust_coll</f>
        <v>1009.77452167912</v>
      </c>
      <c r="C85" s="56" t="n">
        <f aca="false">(Economy!J85+Economy!L85+Economy!M85+Economy!N85)*Paths!P85*Paths!Q85</f>
        <v>3815.94380184516</v>
      </c>
      <c r="D85" s="56" t="n">
        <f aca="false">Resources!P85+Resources!Q85</f>
        <v>48.17</v>
      </c>
      <c r="E85" s="56" t="n">
        <f aca="false">Paths!S85*(1-canal_opcost)*canal_share</f>
        <v>15.6</v>
      </c>
      <c r="F85" s="56" t="n">
        <f aca="false">Economy!O85*Paths!R85</f>
        <v>112.988085675184</v>
      </c>
      <c r="G85" s="56" t="n">
        <f aca="false">SUMPRODUCT((Events!$B$6:$B$400&lt;=$A85)*(Events!$C$6:$C$400&gt;=$A85)*(Events!$E$6:$E$400="Receipt")*Events!$H$6:$H$400)+'Land Fund'!O85</f>
        <v>19.3336931964384</v>
      </c>
      <c r="H85" s="72" t="n">
        <f aca="false">Loans!Y85</f>
        <v>88.304799750061</v>
      </c>
      <c r="I85" s="56" t="n">
        <f aca="false">'Debt &amp; cash'!S84*fund_yield</f>
        <v>29.4287422537055</v>
      </c>
      <c r="J85" s="72" t="n">
        <f aca="false">Labour!Q85</f>
        <v>469.449437670339</v>
      </c>
      <c r="K85" s="72" t="n">
        <f aca="false">Champions!BD85</f>
        <v>121.141443054598</v>
      </c>
      <c r="L85" s="72" t="n">
        <f aca="false">Abroad!N85</f>
        <v>160.605243063778</v>
      </c>
      <c r="M85" s="56" t="n">
        <f aca="false">SUM(B85:L85)</f>
        <v>5890.73976818838</v>
      </c>
      <c r="N85" s="56" t="n">
        <f aca="false">(Paths!W85*army_cost+Paths!X85*res_cost)*Economy!H85/1000000</f>
        <v>49.0875</v>
      </c>
      <c r="O85" s="72" t="n">
        <f aca="false">Navy!Y85</f>
        <v>167.308285</v>
      </c>
      <c r="P85" s="56" t="n">
        <f aca="false">SUMPRODUCT((Events!$B$6:$B$400&lt;=$A85)*(Events!$C$6:$C$400&gt;=$A85)*(Events!$E$6:$E$400="War &amp; operations")*Events!$H$6:$H$400)</f>
        <v>10.1793894522869</v>
      </c>
      <c r="Q85" s="56" t="n">
        <f aca="false">Economy!O85*Paths!T85</f>
        <v>2468.78967200278</v>
      </c>
      <c r="R85" s="56" t="n">
        <f aca="false">Economy!O85*Paths!U85</f>
        <v>1129.88085675184</v>
      </c>
      <c r="S85" s="56" t="n">
        <f aca="false">Economy!O85*Paths!V85+SUMPRODUCT((Events!$B$6:$B$400&lt;=$A85)*(Events!$C$6:$C$400&gt;=$A85)*(Events!$E$6:$E$400="Programme")*Events!$H$6:$H$400)+SUMPRODUCT((Events!$B$6:$B$400&lt;=$A85)*(Events!$C$6:$C$400&gt;=$A85)*(Events!$E$6:$E$400="Investment")*Events!$H$6:$H$400)</f>
        <v>461.032342700737</v>
      </c>
      <c r="T85" s="56" t="n">
        <f aca="false">(People!T85*assist_cost+Labour!AD85*talent_cost+Labour!L85*gw_admin)*Economy!H85/1000000</f>
        <v>89.0322071461124</v>
      </c>
      <c r="U85" s="56" t="n">
        <f aca="false">SUMPRODUCT((Events!$B$6:$B$400&lt;=$A85)*(Events!$C$6:$C$400&gt;=$A85)*(Events!$E$6:$E$400="Purchase")*Events!$H$6:$H$400)</f>
        <v>0</v>
      </c>
      <c r="V85" s="56" t="n">
        <f aca="false">SUMPRODUCT((Events!$B$6:$B$400&lt;=$A85)*(Events!$C$6:$C$400&gt;=$A85)*(Events!$E$6:$E$400="Subsidy &amp; guarantee")*Events!$H$6:$H$400)+SUMPRODUCT((Events!$B$6:$B$400&lt;=$A85)*(Events!$C$6:$C$400&gt;=$A85)*(Events!$E$6:$E$400="Relief")*Events!$H$6:$H$400)</f>
        <v>2.05</v>
      </c>
      <c r="W85" s="56" t="n">
        <f aca="false">SUMPRODUCT((Events!$B$6:$B$400&lt;=$A85)*(Events!$C$6:$C$400&gt;=$A85)*(Events!$E$6:$E$400="Bank rescue &amp; capital")*Events!$H$6:$H$400)</f>
        <v>0</v>
      </c>
      <c r="X85" s="56" t="n">
        <f aca="false">'Debt &amp; cash'!R84*Paths!Y85</f>
        <v>126.469396134832</v>
      </c>
      <c r="Y85" s="56" t="n">
        <f aca="false">SUM(N85:X85)</f>
        <v>4503.82964918859</v>
      </c>
      <c r="Z85" s="56" t="n">
        <f aca="false">M85-Y85</f>
        <v>1386.91011899979</v>
      </c>
      <c r="AA85" s="66" t="n">
        <f aca="false">M85/Economy!O85</f>
        <v>0.104271874914722</v>
      </c>
      <c r="AB85" s="66" t="n">
        <f aca="false">Y85/Economy!O85</f>
        <v>0.0797222047311448</v>
      </c>
      <c r="AC85" s="66" t="n">
        <f aca="false">(N85+O85+P85)/Economy!O85</f>
        <v>0.00401060294274992</v>
      </c>
    </row>
    <row r="86" customFormat="false" ht="14.25" hidden="false" customHeight="true" outlineLevel="0" collapsed="false">
      <c r="A86" s="61" t="n">
        <v>1926</v>
      </c>
      <c r="B86" s="56" t="n">
        <f aca="false">Economy!O86*Paths!N86*Paths!O86*cust_coll</f>
        <v>1044.40263284268</v>
      </c>
      <c r="C86" s="56" t="n">
        <f aca="false">(Economy!J86+Economy!L86+Economy!M86+Economy!N86)*Paths!P86*Paths!Q86</f>
        <v>3981.01594360115</v>
      </c>
      <c r="D86" s="56" t="n">
        <f aca="false">Resources!P86+Resources!Q86</f>
        <v>48.1525</v>
      </c>
      <c r="E86" s="56" t="n">
        <f aca="false">Paths!S86*(1-canal_opcost)*canal_share</f>
        <v>16.2</v>
      </c>
      <c r="F86" s="56" t="n">
        <f aca="false">Economy!O86*Paths!R86</f>
        <v>117.859777556897</v>
      </c>
      <c r="G86" s="56" t="n">
        <f aca="false">SUMPRODUCT((Events!$B$6:$B$400&lt;=$A86)*(Events!$C$6:$C$400&gt;=$A86)*(Events!$E$6:$E$400="Receipt")*Events!$H$6:$H$400)+'Land Fund'!O86</f>
        <v>19.3521155212329</v>
      </c>
      <c r="H86" s="72" t="n">
        <f aca="false">Loans!Y86</f>
        <v>86.5378799372222</v>
      </c>
      <c r="I86" s="56" t="n">
        <f aca="false">'Debt &amp; cash'!S85*fund_yield</f>
        <v>32.480183703872</v>
      </c>
      <c r="J86" s="72" t="n">
        <f aca="false">Labour!Q86</f>
        <v>497.711804691843</v>
      </c>
      <c r="K86" s="72" t="n">
        <f aca="false">Champions!BD86</f>
        <v>130.416121123765</v>
      </c>
      <c r="L86" s="72" t="n">
        <f aca="false">Abroad!N86</f>
        <v>176.56382707736</v>
      </c>
      <c r="M86" s="56" t="n">
        <f aca="false">SUM(B86:L86)</f>
        <v>6150.69278605603</v>
      </c>
      <c r="N86" s="56" t="n">
        <f aca="false">(Paths!W86*army_cost+Paths!X86*res_cost)*Economy!H86/1000000</f>
        <v>48.8106</v>
      </c>
      <c r="O86" s="72" t="n">
        <f aca="false">Navy!Y86</f>
        <v>153.7792505</v>
      </c>
      <c r="P86" s="56" t="n">
        <f aca="false">SUMPRODUCT((Events!$B$6:$B$400&lt;=$A86)*(Events!$C$6:$C$400&gt;=$A86)*(Events!$E$6:$E$400="War &amp; operations")*Events!$H$6:$H$400)</f>
        <v>9.99430964406355</v>
      </c>
      <c r="Q86" s="56" t="n">
        <f aca="false">Economy!O86*Paths!T86</f>
        <v>2592.91510625173</v>
      </c>
      <c r="R86" s="56" t="n">
        <f aca="false">Economy!O86*Paths!U86</f>
        <v>1178.59777556897</v>
      </c>
      <c r="S86" s="56" t="n">
        <f aca="false">Economy!O86*Paths!V86+SUMPRODUCT((Events!$B$6:$B$400&lt;=$A86)*(Events!$C$6:$C$400&gt;=$A86)*(Events!$E$6:$E$400="Programme")*Events!$H$6:$H$400)+SUMPRODUCT((Events!$B$6:$B$400&lt;=$A86)*(Events!$C$6:$C$400&gt;=$A86)*(Events!$E$6:$E$400="Investment")*Events!$H$6:$H$400)</f>
        <v>480.519110227586</v>
      </c>
      <c r="T86" s="56" t="n">
        <f aca="false">(People!T86*assist_cost+Labour!AD86*talent_cost+Labour!L86*gw_admin)*Economy!H86/1000000</f>
        <v>90.4997556511173</v>
      </c>
      <c r="U86" s="56" t="n">
        <f aca="false">SUMPRODUCT((Events!$B$6:$B$400&lt;=$A86)*(Events!$C$6:$C$400&gt;=$A86)*(Events!$E$6:$E$400="Purchase")*Events!$H$6:$H$400)</f>
        <v>0</v>
      </c>
      <c r="V86" s="56" t="n">
        <f aca="false">SUMPRODUCT((Events!$B$6:$B$400&lt;=$A86)*(Events!$C$6:$C$400&gt;=$A86)*(Events!$E$6:$E$400="Subsidy &amp; guarantee")*Events!$H$6:$H$400)+SUMPRODUCT((Events!$B$6:$B$400&lt;=$A86)*(Events!$C$6:$C$400&gt;=$A86)*(Events!$E$6:$E$400="Relief")*Events!$H$6:$H$400)</f>
        <v>2.05</v>
      </c>
      <c r="W86" s="56" t="n">
        <f aca="false">SUMPRODUCT((Events!$B$6:$B$400&lt;=$A86)*(Events!$C$6:$C$400&gt;=$A86)*(Events!$E$6:$E$400="Bank rescue &amp; capital")*Events!$H$6:$H$400)</f>
        <v>0</v>
      </c>
      <c r="X86" s="56" t="n">
        <f aca="false">'Debt &amp; cash'!R85*Paths!Y86</f>
        <v>137.562994309537</v>
      </c>
      <c r="Y86" s="56" t="n">
        <f aca="false">SUM(N86:X86)</f>
        <v>4694.728902153</v>
      </c>
      <c r="Z86" s="56" t="n">
        <f aca="false">M86-Y86</f>
        <v>1455.96388390303</v>
      </c>
      <c r="AA86" s="66" t="n">
        <f aca="false">M86/Economy!O86</f>
        <v>0.104373059470383</v>
      </c>
      <c r="AB86" s="66" t="n">
        <f aca="false">Y86/Economy!O86</f>
        <v>0.0796663458810046</v>
      </c>
      <c r="AC86" s="66" t="n">
        <f aca="false">(N86+O86+P86)/Economy!O86</f>
        <v>0.00360740813449167</v>
      </c>
    </row>
    <row r="87" customFormat="false" ht="14.25" hidden="false" customHeight="true" outlineLevel="0" collapsed="false">
      <c r="A87" s="61" t="n">
        <v>1927</v>
      </c>
      <c r="B87" s="56" t="n">
        <f aca="false">Economy!O87*Paths!N87*Paths!O87*cust_coll</f>
        <v>1073.6934237748</v>
      </c>
      <c r="C87" s="56" t="n">
        <f aca="false">(Economy!J87+Economy!L87+Economy!M87+Economy!N87)*Paths!P87*Paths!Q87</f>
        <v>4381.99860205739</v>
      </c>
      <c r="D87" s="56" t="n">
        <f aca="false">Resources!P87+Resources!Q87</f>
        <v>52.0678125</v>
      </c>
      <c r="E87" s="56" t="n">
        <f aca="false">Paths!S87*(1-canal_opcost)*canal_share</f>
        <v>16.8</v>
      </c>
      <c r="F87" s="56" t="n">
        <f aca="false">Economy!O87*Paths!R87</f>
        <v>122.132749087133</v>
      </c>
      <c r="G87" s="56" t="n">
        <f aca="false">SUMPRODUCT((Events!$B$6:$B$400&lt;=$A87)*(Events!$C$6:$C$400&gt;=$A87)*(Events!$E$6:$E$400="Receipt")*Events!$H$6:$H$400)+'Land Fund'!O87</f>
        <v>19.3522675760274</v>
      </c>
      <c r="H87" s="72" t="n">
        <f aca="false">Loans!Y87</f>
        <v>90.12959378303</v>
      </c>
      <c r="I87" s="56" t="n">
        <f aca="false">'Debt &amp; cash'!S86*fund_yield</f>
        <v>35.7921421949713</v>
      </c>
      <c r="J87" s="72" t="n">
        <f aca="false">Labour!Q87</f>
        <v>522.268182430777</v>
      </c>
      <c r="K87" s="72" t="n">
        <f aca="false">Champions!BD87</f>
        <v>144.116331117787</v>
      </c>
      <c r="L87" s="72" t="n">
        <f aca="false">Abroad!N87</f>
        <v>196.768990278852</v>
      </c>
      <c r="M87" s="56" t="n">
        <f aca="false">SUM(B87:L87)</f>
        <v>6655.12009480077</v>
      </c>
      <c r="N87" s="56" t="n">
        <f aca="false">(Paths!W87*army_cost+Paths!X87*res_cost)*Economy!H87/1000000</f>
        <v>48.2295</v>
      </c>
      <c r="O87" s="72" t="n">
        <f aca="false">Navy!Y87</f>
        <v>192.7976349</v>
      </c>
      <c r="P87" s="56" t="n">
        <f aca="false">SUMPRODUCT((Events!$B$6:$B$400&lt;=$A87)*(Events!$C$6:$C$400&gt;=$A87)*(Events!$E$6:$E$400="War &amp; operations")*Events!$H$6:$H$400)</f>
        <v>9.74753656643235</v>
      </c>
      <c r="Q87" s="56" t="n">
        <f aca="false">Economy!O87*Paths!T87</f>
        <v>2705.24039227999</v>
      </c>
      <c r="R87" s="56" t="n">
        <f aca="false">Economy!O87*Paths!U87</f>
        <v>1221.32749087133</v>
      </c>
      <c r="S87" s="56" t="n">
        <f aca="false">Economy!O87*Paths!V87+SUMPRODUCT((Events!$B$6:$B$400&lt;=$A87)*(Events!$C$6:$C$400&gt;=$A87)*(Events!$E$6:$E$400="Programme")*Events!$H$6:$H$400)+SUMPRODUCT((Events!$B$6:$B$400&lt;=$A87)*(Events!$C$6:$C$400&gt;=$A87)*(Events!$E$6:$E$400="Investment")*Events!$H$6:$H$400)</f>
        <v>504.110996348531</v>
      </c>
      <c r="T87" s="56" t="n">
        <f aca="false">(People!T87*assist_cost+Labour!AD87*talent_cost+Labour!L87*gw_admin)*Economy!H87/1000000</f>
        <v>87.3761994218912</v>
      </c>
      <c r="U87" s="56" t="n">
        <f aca="false">SUMPRODUCT((Events!$B$6:$B$400&lt;=$A87)*(Events!$C$6:$C$400&gt;=$A87)*(Events!$E$6:$E$400="Purchase")*Events!$H$6:$H$400)</f>
        <v>1</v>
      </c>
      <c r="V87" s="56" t="n">
        <f aca="false">SUMPRODUCT((Events!$B$6:$B$400&lt;=$A87)*(Events!$C$6:$C$400&gt;=$A87)*(Events!$E$6:$E$400="Subsidy &amp; guarantee")*Events!$H$6:$H$400)+SUMPRODUCT((Events!$B$6:$B$400&lt;=$A87)*(Events!$C$6:$C$400&gt;=$A87)*(Events!$E$6:$E$400="Relief")*Events!$H$6:$H$400)</f>
        <v>2.55</v>
      </c>
      <c r="W87" s="56" t="n">
        <f aca="false">SUMPRODUCT((Events!$B$6:$B$400&lt;=$A87)*(Events!$C$6:$C$400&gt;=$A87)*(Events!$E$6:$E$400="Bank rescue &amp; capital")*Events!$H$6:$H$400)</f>
        <v>0</v>
      </c>
      <c r="X87" s="56" t="n">
        <f aca="false">'Debt &amp; cash'!R86*Paths!Y87</f>
        <v>144.083578063306</v>
      </c>
      <c r="Y87" s="56" t="n">
        <f aca="false">SUM(N87:X87)</f>
        <v>4916.46332845148</v>
      </c>
      <c r="Z87" s="56" t="n">
        <f aca="false">M87-Y87</f>
        <v>1738.65676634929</v>
      </c>
      <c r="AA87" s="66" t="n">
        <f aca="false">M87/Economy!O87</f>
        <v>0.108981745593114</v>
      </c>
      <c r="AB87" s="66" t="n">
        <f aca="false">Y87/Economy!O87</f>
        <v>0.0805101557968525</v>
      </c>
      <c r="AC87" s="66" t="n">
        <f aca="false">(N87+O87+P87)/Economy!O87</f>
        <v>0.00410659177560186</v>
      </c>
    </row>
    <row r="88" customFormat="false" ht="14.25" hidden="false" customHeight="true" outlineLevel="0" collapsed="false">
      <c r="A88" s="61" t="n">
        <v>1928</v>
      </c>
      <c r="B88" s="56" t="n">
        <f aca="false">Economy!O88*Paths!N88*Paths!O88*cust_coll</f>
        <v>1142.06630308278</v>
      </c>
      <c r="C88" s="56" t="n">
        <f aca="false">(Economy!J88+Economy!L88+Economy!M88+Economy!N88)*Paths!P88*Paths!Q88</f>
        <v>4701.5202425076</v>
      </c>
      <c r="D88" s="56" t="n">
        <f aca="false">Resources!P88+Resources!Q88</f>
        <v>55.8680125</v>
      </c>
      <c r="E88" s="56" t="n">
        <f aca="false">Paths!S88*(1-canal_opcost)*canal_share</f>
        <v>17.4</v>
      </c>
      <c r="F88" s="56" t="n">
        <f aca="false">Economy!O88*Paths!R88</f>
        <v>131.037025917065</v>
      </c>
      <c r="G88" s="56" t="n">
        <f aca="false">SUMPRODUCT((Events!$B$6:$B$400&lt;=$A88)*(Events!$C$6:$C$400&gt;=$A88)*(Events!$E$6:$E$400="Receipt")*Events!$H$6:$H$400)+'Land Fund'!O88</f>
        <v>26.3524196308219</v>
      </c>
      <c r="H88" s="72" t="n">
        <f aca="false">Loans!Y88</f>
        <v>92.2435800441248</v>
      </c>
      <c r="I88" s="56" t="n">
        <f aca="false">'Debt &amp; cash'!S87*fund_yield</f>
        <v>39.2300066926074</v>
      </c>
      <c r="J88" s="72" t="n">
        <f aca="false">Labour!Q88</f>
        <v>568.428355523814</v>
      </c>
      <c r="K88" s="72" t="n">
        <f aca="false">Champions!BD88</f>
        <v>157.520244227654</v>
      </c>
      <c r="L88" s="72" t="n">
        <f aca="false">Abroad!N88</f>
        <v>214.57682561168</v>
      </c>
      <c r="M88" s="56" t="n">
        <f aca="false">SUM(B88:L88)</f>
        <v>7146.24301573814</v>
      </c>
      <c r="N88" s="56" t="n">
        <f aca="false">(Paths!W88*army_cost+Paths!X88*res_cost)*Economy!H88/1000000</f>
        <v>49.472</v>
      </c>
      <c r="O88" s="72" t="n">
        <f aca="false">Navy!Y88</f>
        <v>195.497544125</v>
      </c>
      <c r="P88" s="56" t="n">
        <f aca="false">SUMPRODUCT((Events!$B$6:$B$400&lt;=$A88)*(Events!$C$6:$C$400&gt;=$A88)*(Events!$E$6:$E$400="War &amp; operations")*Events!$H$6:$H$400)</f>
        <v>9.87092310524795</v>
      </c>
      <c r="Q88" s="56" t="n">
        <f aca="false">Economy!O88*Paths!T88</f>
        <v>2928.67752924641</v>
      </c>
      <c r="R88" s="56" t="n">
        <f aca="false">Economy!O88*Paths!U88</f>
        <v>1310.37025917065</v>
      </c>
      <c r="S88" s="56" t="n">
        <f aca="false">Economy!O88*Paths!V88+SUMPRODUCT((Events!$B$6:$B$400&lt;=$A88)*(Events!$C$6:$C$400&gt;=$A88)*(Events!$E$6:$E$400="Programme")*Events!$H$6:$H$400)+SUMPRODUCT((Events!$B$6:$B$400&lt;=$A88)*(Events!$C$6:$C$400&gt;=$A88)*(Events!$E$6:$E$400="Investment")*Events!$H$6:$H$400)</f>
        <v>556.728103668262</v>
      </c>
      <c r="T88" s="56" t="n">
        <f aca="false">(People!T88*assist_cost+Labour!AD88*talent_cost+Labour!L88*gw_admin)*Economy!H88/1000000</f>
        <v>92.9163965408392</v>
      </c>
      <c r="U88" s="56" t="n">
        <f aca="false">SUMPRODUCT((Events!$B$6:$B$400&lt;=$A88)*(Events!$C$6:$C$400&gt;=$A88)*(Events!$E$6:$E$400="Purchase")*Events!$H$6:$H$400)</f>
        <v>1</v>
      </c>
      <c r="V88" s="56" t="n">
        <f aca="false">SUMPRODUCT((Events!$B$6:$B$400&lt;=$A88)*(Events!$C$6:$C$400&gt;=$A88)*(Events!$E$6:$E$400="Subsidy &amp; guarantee")*Events!$H$6:$H$400)+SUMPRODUCT((Events!$B$6:$B$400&lt;=$A88)*(Events!$C$6:$C$400&gt;=$A88)*(Events!$E$6:$E$400="Relief")*Events!$H$6:$H$400)</f>
        <v>2.55</v>
      </c>
      <c r="W88" s="56" t="n">
        <f aca="false">SUMPRODUCT((Events!$B$6:$B$400&lt;=$A88)*(Events!$C$6:$C$400&gt;=$A88)*(Events!$E$6:$E$400="Bank rescue &amp; capital")*Events!$H$6:$H$400)</f>
        <v>0</v>
      </c>
      <c r="X88" s="56" t="n">
        <f aca="false">'Debt &amp; cash'!R87*Paths!Y88</f>
        <v>149.917949504455</v>
      </c>
      <c r="Y88" s="56" t="n">
        <f aca="false">SUM(N88:X88)</f>
        <v>5297.00070536087</v>
      </c>
      <c r="Z88" s="56" t="n">
        <f aca="false">M88-Y88</f>
        <v>1849.24231037727</v>
      </c>
      <c r="AA88" s="66" t="n">
        <f aca="false">M88/Economy!O88</f>
        <v>0.109072118597397</v>
      </c>
      <c r="AB88" s="66" t="n">
        <f aca="false">Y88/Economy!O88</f>
        <v>0.080847389022907</v>
      </c>
      <c r="AC88" s="66" t="n">
        <f aca="false">(N88+O88+P88)/Economy!O88</f>
        <v>0.00388959479882486</v>
      </c>
    </row>
    <row r="89" customFormat="false" ht="14.25" hidden="false" customHeight="true" outlineLevel="0" collapsed="false">
      <c r="A89" s="61" t="n">
        <v>1929</v>
      </c>
      <c r="B89" s="56" t="n">
        <f aca="false">Economy!O89*Paths!N89*Paths!O89*cust_coll</f>
        <v>1200.48206663492</v>
      </c>
      <c r="C89" s="56" t="n">
        <f aca="false">(Economy!J89+Economy!L89+Economy!M89+Economy!N89)*Paths!P89*Paths!Q89</f>
        <v>4985.23857143364</v>
      </c>
      <c r="D89" s="56" t="n">
        <f aca="false">Resources!P89+Resources!Q89</f>
        <v>59.175</v>
      </c>
      <c r="E89" s="56" t="n">
        <f aca="false">Paths!S89*(1-canal_opcost)*canal_share</f>
        <v>18</v>
      </c>
      <c r="F89" s="56" t="n">
        <f aca="false">Economy!O89*Paths!R89</f>
        <v>138.944683638301</v>
      </c>
      <c r="G89" s="56" t="n">
        <f aca="false">SUMPRODUCT((Events!$B$6:$B$400&lt;=$A89)*(Events!$C$6:$C$400&gt;=$A89)*(Events!$E$6:$E$400="Receipt")*Events!$H$6:$H$400)+'Land Fund'!O89</f>
        <v>28.0271349722164</v>
      </c>
      <c r="H89" s="72" t="n">
        <f aca="false">Loans!Y89</f>
        <v>90.6002639657918</v>
      </c>
      <c r="I89" s="56" t="n">
        <f aca="false">'Debt &amp; cash'!S88*fund_yield</f>
        <v>43.331525725369</v>
      </c>
      <c r="J89" s="72" t="n">
        <f aca="false">Labour!Q89</f>
        <v>608.149408837855</v>
      </c>
      <c r="K89" s="72" t="n">
        <f aca="false">Champions!BD89</f>
        <v>171.022987177803</v>
      </c>
      <c r="L89" s="72" t="n">
        <f aca="false">Abroad!N89</f>
        <v>234.447259547433</v>
      </c>
      <c r="M89" s="56" t="n">
        <f aca="false">SUM(B89:L89)</f>
        <v>7577.41890193333</v>
      </c>
      <c r="N89" s="56" t="n">
        <f aca="false">(Paths!W89*army_cost+Paths!X89*res_cost)*Economy!H89/1000000</f>
        <v>50.08</v>
      </c>
      <c r="O89" s="72" t="n">
        <f aca="false">Navy!Y89</f>
        <v>183.352537875</v>
      </c>
      <c r="P89" s="56" t="n">
        <f aca="false">SUMPRODUCT((Events!$B$6:$B$400&lt;=$A89)*(Events!$C$6:$C$400&gt;=$A89)*(Events!$E$6:$E$400="War &amp; operations")*Events!$H$6:$H$400)</f>
        <v>19.8709231052479</v>
      </c>
      <c r="Q89" s="56" t="n">
        <f aca="false">Economy!O89*Paths!T89</f>
        <v>3126.25538186178</v>
      </c>
      <c r="R89" s="56" t="n">
        <f aca="false">Economy!O89*Paths!U89</f>
        <v>1389.44683638301</v>
      </c>
      <c r="S89" s="56" t="n">
        <f aca="false">Economy!O89*Paths!V89+SUMPRODUCT((Events!$B$6:$B$400&lt;=$A89)*(Events!$C$6:$C$400&gt;=$A89)*(Events!$E$6:$E$400="Programme")*Events!$H$6:$H$400)+SUMPRODUCT((Events!$B$6:$B$400&lt;=$A89)*(Events!$C$6:$C$400&gt;=$A89)*(Events!$E$6:$E$400="Investment")*Events!$H$6:$H$400)</f>
        <v>588.358734553205</v>
      </c>
      <c r="T89" s="56" t="n">
        <f aca="false">(People!T89*assist_cost+Labour!AD89*talent_cost+Labour!L89*gw_admin)*Economy!H89/1000000</f>
        <v>97.353758867659</v>
      </c>
      <c r="U89" s="56" t="n">
        <f aca="false">SUMPRODUCT((Events!$B$6:$B$400&lt;=$A89)*(Events!$C$6:$C$400&gt;=$A89)*(Events!$E$6:$E$400="Purchase")*Events!$H$6:$H$400)</f>
        <v>1</v>
      </c>
      <c r="V89" s="56" t="n">
        <f aca="false">SUMPRODUCT((Events!$B$6:$B$400&lt;=$A89)*(Events!$C$6:$C$400&gt;=$A89)*(Events!$E$6:$E$400="Subsidy &amp; guarantee")*Events!$H$6:$H$400)+SUMPRODUCT((Events!$B$6:$B$400&lt;=$A89)*(Events!$C$6:$C$400&gt;=$A89)*(Events!$E$6:$E$400="Relief")*Events!$H$6:$H$400)</f>
        <v>0.55</v>
      </c>
      <c r="W89" s="56" t="n">
        <f aca="false">SUMPRODUCT((Events!$B$6:$B$400&lt;=$A89)*(Events!$C$6:$C$400&gt;=$A89)*(Events!$E$6:$E$400="Bank rescue &amp; capital")*Events!$H$6:$H$400)</f>
        <v>0</v>
      </c>
      <c r="X89" s="56" t="n">
        <f aca="false">'Debt &amp; cash'!R88*Paths!Y89</f>
        <v>161.503134442783</v>
      </c>
      <c r="Y89" s="56" t="n">
        <f aca="false">SUM(N89:X89)</f>
        <v>5617.77130708869</v>
      </c>
      <c r="Z89" s="56" t="n">
        <f aca="false">M89-Y89</f>
        <v>1959.64759484464</v>
      </c>
      <c r="AA89" s="66" t="n">
        <f aca="false">M89/Economy!O89</f>
        <v>0.109071015939822</v>
      </c>
      <c r="AB89" s="66" t="n">
        <f aca="false">Y89/Economy!O89</f>
        <v>0.0808634221905573</v>
      </c>
      <c r="AC89" s="66" t="n">
        <f aca="false">(N89+O89+P89)/Economy!O89</f>
        <v>0.00364610511676206</v>
      </c>
    </row>
    <row r="90" customFormat="false" ht="14.25" hidden="false" customHeight="true" outlineLevel="0" collapsed="false">
      <c r="A90" s="61" t="n">
        <v>1930</v>
      </c>
      <c r="B90" s="56" t="n">
        <f aca="false">Economy!O90*Paths!N90*Paths!O90*cust_coll</f>
        <v>1059.30952990661</v>
      </c>
      <c r="C90" s="56" t="n">
        <f aca="false">(Economy!J90+Economy!L90+Economy!M90+Economy!N90)*Paths!P90*Paths!Q90</f>
        <v>4700.61947442918</v>
      </c>
      <c r="D90" s="56" t="n">
        <f aca="false">Resources!P90+Resources!Q90</f>
        <v>44.03</v>
      </c>
      <c r="E90" s="56" t="n">
        <f aca="false">Paths!S90*(1-canal_opcost)*canal_share</f>
        <v>16.5</v>
      </c>
      <c r="F90" s="56" t="n">
        <f aca="false">Economy!O90*Paths!R90</f>
        <v>130.778954309458</v>
      </c>
      <c r="G90" s="56" t="n">
        <f aca="false">SUMPRODUCT((Events!$B$6:$B$400&lt;=$A90)*(Events!$C$6:$C$400&gt;=$A90)*(Events!$E$6:$E$400="Receipt")*Events!$H$6:$H$400)+'Land Fund'!O90</f>
        <v>30.490046341931</v>
      </c>
      <c r="H90" s="72" t="n">
        <f aca="false">Loans!Y90</f>
        <v>87.1730727673393</v>
      </c>
      <c r="I90" s="56" t="n">
        <f aca="false">'Debt &amp; cash'!S89*fund_yield</f>
        <v>47.8006107071041</v>
      </c>
      <c r="J90" s="72" t="n">
        <f aca="false">Labour!Q90</f>
        <v>528.033028524261</v>
      </c>
      <c r="K90" s="72" t="n">
        <f aca="false">Champions!BD90</f>
        <v>153.568244410089</v>
      </c>
      <c r="L90" s="72" t="n">
        <f aca="false">Abroad!N90</f>
        <v>236.127994743472</v>
      </c>
      <c r="M90" s="56" t="n">
        <f aca="false">SUM(B90:L90)</f>
        <v>7034.43095613944</v>
      </c>
      <c r="N90" s="56" t="n">
        <f aca="false">(Paths!W90*army_cost+Paths!X90*res_cost)*Economy!H90/1000000</f>
        <v>49.52882</v>
      </c>
      <c r="O90" s="72" t="n">
        <f aca="false">Navy!Y90</f>
        <v>188.07754238</v>
      </c>
      <c r="P90" s="56" t="n">
        <f aca="false">SUMPRODUCT((Events!$B$6:$B$400&lt;=$A90)*(Events!$C$6:$C$400&gt;=$A90)*(Events!$E$6:$E$400="War &amp; operations")*Events!$H$6:$H$400)</f>
        <v>9.43907021939335</v>
      </c>
      <c r="Q90" s="56" t="n">
        <f aca="false">Economy!O90*Paths!T90</f>
        <v>2988.29910597112</v>
      </c>
      <c r="R90" s="56" t="n">
        <f aca="false">Economy!O90*Paths!U90</f>
        <v>1569.3474517135</v>
      </c>
      <c r="S90" s="56" t="n">
        <f aca="false">Economy!O90*Paths!V90+SUMPRODUCT((Events!$B$6:$B$400&lt;=$A90)*(Events!$C$6:$C$400&gt;=$A90)*(Events!$E$6:$E$400="Programme")*Events!$H$6:$H$400)+SUMPRODUCT((Events!$B$6:$B$400&lt;=$A90)*(Events!$C$6:$C$400&gt;=$A90)*(Events!$E$6:$E$400="Investment")*Events!$H$6:$H$400)</f>
        <v>555.695817237833</v>
      </c>
      <c r="T90" s="56" t="n">
        <f aca="false">(People!T90*assist_cost+Labour!AD90*talent_cost+Labour!L90*gw_admin)*Economy!H90/1000000</f>
        <v>84.9108157133167</v>
      </c>
      <c r="U90" s="56" t="n">
        <f aca="false">SUMPRODUCT((Events!$B$6:$B$400&lt;=$A90)*(Events!$C$6:$C$400&gt;=$A90)*(Events!$E$6:$E$400="Purchase")*Events!$H$6:$H$400)</f>
        <v>0</v>
      </c>
      <c r="V90" s="56" t="n">
        <f aca="false">SUMPRODUCT((Events!$B$6:$B$400&lt;=$A90)*(Events!$C$6:$C$400&gt;=$A90)*(Events!$E$6:$E$400="Subsidy &amp; guarantee")*Events!$H$6:$H$400)+SUMPRODUCT((Events!$B$6:$B$400&lt;=$A90)*(Events!$C$6:$C$400&gt;=$A90)*(Events!$E$6:$E$400="Relief")*Events!$H$6:$H$400)</f>
        <v>0.55</v>
      </c>
      <c r="W90" s="56" t="n">
        <f aca="false">SUMPRODUCT((Events!$B$6:$B$400&lt;=$A90)*(Events!$C$6:$C$400&gt;=$A90)*(Events!$E$6:$E$400="Bank rescue &amp; capital")*Events!$H$6:$H$400)</f>
        <v>0</v>
      </c>
      <c r="X90" s="56" t="n">
        <f aca="false">'Debt &amp; cash'!R89*Paths!Y90</f>
        <v>172.291407711494</v>
      </c>
      <c r="Y90" s="56" t="n">
        <f aca="false">SUM(N90:X90)</f>
        <v>5618.14003094666</v>
      </c>
      <c r="Z90" s="56" t="n">
        <f aca="false">M90-Y90</f>
        <v>1416.29092519279</v>
      </c>
      <c r="AA90" s="66" t="n">
        <f aca="false">M90/Economy!O90</f>
        <v>0.107577415544922</v>
      </c>
      <c r="AB90" s="66" t="n">
        <f aca="false">Y90/Economy!O90</f>
        <v>0.0859181060226651</v>
      </c>
      <c r="AC90" s="66" t="n">
        <f aca="false">(N90+O90+P90)/Economy!O90</f>
        <v>0.00377806098701198</v>
      </c>
    </row>
    <row r="91" customFormat="false" ht="14.25" hidden="false" customHeight="true" outlineLevel="0" collapsed="false">
      <c r="A91" s="61" t="n">
        <v>1931</v>
      </c>
      <c r="B91" s="56" t="n">
        <f aca="false">Economy!O91*Paths!N91*Paths!O91*cust_coll</f>
        <v>897.073886104252</v>
      </c>
      <c r="C91" s="56" t="n">
        <f aca="false">(Economy!J91+Economy!L91+Economy!M91+Economy!N91)*Paths!P91*Paths!Q91</f>
        <v>4122.29382803349</v>
      </c>
      <c r="D91" s="56" t="n">
        <f aca="false">Resources!P91+Resources!Q91</f>
        <v>24.335</v>
      </c>
      <c r="E91" s="56" t="n">
        <f aca="false">Paths!S91*(1-canal_opcost)*canal_share</f>
        <v>15</v>
      </c>
      <c r="F91" s="56" t="n">
        <f aca="false">Economy!O91*Paths!R91</f>
        <v>118.660566945007</v>
      </c>
      <c r="G91" s="56" t="n">
        <f aca="false">SUMPRODUCT((Events!$B$6:$B$400&lt;=$A91)*(Events!$C$6:$C$400&gt;=$A91)*(Events!$E$6:$E$400="Receipt")*Events!$H$6:$H$400)+'Land Fund'!O91</f>
        <v>30.4901983967255</v>
      </c>
      <c r="H91" s="72" t="n">
        <f aca="false">Loans!Y91</f>
        <v>17.0151730726414</v>
      </c>
      <c r="I91" s="56" t="n">
        <f aca="false">'Debt &amp; cash'!S90*fund_yield</f>
        <v>51.538480790564</v>
      </c>
      <c r="J91" s="72" t="n">
        <f aca="false">Labour!Q91</f>
        <v>415.584087495857</v>
      </c>
      <c r="K91" s="72" t="n">
        <f aca="false">Champions!BD91</f>
        <v>121.113350193509</v>
      </c>
      <c r="L91" s="72" t="n">
        <f aca="false">Abroad!N91</f>
        <v>163.97173056791</v>
      </c>
      <c r="M91" s="56" t="n">
        <f aca="false">SUM(B91:L91)</f>
        <v>5977.07630159996</v>
      </c>
      <c r="N91" s="56" t="n">
        <f aca="false">(Paths!W91*army_cost+Paths!X91*res_cost)*Economy!H91/1000000</f>
        <v>47.09102</v>
      </c>
      <c r="O91" s="72" t="n">
        <f aca="false">Navy!Y91</f>
        <v>187.191994145</v>
      </c>
      <c r="P91" s="56" t="n">
        <f aca="false">SUMPRODUCT((Events!$B$6:$B$400&lt;=$A91)*(Events!$C$6:$C$400&gt;=$A91)*(Events!$E$6:$E$400="War &amp; operations")*Events!$H$6:$H$400)</f>
        <v>13.4519779088686</v>
      </c>
      <c r="Q91" s="56" t="n">
        <f aca="false">Economy!O91*Paths!T91</f>
        <v>2746.99212477691</v>
      </c>
      <c r="R91" s="56" t="n">
        <f aca="false">Economy!O91*Paths!U91</f>
        <v>1542.58737028509</v>
      </c>
      <c r="S91" s="56" t="n">
        <f aca="false">Economy!O91*Paths!V91+SUMPRODUCT((Events!$B$6:$B$400&lt;=$A91)*(Events!$C$6:$C$400&gt;=$A91)*(Events!$E$6:$E$400="Programme")*Events!$H$6:$H$400)+SUMPRODUCT((Events!$B$6:$B$400&lt;=$A91)*(Events!$C$6:$C$400&gt;=$A91)*(Events!$E$6:$E$400="Investment")*Events!$H$6:$H$400)</f>
        <v>507.722267780028</v>
      </c>
      <c r="T91" s="56" t="n">
        <f aca="false">(People!T91*assist_cost+Labour!AD91*talent_cost+Labour!L91*gw_admin)*Economy!H91/1000000</f>
        <v>77.8738842835077</v>
      </c>
      <c r="U91" s="56" t="n">
        <f aca="false">SUMPRODUCT((Events!$B$6:$B$400&lt;=$A91)*(Events!$C$6:$C$400&gt;=$A91)*(Events!$E$6:$E$400="Purchase")*Events!$H$6:$H$400)</f>
        <v>0</v>
      </c>
      <c r="V91" s="56" t="n">
        <f aca="false">SUMPRODUCT((Events!$B$6:$B$400&lt;=$A91)*(Events!$C$6:$C$400&gt;=$A91)*(Events!$E$6:$E$400="Subsidy &amp; guarantee")*Events!$H$6:$H$400)+SUMPRODUCT((Events!$B$6:$B$400&lt;=$A91)*(Events!$C$6:$C$400&gt;=$A91)*(Events!$E$6:$E$400="Relief")*Events!$H$6:$H$400)</f>
        <v>0.55</v>
      </c>
      <c r="W91" s="56" t="n">
        <f aca="false">SUMPRODUCT((Events!$B$6:$B$400&lt;=$A91)*(Events!$C$6:$C$400&gt;=$A91)*(Events!$E$6:$E$400="Bank rescue &amp; capital")*Events!$H$6:$H$400)</f>
        <v>75</v>
      </c>
      <c r="X91" s="56" t="n">
        <f aca="false">'Debt &amp; cash'!R90*Paths!Y91</f>
        <v>162.819798115275</v>
      </c>
      <c r="Y91" s="56" t="n">
        <f aca="false">SUM(N91:X91)</f>
        <v>5361.28043729468</v>
      </c>
      <c r="Z91" s="56" t="n">
        <f aca="false">M91-Y91</f>
        <v>615.795864305279</v>
      </c>
      <c r="AA91" s="66" t="n">
        <f aca="false">M91/Economy!O91</f>
        <v>0.100742419415037</v>
      </c>
      <c r="AB91" s="66" t="n">
        <f aca="false">Y91/Economy!O91</f>
        <v>0.0903633039235243</v>
      </c>
      <c r="AC91" s="66" t="n">
        <f aca="false">(N91+O91+P91)/Economy!O91</f>
        <v>0.00417552348572009</v>
      </c>
    </row>
    <row r="92" customFormat="false" ht="14.25" hidden="false" customHeight="true" outlineLevel="0" collapsed="false">
      <c r="A92" s="61" t="n">
        <v>1932</v>
      </c>
      <c r="B92" s="56" t="n">
        <f aca="false">Economy!O92*Paths!N92*Paths!O92*cust_coll</f>
        <v>770.039510923283</v>
      </c>
      <c r="C92" s="56" t="n">
        <f aca="false">(Economy!J92+Economy!L92+Economy!M92+Economy!N92)*Paths!P92*Paths!Q92</f>
        <v>3719.19023279083</v>
      </c>
      <c r="D92" s="56" t="n">
        <f aca="false">Resources!P92+Resources!Q92</f>
        <v>21.40875</v>
      </c>
      <c r="E92" s="56" t="n">
        <f aca="false">Paths!S92*(1-canal_opcost)*canal_share</f>
        <v>13.2</v>
      </c>
      <c r="F92" s="56" t="n">
        <f aca="false">Economy!O92*Paths!R92</f>
        <v>109.69223802326</v>
      </c>
      <c r="G92" s="56" t="n">
        <f aca="false">SUMPRODUCT((Events!$B$6:$B$400&lt;=$A92)*(Events!$C$6:$C$400&gt;=$A92)*(Events!$E$6:$E$400="Receipt")*Events!$H$6:$H$400)+'Land Fund'!O92</f>
        <v>30.49084887152</v>
      </c>
      <c r="H92" s="72" t="n">
        <f aca="false">Loans!Y92</f>
        <v>24.3305922956381</v>
      </c>
      <c r="I92" s="56" t="n">
        <f aca="false">'Debt &amp; cash'!S91*fund_yield</f>
        <v>53.0177753864754</v>
      </c>
      <c r="J92" s="72" t="n">
        <f aca="false">Labour!Q92</f>
        <v>334.03131286035</v>
      </c>
      <c r="K92" s="72" t="n">
        <f aca="false">Champions!BD92</f>
        <v>104.667753613816</v>
      </c>
      <c r="L92" s="72" t="n">
        <f aca="false">Abroad!N92</f>
        <v>149.972435590069</v>
      </c>
      <c r="M92" s="56" t="n">
        <f aca="false">SUM(B92:L92)</f>
        <v>5330.04145035524</v>
      </c>
      <c r="N92" s="56" t="n">
        <f aca="false">(Paths!W92*army_cost+Paths!X92*res_cost)*Economy!H92/1000000</f>
        <v>44.8644</v>
      </c>
      <c r="O92" s="72" t="n">
        <f aca="false">Navy!Y92</f>
        <v>163.22577063</v>
      </c>
      <c r="P92" s="56" t="n">
        <f aca="false">SUMPRODUCT((Events!$B$6:$B$400&lt;=$A92)*(Events!$C$6:$C$400&gt;=$A92)*(Events!$E$6:$E$400="War &amp; operations")*Events!$H$6:$H$400)</f>
        <v>7.52657886775156</v>
      </c>
      <c r="Q92" s="56" t="n">
        <f aca="false">Economy!O92*Paths!T92</f>
        <v>2577.7675935466</v>
      </c>
      <c r="R92" s="56" t="n">
        <f aca="false">Economy!O92*Paths!U92</f>
        <v>1425.99909430238</v>
      </c>
      <c r="S92" s="56" t="n">
        <f aca="false">Economy!O92*Paths!V92+SUMPRODUCT((Events!$B$6:$B$400&lt;=$A92)*(Events!$C$6:$C$400&gt;=$A92)*(Events!$E$6:$E$400="Programme")*Events!$H$6:$H$400)+SUMPRODUCT((Events!$B$6:$B$400&lt;=$A92)*(Events!$C$6:$C$400&gt;=$A92)*(Events!$E$6:$E$400="Investment")*Events!$H$6:$H$400)</f>
        <v>475.848952093039</v>
      </c>
      <c r="T92" s="56" t="n">
        <f aca="false">(People!T92*assist_cost+Labour!AD92*talent_cost+Labour!L92*gw_admin)*Economy!H92/1000000</f>
        <v>77.7860421106141</v>
      </c>
      <c r="U92" s="56" t="n">
        <f aca="false">SUMPRODUCT((Events!$B$6:$B$400&lt;=$A92)*(Events!$C$6:$C$400&gt;=$A92)*(Events!$E$6:$E$400="Purchase")*Events!$H$6:$H$400)</f>
        <v>0</v>
      </c>
      <c r="V92" s="56" t="n">
        <f aca="false">SUMPRODUCT((Events!$B$6:$B$400&lt;=$A92)*(Events!$C$6:$C$400&gt;=$A92)*(Events!$E$6:$E$400="Subsidy &amp; guarantee")*Events!$H$6:$H$400)+SUMPRODUCT((Events!$B$6:$B$400&lt;=$A92)*(Events!$C$6:$C$400&gt;=$A92)*(Events!$E$6:$E$400="Relief")*Events!$H$6:$H$400)</f>
        <v>0.55</v>
      </c>
      <c r="W92" s="56" t="n">
        <f aca="false">SUMPRODUCT((Events!$B$6:$B$400&lt;=$A92)*(Events!$C$6:$C$400&gt;=$A92)*(Events!$E$6:$E$400="Bank rescue &amp; capital")*Events!$H$6:$H$400)</f>
        <v>75</v>
      </c>
      <c r="X92" s="56" t="n">
        <f aca="false">'Debt &amp; cash'!R91*Paths!Y92</f>
        <v>152.807746049529</v>
      </c>
      <c r="Y92" s="56" t="n">
        <f aca="false">SUM(N92:X92)</f>
        <v>5001.37617759991</v>
      </c>
      <c r="Z92" s="56" t="n">
        <f aca="false">M92-Y92</f>
        <v>328.665272755329</v>
      </c>
      <c r="AA92" s="66" t="n">
        <f aca="false">M92/Economy!O92</f>
        <v>0.0971817431462203</v>
      </c>
      <c r="AB92" s="66" t="n">
        <f aca="false">Y92/Economy!O92</f>
        <v>0.091189244886031</v>
      </c>
      <c r="AC92" s="66" t="n">
        <f aca="false">(N92+O92+P92)/Economy!O92</f>
        <v>0.00393130367988355</v>
      </c>
    </row>
  </sheetData>
  <mergeCells count="3">
    <mergeCell ref="B4:M4"/>
    <mergeCell ref="N4:Y4"/>
    <mergeCell ref="Z4:AC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3" min="1" style="1" width="14"/>
    <col collapsed="false" customWidth="true" hidden="false" outlineLevel="0" max="25" min="25" style="1" width="44"/>
    <col collapsed="false" customWidth="true" hidden="false" outlineLevel="0" max="26" min="26" style="1" width="14"/>
  </cols>
  <sheetData>
    <row r="1" customFormat="false" ht="17.25" hidden="false" customHeight="true" outlineLevel="0" collapsed="false">
      <c r="A1" s="73" t="s">
        <v>1449</v>
      </c>
    </row>
    <row r="2" customFormat="false" ht="15" hidden="false" customHeight="true" outlineLevel="0" collapsed="false">
      <c r="A2" s="53" t="s">
        <v>1450</v>
      </c>
    </row>
    <row r="3" customFormat="false" ht="15" hidden="false" customHeight="true" outlineLevel="0" collapsed="false">
      <c r="A3" s="53" t="s">
        <v>1451</v>
      </c>
    </row>
    <row r="4" customFormat="false" ht="15" hidden="false" customHeight="true" outlineLevel="0" collapsed="false">
      <c r="A4" s="4" t="s">
        <v>1377</v>
      </c>
      <c r="B4" s="4" t="s">
        <v>1452</v>
      </c>
      <c r="I4" s="4" t="s">
        <v>1453</v>
      </c>
      <c r="M4" s="4" t="s">
        <v>1454</v>
      </c>
    </row>
    <row r="5" customFormat="false" ht="54" hidden="false" customHeight="true" outlineLevel="0" collapsed="false">
      <c r="A5" s="74" t="s">
        <v>103</v>
      </c>
      <c r="B5" s="74" t="s">
        <v>1455</v>
      </c>
      <c r="C5" s="74" t="s">
        <v>1456</v>
      </c>
      <c r="D5" s="74" t="s">
        <v>1457</v>
      </c>
      <c r="E5" s="74" t="s">
        <v>1458</v>
      </c>
      <c r="F5" s="74" t="s">
        <v>1459</v>
      </c>
      <c r="G5" s="74" t="s">
        <v>1460</v>
      </c>
      <c r="H5" s="74" t="s">
        <v>1461</v>
      </c>
      <c r="I5" s="74" t="s">
        <v>1462</v>
      </c>
      <c r="J5" s="74" t="s">
        <v>1463</v>
      </c>
      <c r="K5" s="74" t="s">
        <v>1464</v>
      </c>
      <c r="L5" s="74" t="s">
        <v>1465</v>
      </c>
      <c r="M5" s="74" t="s">
        <v>1466</v>
      </c>
      <c r="N5" s="74" t="s">
        <v>1467</v>
      </c>
      <c r="O5" s="74" t="s">
        <v>1468</v>
      </c>
      <c r="P5" s="74" t="s">
        <v>1469</v>
      </c>
      <c r="Q5" s="74" t="s">
        <v>1470</v>
      </c>
      <c r="R5" s="74" t="s">
        <v>1471</v>
      </c>
      <c r="S5" s="74" t="s">
        <v>1472</v>
      </c>
      <c r="T5" s="74" t="s">
        <v>1473</v>
      </c>
      <c r="U5" s="74" t="s">
        <v>1474</v>
      </c>
      <c r="V5" s="74" t="s">
        <v>1475</v>
      </c>
      <c r="W5" s="74" t="s">
        <v>1476</v>
      </c>
      <c r="Y5" s="4" t="s">
        <v>1477</v>
      </c>
    </row>
    <row r="6" customFormat="false" ht="15" hidden="false" customHeight="true" outlineLevel="0" collapsed="false">
      <c r="A6" s="4" t="n">
        <v>1846</v>
      </c>
      <c r="B6" s="47" t="n">
        <v>3893985</v>
      </c>
      <c r="C6" s="75" t="n">
        <f aca="false">MAX(0,B6*lfund_farm_scale-lfund_grants)</f>
        <v>0</v>
      </c>
      <c r="D6" s="75" t="n">
        <f aca="false">IF(AND(lfund_on=1,$A6&gt;=lfund_start),MIN(lfund_area-lfund_home-lfund_grants,INDEX($C$6:$C$92,MIN(87,1+lfund_lead))),0)</f>
        <v>0</v>
      </c>
      <c r="E6" s="75" t="n">
        <f aca="false">D6</f>
        <v>0</v>
      </c>
      <c r="F6" s="76" t="n">
        <f aca="false">lfund_price/lfund_term*(D6-IF(6-lfund_term&lt;6,0,INDEX($D$6:$D$92,6-5-lfund_term)))/1000000</f>
        <v>0</v>
      </c>
      <c r="G6" s="75" t="n">
        <f aca="false">IF(AND(lfund_on=1,$A6&gt;=lfund_start+1,$A6&lt;lfund_start+1+lfund_grant_years),lfund_grants/lfund_grant_years,0)</f>
        <v>0</v>
      </c>
      <c r="H6" s="76" t="n">
        <f aca="false">(E6+G6)*lfund_survey/1000000</f>
        <v>0</v>
      </c>
      <c r="I6" s="75" t="n">
        <f aca="false">IF(AND(lfund_on=1,$A6&gt;=lfund_start),MIN(D6,C6),0)</f>
        <v>0</v>
      </c>
      <c r="J6" s="76" t="n">
        <f aca="false">(W6-IF(6-lfund_inst&lt;6,0,INDEX($W$6:$W$92,6-5-lfund_inst)))/lfund_inst*(1-lfund_default)</f>
        <v>0</v>
      </c>
      <c r="K6" s="76" t="n">
        <f aca="false">G6*lfund_grant_fee*U6/1000000</f>
        <v>0</v>
      </c>
      <c r="L6" s="76" t="n">
        <f aca="false">IF(AND(lfund_on=1,$A6&gt;=1860),lfund_home*lfund_lease_1932*($A6-1859)/(1932-1859)*lfund_rent*lfund_fee,0)/1000000</f>
        <v>0</v>
      </c>
      <c r="M6" s="76" t="n">
        <f aca="false">J6+K6+L6-F6-H6</f>
        <v>0</v>
      </c>
      <c r="N6" s="76" t="n">
        <f aca="false">IF(lfund_on=1,IF(AND($A6&gt;=1852,$A6&lt;=1870),lfund_police,IF(AND($A6&gt;1870,$A6&lt;=1890),lfund_police_late,0))*lfund_police_cost*Economy!H6/INDEX(Economy!$H$6:$H$92,1877-1845),0)/1000000</f>
        <v>0</v>
      </c>
      <c r="O6" s="76" t="n">
        <f aca="false">M6-N6</f>
        <v>0</v>
      </c>
      <c r="P6" s="76" t="n">
        <f aca="false">M6</f>
        <v>0</v>
      </c>
      <c r="Q6" s="76" t="n">
        <f aca="false">O6</f>
        <v>0</v>
      </c>
      <c r="R6" s="77" t="n">
        <f aca="false">People!T6*assist_cost*Economy!H6/1000000</f>
        <v>0.01776</v>
      </c>
      <c r="S6" s="78" t="n">
        <f aca="false">0</f>
        <v>0</v>
      </c>
      <c r="T6" s="79" t="n">
        <v>0.99</v>
      </c>
      <c r="U6" s="80" t="n">
        <f aca="false">MAX(lfund_floor,lfund_share*T6)</f>
        <v>1.25</v>
      </c>
      <c r="V6" s="76" t="n">
        <f aca="false">(I6-0)*U6/1000000</f>
        <v>0</v>
      </c>
      <c r="W6" s="76" t="n">
        <f aca="false">V6</f>
        <v>0</v>
      </c>
      <c r="Y6" s="10" t="s">
        <v>1478</v>
      </c>
      <c r="Z6" s="81" t="n">
        <f aca="false">D92</f>
        <v>21642581</v>
      </c>
    </row>
    <row r="7" customFormat="false" ht="15" hidden="false" customHeight="true" outlineLevel="0" collapsed="false">
      <c r="A7" s="4" t="n">
        <v>1847</v>
      </c>
      <c r="B7" s="47" t="n">
        <v>3893985</v>
      </c>
      <c r="C7" s="75" t="n">
        <f aca="false">MAX(0,B7*lfund_farm_scale-lfund_grants)</f>
        <v>0</v>
      </c>
      <c r="D7" s="75" t="n">
        <f aca="false">IF(AND(lfund_on=1,$A7&gt;=lfund_start),MIN(lfund_area-lfund_home-lfund_grants,MAX(D6,INDEX($C$6:$C$92,MIN(87,2+lfund_lead)))),0)</f>
        <v>0</v>
      </c>
      <c r="E7" s="75" t="n">
        <f aca="false">D7-D6</f>
        <v>0</v>
      </c>
      <c r="F7" s="76" t="n">
        <f aca="false">lfund_price/lfund_term*(D7-IF(7-lfund_term&lt;6,0,INDEX($D$6:$D$92,7-5-lfund_term)))/1000000</f>
        <v>0</v>
      </c>
      <c r="G7" s="75" t="n">
        <f aca="false">IF(AND(lfund_on=1,$A7&gt;=lfund_start+1,$A7&lt;lfund_start+1+lfund_grant_years),lfund_grants/lfund_grant_years,0)</f>
        <v>0</v>
      </c>
      <c r="H7" s="76" t="n">
        <f aca="false">(E7+G7)*lfund_survey/1000000</f>
        <v>0</v>
      </c>
      <c r="I7" s="75" t="n">
        <f aca="false">IF(AND(lfund_on=1,$A7&gt;=lfund_start),MIN(D7,MAX(I6,C7)),0)</f>
        <v>0</v>
      </c>
      <c r="J7" s="76" t="n">
        <f aca="false">(W7-IF(7-lfund_inst&lt;6,0,INDEX($W$6:$W$92,7-5-lfund_inst)))/lfund_inst*(1-lfund_default)</f>
        <v>0</v>
      </c>
      <c r="K7" s="76" t="n">
        <f aca="false">G7*lfund_grant_fee*U7/1000000</f>
        <v>0</v>
      </c>
      <c r="L7" s="76" t="n">
        <f aca="false">IF(AND(lfund_on=1,$A7&gt;=1860),lfund_home*lfund_lease_1932*($A7-1859)/(1932-1859)*lfund_rent*lfund_fee,0)/1000000</f>
        <v>0</v>
      </c>
      <c r="M7" s="76" t="n">
        <f aca="false">J7+K7+L7-F7-H7</f>
        <v>0</v>
      </c>
      <c r="N7" s="76" t="n">
        <f aca="false">IF(lfund_on=1,IF(AND($A7&gt;=1852,$A7&lt;=1870),lfund_police,IF(AND($A7&gt;1870,$A7&lt;=1890),lfund_police_late,0))*lfund_police_cost*Economy!H7/INDEX(Economy!$H$6:$H$92,1877-1845),0)/1000000</f>
        <v>0</v>
      </c>
      <c r="O7" s="76" t="n">
        <f aca="false">M7-N7</f>
        <v>0</v>
      </c>
      <c r="P7" s="76" t="n">
        <f aca="false">P6*(1+lfund_rate)+M7</f>
        <v>0</v>
      </c>
      <c r="Q7" s="76" t="n">
        <f aca="false">Q6*(1+lfund_rate)+O7</f>
        <v>0</v>
      </c>
      <c r="R7" s="77" t="n">
        <f aca="false">People!T7*assist_cost*Economy!H7/1000000</f>
        <v>0.02664</v>
      </c>
      <c r="S7" s="78" t="n">
        <f aca="false">IF(SUM(R$6:R7)&gt;0,SUM(M$6:M7)/SUM(R$6:R7),0)</f>
        <v>0</v>
      </c>
      <c r="T7" s="79" t="n">
        <v>0.99</v>
      </c>
      <c r="U7" s="80" t="n">
        <f aca="false">MAX(lfund_floor,lfund_share*T7)</f>
        <v>1.25</v>
      </c>
      <c r="V7" s="76" t="n">
        <f aca="false">(I7-I6)*U7/1000000</f>
        <v>0</v>
      </c>
      <c r="W7" s="76" t="n">
        <f aca="false">W6+V7</f>
        <v>0</v>
      </c>
      <c r="Y7" s="10" t="s">
        <v>1479</v>
      </c>
      <c r="Z7" s="82" t="n">
        <f aca="false">SUM(F6:F92)</f>
        <v>2.099786315</v>
      </c>
    </row>
    <row r="8" customFormat="false" ht="15" hidden="false" customHeight="true" outlineLevel="0" collapsed="false">
      <c r="A8" s="4" t="n">
        <v>1848</v>
      </c>
      <c r="B8" s="47" t="n">
        <v>3893985</v>
      </c>
      <c r="C8" s="75" t="n">
        <f aca="false">MAX(0,B8*lfund_farm_scale-lfund_grants)</f>
        <v>0</v>
      </c>
      <c r="D8" s="75" t="n">
        <f aca="false">IF(AND(lfund_on=1,$A8&gt;=lfund_start),MIN(lfund_area-lfund_home-lfund_grants,MAX(D7,INDEX($C$6:$C$92,MIN(87,3+lfund_lead)))),0)</f>
        <v>0</v>
      </c>
      <c r="E8" s="75" t="n">
        <f aca="false">D8-D7</f>
        <v>0</v>
      </c>
      <c r="F8" s="76" t="n">
        <f aca="false">lfund_price/lfund_term*(D8-IF(8-lfund_term&lt;6,0,INDEX($D$6:$D$92,8-5-lfund_term)))/1000000</f>
        <v>0</v>
      </c>
      <c r="G8" s="75" t="n">
        <f aca="false">IF(AND(lfund_on=1,$A8&gt;=lfund_start+1,$A8&lt;lfund_start+1+lfund_grant_years),lfund_grants/lfund_grant_years,0)</f>
        <v>0</v>
      </c>
      <c r="H8" s="76" t="n">
        <f aca="false">(E8+G8)*lfund_survey/1000000</f>
        <v>0</v>
      </c>
      <c r="I8" s="75" t="n">
        <f aca="false">IF(AND(lfund_on=1,$A8&gt;=lfund_start),MIN(D8,MAX(I7,C8)),0)</f>
        <v>0</v>
      </c>
      <c r="J8" s="76" t="n">
        <f aca="false">(W8-IF(8-lfund_inst&lt;6,0,INDEX($W$6:$W$92,8-5-lfund_inst)))/lfund_inst*(1-lfund_default)</f>
        <v>0</v>
      </c>
      <c r="K8" s="76" t="n">
        <f aca="false">G8*lfund_grant_fee*U8/1000000</f>
        <v>0</v>
      </c>
      <c r="L8" s="76" t="n">
        <f aca="false">IF(AND(lfund_on=1,$A8&gt;=1860),lfund_home*lfund_lease_1932*($A8-1859)/(1932-1859)*lfund_rent*lfund_fee,0)/1000000</f>
        <v>0</v>
      </c>
      <c r="M8" s="76" t="n">
        <f aca="false">J8+K8+L8-F8-H8</f>
        <v>0</v>
      </c>
      <c r="N8" s="76" t="n">
        <f aca="false">IF(lfund_on=1,IF(AND($A8&gt;=1852,$A8&lt;=1870),lfund_police,IF(AND($A8&gt;1870,$A8&lt;=1890),lfund_police_late,0))*lfund_police_cost*Economy!H8/INDEX(Economy!$H$6:$H$92,1877-1845),0)/1000000</f>
        <v>0</v>
      </c>
      <c r="O8" s="76" t="n">
        <f aca="false">M8-N8</f>
        <v>0</v>
      </c>
      <c r="P8" s="76" t="n">
        <f aca="false">P7*(1+lfund_rate)+M8</f>
        <v>0</v>
      </c>
      <c r="Q8" s="76" t="n">
        <f aca="false">Q7*(1+lfund_rate)+O8</f>
        <v>0</v>
      </c>
      <c r="R8" s="77" t="n">
        <f aca="false">People!T8*assist_cost*Economy!H8/1000000</f>
        <v>0.27972</v>
      </c>
      <c r="S8" s="78" t="n">
        <f aca="false">IF(SUM(R$6:R8)&gt;0,SUM(M$6:M8)/SUM(R$6:R8),0)</f>
        <v>0</v>
      </c>
      <c r="T8" s="79" t="n">
        <v>0.99</v>
      </c>
      <c r="U8" s="80" t="n">
        <f aca="false">MAX(lfund_floor,lfund_share*T8)</f>
        <v>1.25</v>
      </c>
      <c r="V8" s="76" t="n">
        <f aca="false">(I8-I7)*U8/1000000</f>
        <v>0</v>
      </c>
      <c r="W8" s="76" t="n">
        <f aca="false">W7+V8</f>
        <v>0</v>
      </c>
      <c r="Y8" s="10" t="s">
        <v>1480</v>
      </c>
      <c r="Z8" s="82" t="n">
        <f aca="false">SUM(J6:K92)</f>
        <v>100.51639865776</v>
      </c>
    </row>
    <row r="9" customFormat="false" ht="15" hidden="false" customHeight="true" outlineLevel="0" collapsed="false">
      <c r="A9" s="4" t="n">
        <v>1849</v>
      </c>
      <c r="B9" s="47" t="n">
        <v>3893985</v>
      </c>
      <c r="C9" s="75" t="n">
        <f aca="false">MAX(0,B9*lfund_farm_scale-lfund_grants)</f>
        <v>0</v>
      </c>
      <c r="D9" s="75" t="n">
        <f aca="false">IF(AND(lfund_on=1,$A9&gt;=lfund_start),MIN(lfund_area-lfund_home-lfund_grants,MAX(D8,INDEX($C$6:$C$92,MIN(87,4+lfund_lead)))),0)</f>
        <v>0</v>
      </c>
      <c r="E9" s="75" t="n">
        <f aca="false">D9-D8</f>
        <v>0</v>
      </c>
      <c r="F9" s="76" t="n">
        <f aca="false">lfund_price/lfund_term*(D9-IF(9-lfund_term&lt;6,0,INDEX($D$6:$D$92,9-5-lfund_term)))/1000000</f>
        <v>0</v>
      </c>
      <c r="G9" s="75" t="n">
        <f aca="false">IF(AND(lfund_on=1,$A9&gt;=lfund_start+1,$A9&lt;lfund_start+1+lfund_grant_years),lfund_grants/lfund_grant_years,0)</f>
        <v>0</v>
      </c>
      <c r="H9" s="76" t="n">
        <f aca="false">(E9+G9)*lfund_survey/1000000</f>
        <v>0</v>
      </c>
      <c r="I9" s="75" t="n">
        <f aca="false">IF(AND(lfund_on=1,$A9&gt;=lfund_start),MIN(D9,MAX(I8,C9)),0)</f>
        <v>0</v>
      </c>
      <c r="J9" s="76" t="n">
        <f aca="false">(W9-IF(9-lfund_inst&lt;6,0,INDEX($W$6:$W$92,9-5-lfund_inst)))/lfund_inst*(1-lfund_default)</f>
        <v>0</v>
      </c>
      <c r="K9" s="76" t="n">
        <f aca="false">G9*lfund_grant_fee*U9/1000000</f>
        <v>0</v>
      </c>
      <c r="L9" s="76" t="n">
        <f aca="false">IF(AND(lfund_on=1,$A9&gt;=1860),lfund_home*lfund_lease_1932*($A9-1859)/(1932-1859)*lfund_rent*lfund_fee,0)/1000000</f>
        <v>0</v>
      </c>
      <c r="M9" s="76" t="n">
        <f aca="false">J9+K9+L9-F9-H9</f>
        <v>0</v>
      </c>
      <c r="N9" s="76" t="n">
        <f aca="false">IF(lfund_on=1,IF(AND($A9&gt;=1852,$A9&lt;=1870),lfund_police,IF(AND($A9&gt;1870,$A9&lt;=1890),lfund_police_late,0))*lfund_police_cost*Economy!H9/INDEX(Economy!$H$6:$H$92,1877-1845),0)/1000000</f>
        <v>0</v>
      </c>
      <c r="O9" s="76" t="n">
        <f aca="false">M9-N9</f>
        <v>0</v>
      </c>
      <c r="P9" s="76" t="n">
        <f aca="false">P8*(1+lfund_rate)+M9</f>
        <v>0</v>
      </c>
      <c r="Q9" s="76" t="n">
        <f aca="false">Q8*(1+lfund_rate)+O9</f>
        <v>0</v>
      </c>
      <c r="R9" s="77" t="n">
        <f aca="false">People!T9*assist_cost*Economy!H9/1000000</f>
        <v>1.7930808</v>
      </c>
      <c r="S9" s="78" t="n">
        <f aca="false">IF(SUM(R$6:R9)&gt;0,SUM(M$6:M9)/SUM(R$6:R9),0)</f>
        <v>0</v>
      </c>
      <c r="T9" s="79" t="n">
        <v>0.99</v>
      </c>
      <c r="U9" s="80" t="n">
        <f aca="false">MAX(lfund_floor,lfund_share*T9)</f>
        <v>1.25</v>
      </c>
      <c r="V9" s="76" t="n">
        <f aca="false">(I9-I8)*U9/1000000</f>
        <v>0</v>
      </c>
      <c r="W9" s="76" t="n">
        <f aca="false">W8+V9</f>
        <v>0</v>
      </c>
      <c r="Y9" s="10" t="s">
        <v>1481</v>
      </c>
      <c r="Z9" s="83" t="n">
        <f aca="false">IF(I92&gt;0,W92*1000000/I92,0)</f>
        <v>5.48258087323319</v>
      </c>
    </row>
    <row r="10" customFormat="false" ht="15" hidden="false" customHeight="true" outlineLevel="0" collapsed="false">
      <c r="A10" s="4" t="n">
        <v>1850</v>
      </c>
      <c r="B10" s="47" t="n">
        <v>3893985</v>
      </c>
      <c r="C10" s="75" t="n">
        <f aca="false">MAX(0,B10*lfund_farm_scale-lfund_grants)</f>
        <v>0</v>
      </c>
      <c r="D10" s="75" t="n">
        <f aca="false">IF(AND(lfund_on=1,$A10&gt;=lfund_start),MIN(lfund_area-lfund_home-lfund_grants,MAX(D9,INDEX($C$6:$C$92,MIN(87,5+lfund_lead)))),0)</f>
        <v>0</v>
      </c>
      <c r="E10" s="75" t="n">
        <f aca="false">D10-D9</f>
        <v>0</v>
      </c>
      <c r="F10" s="76" t="n">
        <f aca="false">lfund_price/lfund_term*(D10-IF(10-lfund_term&lt;6,0,INDEX($D$6:$D$92,10-5-lfund_term)))/1000000</f>
        <v>0</v>
      </c>
      <c r="G10" s="75" t="n">
        <f aca="false">IF(AND(lfund_on=1,$A10&gt;=lfund_start+1,$A10&lt;lfund_start+1+lfund_grant_years),lfund_grants/lfund_grant_years,0)</f>
        <v>0</v>
      </c>
      <c r="H10" s="76" t="n">
        <f aca="false">(E10+G10)*lfund_survey/1000000</f>
        <v>0</v>
      </c>
      <c r="I10" s="75" t="n">
        <f aca="false">IF(AND(lfund_on=1,$A10&gt;=lfund_start),MIN(D10,MAX(I9,C10)),0)</f>
        <v>0</v>
      </c>
      <c r="J10" s="76" t="n">
        <f aca="false">(W10-IF(10-lfund_inst&lt;6,0,INDEX($W$6:$W$92,10-5-lfund_inst)))/lfund_inst*(1-lfund_default)</f>
        <v>0</v>
      </c>
      <c r="K10" s="76" t="n">
        <f aca="false">G10*lfund_grant_fee*U10/1000000</f>
        <v>0</v>
      </c>
      <c r="L10" s="76" t="n">
        <f aca="false">IF(AND(lfund_on=1,$A10&gt;=1860),lfund_home*lfund_lease_1932*($A10-1859)/(1932-1859)*lfund_rent*lfund_fee,0)/1000000</f>
        <v>0</v>
      </c>
      <c r="M10" s="76" t="n">
        <f aca="false">J10+K10+L10-F10-H10</f>
        <v>0</v>
      </c>
      <c r="N10" s="76" t="n">
        <f aca="false">IF(lfund_on=1,IF(AND($A10&gt;=1852,$A10&lt;=1870),lfund_police,IF(AND($A10&gt;1870,$A10&lt;=1890),lfund_police_late,0))*lfund_police_cost*Economy!H10/INDEX(Economy!$H$6:$H$92,1877-1845),0)/1000000</f>
        <v>0</v>
      </c>
      <c r="O10" s="76" t="n">
        <f aca="false">M10-N10</f>
        <v>0</v>
      </c>
      <c r="P10" s="76" t="n">
        <f aca="false">P9*(1+lfund_rate)+M10</f>
        <v>0</v>
      </c>
      <c r="Q10" s="76" t="n">
        <f aca="false">Q9*(1+lfund_rate)+O10</f>
        <v>0</v>
      </c>
      <c r="R10" s="77" t="n">
        <f aca="false">People!T10*assist_cost*Economy!H10/1000000</f>
        <v>1.49688</v>
      </c>
      <c r="S10" s="78" t="n">
        <f aca="false">IF(SUM(R$6:R10)&gt;0,SUM(M$6:M10)/SUM(R$6:R10),0)</f>
        <v>0</v>
      </c>
      <c r="T10" s="79" t="n">
        <v>0.99</v>
      </c>
      <c r="U10" s="80" t="n">
        <f aca="false">MAX(lfund_floor,lfund_share*T10)</f>
        <v>1.25</v>
      </c>
      <c r="V10" s="76" t="n">
        <f aca="false">(I10-I9)*U10/1000000</f>
        <v>0</v>
      </c>
      <c r="W10" s="76" t="n">
        <f aca="false">W9+V10</f>
        <v>0</v>
      </c>
      <c r="Y10" s="10" t="s">
        <v>1482</v>
      </c>
      <c r="Z10" s="82" t="n">
        <f aca="false">SUM(L6:L92)</f>
        <v>0.4107</v>
      </c>
    </row>
    <row r="11" customFormat="false" ht="15" hidden="false" customHeight="true" outlineLevel="0" collapsed="false">
      <c r="A11" s="4" t="n">
        <v>1851</v>
      </c>
      <c r="B11" s="47" t="n">
        <v>4221399</v>
      </c>
      <c r="C11" s="75" t="n">
        <f aca="false">MAX(0,B11*lfund_farm_scale-lfund_grants)</f>
        <v>0</v>
      </c>
      <c r="D11" s="75" t="n">
        <f aca="false">IF(AND(lfund_on=1,$A11&gt;=lfund_start),MIN(lfund_area-lfund_home-lfund_grants,MAX(D10,INDEX($C$6:$C$92,MIN(87,6+lfund_lead)))),0)</f>
        <v>0</v>
      </c>
      <c r="E11" s="75" t="n">
        <f aca="false">D11-D10</f>
        <v>0</v>
      </c>
      <c r="F11" s="76" t="n">
        <f aca="false">lfund_price/lfund_term*(D11-IF(11-lfund_term&lt;6,0,INDEX($D$6:$D$92,11-5-lfund_term)))/1000000</f>
        <v>0</v>
      </c>
      <c r="G11" s="75" t="n">
        <f aca="false">IF(AND(lfund_on=1,$A11&gt;=lfund_start+1,$A11&lt;lfund_start+1+lfund_grant_years),lfund_grants/lfund_grant_years,0)</f>
        <v>0</v>
      </c>
      <c r="H11" s="76" t="n">
        <f aca="false">(E11+G11)*lfund_survey/1000000</f>
        <v>0</v>
      </c>
      <c r="I11" s="75" t="n">
        <f aca="false">IF(AND(lfund_on=1,$A11&gt;=lfund_start),MIN(D11,MAX(I10,C11)),0)</f>
        <v>0</v>
      </c>
      <c r="J11" s="76" t="n">
        <f aca="false">(W11-IF(11-lfund_inst&lt;6,0,INDEX($W$6:$W$92,11-5-lfund_inst)))/lfund_inst*(1-lfund_default)</f>
        <v>0</v>
      </c>
      <c r="K11" s="76" t="n">
        <f aca="false">G11*lfund_grant_fee*U11/1000000</f>
        <v>0</v>
      </c>
      <c r="L11" s="76" t="n">
        <f aca="false">IF(AND(lfund_on=1,$A11&gt;=1860),lfund_home*lfund_lease_1932*($A11-1859)/(1932-1859)*lfund_rent*lfund_fee,0)/1000000</f>
        <v>0</v>
      </c>
      <c r="M11" s="76" t="n">
        <f aca="false">J11+K11+L11-F11-H11</f>
        <v>0</v>
      </c>
      <c r="N11" s="76" t="n">
        <f aca="false">IF(lfund_on=1,IF(AND($A11&gt;=1852,$A11&lt;=1870),lfund_police,IF(AND($A11&gt;1870,$A11&lt;=1890),lfund_police_late,0))*lfund_police_cost*Economy!H11/INDEX(Economy!$H$6:$H$92,1877-1845),0)/1000000</f>
        <v>0</v>
      </c>
      <c r="O11" s="76" t="n">
        <f aca="false">M11-N11</f>
        <v>0</v>
      </c>
      <c r="P11" s="76" t="n">
        <f aca="false">P10*(1+lfund_rate)+M11</f>
        <v>0</v>
      </c>
      <c r="Q11" s="76" t="n">
        <f aca="false">Q10*(1+lfund_rate)+O11</f>
        <v>0</v>
      </c>
      <c r="R11" s="77" t="n">
        <f aca="false">People!T11*assist_cost*Economy!H11/1000000</f>
        <v>1.105272</v>
      </c>
      <c r="S11" s="78" t="n">
        <f aca="false">IF(SUM(R$6:R11)&gt;0,SUM(M$6:M11)/SUM(R$6:R11),0)</f>
        <v>0</v>
      </c>
      <c r="T11" s="79" t="n">
        <v>1.18</v>
      </c>
      <c r="U11" s="80" t="n">
        <f aca="false">MAX(lfund_floor,lfund_share*T11)</f>
        <v>1.25</v>
      </c>
      <c r="V11" s="76" t="n">
        <f aca="false">(I11-I10)*U11/1000000</f>
        <v>0</v>
      </c>
      <c r="W11" s="76" t="n">
        <f aca="false">W10+V11</f>
        <v>0</v>
      </c>
      <c r="Y11" s="10" t="s">
        <v>1461</v>
      </c>
      <c r="Z11" s="82" t="n">
        <f aca="false">SUM(H6:H92)</f>
        <v>0.91327743</v>
      </c>
    </row>
    <row r="12" customFormat="false" ht="15" hidden="false" customHeight="true" outlineLevel="0" collapsed="false">
      <c r="A12" s="4" t="n">
        <v>1852</v>
      </c>
      <c r="B12" s="47" t="n">
        <v>4576344</v>
      </c>
      <c r="C12" s="75" t="n">
        <f aca="false">MAX(0,B12*lfund_farm_scale-lfund_grants)</f>
        <v>0</v>
      </c>
      <c r="D12" s="75" t="n">
        <f aca="false">IF(AND(lfund_on=1,$A12&gt;=lfund_start),MIN(lfund_area-lfund_home-lfund_grants,MAX(D11,INDEX($C$6:$C$92,MIN(87,7+lfund_lead)))),0)</f>
        <v>0</v>
      </c>
      <c r="E12" s="75" t="n">
        <f aca="false">D12-D11</f>
        <v>0</v>
      </c>
      <c r="F12" s="76" t="n">
        <f aca="false">lfund_price/lfund_term*(D12-IF(12-lfund_term&lt;6,0,INDEX($D$6:$D$92,12-5-lfund_term)))/1000000</f>
        <v>0</v>
      </c>
      <c r="G12" s="75" t="n">
        <f aca="false">IF(AND(lfund_on=1,$A12&gt;=lfund_start+1,$A12&lt;lfund_start+1+lfund_grant_years),lfund_grants/lfund_grant_years,0)</f>
        <v>1466666.66666667</v>
      </c>
      <c r="H12" s="76" t="n">
        <f aca="false">(E12+G12)*lfund_survey/1000000</f>
        <v>0.044</v>
      </c>
      <c r="I12" s="75" t="n">
        <f aca="false">IF(AND(lfund_on=1,$A12&gt;=lfund_start),MIN(D12,MAX(I11,C12)),0)</f>
        <v>0</v>
      </c>
      <c r="J12" s="76" t="n">
        <f aca="false">(W12-IF(12-lfund_inst&lt;6,0,INDEX($W$6:$W$92,12-5-lfund_inst)))/lfund_inst*(1-lfund_default)</f>
        <v>0</v>
      </c>
      <c r="K12" s="76" t="n">
        <f aca="false">G12*lfund_grant_fee*U12/1000000</f>
        <v>0.0916666666666667</v>
      </c>
      <c r="L12" s="76" t="n">
        <f aca="false">IF(AND(lfund_on=1,$A12&gt;=1860),lfund_home*lfund_lease_1932*($A12-1859)/(1932-1859)*lfund_rent*lfund_fee,0)/1000000</f>
        <v>0</v>
      </c>
      <c r="M12" s="76" t="n">
        <f aca="false">J12+K12+L12-F12-H12</f>
        <v>0.0476666666666667</v>
      </c>
      <c r="N12" s="76" t="n">
        <f aca="false">IF(lfund_on=1,IF(AND($A12&gt;=1852,$A12&lt;=1870),lfund_police,IF(AND($A12&gt;1870,$A12&lt;=1890),lfund_police_late,0))*lfund_police_cost*Economy!H12/INDEX(Economy!$H$6:$H$92,1877-1845),0)/1000000</f>
        <v>0.406839622641509</v>
      </c>
      <c r="O12" s="76" t="n">
        <f aca="false">M12-N12</f>
        <v>-0.359172955974843</v>
      </c>
      <c r="P12" s="76" t="n">
        <f aca="false">P11*(1+lfund_rate)+M12</f>
        <v>0.0476666666666667</v>
      </c>
      <c r="Q12" s="76" t="n">
        <f aca="false">Q11*(1+lfund_rate)+O12</f>
        <v>-0.359172955974843</v>
      </c>
      <c r="R12" s="77" t="n">
        <f aca="false">People!T12*assist_cost*Economy!H12/1000000</f>
        <v>3.78</v>
      </c>
      <c r="S12" s="78" t="n">
        <f aca="false">IF(SUM(R$6:R12)&gt;0,SUM(M$6:M12)/SUM(R$6:R12),0)</f>
        <v>0.00560827015754267</v>
      </c>
      <c r="T12" s="79" t="n">
        <v>1.4</v>
      </c>
      <c r="U12" s="80" t="n">
        <f aca="false">MAX(lfund_floor,lfund_share*T12)</f>
        <v>1.25</v>
      </c>
      <c r="V12" s="76" t="n">
        <f aca="false">(I12-I11)*U12/1000000</f>
        <v>0</v>
      </c>
      <c r="W12" s="76" t="n">
        <f aca="false">W11+V12</f>
        <v>0</v>
      </c>
      <c r="Y12" s="10" t="s">
        <v>1483</v>
      </c>
      <c r="Z12" s="82" t="n">
        <f aca="false">SUM(M6:M92)</f>
        <v>97.91403491276</v>
      </c>
    </row>
    <row r="13" customFormat="false" ht="15" hidden="false" customHeight="true" outlineLevel="0" collapsed="false">
      <c r="A13" s="4" t="n">
        <v>1853</v>
      </c>
      <c r="B13" s="47" t="n">
        <v>4961132</v>
      </c>
      <c r="C13" s="75" t="n">
        <f aca="false">MAX(0,B13*lfund_farm_scale-lfund_grants)</f>
        <v>0</v>
      </c>
      <c r="D13" s="75" t="n">
        <f aca="false">IF(AND(lfund_on=1,$A13&gt;=lfund_start),MIN(lfund_area-lfund_home-lfund_grants,MAX(D12,INDEX($C$6:$C$92,MIN(87,8+lfund_lead)))),0)</f>
        <v>0</v>
      </c>
      <c r="E13" s="75" t="n">
        <f aca="false">D13-D12</f>
        <v>0</v>
      </c>
      <c r="F13" s="76" t="n">
        <f aca="false">lfund_price/lfund_term*(D13-IF(13-lfund_term&lt;6,0,INDEX($D$6:$D$92,13-5-lfund_term)))/1000000</f>
        <v>0</v>
      </c>
      <c r="G13" s="75" t="n">
        <f aca="false">IF(AND(lfund_on=1,$A13&gt;=lfund_start+1,$A13&lt;lfund_start+1+lfund_grant_years),lfund_grants/lfund_grant_years,0)</f>
        <v>1466666.66666667</v>
      </c>
      <c r="H13" s="76" t="n">
        <f aca="false">(E13+G13)*lfund_survey/1000000</f>
        <v>0.044</v>
      </c>
      <c r="I13" s="75" t="n">
        <f aca="false">IF(AND(lfund_on=1,$A13&gt;=lfund_start),MIN(D13,MAX(I12,C13)),0)</f>
        <v>0</v>
      </c>
      <c r="J13" s="76" t="n">
        <f aca="false">(W13-IF(13-lfund_inst&lt;6,0,INDEX($W$6:$W$92,13-5-lfund_inst)))/lfund_inst*(1-lfund_default)</f>
        <v>0</v>
      </c>
      <c r="K13" s="76" t="n">
        <f aca="false">G13*lfund_grant_fee*U13/1000000</f>
        <v>0.0916666666666667</v>
      </c>
      <c r="L13" s="76" t="n">
        <f aca="false">IF(AND(lfund_on=1,$A13&gt;=1860),lfund_home*lfund_lease_1932*($A13-1859)/(1932-1859)*lfund_rent*lfund_fee,0)/1000000</f>
        <v>0</v>
      </c>
      <c r="M13" s="76" t="n">
        <f aca="false">J13+K13+L13-F13-H13</f>
        <v>0.0476666666666667</v>
      </c>
      <c r="N13" s="76" t="n">
        <f aca="false">IF(lfund_on=1,IF(AND($A13&gt;=1852,$A13&lt;=1870),lfund_police,IF(AND($A13&gt;1870,$A13&lt;=1890),lfund_police_late,0))*lfund_police_cost*Economy!H13/INDEX(Economy!$H$6:$H$92,1877-1845),0)/1000000</f>
        <v>0.402771226415094</v>
      </c>
      <c r="O13" s="76" t="n">
        <f aca="false">M13-N13</f>
        <v>-0.355104559748428</v>
      </c>
      <c r="P13" s="76" t="n">
        <f aca="false">P12*(1+lfund_rate)+M13</f>
        <v>0.0977166666666667</v>
      </c>
      <c r="Q13" s="76" t="n">
        <f aca="false">Q12*(1+lfund_rate)+O13</f>
        <v>-0.732236163522013</v>
      </c>
      <c r="R13" s="77" t="n">
        <f aca="false">People!T13*assist_cost*Economy!H13/1000000</f>
        <v>2.295216</v>
      </c>
      <c r="S13" s="78" t="n">
        <f aca="false">IF(SUM(R$6:R13)&gt;0,SUM(M$6:M13)/SUM(R$6:R13),0)</f>
        <v>0.00883160180824762</v>
      </c>
      <c r="T13" s="79" t="n">
        <v>1.66</v>
      </c>
      <c r="U13" s="80" t="n">
        <f aca="false">MAX(lfund_floor,lfund_share*T13)</f>
        <v>1.25</v>
      </c>
      <c r="V13" s="76" t="n">
        <f aca="false">(I13-I12)*U13/1000000</f>
        <v>0</v>
      </c>
      <c r="W13" s="76" t="n">
        <f aca="false">W12+V13</f>
        <v>0</v>
      </c>
      <c r="Y13" s="10" t="s">
        <v>1484</v>
      </c>
      <c r="Z13" s="82" t="n">
        <f aca="false">SUM(N6:N92)</f>
        <v>10.5086674528302</v>
      </c>
    </row>
    <row r="14" customFormat="false" ht="15" hidden="false" customHeight="true" outlineLevel="0" collapsed="false">
      <c r="A14" s="4" t="n">
        <v>1854</v>
      </c>
      <c r="B14" s="47" t="n">
        <v>5378274</v>
      </c>
      <c r="C14" s="75" t="n">
        <f aca="false">MAX(0,B14*lfund_farm_scale-lfund_grants)</f>
        <v>0</v>
      </c>
      <c r="D14" s="75" t="n">
        <f aca="false">IF(AND(lfund_on=1,$A14&gt;=lfund_start),MIN(lfund_area-lfund_home-lfund_grants,MAX(D13,INDEX($C$6:$C$92,MIN(87,9+lfund_lead)))),0)</f>
        <v>0</v>
      </c>
      <c r="E14" s="75" t="n">
        <f aca="false">D14-D13</f>
        <v>0</v>
      </c>
      <c r="F14" s="76" t="n">
        <f aca="false">lfund_price/lfund_term*(D14-IF(14-lfund_term&lt;6,0,INDEX($D$6:$D$92,14-5-lfund_term)))/1000000</f>
        <v>0</v>
      </c>
      <c r="G14" s="75" t="n">
        <f aca="false">IF(AND(lfund_on=1,$A14&gt;=lfund_start+1,$A14&lt;lfund_start+1+lfund_grant_years),lfund_grants/lfund_grant_years,0)</f>
        <v>1466666.66666667</v>
      </c>
      <c r="H14" s="76" t="n">
        <f aca="false">(E14+G14)*lfund_survey/1000000</f>
        <v>0.044</v>
      </c>
      <c r="I14" s="75" t="n">
        <f aca="false">IF(AND(lfund_on=1,$A14&gt;=lfund_start),MIN(D14,MAX(I13,C14)),0)</f>
        <v>0</v>
      </c>
      <c r="J14" s="76" t="n">
        <f aca="false">(W14-IF(14-lfund_inst&lt;6,0,INDEX($W$6:$W$92,14-5-lfund_inst)))/lfund_inst*(1-lfund_default)</f>
        <v>0</v>
      </c>
      <c r="K14" s="76" t="n">
        <f aca="false">G14*lfund_grant_fee*U14/1000000</f>
        <v>0.0916666666666667</v>
      </c>
      <c r="L14" s="76" t="n">
        <f aca="false">IF(AND(lfund_on=1,$A14&gt;=1860),lfund_home*lfund_lease_1932*($A14-1859)/(1932-1859)*lfund_rent*lfund_fee,0)/1000000</f>
        <v>0</v>
      </c>
      <c r="M14" s="76" t="n">
        <f aca="false">J14+K14+L14-F14-H14</f>
        <v>0.0476666666666667</v>
      </c>
      <c r="N14" s="76" t="n">
        <f aca="false">IF(lfund_on=1,IF(AND($A14&gt;=1852,$A14&lt;=1870),lfund_police,IF(AND($A14&gt;1870,$A14&lt;=1890),lfund_police_late,0))*lfund_police_cost*Economy!H14/INDEX(Economy!$H$6:$H$92,1877-1845),0)/1000000</f>
        <v>0.394634433962264</v>
      </c>
      <c r="O14" s="76" t="n">
        <f aca="false">M14-N14</f>
        <v>-0.346967767295598</v>
      </c>
      <c r="P14" s="76" t="n">
        <f aca="false">P13*(1+lfund_rate)+M14</f>
        <v>0.150269166666667</v>
      </c>
      <c r="Q14" s="76" t="n">
        <f aca="false">Q13*(1+lfund_rate)+O14</f>
        <v>-1.11581573899371</v>
      </c>
      <c r="R14" s="77" t="n">
        <f aca="false">People!T14*assist_cost*Economy!H14/1000000</f>
        <v>2.004408</v>
      </c>
      <c r="S14" s="78" t="n">
        <f aca="false">IF(SUM(R$6:R14)&gt;0,SUM(M$6:M14)/SUM(R$6:R14),0)</f>
        <v>0.0111727681231519</v>
      </c>
      <c r="T14" s="79" t="n">
        <v>1.98</v>
      </c>
      <c r="U14" s="80" t="n">
        <f aca="false">MAX(lfund_floor,lfund_share*T14)</f>
        <v>1.25</v>
      </c>
      <c r="V14" s="76" t="n">
        <f aca="false">(I14-I13)*U14/1000000</f>
        <v>0</v>
      </c>
      <c r="W14" s="76" t="n">
        <f aca="false">W13+V14</f>
        <v>0</v>
      </c>
      <c r="Y14" s="10" t="s">
        <v>1485</v>
      </c>
      <c r="Z14" s="82" t="n">
        <f aca="false">SUM(O6:O92)</f>
        <v>87.4053674599298</v>
      </c>
    </row>
    <row r="15" customFormat="false" ht="15" hidden="false" customHeight="true" outlineLevel="0" collapsed="false">
      <c r="A15" s="4" t="n">
        <v>1855</v>
      </c>
      <c r="B15" s="47" t="n">
        <v>5830491</v>
      </c>
      <c r="C15" s="75" t="n">
        <f aca="false">MAX(0,B15*lfund_farm_scale-lfund_grants)</f>
        <v>0</v>
      </c>
      <c r="D15" s="75" t="n">
        <f aca="false">IF(AND(lfund_on=1,$A15&gt;=lfund_start),MIN(lfund_area-lfund_home-lfund_grants,MAX(D14,INDEX($C$6:$C$92,MIN(87,10+lfund_lead)))),0)</f>
        <v>0</v>
      </c>
      <c r="E15" s="75" t="n">
        <f aca="false">D15-D14</f>
        <v>0</v>
      </c>
      <c r="F15" s="76" t="n">
        <f aca="false">lfund_price/lfund_term*(D15-IF(15-lfund_term&lt;6,0,INDEX($D$6:$D$92,15-5-lfund_term)))/1000000</f>
        <v>0</v>
      </c>
      <c r="G15" s="75" t="n">
        <f aca="false">IF(AND(lfund_on=1,$A15&gt;=lfund_start+1,$A15&lt;lfund_start+1+lfund_grant_years),lfund_grants/lfund_grant_years,0)</f>
        <v>1466666.66666667</v>
      </c>
      <c r="H15" s="76" t="n">
        <f aca="false">(E15+G15)*lfund_survey/1000000</f>
        <v>0.044</v>
      </c>
      <c r="I15" s="75" t="n">
        <f aca="false">IF(AND(lfund_on=1,$A15&gt;=lfund_start),MIN(D15,MAX(I14,C15)),0)</f>
        <v>0</v>
      </c>
      <c r="J15" s="76" t="n">
        <f aca="false">(W15-IF(15-lfund_inst&lt;6,0,INDEX($W$6:$W$92,15-5-lfund_inst)))/lfund_inst*(1-lfund_default)</f>
        <v>0</v>
      </c>
      <c r="K15" s="76" t="n">
        <f aca="false">G15*lfund_grant_fee*U15/1000000</f>
        <v>0.0916666666666667</v>
      </c>
      <c r="L15" s="76" t="n">
        <f aca="false">IF(AND(lfund_on=1,$A15&gt;=1860),lfund_home*lfund_lease_1932*($A15-1859)/(1932-1859)*lfund_rent*lfund_fee,0)/1000000</f>
        <v>0</v>
      </c>
      <c r="M15" s="76" t="n">
        <f aca="false">J15+K15+L15-F15-H15</f>
        <v>0.0476666666666667</v>
      </c>
      <c r="N15" s="76" t="n">
        <f aca="false">IF(lfund_on=1,IF(AND($A15&gt;=1852,$A15&lt;=1870),lfund_police,IF(AND($A15&gt;1870,$A15&lt;=1890),lfund_police_late,0))*lfund_police_cost*Economy!H15/INDEX(Economy!$H$6:$H$92,1877-1845),0)/1000000</f>
        <v>0.386497641509434</v>
      </c>
      <c r="O15" s="76" t="n">
        <f aca="false">M15-N15</f>
        <v>-0.338830974842767</v>
      </c>
      <c r="P15" s="76" t="n">
        <f aca="false">P14*(1+lfund_rate)+M15</f>
        <v>0.205449291666667</v>
      </c>
      <c r="Q15" s="76" t="n">
        <f aca="false">Q14*(1+lfund_rate)+O15</f>
        <v>-1.51043750078616</v>
      </c>
      <c r="R15" s="77" t="n">
        <f aca="false">People!T15*assist_cost*Economy!H15/1000000</f>
        <v>1.72368</v>
      </c>
      <c r="S15" s="78" t="n">
        <f aca="false">IF(SUM(R$6:R15)&gt;0,SUM(M$6:M15)/SUM(R$6:R15),0)</f>
        <v>0.0131289108661348</v>
      </c>
      <c r="T15" s="79" t="n">
        <v>2.35</v>
      </c>
      <c r="U15" s="80" t="n">
        <f aca="false">MAX(lfund_floor,lfund_share*T15)</f>
        <v>1.25</v>
      </c>
      <c r="V15" s="76" t="n">
        <f aca="false">(I15-I14)*U15/1000000</f>
        <v>0</v>
      </c>
      <c r="W15" s="76" t="n">
        <f aca="false">W14+V15</f>
        <v>0</v>
      </c>
      <c r="Y15" s="10" t="s">
        <v>1486</v>
      </c>
      <c r="Z15" s="82" t="n">
        <f aca="false">NPV(lfund_rate,M11:M92)</f>
        <v>12.5048641964287</v>
      </c>
    </row>
    <row r="16" customFormat="false" ht="15" hidden="false" customHeight="true" outlineLevel="0" collapsed="false">
      <c r="A16" s="4" t="n">
        <v>1856</v>
      </c>
      <c r="B16" s="47" t="n">
        <v>6320731</v>
      </c>
      <c r="C16" s="75" t="n">
        <f aca="false">MAX(0,B16*lfund_farm_scale-lfund_grants)</f>
        <v>0</v>
      </c>
      <c r="D16" s="75" t="n">
        <f aca="false">IF(AND(lfund_on=1,$A16&gt;=lfund_start),MIN(lfund_area-lfund_home-lfund_grants,MAX(D15,INDEX($C$6:$C$92,MIN(87,11+lfund_lead)))),0)</f>
        <v>168256</v>
      </c>
      <c r="E16" s="75" t="n">
        <f aca="false">D16-D15</f>
        <v>168256</v>
      </c>
      <c r="F16" s="76" t="n">
        <f aca="false">lfund_price/lfund_term*(D16-IF(16-lfund_term&lt;6,0,INDEX($D$6:$D$92,16-5-lfund_term)))/1000000</f>
        <v>0.00084128</v>
      </c>
      <c r="G16" s="75" t="n">
        <f aca="false">IF(AND(lfund_on=1,$A16&gt;=lfund_start+1,$A16&lt;lfund_start+1+lfund_grant_years),lfund_grants/lfund_grant_years,0)</f>
        <v>1466666.66666667</v>
      </c>
      <c r="H16" s="76" t="n">
        <f aca="false">(E16+G16)*lfund_survey/1000000</f>
        <v>0.04904768</v>
      </c>
      <c r="I16" s="75" t="n">
        <f aca="false">IF(AND(lfund_on=1,$A16&gt;=lfund_start),MIN(D16,MAX(I15,C16)),0)</f>
        <v>0</v>
      </c>
      <c r="J16" s="76" t="n">
        <f aca="false">(W16-IF(16-lfund_inst&lt;6,0,INDEX($W$6:$W$92,16-5-lfund_inst)))/lfund_inst*(1-lfund_default)</f>
        <v>0</v>
      </c>
      <c r="K16" s="76" t="n">
        <f aca="false">G16*lfund_grant_fee*U16/1000000</f>
        <v>0.0916666666666667</v>
      </c>
      <c r="L16" s="76" t="n">
        <f aca="false">IF(AND(lfund_on=1,$A16&gt;=1860),lfund_home*lfund_lease_1932*($A16-1859)/(1932-1859)*lfund_rent*lfund_fee,0)/1000000</f>
        <v>0</v>
      </c>
      <c r="M16" s="76" t="n">
        <f aca="false">J16+K16+L16-F16-H16</f>
        <v>0.0417777066666667</v>
      </c>
      <c r="N16" s="76" t="n">
        <f aca="false">IF(lfund_on=1,IF(AND($A16&gt;=1852,$A16&lt;=1870),lfund_police,IF(AND($A16&gt;1870,$A16&lt;=1890),lfund_police_late,0))*lfund_police_cost*Economy!H16/INDEX(Economy!$H$6:$H$92,1877-1845),0)/1000000</f>
        <v>0.380395047169811</v>
      </c>
      <c r="O16" s="76" t="n">
        <f aca="false">M16-N16</f>
        <v>-0.338617340503145</v>
      </c>
      <c r="P16" s="76" t="n">
        <f aca="false">P15*(1+lfund_rate)+M16</f>
        <v>0.257499462916667</v>
      </c>
      <c r="Q16" s="76" t="n">
        <f aca="false">Q15*(1+lfund_rate)+O16</f>
        <v>-1.92457671632862</v>
      </c>
      <c r="R16" s="77" t="n">
        <f aca="false">People!T16*assist_cost*Economy!H16/1000000</f>
        <v>1.696464</v>
      </c>
      <c r="S16" s="78" t="n">
        <f aca="false">IF(SUM(R$6:R16)&gt;0,SUM(M$6:M16)/SUM(R$6:R16),0)</f>
        <v>0.0143315026874535</v>
      </c>
      <c r="T16" s="79" t="n">
        <v>2.79</v>
      </c>
      <c r="U16" s="80" t="n">
        <f aca="false">MAX(lfund_floor,lfund_share*T16)</f>
        <v>1.25</v>
      </c>
      <c r="V16" s="76" t="n">
        <f aca="false">(I16-I15)*U16/1000000</f>
        <v>0</v>
      </c>
      <c r="W16" s="76" t="n">
        <f aca="false">W15+V16</f>
        <v>0</v>
      </c>
      <c r="Y16" s="10" t="s">
        <v>1487</v>
      </c>
      <c r="Z16" s="82" t="n">
        <f aca="false">NPV(lfund_rate,O11:O92)</f>
        <v>7.33024140794964</v>
      </c>
    </row>
    <row r="17" customFormat="false" ht="15" hidden="false" customHeight="true" outlineLevel="0" collapsed="false">
      <c r="A17" s="4" t="n">
        <v>1857</v>
      </c>
      <c r="B17" s="47" t="n">
        <v>6852191</v>
      </c>
      <c r="C17" s="75" t="n">
        <f aca="false">MAX(0,B17*lfund_farm_scale-lfund_grants)</f>
        <v>0</v>
      </c>
      <c r="D17" s="75" t="n">
        <f aca="false">IF(AND(lfund_on=1,$A17&gt;=lfund_start),MIN(lfund_area-lfund_home-lfund_grants,MAX(D16,INDEX($C$6:$C$92,MIN(87,12+lfund_lead)))),0)</f>
        <v>412978</v>
      </c>
      <c r="E17" s="75" t="n">
        <f aca="false">D17-D16</f>
        <v>244722</v>
      </c>
      <c r="F17" s="76" t="n">
        <f aca="false">lfund_price/lfund_term*(D17-IF(17-lfund_term&lt;6,0,INDEX($D$6:$D$92,17-5-lfund_term)))/1000000</f>
        <v>0.00206489</v>
      </c>
      <c r="G17" s="75" t="n">
        <f aca="false">IF(AND(lfund_on=1,$A17&gt;=lfund_start+1,$A17&lt;lfund_start+1+lfund_grant_years),lfund_grants/lfund_grant_years,0)</f>
        <v>1466666.66666667</v>
      </c>
      <c r="H17" s="76" t="n">
        <f aca="false">(E17+G17)*lfund_survey/1000000</f>
        <v>0.05134166</v>
      </c>
      <c r="I17" s="75" t="n">
        <f aca="false">IF(AND(lfund_on=1,$A17&gt;=lfund_start),MIN(D17,MAX(I16,C17)),0)</f>
        <v>0</v>
      </c>
      <c r="J17" s="76" t="n">
        <f aca="false">(W17-IF(17-lfund_inst&lt;6,0,INDEX($W$6:$W$92,17-5-lfund_inst)))/lfund_inst*(1-lfund_default)</f>
        <v>0</v>
      </c>
      <c r="K17" s="76" t="n">
        <f aca="false">G17*lfund_grant_fee*U17/1000000</f>
        <v>0.0916666666666667</v>
      </c>
      <c r="L17" s="76" t="n">
        <f aca="false">IF(AND(lfund_on=1,$A17&gt;=1860),lfund_home*lfund_lease_1932*($A17-1859)/(1932-1859)*lfund_rent*lfund_fee,0)/1000000</f>
        <v>0</v>
      </c>
      <c r="M17" s="76" t="n">
        <f aca="false">J17+K17+L17-F17-H17</f>
        <v>0.0382601166666667</v>
      </c>
      <c r="N17" s="76" t="n">
        <f aca="false">IF(lfund_on=1,IF(AND($A17&gt;=1852,$A17&lt;=1870),lfund_police,IF(AND($A17&gt;1870,$A17&lt;=1890),lfund_police_late,0))*lfund_police_cost*Economy!H17/INDEX(Economy!$H$6:$H$92,1877-1845),0)/1000000</f>
        <v>0.374292452830189</v>
      </c>
      <c r="O17" s="76" t="n">
        <f aca="false">M17-N17</f>
        <v>-0.336032336163522</v>
      </c>
      <c r="P17" s="76" t="n">
        <f aca="false">P16*(1+lfund_rate)+M17</f>
        <v>0.308634552729167</v>
      </c>
      <c r="Q17" s="76" t="n">
        <f aca="false">Q16*(1+lfund_rate)+O17</f>
        <v>-2.35683788830857</v>
      </c>
      <c r="R17" s="77" t="n">
        <f aca="false">People!T17*assist_cost*Economy!H17/1000000</f>
        <v>1.669248</v>
      </c>
      <c r="S17" s="78" t="n">
        <f aca="false">IF(SUM(R$6:R17)&gt;0,SUM(M$6:M17)/SUM(R$6:R17),0)</f>
        <v>0.0151329890962445</v>
      </c>
      <c r="T17" s="79" t="n">
        <v>3.32</v>
      </c>
      <c r="U17" s="80" t="n">
        <f aca="false">MAX(lfund_floor,lfund_share*T17)</f>
        <v>1.25</v>
      </c>
      <c r="V17" s="76" t="n">
        <f aca="false">(I17-I16)*U17/1000000</f>
        <v>0</v>
      </c>
      <c r="W17" s="76" t="n">
        <f aca="false">W16+V17</f>
        <v>0</v>
      </c>
      <c r="Y17" s="10" t="s">
        <v>1488</v>
      </c>
      <c r="Z17" s="82" t="n">
        <f aca="false">MIN(P6:P92)</f>
        <v>0</v>
      </c>
    </row>
    <row r="18" customFormat="false" ht="15" hidden="false" customHeight="true" outlineLevel="0" collapsed="false">
      <c r="A18" s="4" t="n">
        <v>1858</v>
      </c>
      <c r="B18" s="47" t="n">
        <v>7428338</v>
      </c>
      <c r="C18" s="75" t="n">
        <f aca="false">MAX(0,B18*lfund_farm_scale-lfund_grants)</f>
        <v>0</v>
      </c>
      <c r="D18" s="75" t="n">
        <f aca="false">IF(AND(lfund_on=1,$A18&gt;=lfund_start),MIN(lfund_area-lfund_home-lfund_grants,MAX(D17,INDEX($C$6:$C$92,MIN(87,13+lfund_lead)))),0)</f>
        <v>664378</v>
      </c>
      <c r="E18" s="75" t="n">
        <f aca="false">D18-D17</f>
        <v>251400</v>
      </c>
      <c r="F18" s="76" t="n">
        <f aca="false">lfund_price/lfund_term*(D18-IF(18-lfund_term&lt;6,0,INDEX($D$6:$D$92,18-5-lfund_term)))/1000000</f>
        <v>0.00332189</v>
      </c>
      <c r="G18" s="75" t="n">
        <f aca="false">IF(AND(lfund_on=1,$A18&gt;=lfund_start+1,$A18&lt;lfund_start+1+lfund_grant_years),lfund_grants/lfund_grant_years,0)</f>
        <v>0</v>
      </c>
      <c r="H18" s="76" t="n">
        <f aca="false">(E18+G18)*lfund_survey/1000000</f>
        <v>0.007542</v>
      </c>
      <c r="I18" s="75" t="n">
        <f aca="false">IF(AND(lfund_on=1,$A18&gt;=lfund_start),MIN(D18,MAX(I17,C18)),0)</f>
        <v>0</v>
      </c>
      <c r="J18" s="76" t="n">
        <f aca="false">(W18-IF(18-lfund_inst&lt;6,0,INDEX($W$6:$W$92,18-5-lfund_inst)))/lfund_inst*(1-lfund_default)</f>
        <v>0</v>
      </c>
      <c r="K18" s="76" t="n">
        <f aca="false">G18*lfund_grant_fee*U18/1000000</f>
        <v>0</v>
      </c>
      <c r="L18" s="76" t="n">
        <f aca="false">IF(AND(lfund_on=1,$A18&gt;=1860),lfund_home*lfund_lease_1932*($A18-1859)/(1932-1859)*lfund_rent*lfund_fee,0)/1000000</f>
        <v>0</v>
      </c>
      <c r="M18" s="76" t="n">
        <f aca="false">J18+K18+L18-F18-H18</f>
        <v>-0.01086389</v>
      </c>
      <c r="N18" s="76" t="n">
        <f aca="false">IF(lfund_on=1,IF(AND($A18&gt;=1852,$A18&lt;=1870),lfund_police,IF(AND($A18&gt;1870,$A18&lt;=1890),lfund_police_late,0))*lfund_police_cost*Economy!H18/INDEX(Economy!$H$6:$H$92,1877-1845),0)/1000000</f>
        <v>0.368881485849057</v>
      </c>
      <c r="O18" s="76" t="n">
        <f aca="false">M18-N18</f>
        <v>-0.379745375849057</v>
      </c>
      <c r="P18" s="76" t="n">
        <f aca="false">P17*(1+lfund_rate)+M18</f>
        <v>0.313202390365625</v>
      </c>
      <c r="Q18" s="76" t="n">
        <f aca="false">Q17*(1+lfund_rate)+O18</f>
        <v>-2.85442515857305</v>
      </c>
      <c r="R18" s="77" t="n">
        <f aca="false">People!T18*assist_cost*Economy!H18/1000000</f>
        <v>1.64511648</v>
      </c>
      <c r="S18" s="78" t="n">
        <f aca="false">IF(SUM(R$6:R18)&gt;0,SUM(M$6:M18)/SUM(R$6:R18),0)</f>
        <v>0.013302316318637</v>
      </c>
      <c r="T18" s="79" t="n">
        <v>3.95</v>
      </c>
      <c r="U18" s="80" t="n">
        <f aca="false">MAX(lfund_floor,lfund_share*T18)</f>
        <v>1.25</v>
      </c>
      <c r="V18" s="76" t="n">
        <f aca="false">(I18-I17)*U18/1000000</f>
        <v>0</v>
      </c>
      <c r="W18" s="76" t="n">
        <f aca="false">W17+V18</f>
        <v>0</v>
      </c>
      <c r="Y18" s="10" t="s">
        <v>1489</v>
      </c>
      <c r="Z18" s="84" t="n">
        <f aca="false">IF(lfund_on=0,"off",IFERROR(INDEX(A6:A92,MATCH(1,INDEX((P6:P92&gt;=0)*(A6:A92&gt;lfund_start+5),0),0)),"never"))</f>
        <v>1857</v>
      </c>
    </row>
    <row r="19" customFormat="false" ht="15" hidden="false" customHeight="true" outlineLevel="0" collapsed="false">
      <c r="A19" s="4" t="n">
        <v>1859</v>
      </c>
      <c r="B19" s="47" t="n">
        <v>8052928</v>
      </c>
      <c r="C19" s="75" t="n">
        <f aca="false">MAX(0,B19*lfund_farm_scale-lfund_grants)</f>
        <v>0</v>
      </c>
      <c r="D19" s="75" t="n">
        <f aca="false">IF(AND(lfund_on=1,$A19&gt;=lfund_start),MIN(lfund_area-lfund_home-lfund_grants,MAX(D18,INDEX($C$6:$C$92,MIN(87,14+lfund_lead)))),0)</f>
        <v>922637</v>
      </c>
      <c r="E19" s="75" t="n">
        <f aca="false">D19-D18</f>
        <v>258259</v>
      </c>
      <c r="F19" s="76" t="n">
        <f aca="false">lfund_price/lfund_term*(D19-IF(19-lfund_term&lt;6,0,INDEX($D$6:$D$92,19-5-lfund_term)))/1000000</f>
        <v>0.004613185</v>
      </c>
      <c r="G19" s="75" t="n">
        <f aca="false">IF(AND(lfund_on=1,$A19&gt;=lfund_start+1,$A19&lt;lfund_start+1+lfund_grant_years),lfund_grants/lfund_grant_years,0)</f>
        <v>0</v>
      </c>
      <c r="H19" s="76" t="n">
        <f aca="false">(E19+G19)*lfund_survey/1000000</f>
        <v>0.00774777</v>
      </c>
      <c r="I19" s="75" t="n">
        <f aca="false">IF(AND(lfund_on=1,$A19&gt;=lfund_start),MIN(D19,MAX(I18,C19)),0)</f>
        <v>0</v>
      </c>
      <c r="J19" s="76" t="n">
        <f aca="false">(W19-IF(19-lfund_inst&lt;6,0,INDEX($W$6:$W$92,19-5-lfund_inst)))/lfund_inst*(1-lfund_default)</f>
        <v>0</v>
      </c>
      <c r="K19" s="76" t="n">
        <f aca="false">G19*lfund_grant_fee*U19/1000000</f>
        <v>0</v>
      </c>
      <c r="L19" s="76" t="n">
        <f aca="false">IF(AND(lfund_on=1,$A19&gt;=1860),lfund_home*lfund_lease_1932*($A19-1859)/(1932-1859)*lfund_rent*lfund_fee,0)/1000000</f>
        <v>0</v>
      </c>
      <c r="M19" s="76" t="n">
        <f aca="false">J19+K19+L19-F19-H19</f>
        <v>-0.012360955</v>
      </c>
      <c r="N19" s="76" t="n">
        <f aca="false">IF(lfund_on=1,IF(AND($A19&gt;=1852,$A19&lt;=1870),lfund_police,IF(AND($A19&gt;1870,$A19&lt;=1890),lfund_police_late,0))*lfund_police_cost*Economy!H19/INDEX(Economy!$H$6:$H$92,1877-1845),0)/1000000</f>
        <v>0.36342983490566</v>
      </c>
      <c r="O19" s="76" t="n">
        <f aca="false">M19-N19</f>
        <v>-0.37579078990566</v>
      </c>
      <c r="P19" s="76" t="n">
        <f aca="false">P18*(1+lfund_rate)+M19</f>
        <v>0.316501554883906</v>
      </c>
      <c r="Q19" s="76" t="n">
        <f aca="false">Q18*(1+lfund_rate)+O19</f>
        <v>-3.37293720640737</v>
      </c>
      <c r="R19" s="77" t="n">
        <f aca="false">People!T19*assist_cost*Economy!H19/1000000</f>
        <v>1.62080352</v>
      </c>
      <c r="S19" s="78" t="n">
        <f aca="false">IF(SUM(R$6:R19)&gt;0,SUM(M$6:M19)/SUM(R$6:R19),0)</f>
        <v>0.01169879296533</v>
      </c>
      <c r="T19" s="79" t="n">
        <v>4.69</v>
      </c>
      <c r="U19" s="80" t="n">
        <f aca="false">MAX(lfund_floor,lfund_share*T19)</f>
        <v>1.25</v>
      </c>
      <c r="V19" s="76" t="n">
        <f aca="false">(I19-I18)*U19/1000000</f>
        <v>0</v>
      </c>
      <c r="W19" s="76" t="n">
        <f aca="false">W18+V19</f>
        <v>0</v>
      </c>
      <c r="Y19" s="10" t="s">
        <v>1490</v>
      </c>
      <c r="Z19" s="84" t="n">
        <f aca="false">IF(lfund_on=0,"off",IFERROR(INDEX(A6:A92,MATCH(1,INDEX((Q6:Q92&gt;=0)*(A6:A92&gt;lfund_start+5),0),0)),"never"))</f>
        <v>1882</v>
      </c>
    </row>
    <row r="20" customFormat="false" ht="15" hidden="false" customHeight="true" outlineLevel="0" collapsed="false">
      <c r="A20" s="4" t="n">
        <v>1860</v>
      </c>
      <c r="B20" s="47" t="n">
        <v>8730035</v>
      </c>
      <c r="C20" s="75" t="n">
        <f aca="false">MAX(0,B20*lfund_farm_scale-lfund_grants)</f>
        <v>0</v>
      </c>
      <c r="D20" s="75" t="n">
        <f aca="false">IF(AND(lfund_on=1,$A20&gt;=lfund_start),MIN(lfund_area-lfund_home-lfund_grants,MAX(D19,INDEX($C$6:$C$92,MIN(87,15+lfund_lead)))),0)</f>
        <v>1187944</v>
      </c>
      <c r="E20" s="75" t="n">
        <f aca="false">D20-D19</f>
        <v>265307</v>
      </c>
      <c r="F20" s="76" t="n">
        <f aca="false">lfund_price/lfund_term*(D20-IF(20-lfund_term&lt;6,0,INDEX($D$6:$D$92,20-5-lfund_term)))/1000000</f>
        <v>0.00593972</v>
      </c>
      <c r="G20" s="75" t="n">
        <f aca="false">IF(AND(lfund_on=1,$A20&gt;=lfund_start+1,$A20&lt;lfund_start+1+lfund_grant_years),lfund_grants/lfund_grant_years,0)</f>
        <v>0</v>
      </c>
      <c r="H20" s="76" t="n">
        <f aca="false">(E20+G20)*lfund_survey/1000000</f>
        <v>0.00795921</v>
      </c>
      <c r="I20" s="75" t="n">
        <f aca="false">IF(AND(lfund_on=1,$A20&gt;=lfund_start),MIN(D20,MAX(I19,C20)),0)</f>
        <v>0</v>
      </c>
      <c r="J20" s="76" t="n">
        <f aca="false">(W20-IF(20-lfund_inst&lt;6,0,INDEX($W$6:$W$92,20-5-lfund_inst)))/lfund_inst*(1-lfund_default)</f>
        <v>0</v>
      </c>
      <c r="K20" s="76" t="n">
        <f aca="false">G20*lfund_grant_fee*U20/1000000</f>
        <v>0</v>
      </c>
      <c r="L20" s="76" t="n">
        <f aca="false">IF(AND(lfund_on=1,$A20&gt;=1860),lfund_home*lfund_lease_1932*($A20-1859)/(1932-1859)*lfund_rent*lfund_fee,0)/1000000</f>
        <v>0.000152054794520548</v>
      </c>
      <c r="M20" s="76" t="n">
        <f aca="false">J20+K20+L20-F20-H20</f>
        <v>-0.0137468752054795</v>
      </c>
      <c r="N20" s="76" t="n">
        <f aca="false">IF(lfund_on=1,IF(AND($A20&gt;=1852,$A20&lt;=1870),lfund_police,IF(AND($A20&gt;1870,$A20&lt;=1890),lfund_police_late,0))*lfund_police_cost*Economy!H20/INDEX(Economy!$H$6:$H$92,1877-1845),0)/1000000</f>
        <v>0.358018867924528</v>
      </c>
      <c r="O20" s="76" t="n">
        <f aca="false">M20-N20</f>
        <v>-0.371765743130008</v>
      </c>
      <c r="P20" s="76" t="n">
        <f aca="false">P19*(1+lfund_rate)+M20</f>
        <v>0.318579757422622</v>
      </c>
      <c r="Q20" s="76" t="n">
        <f aca="false">Q19*(1+lfund_rate)+O20</f>
        <v>-3.91334980985774</v>
      </c>
      <c r="R20" s="77" t="n">
        <f aca="false">People!T20*assist_cost*Economy!H20/1000000</f>
        <v>1.685376</v>
      </c>
      <c r="S20" s="78" t="n">
        <f aca="false">IF(SUM(R$6:R20)&gt;0,SUM(M$6:M20)/SUM(R$6:R20),0)</f>
        <v>0.0102336339802378</v>
      </c>
      <c r="T20" s="79" t="n">
        <v>5.58</v>
      </c>
      <c r="U20" s="80" t="n">
        <f aca="false">MAX(lfund_floor,lfund_share*T20)</f>
        <v>1.25</v>
      </c>
      <c r="V20" s="76" t="n">
        <f aca="false">(I20-I19)*U20/1000000</f>
        <v>0</v>
      </c>
      <c r="W20" s="76" t="n">
        <f aca="false">W19+V20</f>
        <v>0</v>
      </c>
      <c r="Y20" s="10" t="s">
        <v>1491</v>
      </c>
      <c r="Z20" s="85" t="n">
        <f aca="false">S92</f>
        <v>0.474053363173518</v>
      </c>
    </row>
    <row r="21" customFormat="false" ht="15" hidden="false" customHeight="true" outlineLevel="0" collapsed="false">
      <c r="A21" s="4" t="n">
        <v>1861</v>
      </c>
      <c r="B21" s="47" t="n">
        <v>8968256</v>
      </c>
      <c r="C21" s="75" t="n">
        <f aca="false">MAX(0,B21*lfund_farm_scale-lfund_grants)</f>
        <v>168256</v>
      </c>
      <c r="D21" s="75" t="n">
        <f aca="false">IF(AND(lfund_on=1,$A21&gt;=lfund_start),MIN(lfund_area-lfund_home-lfund_grants,MAX(D20,INDEX($C$6:$C$92,MIN(87,16+lfund_lead)))),0)</f>
        <v>1460491</v>
      </c>
      <c r="E21" s="75" t="n">
        <f aca="false">D21-D20</f>
        <v>272547</v>
      </c>
      <c r="F21" s="76" t="n">
        <f aca="false">lfund_price/lfund_term*(D21-IF(21-lfund_term&lt;6,0,INDEX($D$6:$D$92,21-5-lfund_term)))/1000000</f>
        <v>0.007302455</v>
      </c>
      <c r="G21" s="75" t="n">
        <f aca="false">IF(AND(lfund_on=1,$A21&gt;=lfund_start+1,$A21&lt;lfund_start+1+lfund_grant_years),lfund_grants/lfund_grant_years,0)</f>
        <v>0</v>
      </c>
      <c r="H21" s="76" t="n">
        <f aca="false">(E21+G21)*lfund_survey/1000000</f>
        <v>0.00817641</v>
      </c>
      <c r="I21" s="75" t="n">
        <f aca="false">IF(AND(lfund_on=1,$A21&gt;=lfund_start),MIN(D21,MAX(I20,C21)),0)</f>
        <v>168256</v>
      </c>
      <c r="J21" s="76" t="n">
        <f aca="false">(W21-IF(21-lfund_inst&lt;6,0,INDEX($W$6:$W$92,21-5-lfund_inst)))/lfund_inst*(1-lfund_default)</f>
        <v>0.0378576</v>
      </c>
      <c r="K21" s="76" t="n">
        <f aca="false">G21*lfund_grant_fee*U21/1000000</f>
        <v>0</v>
      </c>
      <c r="L21" s="76" t="n">
        <f aca="false">IF(AND(lfund_on=1,$A21&gt;=1860),lfund_home*lfund_lease_1932*($A21-1859)/(1932-1859)*lfund_rent*lfund_fee,0)/1000000</f>
        <v>0.000304109589041096</v>
      </c>
      <c r="M21" s="76" t="n">
        <f aca="false">J21+K21+L21-F21-H21</f>
        <v>0.0226828445890411</v>
      </c>
      <c r="N21" s="76" t="n">
        <f aca="false">IF(lfund_on=1,IF(AND($A21&gt;=1852,$A21&lt;=1870),lfund_police,IF(AND($A21&gt;1870,$A21&lt;=1890),lfund_police_late,0))*lfund_police_cost*Economy!H21/INDEX(Economy!$H$6:$H$92,1877-1845),0)/1000000</f>
        <v>0.358018867924528</v>
      </c>
      <c r="O21" s="76" t="n">
        <f aca="false">M21-N21</f>
        <v>-0.335336023335487</v>
      </c>
      <c r="P21" s="76" t="n">
        <f aca="false">P20*(1+lfund_rate)+M21</f>
        <v>0.357191589882795</v>
      </c>
      <c r="Q21" s="76" t="n">
        <f aca="false">Q20*(1+lfund_rate)+O21</f>
        <v>-4.44435332368612</v>
      </c>
      <c r="R21" s="77" t="n">
        <f aca="false">People!T21*assist_cost*Economy!H21/1000000</f>
        <v>0.90816</v>
      </c>
      <c r="S21" s="78" t="n">
        <f aca="false">IF(SUM(R$6:R21)&gt;0,SUM(M$6:M21)/SUM(R$6:R21),0)</f>
        <v>0.0107974358301465</v>
      </c>
      <c r="T21" s="79" t="n">
        <v>6.04</v>
      </c>
      <c r="U21" s="80" t="n">
        <f aca="false">MAX(lfund_floor,lfund_share*T21)</f>
        <v>1.25</v>
      </c>
      <c r="V21" s="76" t="n">
        <f aca="false">(I21-I20)*U21/1000000</f>
        <v>0.21032</v>
      </c>
      <c r="W21" s="76" t="n">
        <f aca="false">W20+V21</f>
        <v>0.21032</v>
      </c>
      <c r="Y21" s="10" t="s">
        <v>1492</v>
      </c>
      <c r="Z21" s="86" t="n">
        <v>1.293</v>
      </c>
    </row>
    <row r="22" customFormat="false" ht="15" hidden="false" customHeight="true" outlineLevel="0" collapsed="false">
      <c r="A22" s="4" t="n">
        <v>1862</v>
      </c>
      <c r="B22" s="47" t="n">
        <v>9212978</v>
      </c>
      <c r="C22" s="75" t="n">
        <f aca="false">MAX(0,B22*lfund_farm_scale-lfund_grants)</f>
        <v>412978</v>
      </c>
      <c r="D22" s="75" t="n">
        <f aca="false">IF(AND(lfund_on=1,$A22&gt;=lfund_start),MIN(lfund_area-lfund_home-lfund_grants,MAX(D21,INDEX($C$6:$C$92,MIN(87,17+lfund_lead)))),0)</f>
        <v>1740474</v>
      </c>
      <c r="E22" s="75" t="n">
        <f aca="false">D22-D21</f>
        <v>279983</v>
      </c>
      <c r="F22" s="76" t="n">
        <f aca="false">lfund_price/lfund_term*(D22-IF(22-lfund_term&lt;6,0,INDEX($D$6:$D$92,22-5-lfund_term)))/1000000</f>
        <v>0.00870237</v>
      </c>
      <c r="G22" s="75" t="n">
        <f aca="false">IF(AND(lfund_on=1,$A22&gt;=lfund_start+1,$A22&lt;lfund_start+1+lfund_grant_years),lfund_grants/lfund_grant_years,0)</f>
        <v>0</v>
      </c>
      <c r="H22" s="76" t="n">
        <f aca="false">(E22+G22)*lfund_survey/1000000</f>
        <v>0.00839949</v>
      </c>
      <c r="I22" s="75" t="n">
        <f aca="false">IF(AND(lfund_on=1,$A22&gt;=lfund_start),MIN(D22,MAX(I21,C22)),0)</f>
        <v>412978</v>
      </c>
      <c r="J22" s="76" t="n">
        <f aca="false">(W22-IF(22-lfund_inst&lt;6,0,INDEX($W$6:$W$92,22-5-lfund_inst)))/lfund_inst*(1-lfund_default)</f>
        <v>0.09547494768</v>
      </c>
      <c r="K22" s="76" t="n">
        <f aca="false">G22*lfund_grant_fee*U22/1000000</f>
        <v>0</v>
      </c>
      <c r="L22" s="76" t="n">
        <f aca="false">IF(AND(lfund_on=1,$A22&gt;=1860),lfund_home*lfund_lease_1932*($A22-1859)/(1932-1859)*lfund_rent*lfund_fee,0)/1000000</f>
        <v>0.000456164383561644</v>
      </c>
      <c r="M22" s="76" t="n">
        <f aca="false">J22+K22+L22-F22-H22</f>
        <v>0.0788292520635617</v>
      </c>
      <c r="N22" s="76" t="n">
        <f aca="false">IF(lfund_on=1,IF(AND($A22&gt;=1852,$A22&lt;=1870),lfund_police,IF(AND($A22&gt;1870,$A22&lt;=1890),lfund_police_late,0))*lfund_police_cost*Economy!H22/INDEX(Economy!$H$6:$H$92,1877-1845),0)/1000000</f>
        <v>0.358018867924528</v>
      </c>
      <c r="O22" s="76" t="n">
        <f aca="false">M22-N22</f>
        <v>-0.279189615860967</v>
      </c>
      <c r="P22" s="76" t="n">
        <f aca="false">P21*(1+lfund_rate)+M22</f>
        <v>0.453880421440496</v>
      </c>
      <c r="Q22" s="76" t="n">
        <f aca="false">Q21*(1+lfund_rate)+O22</f>
        <v>-4.94576060573139</v>
      </c>
      <c r="R22" s="77" t="n">
        <f aca="false">People!T22*assist_cost*Economy!H22/1000000</f>
        <v>0.90816</v>
      </c>
      <c r="S22" s="78" t="n">
        <f aca="false">IF(SUM(R$6:R22)&gt;0,SUM(M$6:M22)/SUM(R$6:R22),0)</f>
        <v>0.0135968962167402</v>
      </c>
      <c r="T22" s="79" t="n">
        <v>6.54</v>
      </c>
      <c r="U22" s="80" t="n">
        <f aca="false">MAX(lfund_floor,lfund_share*T22)</f>
        <v>1.308</v>
      </c>
      <c r="V22" s="76" t="n">
        <f aca="false">(I22-I21)*U22/1000000</f>
        <v>0.320096376</v>
      </c>
      <c r="W22" s="76" t="n">
        <f aca="false">W21+V22</f>
        <v>0.530416376</v>
      </c>
    </row>
    <row r="23" customFormat="false" ht="15" hidden="false" customHeight="true" outlineLevel="0" collapsed="false">
      <c r="A23" s="4" t="n">
        <v>1863</v>
      </c>
      <c r="B23" s="47" t="n">
        <v>9464378</v>
      </c>
      <c r="C23" s="75" t="n">
        <f aca="false">MAX(0,B23*lfund_farm_scale-lfund_grants)</f>
        <v>664378</v>
      </c>
      <c r="D23" s="75" t="n">
        <f aca="false">IF(AND(lfund_on=1,$A23&gt;=lfund_start),MIN(lfund_area-lfund_home-lfund_grants,MAX(D22,INDEX($C$6:$C$92,MIN(87,18+lfund_lead)))),0)</f>
        <v>2028098</v>
      </c>
      <c r="E23" s="75" t="n">
        <f aca="false">D23-D22</f>
        <v>287624</v>
      </c>
      <c r="F23" s="76" t="n">
        <f aca="false">lfund_price/lfund_term*(D23-IF(23-lfund_term&lt;6,0,INDEX($D$6:$D$92,23-5-lfund_term)))/1000000</f>
        <v>0.01014049</v>
      </c>
      <c r="G23" s="75" t="n">
        <f aca="false">IF(AND(lfund_on=1,$A23&gt;=lfund_start+1,$A23&lt;lfund_start+1+lfund_grant_years),lfund_grants/lfund_grant_years,0)</f>
        <v>0</v>
      </c>
      <c r="H23" s="76" t="n">
        <f aca="false">(E23+G23)*lfund_survey/1000000</f>
        <v>0.00862872</v>
      </c>
      <c r="I23" s="75" t="n">
        <f aca="false">IF(AND(lfund_on=1,$A23&gt;=lfund_start),MIN(D23,MAX(I22,C23)),0)</f>
        <v>664378</v>
      </c>
      <c r="J23" s="76" t="n">
        <f aca="false">(W23-IF(23-lfund_inst&lt;6,0,INDEX($W$6:$W$92,23-5-lfund_inst)))/lfund_inst*(1-lfund_default)</f>
        <v>0.15946127568</v>
      </c>
      <c r="K23" s="76" t="n">
        <f aca="false">G23*lfund_grant_fee*U23/1000000</f>
        <v>0</v>
      </c>
      <c r="L23" s="76" t="n">
        <f aca="false">IF(AND(lfund_on=1,$A23&gt;=1860),lfund_home*lfund_lease_1932*($A23-1859)/(1932-1859)*lfund_rent*lfund_fee,0)/1000000</f>
        <v>0.000608219178082192</v>
      </c>
      <c r="M23" s="76" t="n">
        <f aca="false">J23+K23+L23-F23-H23</f>
        <v>0.141300284858082</v>
      </c>
      <c r="N23" s="76" t="n">
        <f aca="false">IF(lfund_on=1,IF(AND($A23&gt;=1852,$A23&lt;=1870),lfund_police,IF(AND($A23&gt;1870,$A23&lt;=1890),lfund_police_late,0))*lfund_police_cost*Economy!H23/INDEX(Economy!$H$6:$H$92,1877-1845),0)/1000000</f>
        <v>0.367498231132075</v>
      </c>
      <c r="O23" s="76" t="n">
        <f aca="false">M23-N23</f>
        <v>-0.226197946273993</v>
      </c>
      <c r="P23" s="76" t="n">
        <f aca="false">P22*(1+lfund_rate)+M23</f>
        <v>0.617874727370603</v>
      </c>
      <c r="Q23" s="76" t="n">
        <f aca="false">Q22*(1+lfund_rate)+O23</f>
        <v>-5.41924658229195</v>
      </c>
      <c r="R23" s="77" t="n">
        <f aca="false">People!T23*assist_cost*Economy!H23/1000000</f>
        <v>0.9322056</v>
      </c>
      <c r="S23" s="78" t="n">
        <f aca="false">IF(SUM(R$6:R23)&gt;0,SUM(M$6:M23)/SUM(R$6:R23),0)</f>
        <v>0.0186236362890752</v>
      </c>
      <c r="T23" s="79" t="n">
        <v>7.07</v>
      </c>
      <c r="U23" s="80" t="n">
        <f aca="false">MAX(lfund_floor,lfund_share*T23)</f>
        <v>1.414</v>
      </c>
      <c r="V23" s="76" t="n">
        <f aca="false">(I23-I22)*U23/1000000</f>
        <v>0.3554796</v>
      </c>
      <c r="W23" s="76" t="n">
        <f aca="false">W22+V23</f>
        <v>0.885895976</v>
      </c>
    </row>
    <row r="24" customFormat="false" ht="15" hidden="false" customHeight="true" outlineLevel="0" collapsed="false">
      <c r="A24" s="4" t="n">
        <v>1864</v>
      </c>
      <c r="B24" s="47" t="n">
        <v>9722637</v>
      </c>
      <c r="C24" s="75" t="n">
        <f aca="false">MAX(0,B24*lfund_farm_scale-lfund_grants)</f>
        <v>922637</v>
      </c>
      <c r="D24" s="75" t="n">
        <f aca="false">IF(AND(lfund_on=1,$A24&gt;=lfund_start),MIN(lfund_area-lfund_home-lfund_grants,MAX(D23,INDEX($C$6:$C$92,MIN(87,19+lfund_lead)))),0)</f>
        <v>2323570</v>
      </c>
      <c r="E24" s="75" t="n">
        <f aca="false">D24-D23</f>
        <v>295472</v>
      </c>
      <c r="F24" s="76" t="n">
        <f aca="false">lfund_price/lfund_term*(D24-IF(24-lfund_term&lt;6,0,INDEX($D$6:$D$92,24-5-lfund_term)))/1000000</f>
        <v>0.01161785</v>
      </c>
      <c r="G24" s="75" t="n">
        <f aca="false">IF(AND(lfund_on=1,$A24&gt;=lfund_start+1,$A24&lt;lfund_start+1+lfund_grant_years),lfund_grants/lfund_grant_years,0)</f>
        <v>0</v>
      </c>
      <c r="H24" s="76" t="n">
        <f aca="false">(E24+G24)*lfund_survey/1000000</f>
        <v>0.00886416</v>
      </c>
      <c r="I24" s="75" t="n">
        <f aca="false">IF(AND(lfund_on=1,$A24&gt;=lfund_start),MIN(D24,MAX(I23,C24)),0)</f>
        <v>922637</v>
      </c>
      <c r="J24" s="76" t="n">
        <f aca="false">(W24-IF(24-lfund_inst&lt;6,0,INDEX($W$6:$W$92,24-5-lfund_inst)))/lfund_inst*(1-lfund_default)</f>
        <v>0.23058580428</v>
      </c>
      <c r="K24" s="76" t="n">
        <f aca="false">G24*lfund_grant_fee*U24/1000000</f>
        <v>0</v>
      </c>
      <c r="L24" s="76" t="n">
        <f aca="false">IF(AND(lfund_on=1,$A24&gt;=1860),lfund_home*lfund_lease_1932*($A24-1859)/(1932-1859)*lfund_rent*lfund_fee,0)/1000000</f>
        <v>0.00076027397260274</v>
      </c>
      <c r="M24" s="76" t="n">
        <f aca="false">J24+K24+L24-F24-H24</f>
        <v>0.210864068252603</v>
      </c>
      <c r="N24" s="76" t="n">
        <f aca="false">IF(lfund_on=1,IF(AND($A24&gt;=1852,$A24&lt;=1870),lfund_police,IF(AND($A24&gt;1870,$A24&lt;=1890),lfund_police_late,0))*lfund_police_cost*Economy!H24/INDEX(Economy!$H$6:$H$92,1877-1845),0)/1000000</f>
        <v>0.377018278301887</v>
      </c>
      <c r="O24" s="76" t="n">
        <f aca="false">M24-N24</f>
        <v>-0.166154210049284</v>
      </c>
      <c r="P24" s="76" t="n">
        <f aca="false">P23*(1+lfund_rate)+M24</f>
        <v>0.859632531991736</v>
      </c>
      <c r="Q24" s="76" t="n">
        <f aca="false">Q23*(1+lfund_rate)+O24</f>
        <v>-5.85636312145584</v>
      </c>
      <c r="R24" s="77" t="n">
        <f aca="false">People!T24*assist_cost*Economy!H24/1000000</f>
        <v>0.9563544</v>
      </c>
      <c r="S24" s="78" t="n">
        <f aca="false">IF(SUM(R$6:R24)&gt;0,SUM(M$6:M24)/SUM(R$6:R24),0)</f>
        <v>0.0258964402944973</v>
      </c>
      <c r="T24" s="79" t="n">
        <v>7.65</v>
      </c>
      <c r="U24" s="80" t="n">
        <f aca="false">MAX(lfund_floor,lfund_share*T24)</f>
        <v>1.53</v>
      </c>
      <c r="V24" s="76" t="n">
        <f aca="false">(I24-I23)*U24/1000000</f>
        <v>0.39513627</v>
      </c>
      <c r="W24" s="76" t="n">
        <f aca="false">W23+V24</f>
        <v>1.281032246</v>
      </c>
    </row>
    <row r="25" customFormat="false" ht="15" hidden="false" customHeight="true" outlineLevel="0" collapsed="false">
      <c r="A25" s="4" t="n">
        <v>1865</v>
      </c>
      <c r="B25" s="47" t="n">
        <v>9987944</v>
      </c>
      <c r="C25" s="75" t="n">
        <f aca="false">MAX(0,B25*lfund_farm_scale-lfund_grants)</f>
        <v>1187944</v>
      </c>
      <c r="D25" s="75" t="n">
        <f aca="false">IF(AND(lfund_on=1,$A25&gt;=lfund_start),MIN(lfund_area-lfund_home-lfund_grants,MAX(D24,INDEX($C$6:$C$92,MIN(87,20+lfund_lead)))),0)</f>
        <v>2627105</v>
      </c>
      <c r="E25" s="75" t="n">
        <f aca="false">D25-D24</f>
        <v>303535</v>
      </c>
      <c r="F25" s="76" t="n">
        <f aca="false">lfund_price/lfund_term*(D25-IF(25-lfund_term&lt;6,0,INDEX($D$6:$D$92,25-5-lfund_term)))/1000000</f>
        <v>0.013135525</v>
      </c>
      <c r="G25" s="75" t="n">
        <f aca="false">IF(AND(lfund_on=1,$A25&gt;=lfund_start+1,$A25&lt;lfund_start+1+lfund_grant_years),lfund_grants/lfund_grant_years,0)</f>
        <v>0</v>
      </c>
      <c r="H25" s="76" t="n">
        <f aca="false">(E25+G25)*lfund_survey/1000000</f>
        <v>0.00910605</v>
      </c>
      <c r="I25" s="75" t="n">
        <f aca="false">IF(AND(lfund_on=1,$A25&gt;=lfund_start),MIN(D25,MAX(I24,C25)),0)</f>
        <v>1187944</v>
      </c>
      <c r="J25" s="76" t="n">
        <f aca="false">(W25-IF(25-lfund_inst&lt;6,0,INDEX($W$6:$W$92,25-5-lfund_inst)))/lfund_inst*(1-lfund_default)</f>
        <v>0.30966851484</v>
      </c>
      <c r="K25" s="76" t="n">
        <f aca="false">G25*lfund_grant_fee*U25/1000000</f>
        <v>0</v>
      </c>
      <c r="L25" s="76" t="n">
        <f aca="false">IF(AND(lfund_on=1,$A25&gt;=1860),lfund_home*lfund_lease_1932*($A25-1859)/(1932-1859)*lfund_rent*lfund_fee,0)/1000000</f>
        <v>0.000912328767123288</v>
      </c>
      <c r="M25" s="76" t="n">
        <f aca="false">J25+K25+L25-F25-H25</f>
        <v>0.288339268607123</v>
      </c>
      <c r="N25" s="76" t="n">
        <f aca="false">IF(lfund_on=1,IF(AND($A25&gt;=1852,$A25&lt;=1870),lfund_police,IF(AND($A25&gt;1870,$A25&lt;=1890),lfund_police_late,0))*lfund_police_cost*Economy!H25/INDEX(Economy!$H$6:$H$92,1877-1845),0)/1000000</f>
        <v>0.386497641509434</v>
      </c>
      <c r="O25" s="76" t="n">
        <f aca="false">M25-N25</f>
        <v>-0.0981583729023107</v>
      </c>
      <c r="P25" s="76" t="n">
        <f aca="false">P24*(1+lfund_rate)+M25</f>
        <v>1.19095342719845</v>
      </c>
      <c r="Q25" s="76" t="n">
        <f aca="false">Q24*(1+lfund_rate)+O25</f>
        <v>-6.24733965043094</v>
      </c>
      <c r="R25" s="77" t="n">
        <f aca="false">People!T25*assist_cost*Economy!H25/1000000</f>
        <v>0.9804</v>
      </c>
      <c r="S25" s="78" t="n">
        <f aca="false">IF(SUM(R$6:R25)&gt;0,SUM(M$6:M25)/SUM(R$6:R25),0)</f>
        <v>0.0354496074471667</v>
      </c>
      <c r="T25" s="79" t="n">
        <v>8.28</v>
      </c>
      <c r="U25" s="80" t="n">
        <f aca="false">MAX(lfund_floor,lfund_share*T25)</f>
        <v>1.656</v>
      </c>
      <c r="V25" s="76" t="n">
        <f aca="false">(I25-I24)*U25/1000000</f>
        <v>0.439348392</v>
      </c>
      <c r="W25" s="76" t="n">
        <f aca="false">W24+V25</f>
        <v>1.720380638</v>
      </c>
    </row>
    <row r="26" customFormat="false" ht="15" hidden="false" customHeight="true" outlineLevel="0" collapsed="false">
      <c r="A26" s="4" t="n">
        <v>1866</v>
      </c>
      <c r="B26" s="47" t="n">
        <v>10260491</v>
      </c>
      <c r="C26" s="75" t="n">
        <f aca="false">MAX(0,B26*lfund_farm_scale-lfund_grants)</f>
        <v>1460491</v>
      </c>
      <c r="D26" s="75" t="n">
        <f aca="false">IF(AND(lfund_on=1,$A26&gt;=lfund_start),MIN(lfund_area-lfund_home-lfund_grants,MAX(D25,INDEX($C$6:$C$92,MIN(87,21+lfund_lead)))),0)</f>
        <v>3061429</v>
      </c>
      <c r="E26" s="75" t="n">
        <f aca="false">D26-D25</f>
        <v>434324</v>
      </c>
      <c r="F26" s="76" t="n">
        <f aca="false">lfund_price/lfund_term*(D26-IF(26-lfund_term&lt;6,0,INDEX($D$6:$D$92,26-5-lfund_term)))/1000000</f>
        <v>0.015307145</v>
      </c>
      <c r="G26" s="75" t="n">
        <f aca="false">IF(AND(lfund_on=1,$A26&gt;=lfund_start+1,$A26&lt;lfund_start+1+lfund_grant_years),lfund_grants/lfund_grant_years,0)</f>
        <v>0</v>
      </c>
      <c r="H26" s="76" t="n">
        <f aca="false">(E26+G26)*lfund_survey/1000000</f>
        <v>0.01302972</v>
      </c>
      <c r="I26" s="75" t="n">
        <f aca="false">IF(AND(lfund_on=1,$A26&gt;=lfund_start),MIN(D26,MAX(I25,C26)),0)</f>
        <v>1460491</v>
      </c>
      <c r="J26" s="76" t="n">
        <f aca="false">(W26-IF(26-lfund_inst&lt;6,0,INDEX($W$6:$W$92,26-5-lfund_inst)))/lfund_inst*(1-lfund_default)</f>
        <v>0.35982179208</v>
      </c>
      <c r="K26" s="76" t="n">
        <f aca="false">G26*lfund_grant_fee*U26/1000000</f>
        <v>0</v>
      </c>
      <c r="L26" s="76" t="n">
        <f aca="false">IF(AND(lfund_on=1,$A26&gt;=1860),lfund_home*lfund_lease_1932*($A26-1859)/(1932-1859)*lfund_rent*lfund_fee,0)/1000000</f>
        <v>0.00106438356164384</v>
      </c>
      <c r="M26" s="76" t="n">
        <f aca="false">J26+K26+L26-F26-H26</f>
        <v>0.332549310641644</v>
      </c>
      <c r="N26" s="76" t="n">
        <f aca="false">IF(lfund_on=1,IF(AND($A26&gt;=1852,$A26&lt;=1870),lfund_police,IF(AND($A26&gt;1870,$A26&lt;=1890),lfund_police_late,0))*lfund_police_cost*Economy!H26/INDEX(Economy!$H$6:$H$92,1877-1845),0)/1000000</f>
        <v>0.386497641509434</v>
      </c>
      <c r="O26" s="76" t="n">
        <f aca="false">M26-N26</f>
        <v>-0.0539483308677902</v>
      </c>
      <c r="P26" s="76" t="n">
        <f aca="false">P25*(1+lfund_rate)+M26</f>
        <v>1.58305040920001</v>
      </c>
      <c r="Q26" s="76" t="n">
        <f aca="false">Q25*(1+lfund_rate)+O26</f>
        <v>-6.61365496382028</v>
      </c>
      <c r="R26" s="77" t="n">
        <f aca="false">People!T26*assist_cost*Economy!H26/1000000</f>
        <v>2.0064</v>
      </c>
      <c r="S26" s="78" t="n">
        <f aca="false">IF(SUM(R$6:R26)&gt;0,SUM(M$6:M26)/SUM(R$6:R26),0)</f>
        <v>0.0443020054679859</v>
      </c>
      <c r="T26" s="79" t="n">
        <v>8.97</v>
      </c>
      <c r="U26" s="80" t="n">
        <f aca="false">MAX(lfund_floor,lfund_share*T26)</f>
        <v>1.794</v>
      </c>
      <c r="V26" s="76" t="n">
        <f aca="false">(I26-I25)*U26/1000000</f>
        <v>0.488949318</v>
      </c>
      <c r="W26" s="76" t="n">
        <f aca="false">W25+V26</f>
        <v>2.209329956</v>
      </c>
    </row>
    <row r="27" customFormat="false" ht="15" hidden="false" customHeight="true" outlineLevel="0" collapsed="false">
      <c r="A27" s="4" t="n">
        <v>1867</v>
      </c>
      <c r="B27" s="47" t="n">
        <v>10540474</v>
      </c>
      <c r="C27" s="75" t="n">
        <f aca="false">MAX(0,B27*lfund_farm_scale-lfund_grants)</f>
        <v>1740474</v>
      </c>
      <c r="D27" s="75" t="n">
        <f aca="false">IF(AND(lfund_on=1,$A27&gt;=lfund_start),MIN(lfund_area-lfund_home-lfund_grants,MAX(D26,INDEX($C$6:$C$92,MIN(87,22+lfund_lead)))),0)</f>
        <v>3512262</v>
      </c>
      <c r="E27" s="75" t="n">
        <f aca="false">D27-D26</f>
        <v>450833</v>
      </c>
      <c r="F27" s="76" t="n">
        <f aca="false">lfund_price/lfund_term*(D27-IF(27-lfund_term&lt;6,0,INDEX($D$6:$D$92,27-5-lfund_term)))/1000000</f>
        <v>0.01756131</v>
      </c>
      <c r="G27" s="75" t="n">
        <f aca="false">IF(AND(lfund_on=1,$A27&gt;=lfund_start+1,$A27&lt;lfund_start+1+lfund_grant_years),lfund_grants/lfund_grant_years,0)</f>
        <v>0</v>
      </c>
      <c r="H27" s="76" t="n">
        <f aca="false">(E27+G27)*lfund_survey/1000000</f>
        <v>0.01352499</v>
      </c>
      <c r="I27" s="75" t="n">
        <f aca="false">IF(AND(lfund_on=1,$A27&gt;=lfund_start),MIN(D27,MAX(I26,C27)),0)</f>
        <v>1740474</v>
      </c>
      <c r="J27" s="76" t="n">
        <f aca="false">(W27-IF(27-lfund_inst&lt;6,0,INDEX($W$6:$W$92,27-5-lfund_inst)))/lfund_inst*(1-lfund_default)</f>
        <v>0.399974508</v>
      </c>
      <c r="K27" s="76" t="n">
        <f aca="false">G27*lfund_grant_fee*U27/1000000</f>
        <v>0</v>
      </c>
      <c r="L27" s="76" t="n">
        <f aca="false">IF(AND(lfund_on=1,$A27&gt;=1860),lfund_home*lfund_lease_1932*($A27-1859)/(1932-1859)*lfund_rent*lfund_fee,0)/1000000</f>
        <v>0.00121643835616438</v>
      </c>
      <c r="M27" s="76" t="n">
        <f aca="false">J27+K27+L27-F27-H27</f>
        <v>0.370104646356164</v>
      </c>
      <c r="N27" s="76" t="n">
        <f aca="false">IF(lfund_on=1,IF(AND($A27&gt;=1852,$A27&lt;=1870),lfund_police,IF(AND($A27&gt;1870,$A27&lt;=1890),lfund_police_late,0))*lfund_police_cost*Economy!H27/INDEX(Economy!$H$6:$H$92,1877-1845),0)/1000000</f>
        <v>0.386497641509434</v>
      </c>
      <c r="O27" s="76" t="n">
        <f aca="false">M27-N27</f>
        <v>-0.0163929951532696</v>
      </c>
      <c r="P27" s="76" t="n">
        <f aca="false">P26*(1+lfund_rate)+M27</f>
        <v>2.03230757601618</v>
      </c>
      <c r="Q27" s="76" t="n">
        <f aca="false">Q26*(1+lfund_rate)+O27</f>
        <v>-6.96073070716456</v>
      </c>
      <c r="R27" s="77" t="n">
        <f aca="false">People!T27*assist_cost*Economy!H27/1000000</f>
        <v>2.0064</v>
      </c>
      <c r="S27" s="78" t="n">
        <f aca="false">IF(SUM(R$6:R27)&gt;0,SUM(M$6:M27)/SUM(R$6:R27),0)</f>
        <v>0.0532188479489104</v>
      </c>
      <c r="T27" s="79" t="n">
        <v>9.7</v>
      </c>
      <c r="U27" s="80" t="n">
        <f aca="false">MAX(lfund_floor,lfund_share*T27)</f>
        <v>1.94</v>
      </c>
      <c r="V27" s="76" t="n">
        <f aca="false">(I27-I26)*U27/1000000</f>
        <v>0.54316702</v>
      </c>
      <c r="W27" s="76" t="n">
        <f aca="false">W26+V27</f>
        <v>2.752496976</v>
      </c>
    </row>
    <row r="28" customFormat="false" ht="15" hidden="false" customHeight="true" outlineLevel="0" collapsed="false">
      <c r="A28" s="4" t="n">
        <v>1868</v>
      </c>
      <c r="B28" s="47" t="n">
        <v>10828098</v>
      </c>
      <c r="C28" s="75" t="n">
        <f aca="false">MAX(0,B28*lfund_farm_scale-lfund_grants)</f>
        <v>2028098</v>
      </c>
      <c r="D28" s="75" t="n">
        <f aca="false">IF(AND(lfund_on=1,$A28&gt;=lfund_start),MIN(lfund_area-lfund_home-lfund_grants,MAX(D27,INDEX($C$6:$C$92,MIN(87,23+lfund_lead)))),0)</f>
        <v>3980229</v>
      </c>
      <c r="E28" s="75" t="n">
        <f aca="false">D28-D27</f>
        <v>467967</v>
      </c>
      <c r="F28" s="76" t="n">
        <f aca="false">lfund_price/lfund_term*(D28-IF(28-lfund_term&lt;6,0,INDEX($D$6:$D$92,28-5-lfund_term)))/1000000</f>
        <v>0.019901145</v>
      </c>
      <c r="G28" s="75" t="n">
        <f aca="false">IF(AND(lfund_on=1,$A28&gt;=lfund_start+1,$A28&lt;lfund_start+1+lfund_grant_years),lfund_grants/lfund_grant_years,0)</f>
        <v>0</v>
      </c>
      <c r="H28" s="76" t="n">
        <f aca="false">(E28+G28)*lfund_survey/1000000</f>
        <v>0.01403901</v>
      </c>
      <c r="I28" s="75" t="n">
        <f aca="false">IF(AND(lfund_on=1,$A28&gt;=lfund_start),MIN(D28,MAX(I27,C28)),0)</f>
        <v>2028098</v>
      </c>
      <c r="J28" s="76" t="n">
        <f aca="false">(W28-IF(28-lfund_inst&lt;6,0,INDEX($W$6:$W$92,28-5-lfund_inst)))/lfund_inst*(1-lfund_default)</f>
        <v>0.444710052</v>
      </c>
      <c r="K28" s="76" t="n">
        <f aca="false">G28*lfund_grant_fee*U28/1000000</f>
        <v>0</v>
      </c>
      <c r="L28" s="76" t="n">
        <f aca="false">IF(AND(lfund_on=1,$A28&gt;=1860),lfund_home*lfund_lease_1932*($A28-1859)/(1932-1859)*lfund_rent*lfund_fee,0)/1000000</f>
        <v>0.00136849315068493</v>
      </c>
      <c r="M28" s="76" t="n">
        <f aca="false">J28+K28+L28-F28-H28</f>
        <v>0.412138390150685</v>
      </c>
      <c r="N28" s="76" t="n">
        <f aca="false">IF(lfund_on=1,IF(AND($A28&gt;=1852,$A28&lt;=1870),lfund_police,IF(AND($A28&gt;1870,$A28&lt;=1890),lfund_police_late,0))*lfund_police_cost*Economy!H28/INDEX(Economy!$H$6:$H$92,1877-1845),0)/1000000</f>
        <v>0.386497641509434</v>
      </c>
      <c r="O28" s="76" t="n">
        <f aca="false">M28-N28</f>
        <v>0.0256407486412508</v>
      </c>
      <c r="P28" s="76" t="n">
        <f aca="false">P27*(1+lfund_rate)+M28</f>
        <v>2.54606134496767</v>
      </c>
      <c r="Q28" s="76" t="n">
        <f aca="false">Q27*(1+lfund_rate)+O28</f>
        <v>-7.28312649388154</v>
      </c>
      <c r="R28" s="77" t="n">
        <f aca="false">People!T28*assist_cost*Economy!H28/1000000</f>
        <v>2.166</v>
      </c>
      <c r="S28" s="78" t="n">
        <f aca="false">IF(SUM(R$6:R28)&gt;0,SUM(M$6:M28)/SUM(R$6:R28),0)</f>
        <v>0.0620269601410412</v>
      </c>
      <c r="T28" s="79" t="n">
        <v>10.5</v>
      </c>
      <c r="U28" s="80" t="n">
        <f aca="false">MAX(lfund_floor,lfund_share*T28)</f>
        <v>2.1</v>
      </c>
      <c r="V28" s="76" t="n">
        <f aca="false">(I28-I27)*U28/1000000</f>
        <v>0.6040104</v>
      </c>
      <c r="W28" s="76" t="n">
        <f aca="false">W27+V28</f>
        <v>3.356507376</v>
      </c>
    </row>
    <row r="29" customFormat="false" ht="15" hidden="false" customHeight="true" outlineLevel="0" collapsed="false">
      <c r="A29" s="4" t="n">
        <v>1869</v>
      </c>
      <c r="B29" s="47" t="n">
        <v>11123570</v>
      </c>
      <c r="C29" s="75" t="n">
        <f aca="false">MAX(0,B29*lfund_farm_scale-lfund_grants)</f>
        <v>2323570</v>
      </c>
      <c r="D29" s="75" t="n">
        <f aca="false">IF(AND(lfund_on=1,$A29&gt;=lfund_start),MIN(lfund_area-lfund_home-lfund_grants,MAX(D28,INDEX($C$6:$C$92,MIN(87,24+lfund_lead)))),0)</f>
        <v>4465984</v>
      </c>
      <c r="E29" s="75" t="n">
        <f aca="false">D29-D28</f>
        <v>485755</v>
      </c>
      <c r="F29" s="76" t="n">
        <f aca="false">lfund_price/lfund_term*(D29-IF(29-lfund_term&lt;6,0,INDEX($D$6:$D$92,29-5-lfund_term)))/1000000</f>
        <v>0.02232992</v>
      </c>
      <c r="G29" s="75" t="n">
        <f aca="false">IF(AND(lfund_on=1,$A29&gt;=lfund_start+1,$A29&lt;lfund_start+1+lfund_grant_years),lfund_grants/lfund_grant_years,0)</f>
        <v>0</v>
      </c>
      <c r="H29" s="76" t="n">
        <f aca="false">(E29+G29)*lfund_survey/1000000</f>
        <v>0.01457265</v>
      </c>
      <c r="I29" s="75" t="n">
        <f aca="false">IF(AND(lfund_on=1,$A29&gt;=lfund_start),MIN(D29,MAX(I28,C29)),0)</f>
        <v>2323570</v>
      </c>
      <c r="J29" s="76" t="n">
        <f aca="false">(W29-IF(29-lfund_inst&lt;6,0,INDEX($W$6:$W$92,29-5-lfund_inst)))/lfund_inst*(1-lfund_default)</f>
        <v>0.49452812244</v>
      </c>
      <c r="K29" s="76" t="n">
        <f aca="false">G29*lfund_grant_fee*U29/1000000</f>
        <v>0</v>
      </c>
      <c r="L29" s="76" t="n">
        <f aca="false">IF(AND(lfund_on=1,$A29&gt;=1860),lfund_home*lfund_lease_1932*($A29-1859)/(1932-1859)*lfund_rent*lfund_fee,0)/1000000</f>
        <v>0.00152054794520548</v>
      </c>
      <c r="M29" s="76" t="n">
        <f aca="false">J29+K29+L29-F29-H29</f>
        <v>0.459146100385205</v>
      </c>
      <c r="N29" s="76" t="n">
        <f aca="false">IF(lfund_on=1,IF(AND($A29&gt;=1852,$A29&lt;=1870),lfund_police,IF(AND($A29&gt;1870,$A29&lt;=1890),lfund_police_late,0))*lfund_police_cost*Economy!H29/INDEX(Economy!$H$6:$H$92,1877-1845),0)/1000000</f>
        <v>0.386497641509434</v>
      </c>
      <c r="O29" s="76" t="n">
        <f aca="false">M29-N29</f>
        <v>0.0726484588757713</v>
      </c>
      <c r="P29" s="76" t="n">
        <f aca="false">P28*(1+lfund_rate)+M29</f>
        <v>3.13251051260126</v>
      </c>
      <c r="Q29" s="76" t="n">
        <f aca="false">Q28*(1+lfund_rate)+O29</f>
        <v>-7.57463435969985</v>
      </c>
      <c r="R29" s="77" t="n">
        <f aca="false">People!T29*assist_cost*Economy!H29/1000000</f>
        <v>2.39856</v>
      </c>
      <c r="S29" s="78" t="n">
        <f aca="false">IF(SUM(R$6:R29)&gt;0,SUM(M$6:M29)/SUM(R$6:R29),0)</f>
        <v>0.0706239379957434</v>
      </c>
      <c r="T29" s="79" t="n">
        <v>11.37</v>
      </c>
      <c r="U29" s="80" t="n">
        <f aca="false">MAX(lfund_floor,lfund_share*T29)</f>
        <v>2.274</v>
      </c>
      <c r="V29" s="76" t="n">
        <f aca="false">(I29-I28)*U29/1000000</f>
        <v>0.671903328</v>
      </c>
      <c r="W29" s="76" t="n">
        <f aca="false">W28+V29</f>
        <v>4.028410704</v>
      </c>
    </row>
    <row r="30" customFormat="false" ht="15" hidden="false" customHeight="true" outlineLevel="0" collapsed="false">
      <c r="A30" s="4" t="n">
        <v>1870</v>
      </c>
      <c r="B30" s="47" t="n">
        <v>11427105</v>
      </c>
      <c r="C30" s="75" t="n">
        <f aca="false">MAX(0,B30*lfund_farm_scale-lfund_grants)</f>
        <v>2627105</v>
      </c>
      <c r="D30" s="75" t="n">
        <f aca="false">IF(AND(lfund_on=1,$A30&gt;=lfund_start),MIN(lfund_area-lfund_home-lfund_grants,MAX(D29,INDEX($C$6:$C$92,MIN(87,25+lfund_lead)))),0)</f>
        <v>4970201</v>
      </c>
      <c r="E30" s="75" t="n">
        <f aca="false">D30-D29</f>
        <v>504217</v>
      </c>
      <c r="F30" s="76" t="n">
        <f aca="false">lfund_price/lfund_term*(D30-IF(30-lfund_term&lt;6,0,INDEX($D$6:$D$92,30-5-lfund_term)))/1000000</f>
        <v>0.024851005</v>
      </c>
      <c r="G30" s="75" t="n">
        <f aca="false">IF(AND(lfund_on=1,$A30&gt;=lfund_start+1,$A30&lt;lfund_start+1+lfund_grant_years),lfund_grants/lfund_grant_years,0)</f>
        <v>0</v>
      </c>
      <c r="H30" s="76" t="n">
        <f aca="false">(E30+G30)*lfund_survey/1000000</f>
        <v>0.01512651</v>
      </c>
      <c r="I30" s="75" t="n">
        <f aca="false">IF(AND(lfund_on=1,$A30&gt;=lfund_start),MIN(D30,MAX(I29,C30)),0)</f>
        <v>2627105</v>
      </c>
      <c r="J30" s="76" t="n">
        <f aca="false">(W30-IF(30-lfund_inst&lt;6,0,INDEX($W$6:$W$92,30-5-lfund_inst)))/lfund_inst*(1-lfund_default)</f>
        <v>0.54985070988</v>
      </c>
      <c r="K30" s="76" t="n">
        <f aca="false">G30*lfund_grant_fee*U30/1000000</f>
        <v>0</v>
      </c>
      <c r="L30" s="76" t="n">
        <f aca="false">IF(AND(lfund_on=1,$A30&gt;=1860),lfund_home*lfund_lease_1932*($A30-1859)/(1932-1859)*lfund_rent*lfund_fee,0)/1000000</f>
        <v>0.00167260273972603</v>
      </c>
      <c r="M30" s="76" t="n">
        <f aca="false">J30+K30+L30-F30-H30</f>
        <v>0.511545797619726</v>
      </c>
      <c r="N30" s="76" t="n">
        <f aca="false">IF(lfund_on=1,IF(AND($A30&gt;=1852,$A30&lt;=1870),lfund_police,IF(AND($A30&gt;1870,$A30&lt;=1890),lfund_police_late,0))*lfund_police_cost*Economy!H30/INDEX(Economy!$H$6:$H$92,1877-1845),0)/1000000</f>
        <v>0.386497641509434</v>
      </c>
      <c r="O30" s="76" t="n">
        <f aca="false">M30-N30</f>
        <v>0.125048156110292</v>
      </c>
      <c r="P30" s="76" t="n">
        <f aca="false">P29*(1+lfund_rate)+M30</f>
        <v>3.80068183585105</v>
      </c>
      <c r="Q30" s="76" t="n">
        <f aca="false">Q29*(1+lfund_rate)+O30</f>
        <v>-7.82831792157455</v>
      </c>
      <c r="R30" s="77" t="n">
        <f aca="false">People!T30*assist_cost*Economy!H30/1000000</f>
        <v>2.4054</v>
      </c>
      <c r="S30" s="78" t="n">
        <f aca="false">IF(SUM(R$6:R30)&gt;0,SUM(M$6:M30)/SUM(R$6:R30),0)</f>
        <v>0.0794966292906233</v>
      </c>
      <c r="T30" s="79" t="n">
        <v>12.3</v>
      </c>
      <c r="U30" s="80" t="n">
        <f aca="false">MAX(lfund_floor,lfund_share*T30)</f>
        <v>2.46</v>
      </c>
      <c r="V30" s="76" t="n">
        <f aca="false">(I30-I29)*U30/1000000</f>
        <v>0.7466961</v>
      </c>
      <c r="W30" s="76" t="n">
        <f aca="false">W29+V30</f>
        <v>4.775106804</v>
      </c>
    </row>
    <row r="31" customFormat="false" ht="15" hidden="false" customHeight="true" outlineLevel="0" collapsed="false">
      <c r="A31" s="4" t="n">
        <v>1871</v>
      </c>
      <c r="B31" s="47" t="n">
        <v>11861429</v>
      </c>
      <c r="C31" s="75" t="n">
        <f aca="false">MAX(0,B31*lfund_farm_scale-lfund_grants)</f>
        <v>3061429</v>
      </c>
      <c r="D31" s="75" t="n">
        <f aca="false">IF(AND(lfund_on=1,$A31&gt;=lfund_start),MIN(lfund_area-lfund_home-lfund_grants,MAX(D30,INDEX($C$6:$C$92,MIN(87,26+lfund_lead)))),0)</f>
        <v>5493582</v>
      </c>
      <c r="E31" s="75" t="n">
        <f aca="false">D31-D30</f>
        <v>523381</v>
      </c>
      <c r="F31" s="76" t="n">
        <f aca="false">lfund_price/lfund_term*(D31-IF(31-lfund_term&lt;6,0,INDEX($D$6:$D$92,31-5-lfund_term)))/1000000</f>
        <v>0.02746791</v>
      </c>
      <c r="G31" s="75" t="n">
        <f aca="false">IF(AND(lfund_on=1,$A31&gt;=lfund_start+1,$A31&lt;lfund_start+1+lfund_grant_years),lfund_grants/lfund_grant_years,0)</f>
        <v>0</v>
      </c>
      <c r="H31" s="76" t="n">
        <f aca="false">(E31+G31)*lfund_survey/1000000</f>
        <v>0.01570143</v>
      </c>
      <c r="I31" s="75" t="n">
        <f aca="false">IF(AND(lfund_on=1,$A31&gt;=lfund_start),MIN(D31,MAX(I30,C31)),0)</f>
        <v>3061429</v>
      </c>
      <c r="J31" s="76" t="n">
        <f aca="false">(W31-IF(31-lfund_inst&lt;6,0,INDEX($W$6:$W$92,31-5-lfund_inst)))/lfund_inst*(1-lfund_default)</f>
        <v>0.65900555568</v>
      </c>
      <c r="K31" s="76" t="n">
        <f aca="false">G31*lfund_grant_fee*U31/1000000</f>
        <v>0</v>
      </c>
      <c r="L31" s="76" t="n">
        <f aca="false">IF(AND(lfund_on=1,$A31&gt;=1860),lfund_home*lfund_lease_1932*($A31-1859)/(1932-1859)*lfund_rent*lfund_fee,0)/1000000</f>
        <v>0.00182465753424658</v>
      </c>
      <c r="M31" s="76" t="n">
        <f aca="false">J31+K31+L31-F31-H31</f>
        <v>0.617660873214247</v>
      </c>
      <c r="N31" s="76" t="n">
        <f aca="false">IF(lfund_on=1,IF(AND($A31&gt;=1852,$A31&lt;=1870),lfund_police,IF(AND($A31&gt;1870,$A31&lt;=1890),lfund_police_late,0))*lfund_police_cost*Economy!H31/INDEX(Economy!$H$6:$H$92,1877-1845),0)/1000000</f>
        <v>0.190400943396226</v>
      </c>
      <c r="O31" s="76" t="n">
        <f aca="false">M31-N31</f>
        <v>0.42725992981802</v>
      </c>
      <c r="P31" s="76" t="n">
        <f aca="false">P30*(1+lfund_rate)+M31</f>
        <v>4.60837680085785</v>
      </c>
      <c r="Q31" s="76" t="n">
        <f aca="false">Q30*(1+lfund_rate)+O31</f>
        <v>-7.79247388783525</v>
      </c>
      <c r="R31" s="77" t="n">
        <f aca="false">People!T31*assist_cost*Economy!H31/1000000</f>
        <v>2.369952</v>
      </c>
      <c r="S31" s="78" t="n">
        <f aca="false">IF(SUM(R$6:R31)&gt;0,SUM(M$6:M31)/SUM(R$6:R31),0)</f>
        <v>0.0899976636266637</v>
      </c>
      <c r="T31" s="79" t="n">
        <v>12.61</v>
      </c>
      <c r="U31" s="80" t="n">
        <f aca="false">MAX(lfund_floor,lfund_share*T31)</f>
        <v>2.522</v>
      </c>
      <c r="V31" s="76" t="n">
        <f aca="false">(I31-I30)*U31/1000000</f>
        <v>1.095365128</v>
      </c>
      <c r="W31" s="76" t="n">
        <f aca="false">W30+V31</f>
        <v>5.870471932</v>
      </c>
    </row>
    <row r="32" customFormat="false" ht="15" hidden="false" customHeight="true" outlineLevel="0" collapsed="false">
      <c r="A32" s="4" t="n">
        <v>1872</v>
      </c>
      <c r="B32" s="47" t="n">
        <v>12312262</v>
      </c>
      <c r="C32" s="75" t="n">
        <f aca="false">MAX(0,B32*lfund_farm_scale-lfund_grants)</f>
        <v>3512262</v>
      </c>
      <c r="D32" s="75" t="n">
        <f aca="false">IF(AND(lfund_on=1,$A32&gt;=lfund_start),MIN(lfund_area-lfund_home-lfund_grants,MAX(D31,INDEX($C$6:$C$92,MIN(87,27+lfund_lead)))),0)</f>
        <v>6036857</v>
      </c>
      <c r="E32" s="75" t="n">
        <f aca="false">D32-D31</f>
        <v>543275</v>
      </c>
      <c r="F32" s="76" t="n">
        <f aca="false">lfund_price/lfund_term*(D32-IF(32-lfund_term&lt;6,0,INDEX($D$6:$D$92,32-5-lfund_term)))/1000000</f>
        <v>0.030184285</v>
      </c>
      <c r="G32" s="75" t="n">
        <f aca="false">IF(AND(lfund_on=1,$A32&gt;=lfund_start+1,$A32&lt;lfund_start+1+lfund_grant_years),lfund_grants/lfund_grant_years,0)</f>
        <v>0</v>
      </c>
      <c r="H32" s="76" t="n">
        <f aca="false">(E32+G32)*lfund_survey/1000000</f>
        <v>0.01629825</v>
      </c>
      <c r="I32" s="75" t="n">
        <f aca="false">IF(AND(lfund_on=1,$A32&gt;=lfund_start),MIN(D32,MAX(I31,C32)),0)</f>
        <v>3512262</v>
      </c>
      <c r="J32" s="76" t="n">
        <f aca="false">(W32-IF(32-lfund_inst&lt;6,0,INDEX($W$6:$W$92,32-5-lfund_inst)))/lfund_inst*(1-lfund_default)</f>
        <v>0.77108923692</v>
      </c>
      <c r="K32" s="76" t="n">
        <f aca="false">G32*lfund_grant_fee*U32/1000000</f>
        <v>0</v>
      </c>
      <c r="L32" s="76" t="n">
        <f aca="false">IF(AND(lfund_on=1,$A32&gt;=1860),lfund_home*lfund_lease_1932*($A32-1859)/(1932-1859)*lfund_rent*lfund_fee,0)/1000000</f>
        <v>0.00197671232876712</v>
      </c>
      <c r="M32" s="76" t="n">
        <f aca="false">J32+K32+L32-F32-H32</f>
        <v>0.726583414248767</v>
      </c>
      <c r="N32" s="76" t="n">
        <f aca="false">IF(lfund_on=1,IF(AND($A32&gt;=1852,$A32&lt;=1870),lfund_police,IF(AND($A32&gt;1870,$A32&lt;=1890),lfund_police_late,0))*lfund_police_cost*Economy!H32/INDEX(Economy!$H$6:$H$92,1877-1845),0)/1000000</f>
        <v>0.187553066037736</v>
      </c>
      <c r="O32" s="76" t="n">
        <f aca="false">M32-N32</f>
        <v>0.539030348211032</v>
      </c>
      <c r="P32" s="76" t="n">
        <f aca="false">P31*(1+lfund_rate)+M32</f>
        <v>5.56537905514951</v>
      </c>
      <c r="Q32" s="76" t="n">
        <f aca="false">Q31*(1+lfund_rate)+O32</f>
        <v>-7.64306723401598</v>
      </c>
      <c r="R32" s="77" t="n">
        <f aca="false">People!T32*assist_cost*Economy!H32/1000000</f>
        <v>2.334504</v>
      </c>
      <c r="S32" s="78" t="n">
        <f aca="false">IF(SUM(R$6:R32)&gt;0,SUM(M$6:M32)/SUM(R$6:R32),0)</f>
        <v>0.101949935833372</v>
      </c>
      <c r="T32" s="79" t="n">
        <v>12.93</v>
      </c>
      <c r="U32" s="80" t="n">
        <f aca="false">MAX(lfund_floor,lfund_share*T32)</f>
        <v>2.586</v>
      </c>
      <c r="V32" s="76" t="n">
        <f aca="false">(I32-I31)*U32/1000000</f>
        <v>1.165854138</v>
      </c>
      <c r="W32" s="76" t="n">
        <f aca="false">W31+V32</f>
        <v>7.03632607</v>
      </c>
    </row>
    <row r="33" customFormat="false" ht="15" hidden="false" customHeight="true" outlineLevel="0" collapsed="false">
      <c r="A33" s="4" t="n">
        <v>1873</v>
      </c>
      <c r="B33" s="47" t="n">
        <v>12780229</v>
      </c>
      <c r="C33" s="75" t="n">
        <f aca="false">MAX(0,B33*lfund_farm_scale-lfund_grants)</f>
        <v>3980229</v>
      </c>
      <c r="D33" s="75" t="n">
        <f aca="false">IF(AND(lfund_on=1,$A33&gt;=lfund_start),MIN(lfund_area-lfund_home-lfund_grants,MAX(D32,INDEX($C$6:$C$92,MIN(87,28+lfund_lead)))),0)</f>
        <v>6600780</v>
      </c>
      <c r="E33" s="75" t="n">
        <f aca="false">D33-D32</f>
        <v>563923</v>
      </c>
      <c r="F33" s="76" t="n">
        <f aca="false">lfund_price/lfund_term*(D33-IF(33-lfund_term&lt;6,0,INDEX($D$6:$D$92,33-5-lfund_term)))/1000000</f>
        <v>0.0330039</v>
      </c>
      <c r="G33" s="75" t="n">
        <f aca="false">IF(AND(lfund_on=1,$A33&gt;=lfund_start+1,$A33&lt;lfund_start+1+lfund_grant_years),lfund_grants/lfund_grant_years,0)</f>
        <v>0</v>
      </c>
      <c r="H33" s="76" t="n">
        <f aca="false">(E33+G33)*lfund_survey/1000000</f>
        <v>0.01691769</v>
      </c>
      <c r="I33" s="75" t="n">
        <f aca="false">IF(AND(lfund_on=1,$A33&gt;=lfund_start),MIN(D33,MAX(I32,C33)),0)</f>
        <v>3980229</v>
      </c>
      <c r="J33" s="76" t="n">
        <f aca="false">(W33-IF(33-lfund_inst&lt;6,0,INDEX($W$6:$W$92,33-5-lfund_inst)))/lfund_inst*(1-lfund_default)</f>
        <v>0.88575609204</v>
      </c>
      <c r="K33" s="76" t="n">
        <f aca="false">G33*lfund_grant_fee*U33/1000000</f>
        <v>0</v>
      </c>
      <c r="L33" s="76" t="n">
        <f aca="false">IF(AND(lfund_on=1,$A33&gt;=1860),lfund_home*lfund_lease_1932*($A33-1859)/(1932-1859)*lfund_rent*lfund_fee,0)/1000000</f>
        <v>0.00212876712328767</v>
      </c>
      <c r="M33" s="76" t="n">
        <f aca="false">J33+K33+L33-F33-H33</f>
        <v>0.837963269163288</v>
      </c>
      <c r="N33" s="76" t="n">
        <f aca="false">IF(lfund_on=1,IF(AND($A33&gt;=1852,$A33&lt;=1870),lfund_police,IF(AND($A33&gt;1870,$A33&lt;=1890),lfund_police_late,0))*lfund_police_cost*Economy!H33/INDEX(Economy!$H$6:$H$92,1877-1845),0)/1000000</f>
        <v>0.184705188679245</v>
      </c>
      <c r="O33" s="76" t="n">
        <f aca="false">M33-N33</f>
        <v>0.653258080484043</v>
      </c>
      <c r="P33" s="76" t="n">
        <f aca="false">P32*(1+lfund_rate)+M33</f>
        <v>6.68161127707027</v>
      </c>
      <c r="Q33" s="76" t="n">
        <f aca="false">Q32*(1+lfund_rate)+O33</f>
        <v>-7.37196251523274</v>
      </c>
      <c r="R33" s="77" t="n">
        <f aca="false">People!T33*assist_cost*Economy!H33/1000000</f>
        <v>2.952816</v>
      </c>
      <c r="S33" s="78" t="n">
        <f aca="false">IF(SUM(R$6:R33)&gt;0,SUM(M$6:M33)/SUM(R$6:R33),0)</f>
        <v>0.113580481425578</v>
      </c>
      <c r="T33" s="79" t="n">
        <v>13.26</v>
      </c>
      <c r="U33" s="80" t="n">
        <f aca="false">MAX(lfund_floor,lfund_share*T33)</f>
        <v>2.652</v>
      </c>
      <c r="V33" s="76" t="n">
        <f aca="false">(I33-I32)*U33/1000000</f>
        <v>1.241048484</v>
      </c>
      <c r="W33" s="76" t="n">
        <f aca="false">W32+V33</f>
        <v>8.277374554</v>
      </c>
    </row>
    <row r="34" customFormat="false" ht="15" hidden="false" customHeight="true" outlineLevel="0" collapsed="false">
      <c r="A34" s="4" t="n">
        <v>1874</v>
      </c>
      <c r="B34" s="47" t="n">
        <v>13265984</v>
      </c>
      <c r="C34" s="75" t="n">
        <f aca="false">MAX(0,B34*lfund_farm_scale-lfund_grants)</f>
        <v>4465984</v>
      </c>
      <c r="D34" s="75" t="n">
        <f aca="false">IF(AND(lfund_on=1,$A34&gt;=lfund_start),MIN(lfund_area-lfund_home-lfund_grants,MAX(D33,INDEX($C$6:$C$92,MIN(87,29+lfund_lead)))),0)</f>
        <v>7186137</v>
      </c>
      <c r="E34" s="75" t="n">
        <f aca="false">D34-D33</f>
        <v>585357</v>
      </c>
      <c r="F34" s="76" t="n">
        <f aca="false">lfund_price/lfund_term*(D34-IF(34-lfund_term&lt;6,0,INDEX($D$6:$D$92,34-5-lfund_term)))/1000000</f>
        <v>0.035930685</v>
      </c>
      <c r="G34" s="75" t="n">
        <f aca="false">IF(AND(lfund_on=1,$A34&gt;=lfund_start+1,$A34&lt;lfund_start+1+lfund_grant_years),lfund_grants/lfund_grant_years,0)</f>
        <v>0</v>
      </c>
      <c r="H34" s="76" t="n">
        <f aca="false">(E34+G34)*lfund_survey/1000000</f>
        <v>0.01756071</v>
      </c>
      <c r="I34" s="75" t="n">
        <f aca="false">IF(AND(lfund_on=1,$A34&gt;=lfund_start),MIN(D34,MAX(I33,C34)),0)</f>
        <v>4465984</v>
      </c>
      <c r="J34" s="76" t="n">
        <f aca="false">(W34-IF(34-lfund_inst&lt;6,0,INDEX($W$6:$W$92,34-5-lfund_inst)))/lfund_inst*(1-lfund_default)</f>
        <v>1.0024642692</v>
      </c>
      <c r="K34" s="76" t="n">
        <f aca="false">G34*lfund_grant_fee*U34/1000000</f>
        <v>0</v>
      </c>
      <c r="L34" s="76" t="n">
        <f aca="false">IF(AND(lfund_on=1,$A34&gt;=1860),lfund_home*lfund_lease_1932*($A34-1859)/(1932-1859)*lfund_rent*lfund_fee,0)/1000000</f>
        <v>0.00228082191780822</v>
      </c>
      <c r="M34" s="76" t="n">
        <f aca="false">J34+K34+L34-F34-H34</f>
        <v>0.951253696117808</v>
      </c>
      <c r="N34" s="76" t="n">
        <f aca="false">IF(lfund_on=1,IF(AND($A34&gt;=1852,$A34&lt;=1870),lfund_police,IF(AND($A34&gt;1870,$A34&lt;=1890),lfund_police_late,0))*lfund_police_cost*Economy!H34/INDEX(Economy!$H$6:$H$92,1877-1845),0)/1000000</f>
        <v>0.181857311320755</v>
      </c>
      <c r="O34" s="76" t="n">
        <f aca="false">M34-N34</f>
        <v>0.769396384797054</v>
      </c>
      <c r="P34" s="76" t="n">
        <f aca="false">P33*(1+lfund_rate)+M34</f>
        <v>7.96694553704159</v>
      </c>
      <c r="Q34" s="76" t="n">
        <f aca="false">Q33*(1+lfund_rate)+O34</f>
        <v>-6.97116425619733</v>
      </c>
      <c r="R34" s="77" t="n">
        <f aca="false">People!T34*assist_cost*Economy!H34/1000000</f>
        <v>2.907288</v>
      </c>
      <c r="S34" s="78" t="n">
        <f aca="false">IF(SUM(R$6:R34)&gt;0,SUM(M$6:M34)/SUM(R$6:R34),0)</f>
        <v>0.126236154196463</v>
      </c>
      <c r="T34" s="79" t="n">
        <v>13.59</v>
      </c>
      <c r="U34" s="80" t="n">
        <f aca="false">MAX(lfund_floor,lfund_share*T34)</f>
        <v>2.718</v>
      </c>
      <c r="V34" s="76" t="n">
        <f aca="false">(I34-I33)*U34/1000000</f>
        <v>1.32028209</v>
      </c>
      <c r="W34" s="76" t="n">
        <f aca="false">W33+V34</f>
        <v>9.597656644</v>
      </c>
    </row>
    <row r="35" customFormat="false" ht="15" hidden="false" customHeight="true" outlineLevel="0" collapsed="false">
      <c r="A35" s="4" t="n">
        <v>1875</v>
      </c>
      <c r="B35" s="47" t="n">
        <v>13770201</v>
      </c>
      <c r="C35" s="75" t="n">
        <f aca="false">MAX(0,B35*lfund_farm_scale-lfund_grants)</f>
        <v>4970201</v>
      </c>
      <c r="D35" s="75" t="n">
        <f aca="false">IF(AND(lfund_on=1,$A35&gt;=lfund_start),MIN(lfund_area-lfund_home-lfund_grants,MAX(D34,INDEX($C$6:$C$92,MIN(87,30+lfund_lead)))),0)</f>
        <v>7793742</v>
      </c>
      <c r="E35" s="75" t="n">
        <f aca="false">D35-D34</f>
        <v>607605</v>
      </c>
      <c r="F35" s="76" t="n">
        <f aca="false">lfund_price/lfund_term*(D35-IF(35-lfund_term&lt;6,0,INDEX($D$6:$D$92,35-5-lfund_term)))/1000000</f>
        <v>0.03896871</v>
      </c>
      <c r="G35" s="75" t="n">
        <f aca="false">IF(AND(lfund_on=1,$A35&gt;=lfund_start+1,$A35&lt;lfund_start+1+lfund_grant_years),lfund_grants/lfund_grant_years,0)</f>
        <v>0</v>
      </c>
      <c r="H35" s="76" t="n">
        <f aca="false">(E35+G35)*lfund_survey/1000000</f>
        <v>0.01822815</v>
      </c>
      <c r="I35" s="75" t="n">
        <f aca="false">IF(AND(lfund_on=1,$A35&gt;=lfund_start),MIN(D35,MAX(I34,C35)),0)</f>
        <v>4970201</v>
      </c>
      <c r="J35" s="76" t="n">
        <f aca="false">(W35-IF(35-lfund_inst&lt;6,0,INDEX($W$6:$W$92,35-5-lfund_inst)))/lfund_inst*(1-lfund_default)</f>
        <v>1.12109523048</v>
      </c>
      <c r="K35" s="76" t="n">
        <f aca="false">G35*lfund_grant_fee*U35/1000000</f>
        <v>0</v>
      </c>
      <c r="L35" s="76" t="n">
        <f aca="false">IF(AND(lfund_on=1,$A35&gt;=1860),lfund_home*lfund_lease_1932*($A35-1859)/(1932-1859)*lfund_rent*lfund_fee,0)/1000000</f>
        <v>0.00243287671232877</v>
      </c>
      <c r="M35" s="76" t="n">
        <f aca="false">J35+K35+L35-F35-H35</f>
        <v>1.06633124719233</v>
      </c>
      <c r="N35" s="76" t="n">
        <f aca="false">IF(lfund_on=1,IF(AND($A35&gt;=1852,$A35&lt;=1870),lfund_police,IF(AND($A35&gt;1870,$A35&lt;=1890),lfund_police_late,0))*lfund_police_cost*Economy!H35/INDEX(Economy!$H$6:$H$92,1877-1845),0)/1000000</f>
        <v>0.179009433962264</v>
      </c>
      <c r="O35" s="76" t="n">
        <f aca="false">M35-N35</f>
        <v>0.887321813230065</v>
      </c>
      <c r="P35" s="76" t="n">
        <f aca="false">P34*(1+lfund_rate)+M35</f>
        <v>9.431624061086</v>
      </c>
      <c r="Q35" s="76" t="n">
        <f aca="false">Q34*(1+lfund_rate)+O35</f>
        <v>-6.43240065577713</v>
      </c>
      <c r="R35" s="77" t="n">
        <f aca="false">People!T35*assist_cost*Economy!H35/1000000</f>
        <v>2.86176</v>
      </c>
      <c r="S35" s="78" t="n">
        <f aca="false">IF(SUM(R$6:R35)&gt;0,SUM(M$6:M35)/SUM(R$6:R35),0)</f>
        <v>0.13981248827175</v>
      </c>
      <c r="T35" s="79" t="n">
        <v>13.94</v>
      </c>
      <c r="U35" s="80" t="n">
        <f aca="false">MAX(lfund_floor,lfund_share*T35)</f>
        <v>2.788</v>
      </c>
      <c r="V35" s="76" t="n">
        <f aca="false">(I35-I34)*U35/1000000</f>
        <v>1.405756996</v>
      </c>
      <c r="W35" s="76" t="n">
        <f aca="false">W34+V35</f>
        <v>11.00341364</v>
      </c>
    </row>
    <row r="36" customFormat="false" ht="15" hidden="false" customHeight="true" outlineLevel="0" collapsed="false">
      <c r="A36" s="4" t="n">
        <v>1876</v>
      </c>
      <c r="B36" s="47" t="n">
        <v>14293582</v>
      </c>
      <c r="C36" s="75" t="n">
        <f aca="false">MAX(0,B36*lfund_farm_scale-lfund_grants)</f>
        <v>5493582</v>
      </c>
      <c r="D36" s="75" t="n">
        <f aca="false">IF(AND(lfund_on=1,$A36&gt;=lfund_start),MIN(lfund_area-lfund_home-lfund_grants,MAX(D35,INDEX($C$6:$C$92,MIN(87,31+lfund_lead)))),0)</f>
        <v>8223413</v>
      </c>
      <c r="E36" s="75" t="n">
        <f aca="false">D36-D35</f>
        <v>429671</v>
      </c>
      <c r="F36" s="76" t="n">
        <f aca="false">lfund_price/lfund_term*(D36-IF(36-lfund_term&lt;6,0,INDEX($D$6:$D$92,36-5-lfund_term)))/1000000</f>
        <v>0.040275785</v>
      </c>
      <c r="G36" s="75" t="n">
        <f aca="false">IF(AND(lfund_on=1,$A36&gt;=lfund_start+1,$A36&lt;lfund_start+1+lfund_grant_years),lfund_grants/lfund_grant_years,0)</f>
        <v>0</v>
      </c>
      <c r="H36" s="76" t="n">
        <f aca="false">(E36+G36)*lfund_survey/1000000</f>
        <v>0.01289013</v>
      </c>
      <c r="I36" s="75" t="n">
        <f aca="false">IF(AND(lfund_on=1,$A36&gt;=lfund_start),MIN(D36,MAX(I35,C36)),0)</f>
        <v>5493582</v>
      </c>
      <c r="J36" s="76" t="n">
        <f aca="false">(W36-IF(36-lfund_inst&lt;6,0,INDEX($W$6:$W$92,36-5-lfund_inst)))/lfund_inst*(1-lfund_default)</f>
        <v>1.19317762908</v>
      </c>
      <c r="K36" s="76" t="n">
        <f aca="false">G36*lfund_grant_fee*U36/1000000</f>
        <v>0</v>
      </c>
      <c r="L36" s="76" t="n">
        <f aca="false">IF(AND(lfund_on=1,$A36&gt;=1860),lfund_home*lfund_lease_1932*($A36-1859)/(1932-1859)*lfund_rent*lfund_fee,0)/1000000</f>
        <v>0.00258493150684932</v>
      </c>
      <c r="M36" s="76" t="n">
        <f aca="false">J36+K36+L36-F36-H36</f>
        <v>1.14259664558685</v>
      </c>
      <c r="N36" s="76" t="n">
        <f aca="false">IF(lfund_on=1,IF(AND($A36&gt;=1852,$A36&lt;=1870),lfund_police,IF(AND($A36&gt;1870,$A36&lt;=1890),lfund_police_late,0))*lfund_police_cost*Economy!H36/INDEX(Economy!$H$6:$H$92,1877-1845),0)/1000000</f>
        <v>0.175754716981132</v>
      </c>
      <c r="O36" s="76" t="n">
        <f aca="false">M36-N36</f>
        <v>0.966841928605718</v>
      </c>
      <c r="P36" s="76" t="n">
        <f aca="false">P35*(1+lfund_rate)+M36</f>
        <v>11.0458019097272</v>
      </c>
      <c r="Q36" s="76" t="n">
        <f aca="false">Q35*(1+lfund_rate)+O36</f>
        <v>-5.78717875996027</v>
      </c>
      <c r="R36" s="77" t="n">
        <f aca="false">People!T36*assist_cost*Economy!H36/1000000</f>
        <v>2.809728</v>
      </c>
      <c r="S36" s="78" t="n">
        <f aca="false">IF(SUM(R$6:R36)&gt;0,SUM(M$6:M36)/SUM(R$6:R36),0)</f>
        <v>0.15350832650336</v>
      </c>
      <c r="T36" s="79" t="n">
        <v>14.29</v>
      </c>
      <c r="U36" s="80" t="n">
        <f aca="false">MAX(lfund_floor,lfund_share*T36)</f>
        <v>2.858</v>
      </c>
      <c r="V36" s="76" t="n">
        <f aca="false">(I36-I35)*U36/1000000</f>
        <v>1.495822898</v>
      </c>
      <c r="W36" s="76" t="n">
        <f aca="false">W35+V36</f>
        <v>12.499236538</v>
      </c>
    </row>
    <row r="37" customFormat="false" ht="15" hidden="false" customHeight="true" outlineLevel="0" collapsed="false">
      <c r="A37" s="4" t="n">
        <v>1877</v>
      </c>
      <c r="B37" s="47" t="n">
        <v>14836857</v>
      </c>
      <c r="C37" s="75" t="n">
        <f aca="false">MAX(0,B37*lfund_farm_scale-lfund_grants)</f>
        <v>6036857</v>
      </c>
      <c r="D37" s="75" t="n">
        <f aca="false">IF(AND(lfund_on=1,$A37&gt;=lfund_start),MIN(lfund_area-lfund_home-lfund_grants,MAX(D36,INDEX($C$6:$C$92,MIN(87,32+lfund_lead)))),0)</f>
        <v>8664209</v>
      </c>
      <c r="E37" s="75" t="n">
        <f aca="false">D37-D36</f>
        <v>440796</v>
      </c>
      <c r="F37" s="76" t="n">
        <f aca="false">lfund_price/lfund_term*(D37-IF(37-lfund_term&lt;6,0,INDEX($D$6:$D$92,37-5-lfund_term)))/1000000</f>
        <v>0.041256155</v>
      </c>
      <c r="G37" s="75" t="n">
        <f aca="false">IF(AND(lfund_on=1,$A37&gt;=lfund_start+1,$A37&lt;lfund_start+1+lfund_grant_years),lfund_grants/lfund_grant_years,0)</f>
        <v>0</v>
      </c>
      <c r="H37" s="76" t="n">
        <f aca="false">(E37+G37)*lfund_survey/1000000</f>
        <v>0.01322388</v>
      </c>
      <c r="I37" s="75" t="n">
        <f aca="false">IF(AND(lfund_on=1,$A37&gt;=lfund_start),MIN(D37,MAX(I36,C37)),0)</f>
        <v>6036857</v>
      </c>
      <c r="J37" s="76" t="n">
        <f aca="false">(W37-IF(37-lfund_inst&lt;6,0,INDEX($W$6:$W$92,37-5-lfund_inst)))/lfund_inst*(1-lfund_default)</f>
        <v>1.26984711924</v>
      </c>
      <c r="K37" s="76" t="n">
        <f aca="false">G37*lfund_grant_fee*U37/1000000</f>
        <v>0</v>
      </c>
      <c r="L37" s="76" t="n">
        <f aca="false">IF(AND(lfund_on=1,$A37&gt;=1860),lfund_home*lfund_lease_1932*($A37-1859)/(1932-1859)*lfund_rent*lfund_fee,0)/1000000</f>
        <v>0.00273698630136986</v>
      </c>
      <c r="M37" s="76" t="n">
        <f aca="false">J37+K37+L37-F37-H37</f>
        <v>1.21810407054137</v>
      </c>
      <c r="N37" s="76" t="n">
        <f aca="false">IF(lfund_on=1,IF(AND($A37&gt;=1852,$A37&lt;=1870),lfund_police,IF(AND($A37&gt;1870,$A37&lt;=1890),lfund_police_late,0))*lfund_police_cost*Economy!H37/INDEX(Economy!$H$6:$H$92,1877-1845),0)/1000000</f>
        <v>0.1725</v>
      </c>
      <c r="O37" s="76" t="n">
        <f aca="false">M37-N37</f>
        <v>1.04560407054137</v>
      </c>
      <c r="P37" s="76" t="n">
        <f aca="false">P36*(1+lfund_rate)+M37</f>
        <v>12.8161960757549</v>
      </c>
      <c r="Q37" s="76" t="n">
        <f aca="false">Q36*(1+lfund_rate)+O37</f>
        <v>-5.03093362741691</v>
      </c>
      <c r="R37" s="77" t="n">
        <f aca="false">People!T37*assist_cost*Economy!H37/1000000</f>
        <v>2.778048</v>
      </c>
      <c r="S37" s="78" t="n">
        <f aca="false">IF(SUM(R$6:R37)&gt;0,SUM(M$6:M37)/SUM(R$6:R37),0)</f>
        <v>0.167270944503932</v>
      </c>
      <c r="T37" s="79" t="n">
        <v>14.65</v>
      </c>
      <c r="U37" s="80" t="n">
        <f aca="false">MAX(lfund_floor,lfund_share*T37)</f>
        <v>2.93</v>
      </c>
      <c r="V37" s="76" t="n">
        <f aca="false">(I37-I36)*U37/1000000</f>
        <v>1.59179575</v>
      </c>
      <c r="W37" s="76" t="n">
        <f aca="false">W36+V37</f>
        <v>14.091032288</v>
      </c>
    </row>
    <row r="38" customFormat="false" ht="15" hidden="false" customHeight="true" outlineLevel="0" collapsed="false">
      <c r="A38" s="4" t="n">
        <v>1878</v>
      </c>
      <c r="B38" s="47" t="n">
        <v>15400780</v>
      </c>
      <c r="C38" s="75" t="n">
        <f aca="false">MAX(0,B38*lfund_farm_scale-lfund_grants)</f>
        <v>6600780</v>
      </c>
      <c r="D38" s="75" t="n">
        <f aca="false">IF(AND(lfund_on=1,$A38&gt;=lfund_start),MIN(lfund_area-lfund_home-lfund_grants,MAX(D37,INDEX($C$6:$C$92,MIN(87,33+lfund_lead)))),0)</f>
        <v>9116420</v>
      </c>
      <c r="E38" s="75" t="n">
        <f aca="false">D38-D37</f>
        <v>452211</v>
      </c>
      <c r="F38" s="76" t="n">
        <f aca="false">lfund_price/lfund_term*(D38-IF(38-lfund_term&lt;6,0,INDEX($D$6:$D$92,38-5-lfund_term)))/1000000</f>
        <v>0.04226021</v>
      </c>
      <c r="G38" s="75" t="n">
        <f aca="false">IF(AND(lfund_on=1,$A38&gt;=lfund_start+1,$A38&lt;lfund_start+1+lfund_grant_years),lfund_grants/lfund_grant_years,0)</f>
        <v>0</v>
      </c>
      <c r="H38" s="76" t="n">
        <f aca="false">(E38+G38)*lfund_survey/1000000</f>
        <v>0.01356633</v>
      </c>
      <c r="I38" s="75" t="n">
        <f aca="false">IF(AND(lfund_on=1,$A38&gt;=lfund_start),MIN(D38,MAX(I37,C38)),0)</f>
        <v>6600780</v>
      </c>
      <c r="J38" s="76" t="n">
        <f aca="false">(W38-IF(38-lfund_inst&lt;6,0,INDEX($W$6:$W$92,38-5-lfund_inst)))/lfund_inst*(1-lfund_default)</f>
        <v>1.35138283668</v>
      </c>
      <c r="K38" s="76" t="n">
        <f aca="false">G38*lfund_grant_fee*U38/1000000</f>
        <v>0</v>
      </c>
      <c r="L38" s="76" t="n">
        <f aca="false">IF(AND(lfund_on=1,$A38&gt;=1860),lfund_home*lfund_lease_1932*($A38-1859)/(1932-1859)*lfund_rent*lfund_fee,0)/1000000</f>
        <v>0.00288904109589041</v>
      </c>
      <c r="M38" s="76" t="n">
        <f aca="false">J38+K38+L38-F38-H38</f>
        <v>1.29844533777589</v>
      </c>
      <c r="N38" s="76" t="n">
        <f aca="false">IF(lfund_on=1,IF(AND($A38&gt;=1852,$A38&lt;=1870),lfund_police,IF(AND($A38&gt;1870,$A38&lt;=1890),lfund_police_late,0))*lfund_police_cost*Economy!H38/INDEX(Economy!$H$6:$H$92,1877-1845),0)/1000000</f>
        <v>0.169245283018868</v>
      </c>
      <c r="O38" s="76" t="n">
        <f aca="false">M38-N38</f>
        <v>1.12920005475702</v>
      </c>
      <c r="P38" s="76" t="n">
        <f aca="false">P37*(1+lfund_rate)+M38</f>
        <v>14.7554512173185</v>
      </c>
      <c r="Q38" s="76" t="n">
        <f aca="false">Q37*(1+lfund_rate)+O38</f>
        <v>-4.15328025403073</v>
      </c>
      <c r="R38" s="77" t="n">
        <f aca="false">People!T38*assist_cost*Economy!H38/1000000</f>
        <v>2.725632</v>
      </c>
      <c r="S38" s="78" t="n">
        <f aca="false">IF(SUM(R$6:R38)&gt;0,SUM(M$6:M38)/SUM(R$6:R38),0)</f>
        <v>0.181255379352179</v>
      </c>
      <c r="T38" s="79" t="n">
        <v>15.02</v>
      </c>
      <c r="U38" s="80" t="n">
        <f aca="false">MAX(lfund_floor,lfund_share*T38)</f>
        <v>3.004</v>
      </c>
      <c r="V38" s="76" t="n">
        <f aca="false">(I38-I37)*U38/1000000</f>
        <v>1.694024692</v>
      </c>
      <c r="W38" s="76" t="n">
        <f aca="false">W37+V38</f>
        <v>15.78505698</v>
      </c>
    </row>
    <row r="39" customFormat="false" ht="15" hidden="false" customHeight="true" outlineLevel="0" collapsed="false">
      <c r="A39" s="4" t="n">
        <v>1879</v>
      </c>
      <c r="B39" s="47" t="n">
        <v>15986137</v>
      </c>
      <c r="C39" s="75" t="n">
        <f aca="false">MAX(0,B39*lfund_farm_scale-lfund_grants)</f>
        <v>7186137</v>
      </c>
      <c r="D39" s="75" t="n">
        <f aca="false">IF(AND(lfund_on=1,$A39&gt;=lfund_start),MIN(lfund_area-lfund_home-lfund_grants,MAX(D38,INDEX($C$6:$C$92,MIN(87,34+lfund_lead)))),0)</f>
        <v>9580339</v>
      </c>
      <c r="E39" s="75" t="n">
        <f aca="false">D39-D38</f>
        <v>463919</v>
      </c>
      <c r="F39" s="76" t="n">
        <f aca="false">lfund_price/lfund_term*(D39-IF(39-lfund_term&lt;6,0,INDEX($D$6:$D$92,39-5-lfund_term)))/1000000</f>
        <v>0.04328851</v>
      </c>
      <c r="G39" s="75" t="n">
        <f aca="false">IF(AND(lfund_on=1,$A39&gt;=lfund_start+1,$A39&lt;lfund_start+1+lfund_grant_years),lfund_grants/lfund_grant_years,0)</f>
        <v>0</v>
      </c>
      <c r="H39" s="76" t="n">
        <f aca="false">(E39+G39)*lfund_survey/1000000</f>
        <v>0.01391757</v>
      </c>
      <c r="I39" s="75" t="n">
        <f aca="false">IF(AND(lfund_on=1,$A39&gt;=lfund_start),MIN(D39,MAX(I38,C39)),0)</f>
        <v>7186137</v>
      </c>
      <c r="J39" s="76" t="n">
        <f aca="false">(W39-IF(39-lfund_inst&lt;6,0,INDEX($W$6:$W$92,39-5-lfund_inst)))/lfund_inst*(1-lfund_default)</f>
        <v>1.43825398128</v>
      </c>
      <c r="K39" s="76" t="n">
        <f aca="false">G39*lfund_grant_fee*U39/1000000</f>
        <v>0</v>
      </c>
      <c r="L39" s="76" t="n">
        <f aca="false">IF(AND(lfund_on=1,$A39&gt;=1860),lfund_home*lfund_lease_1932*($A39-1859)/(1932-1859)*lfund_rent*lfund_fee,0)/1000000</f>
        <v>0.00304109589041096</v>
      </c>
      <c r="M39" s="76" t="n">
        <f aca="false">J39+K39+L39-F39-H39</f>
        <v>1.38408899717041</v>
      </c>
      <c r="N39" s="76" t="n">
        <f aca="false">IF(lfund_on=1,IF(AND($A39&gt;=1852,$A39&lt;=1870),lfund_police,IF(AND($A39&gt;1870,$A39&lt;=1890),lfund_police_late,0))*lfund_police_cost*Economy!H39/INDEX(Economy!$H$6:$H$92,1877-1845),0)/1000000</f>
        <v>0.165990566037736</v>
      </c>
      <c r="O39" s="76" t="n">
        <f aca="false">M39-N39</f>
        <v>1.21809843113268</v>
      </c>
      <c r="P39" s="76" t="n">
        <f aca="false">P38*(1+lfund_rate)+M39</f>
        <v>16.8773127753549</v>
      </c>
      <c r="Q39" s="76" t="n">
        <f aca="false">Q38*(1+lfund_rate)+O39</f>
        <v>-3.14284583559959</v>
      </c>
      <c r="R39" s="77" t="n">
        <f aca="false">People!T39*assist_cost*Economy!H39/1000000</f>
        <v>2.673216</v>
      </c>
      <c r="S39" s="78" t="n">
        <f aca="false">IF(SUM(R$6:R39)&gt;0,SUM(M$6:M39)/SUM(R$6:R39),0)</f>
        <v>0.19555202495511</v>
      </c>
      <c r="T39" s="79" t="n">
        <v>15.4</v>
      </c>
      <c r="U39" s="80" t="n">
        <f aca="false">MAX(lfund_floor,lfund_share*T39)</f>
        <v>3.08</v>
      </c>
      <c r="V39" s="76" t="n">
        <f aca="false">(I39-I38)*U39/1000000</f>
        <v>1.80289956</v>
      </c>
      <c r="W39" s="76" t="n">
        <f aca="false">W38+V39</f>
        <v>17.58795654</v>
      </c>
    </row>
    <row r="40" customFormat="false" ht="15" hidden="false" customHeight="true" outlineLevel="0" collapsed="false">
      <c r="A40" s="4" t="n">
        <v>1880</v>
      </c>
      <c r="B40" s="47" t="n">
        <v>16593742</v>
      </c>
      <c r="C40" s="75" t="n">
        <f aca="false">MAX(0,B40*lfund_farm_scale-lfund_grants)</f>
        <v>7793742</v>
      </c>
      <c r="D40" s="75" t="n">
        <f aca="false">IF(AND(lfund_on=1,$A40&gt;=lfund_start),MIN(lfund_area-lfund_home-lfund_grants,MAX(D39,INDEX($C$6:$C$92,MIN(87,35+lfund_lead)))),0)</f>
        <v>10056271</v>
      </c>
      <c r="E40" s="75" t="n">
        <f aca="false">D40-D39</f>
        <v>475932</v>
      </c>
      <c r="F40" s="76" t="n">
        <f aca="false">lfund_price/lfund_term*(D40-IF(40-lfund_term&lt;6,0,INDEX($D$6:$D$92,40-5-lfund_term)))/1000000</f>
        <v>0.044341635</v>
      </c>
      <c r="G40" s="75" t="n">
        <f aca="false">IF(AND(lfund_on=1,$A40&gt;=lfund_start+1,$A40&lt;lfund_start+1+lfund_grant_years),lfund_grants/lfund_grant_years,0)</f>
        <v>0</v>
      </c>
      <c r="H40" s="76" t="n">
        <f aca="false">(E40+G40)*lfund_survey/1000000</f>
        <v>0.01427796</v>
      </c>
      <c r="I40" s="75" t="n">
        <f aca="false">IF(AND(lfund_on=1,$A40&gt;=lfund_start),MIN(D40,MAX(I39,C40)),0)</f>
        <v>7793742</v>
      </c>
      <c r="J40" s="76" t="n">
        <f aca="false">(W40-IF(40-lfund_inst&lt;6,0,INDEX($W$6:$W$92,40-5-lfund_inst)))/lfund_inst*(1-lfund_default)</f>
        <v>1.5306047082</v>
      </c>
      <c r="K40" s="76" t="n">
        <f aca="false">G40*lfund_grant_fee*U40/1000000</f>
        <v>0</v>
      </c>
      <c r="L40" s="76" t="n">
        <f aca="false">IF(AND(lfund_on=1,$A40&gt;=1860),lfund_home*lfund_lease_1932*($A40-1859)/(1932-1859)*lfund_rent*lfund_fee,0)/1000000</f>
        <v>0.00319315068493151</v>
      </c>
      <c r="M40" s="76" t="n">
        <f aca="false">J40+K40+L40-F40-H40</f>
        <v>1.47517826388493</v>
      </c>
      <c r="N40" s="76" t="n">
        <f aca="false">IF(lfund_on=1,IF(AND($A40&gt;=1852,$A40&lt;=1870),lfund_police,IF(AND($A40&gt;1870,$A40&lt;=1890),lfund_police_late,0))*lfund_police_cost*Economy!H40/INDEX(Economy!$H$6:$H$92,1877-1845),0)/1000000</f>
        <v>0.162735849056604</v>
      </c>
      <c r="O40" s="76" t="n">
        <f aca="false">M40-N40</f>
        <v>1.31244241482833</v>
      </c>
      <c r="P40" s="76" t="n">
        <f aca="false">P39*(1+lfund_rate)+M40</f>
        <v>19.1963566780075</v>
      </c>
      <c r="Q40" s="76" t="n">
        <f aca="false">Q39*(1+lfund_rate)+O40</f>
        <v>-1.98754571255125</v>
      </c>
      <c r="R40" s="77" t="n">
        <f aca="false">People!T40*assist_cost*Economy!H40/1000000</f>
        <v>2.6208</v>
      </c>
      <c r="S40" s="78" t="n">
        <f aca="false">IF(SUM(R$6:R40)&gt;0,SUM(M$6:M40)/SUM(R$6:R40),0)</f>
        <v>0.210240066408392</v>
      </c>
      <c r="T40" s="79" t="n">
        <v>15.79</v>
      </c>
      <c r="U40" s="80" t="n">
        <f aca="false">MAX(lfund_floor,lfund_share*T40)</f>
        <v>3.158</v>
      </c>
      <c r="V40" s="76" t="n">
        <f aca="false">(I40-I39)*U40/1000000</f>
        <v>1.91881659</v>
      </c>
      <c r="W40" s="76" t="n">
        <f aca="false">W39+V40</f>
        <v>19.50677313</v>
      </c>
    </row>
    <row r="41" customFormat="false" ht="15" hidden="false" customHeight="true" outlineLevel="0" collapsed="false">
      <c r="A41" s="4" t="n">
        <v>1881</v>
      </c>
      <c r="B41" s="47" t="n">
        <v>17023413</v>
      </c>
      <c r="C41" s="75" t="n">
        <f aca="false">MAX(0,B41*lfund_farm_scale-lfund_grants)</f>
        <v>8223413</v>
      </c>
      <c r="D41" s="75" t="n">
        <f aca="false">IF(AND(lfund_on=1,$A41&gt;=lfund_start),MIN(lfund_area-lfund_home-lfund_grants,MAX(D40,INDEX($C$6:$C$92,MIN(87,36+lfund_lead)))),0)</f>
        <v>10544527</v>
      </c>
      <c r="E41" s="75" t="n">
        <f aca="false">D41-D40</f>
        <v>488256</v>
      </c>
      <c r="F41" s="76" t="n">
        <f aca="false">lfund_price/lfund_term*(D41-IF(41-lfund_term&lt;6,0,INDEX($D$6:$D$92,41-5-lfund_term)))/1000000</f>
        <v>0.04542018</v>
      </c>
      <c r="G41" s="75" t="n">
        <f aca="false">IF(AND(lfund_on=1,$A41&gt;=lfund_start+1,$A41&lt;lfund_start+1+lfund_grant_years),lfund_grants/lfund_grant_years,0)</f>
        <v>0</v>
      </c>
      <c r="H41" s="76" t="n">
        <f aca="false">(E41+G41)*lfund_survey/1000000</f>
        <v>0.01464768</v>
      </c>
      <c r="I41" s="75" t="n">
        <f aca="false">IF(AND(lfund_on=1,$A41&gt;=lfund_start),MIN(D41,MAX(I40,C41)),0)</f>
        <v>8223413</v>
      </c>
      <c r="J41" s="76" t="n">
        <f aca="false">(W41-IF(41-lfund_inst&lt;6,0,INDEX($W$6:$W$92,41-5-lfund_inst)))/lfund_inst*(1-lfund_default)</f>
        <v>1.52385119388</v>
      </c>
      <c r="K41" s="76" t="n">
        <f aca="false">G41*lfund_grant_fee*U41/1000000</f>
        <v>0</v>
      </c>
      <c r="L41" s="76" t="n">
        <f aca="false">IF(AND(lfund_on=1,$A41&gt;=1860),lfund_home*lfund_lease_1932*($A41-1859)/(1932-1859)*lfund_rent*lfund_fee,0)/1000000</f>
        <v>0.00334520547945206</v>
      </c>
      <c r="M41" s="76" t="n">
        <f aca="false">J41+K41+L41-F41-H41</f>
        <v>1.46712853935945</v>
      </c>
      <c r="N41" s="76" t="n">
        <f aca="false">IF(lfund_on=1,IF(AND($A41&gt;=1852,$A41&lt;=1870),lfund_police,IF(AND($A41&gt;1870,$A41&lt;=1890),lfund_police_late,0))*lfund_police_cost*Economy!H41/INDEX(Economy!$H$6:$H$92,1877-1845),0)/1000000</f>
        <v>0.160294811320755</v>
      </c>
      <c r="O41" s="76" t="n">
        <f aca="false">M41-N41</f>
        <v>1.3068337280387</v>
      </c>
      <c r="P41" s="76" t="n">
        <f aca="false">P40*(1+lfund_rate)+M41</f>
        <v>21.6233030512674</v>
      </c>
      <c r="Q41" s="76" t="n">
        <f aca="false">Q40*(1+lfund_rate)+O41</f>
        <v>-0.780089270140113</v>
      </c>
      <c r="R41" s="77" t="n">
        <f aca="false">People!T41*assist_cost*Economy!H41/1000000</f>
        <v>2.581488</v>
      </c>
      <c r="S41" s="78" t="n">
        <f aca="false">IF(SUM(R$6:R41)&gt;0,SUM(M$6:M41)/SUM(R$6:R41),0)</f>
        <v>0.223809597820711</v>
      </c>
      <c r="T41" s="79" t="n">
        <v>16.97</v>
      </c>
      <c r="U41" s="80" t="n">
        <f aca="false">MAX(lfund_floor,lfund_share*T41)</f>
        <v>3.394</v>
      </c>
      <c r="V41" s="76" t="n">
        <f aca="false">(I41-I40)*U41/1000000</f>
        <v>1.458303374</v>
      </c>
      <c r="W41" s="76" t="n">
        <f aca="false">W40+V41</f>
        <v>20.965076504</v>
      </c>
    </row>
    <row r="42" customFormat="false" ht="15" hidden="false" customHeight="true" outlineLevel="0" collapsed="false">
      <c r="A42" s="4" t="n">
        <v>1882</v>
      </c>
      <c r="B42" s="47" t="n">
        <v>17464209</v>
      </c>
      <c r="C42" s="75" t="n">
        <f aca="false">MAX(0,B42*lfund_farm_scale-lfund_grants)</f>
        <v>8664209</v>
      </c>
      <c r="D42" s="75" t="n">
        <f aca="false">IF(AND(lfund_on=1,$A42&gt;=lfund_start),MIN(lfund_area-lfund_home-lfund_grants,MAX(D41,INDEX($C$6:$C$92,MIN(87,37+lfund_lead)))),0)</f>
        <v>11045426</v>
      </c>
      <c r="E42" s="75" t="n">
        <f aca="false">D42-D41</f>
        <v>500899</v>
      </c>
      <c r="F42" s="76" t="n">
        <f aca="false">lfund_price/lfund_term*(D42-IF(42-lfund_term&lt;6,0,INDEX($D$6:$D$92,42-5-lfund_term)))/1000000</f>
        <v>0.04652476</v>
      </c>
      <c r="G42" s="75" t="n">
        <f aca="false">IF(AND(lfund_on=1,$A42&gt;=lfund_start+1,$A42&lt;lfund_start+1+lfund_grant_years),lfund_grants/lfund_grant_years,0)</f>
        <v>0</v>
      </c>
      <c r="H42" s="76" t="n">
        <f aca="false">(E42+G42)*lfund_survey/1000000</f>
        <v>0.01502697</v>
      </c>
      <c r="I42" s="75" t="n">
        <f aca="false">IF(AND(lfund_on=1,$A42&gt;=lfund_start),MIN(D42,MAX(I41,C42)),0)</f>
        <v>8664209</v>
      </c>
      <c r="J42" s="76" t="n">
        <f aca="false">(W42-IF(42-lfund_inst&lt;6,0,INDEX($W$6:$W$92,42-5-lfund_inst)))/lfund_inst*(1-lfund_default)</f>
        <v>1.52693093088</v>
      </c>
      <c r="K42" s="76" t="n">
        <f aca="false">G42*lfund_grant_fee*U42/1000000</f>
        <v>0</v>
      </c>
      <c r="L42" s="76" t="n">
        <f aca="false">IF(AND(lfund_on=1,$A42&gt;=1860),lfund_home*lfund_lease_1932*($A42-1859)/(1932-1859)*lfund_rent*lfund_fee,0)/1000000</f>
        <v>0.0034972602739726</v>
      </c>
      <c r="M42" s="76" t="n">
        <f aca="false">J42+K42+L42-F42-H42</f>
        <v>1.46887646115397</v>
      </c>
      <c r="N42" s="76" t="n">
        <f aca="false">IF(lfund_on=1,IF(AND($A42&gt;=1852,$A42&lt;=1870),lfund_police,IF(AND($A42&gt;1870,$A42&lt;=1890),lfund_police_late,0))*lfund_police_cost*Economy!H42/INDEX(Economy!$H$6:$H$92,1877-1845),0)/1000000</f>
        <v>0.157853773584906</v>
      </c>
      <c r="O42" s="76" t="n">
        <f aca="false">M42-N42</f>
        <v>1.31102268756907</v>
      </c>
      <c r="P42" s="76" t="n">
        <f aca="false">P41*(1+lfund_rate)+M42</f>
        <v>24.1733446649847</v>
      </c>
      <c r="Q42" s="76" t="n">
        <f aca="false">Q41*(1+lfund_rate)+O42</f>
        <v>0.491928953921948</v>
      </c>
      <c r="R42" s="77" t="n">
        <f aca="false">People!T42*assist_cost*Economy!H42/1000000</f>
        <v>2.542176</v>
      </c>
      <c r="S42" s="78" t="n">
        <f aca="false">IF(SUM(R$6:R42)&gt;0,SUM(M$6:M42)/SUM(R$6:R42),0)</f>
        <v>0.236544496801931</v>
      </c>
      <c r="T42" s="79" t="n">
        <v>18.25</v>
      </c>
      <c r="U42" s="80" t="n">
        <f aca="false">MAX(lfund_floor,lfund_share*T42)</f>
        <v>3.65</v>
      </c>
      <c r="V42" s="76" t="n">
        <f aca="false">(I42-I41)*U42/1000000</f>
        <v>1.6089054</v>
      </c>
      <c r="W42" s="76" t="n">
        <f aca="false">W41+V42</f>
        <v>22.573981904</v>
      </c>
    </row>
    <row r="43" customFormat="false" ht="15" hidden="false" customHeight="true" outlineLevel="0" collapsed="false">
      <c r="A43" s="4" t="n">
        <v>1883</v>
      </c>
      <c r="B43" s="47" t="n">
        <v>17916420</v>
      </c>
      <c r="C43" s="75" t="n">
        <f aca="false">MAX(0,B43*lfund_farm_scale-lfund_grants)</f>
        <v>9116420</v>
      </c>
      <c r="D43" s="75" t="n">
        <f aca="false">IF(AND(lfund_on=1,$A43&gt;=lfund_start),MIN(lfund_area-lfund_home-lfund_grants,MAX(D42,INDEX($C$6:$C$92,MIN(87,38+lfund_lead)))),0)</f>
        <v>11559294</v>
      </c>
      <c r="E43" s="75" t="n">
        <f aca="false">D43-D42</f>
        <v>513868</v>
      </c>
      <c r="F43" s="76" t="n">
        <f aca="false">lfund_price/lfund_term*(D43-IF(43-lfund_term&lt;6,0,INDEX($D$6:$D$92,43-5-lfund_term)))/1000000</f>
        <v>0.04765598</v>
      </c>
      <c r="G43" s="75" t="n">
        <f aca="false">IF(AND(lfund_on=1,$A43&gt;=lfund_start+1,$A43&lt;lfund_start+1+lfund_grant_years),lfund_grants/lfund_grant_years,0)</f>
        <v>0</v>
      </c>
      <c r="H43" s="76" t="n">
        <f aca="false">(E43+G43)*lfund_survey/1000000</f>
        <v>0.01541604</v>
      </c>
      <c r="I43" s="75" t="n">
        <f aca="false">IF(AND(lfund_on=1,$A43&gt;=lfund_start),MIN(D43,MAX(I42,C43)),0)</f>
        <v>9116420</v>
      </c>
      <c r="J43" s="76" t="n">
        <f aca="false">(W43-IF(43-lfund_inst&lt;6,0,INDEX($W$6:$W$92,43-5-lfund_inst)))/lfund_inst*(1-lfund_default)</f>
        <v>1.54124936388</v>
      </c>
      <c r="K43" s="76" t="n">
        <f aca="false">G43*lfund_grant_fee*U43/1000000</f>
        <v>0</v>
      </c>
      <c r="L43" s="76" t="n">
        <f aca="false">IF(AND(lfund_on=1,$A43&gt;=1860),lfund_home*lfund_lease_1932*($A43-1859)/(1932-1859)*lfund_rent*lfund_fee,0)/1000000</f>
        <v>0.00364931506849315</v>
      </c>
      <c r="M43" s="76" t="n">
        <f aca="false">J43+K43+L43-F43-H43</f>
        <v>1.48182665894849</v>
      </c>
      <c r="N43" s="76" t="n">
        <f aca="false">IF(lfund_on=1,IF(AND($A43&gt;=1852,$A43&lt;=1870),lfund_police,IF(AND($A43&gt;1870,$A43&lt;=1890),lfund_police_late,0))*lfund_police_cost*Economy!H43/INDEX(Economy!$H$6:$H$92,1877-1845),0)/1000000</f>
        <v>0.155412735849057</v>
      </c>
      <c r="O43" s="76" t="n">
        <f aca="false">M43-N43</f>
        <v>1.32641392309944</v>
      </c>
      <c r="P43" s="76" t="n">
        <f aca="false">P42*(1+lfund_rate)+M43</f>
        <v>26.8638385571824</v>
      </c>
      <c r="Q43" s="76" t="n">
        <f aca="false">Q42*(1+lfund_rate)+O43</f>
        <v>1.84293932471748</v>
      </c>
      <c r="R43" s="77" t="n">
        <f aca="false">People!T43*assist_cost*Economy!H43/1000000</f>
        <v>2.502864</v>
      </c>
      <c r="S43" s="78" t="n">
        <f aca="false">IF(SUM(R$6:R43)&gt;0,SUM(M$6:M43)/SUM(R$6:R43),0)</f>
        <v>0.248705390028991</v>
      </c>
      <c r="T43" s="79" t="n">
        <v>19.61</v>
      </c>
      <c r="U43" s="80" t="n">
        <f aca="false">MAX(lfund_floor,lfund_share*T43)</f>
        <v>3.922</v>
      </c>
      <c r="V43" s="76" t="n">
        <f aca="false">(I43-I42)*U43/1000000</f>
        <v>1.773571542</v>
      </c>
      <c r="W43" s="76" t="n">
        <f aca="false">W42+V43</f>
        <v>24.347553446</v>
      </c>
    </row>
    <row r="44" customFormat="false" ht="15" hidden="false" customHeight="true" outlineLevel="0" collapsed="false">
      <c r="A44" s="4" t="n">
        <v>1884</v>
      </c>
      <c r="B44" s="47" t="n">
        <v>18380339</v>
      </c>
      <c r="C44" s="75" t="n">
        <f aca="false">MAX(0,B44*lfund_farm_scale-lfund_grants)</f>
        <v>9580339</v>
      </c>
      <c r="D44" s="75" t="n">
        <f aca="false">IF(AND(lfund_on=1,$A44&gt;=lfund_start),MIN(lfund_area-lfund_home-lfund_grants,MAX(D43,INDEX($C$6:$C$92,MIN(87,39+lfund_lead)))),0)</f>
        <v>12086468</v>
      </c>
      <c r="E44" s="75" t="n">
        <f aca="false">D44-D43</f>
        <v>527174</v>
      </c>
      <c r="F44" s="76" t="n">
        <f aca="false">lfund_price/lfund_term*(D44-IF(44-lfund_term&lt;6,0,INDEX($D$6:$D$92,44-5-lfund_term)))/1000000</f>
        <v>0.04881449</v>
      </c>
      <c r="G44" s="75" t="n">
        <f aca="false">IF(AND(lfund_on=1,$A44&gt;=lfund_start+1,$A44&lt;lfund_start+1+lfund_grant_years),lfund_grants/lfund_grant_years,0)</f>
        <v>0</v>
      </c>
      <c r="H44" s="76" t="n">
        <f aca="false">(E44+G44)*lfund_survey/1000000</f>
        <v>0.01581522</v>
      </c>
      <c r="I44" s="75" t="n">
        <f aca="false">IF(AND(lfund_on=1,$A44&gt;=lfund_start),MIN(D44,MAX(I43,C44)),0)</f>
        <v>9580339</v>
      </c>
      <c r="J44" s="76" t="n">
        <f aca="false">(W44-IF(44-lfund_inst&lt;6,0,INDEX($W$6:$W$92,44-5-lfund_inst)))/lfund_inst*(1-lfund_default)</f>
        <v>1.5687862938</v>
      </c>
      <c r="K44" s="76" t="n">
        <f aca="false">G44*lfund_grant_fee*U44/1000000</f>
        <v>0</v>
      </c>
      <c r="L44" s="76" t="n">
        <f aca="false">IF(AND(lfund_on=1,$A44&gt;=1860),lfund_home*lfund_lease_1932*($A44-1859)/(1932-1859)*lfund_rent*lfund_fee,0)/1000000</f>
        <v>0.0038013698630137</v>
      </c>
      <c r="M44" s="76" t="n">
        <f aca="false">J44+K44+L44-F44-H44</f>
        <v>1.50795795366301</v>
      </c>
      <c r="N44" s="76" t="n">
        <f aca="false">IF(lfund_on=1,IF(AND($A44&gt;=1852,$A44&lt;=1870),lfund_police,IF(AND($A44&gt;1870,$A44&lt;=1890),lfund_police_late,0))*lfund_police_cost*Economy!H44/INDEX(Economy!$H$6:$H$92,1877-1845),0)/1000000</f>
        <v>0.152971698113208</v>
      </c>
      <c r="O44" s="76" t="n">
        <f aca="false">M44-N44</f>
        <v>1.35498625554981</v>
      </c>
      <c r="P44" s="76" t="n">
        <f aca="false">P43*(1+lfund_rate)+M44</f>
        <v>29.7149884387046</v>
      </c>
      <c r="Q44" s="76" t="n">
        <f aca="false">Q43*(1+lfund_rate)+O44</f>
        <v>3.29007254650316</v>
      </c>
      <c r="R44" s="77" t="n">
        <f aca="false">People!T44*assist_cost*Economy!H44/1000000</f>
        <v>2.463552</v>
      </c>
      <c r="S44" s="78" t="n">
        <f aca="false">IF(SUM(R$6:R44)&gt;0,SUM(M$6:M44)/SUM(R$6:R44),0)</f>
        <v>0.260542507522857</v>
      </c>
      <c r="T44" s="79" t="n">
        <v>21.08</v>
      </c>
      <c r="U44" s="80" t="n">
        <f aca="false">MAX(lfund_floor,lfund_share*T44)</f>
        <v>4.216</v>
      </c>
      <c r="V44" s="76" t="n">
        <f aca="false">(I44-I43)*U44/1000000</f>
        <v>1.955882504</v>
      </c>
      <c r="W44" s="76" t="n">
        <f aca="false">W43+V44</f>
        <v>26.30343595</v>
      </c>
    </row>
    <row r="45" customFormat="false" ht="15" hidden="false" customHeight="true" outlineLevel="0" collapsed="false">
      <c r="A45" s="4" t="n">
        <v>1885</v>
      </c>
      <c r="B45" s="47" t="n">
        <v>18856271</v>
      </c>
      <c r="C45" s="75" t="n">
        <f aca="false">MAX(0,B45*lfund_farm_scale-lfund_grants)</f>
        <v>10056271</v>
      </c>
      <c r="D45" s="75" t="n">
        <f aca="false">IF(AND(lfund_on=1,$A45&gt;=lfund_start),MIN(lfund_area-lfund_home-lfund_grants,MAX(D44,INDEX($C$6:$C$92,MIN(87,40+lfund_lead)))),0)</f>
        <v>12627293</v>
      </c>
      <c r="E45" s="75" t="n">
        <f aca="false">D45-D44</f>
        <v>540825</v>
      </c>
      <c r="F45" s="76" t="n">
        <f aca="false">lfund_price/lfund_term*(D45-IF(45-lfund_term&lt;6,0,INDEX($D$6:$D$92,45-5-lfund_term)))/1000000</f>
        <v>0.05000094</v>
      </c>
      <c r="G45" s="75" t="n">
        <f aca="false">IF(AND(lfund_on=1,$A45&gt;=lfund_start+1,$A45&lt;lfund_start+1+lfund_grant_years),lfund_grants/lfund_grant_years,0)</f>
        <v>0</v>
      </c>
      <c r="H45" s="76" t="n">
        <f aca="false">(E45+G45)*lfund_survey/1000000</f>
        <v>0.01622475</v>
      </c>
      <c r="I45" s="75" t="n">
        <f aca="false">IF(AND(lfund_on=1,$A45&gt;=lfund_start),MIN(D45,MAX(I44,C45)),0)</f>
        <v>10056271</v>
      </c>
      <c r="J45" s="76" t="n">
        <f aca="false">(W45-IF(45-lfund_inst&lt;6,0,INDEX($W$6:$W$92,45-5-lfund_inst)))/lfund_inst*(1-lfund_default)</f>
        <v>1.61164559592</v>
      </c>
      <c r="K45" s="76" t="n">
        <f aca="false">G45*lfund_grant_fee*U45/1000000</f>
        <v>0</v>
      </c>
      <c r="L45" s="76" t="n">
        <f aca="false">IF(AND(lfund_on=1,$A45&gt;=1860),lfund_home*lfund_lease_1932*($A45-1859)/(1932-1859)*lfund_rent*lfund_fee,0)/1000000</f>
        <v>0.00395342465753425</v>
      </c>
      <c r="M45" s="76" t="n">
        <f aca="false">J45+K45+L45-F45-H45</f>
        <v>1.54937333057753</v>
      </c>
      <c r="N45" s="76" t="n">
        <f aca="false">IF(lfund_on=1,IF(AND($A45&gt;=1852,$A45&lt;=1870),lfund_police,IF(AND($A45&gt;1870,$A45&lt;=1890),lfund_police_late,0))*lfund_police_cost*Economy!H45/INDEX(Economy!$H$6:$H$92,1877-1845),0)/1000000</f>
        <v>0.150530660377359</v>
      </c>
      <c r="O45" s="76" t="n">
        <f aca="false">M45-N45</f>
        <v>1.39884267020018</v>
      </c>
      <c r="P45" s="76" t="n">
        <f aca="false">P44*(1+lfund_rate)+M45</f>
        <v>32.7501111912173</v>
      </c>
      <c r="Q45" s="76" t="n">
        <f aca="false">Q44*(1+lfund_rate)+O45</f>
        <v>4.8534188440285</v>
      </c>
      <c r="R45" s="77" t="n">
        <f aca="false">People!T45*assist_cost*Economy!H45/1000000</f>
        <v>2.46864</v>
      </c>
      <c r="S45" s="78" t="n">
        <f aca="false">IF(SUM(R$6:R45)&gt;0,SUM(M$6:M45)/SUM(R$6:R45),0)</f>
        <v>0.272145397615539</v>
      </c>
      <c r="T45" s="79" t="n">
        <v>22.66</v>
      </c>
      <c r="U45" s="80" t="n">
        <f aca="false">MAX(lfund_floor,lfund_share*T45)</f>
        <v>4.532</v>
      </c>
      <c r="V45" s="76" t="n">
        <f aca="false">(I45-I44)*U45/1000000</f>
        <v>2.156923824</v>
      </c>
      <c r="W45" s="76" t="n">
        <f aca="false">W44+V45</f>
        <v>28.460359774</v>
      </c>
    </row>
    <row r="46" customFormat="false" ht="15" hidden="false" customHeight="true" outlineLevel="0" collapsed="false">
      <c r="A46" s="4" t="n">
        <v>1886</v>
      </c>
      <c r="B46" s="47" t="n">
        <v>19344527</v>
      </c>
      <c r="C46" s="75" t="n">
        <f aca="false">MAX(0,B46*lfund_farm_scale-lfund_grants)</f>
        <v>10544527</v>
      </c>
      <c r="D46" s="75" t="n">
        <f aca="false">IF(AND(lfund_on=1,$A46&gt;=lfund_start),MIN(lfund_area-lfund_home-lfund_grants,MAX(D45,INDEX($C$6:$C$92,MIN(87,41+lfund_lead)))),0)</f>
        <v>13272537</v>
      </c>
      <c r="E46" s="75" t="n">
        <f aca="false">D46-D45</f>
        <v>645244</v>
      </c>
      <c r="F46" s="76" t="n">
        <f aca="false">lfund_price/lfund_term*(D46-IF(46-lfund_term&lt;6,0,INDEX($D$6:$D$92,46-5-lfund_term)))/1000000</f>
        <v>0.05105554</v>
      </c>
      <c r="G46" s="75" t="n">
        <f aca="false">IF(AND(lfund_on=1,$A46&gt;=lfund_start+1,$A46&lt;lfund_start+1+lfund_grant_years),lfund_grants/lfund_grant_years,0)</f>
        <v>0</v>
      </c>
      <c r="H46" s="76" t="n">
        <f aca="false">(E46+G46)*lfund_survey/1000000</f>
        <v>0.01935732</v>
      </c>
      <c r="I46" s="75" t="n">
        <f aca="false">IF(AND(lfund_on=1,$A46&gt;=lfund_start),MIN(D46,MAX(I45,C46)),0)</f>
        <v>10544527</v>
      </c>
      <c r="J46" s="76" t="n">
        <f aca="false">(W46-IF(46-lfund_inst&lt;6,0,INDEX($W$6:$W$92,46-5-lfund_inst)))/lfund_inst*(1-lfund_default)</f>
        <v>1.77733197036</v>
      </c>
      <c r="K46" s="76" t="n">
        <f aca="false">G46*lfund_grant_fee*U46/1000000</f>
        <v>0</v>
      </c>
      <c r="L46" s="76" t="n">
        <f aca="false">IF(AND(lfund_on=1,$A46&gt;=1860),lfund_home*lfund_lease_1932*($A46-1859)/(1932-1859)*lfund_rent*lfund_fee,0)/1000000</f>
        <v>0.0041054794520548</v>
      </c>
      <c r="M46" s="76" t="n">
        <f aca="false">J46+K46+L46-F46-H46</f>
        <v>1.71102458981206</v>
      </c>
      <c r="N46" s="76" t="n">
        <f aca="false">IF(lfund_on=1,IF(AND($A46&gt;=1852,$A46&lt;=1870),lfund_police,IF(AND($A46&gt;1870,$A46&lt;=1890),lfund_police_late,0))*lfund_police_cost*Economy!H46/INDEX(Economy!$H$6:$H$92,1877-1845),0)/1000000</f>
        <v>0.150123820754717</v>
      </c>
      <c r="O46" s="76" t="n">
        <f aca="false">M46-N46</f>
        <v>1.56090076905734</v>
      </c>
      <c r="P46" s="76" t="n">
        <f aca="false">P45*(1+lfund_rate)+M46</f>
        <v>36.0986413405902</v>
      </c>
      <c r="Q46" s="76" t="n">
        <f aca="false">Q45*(1+lfund_rate)+O46</f>
        <v>6.65699055528726</v>
      </c>
      <c r="R46" s="77" t="n">
        <f aca="false">People!T46*assist_cost*Economy!H46/1000000</f>
        <v>2.550528</v>
      </c>
      <c r="S46" s="78" t="n">
        <f aca="false">IF(SUM(R$6:R46)&gt;0,SUM(M$6:M46)/SUM(R$6:R46),0)</f>
        <v>0.284754217792806</v>
      </c>
      <c r="T46" s="79" t="n">
        <v>24.36</v>
      </c>
      <c r="U46" s="80" t="n">
        <f aca="false">MAX(lfund_floor,lfund_share*T46)</f>
        <v>4.872</v>
      </c>
      <c r="V46" s="76" t="n">
        <f aca="false">(I46-I45)*U46/1000000</f>
        <v>2.378783232</v>
      </c>
      <c r="W46" s="76" t="n">
        <f aca="false">W45+V46</f>
        <v>30.839143006</v>
      </c>
    </row>
    <row r="47" customFormat="false" ht="15" hidden="false" customHeight="true" outlineLevel="0" collapsed="false">
      <c r="A47" s="4" t="n">
        <v>1887</v>
      </c>
      <c r="B47" s="47" t="n">
        <v>19845426</v>
      </c>
      <c r="C47" s="75" t="n">
        <f aca="false">MAX(0,B47*lfund_farm_scale-lfund_grants)</f>
        <v>11045426</v>
      </c>
      <c r="D47" s="75" t="n">
        <f aca="false">IF(AND(lfund_on=1,$A47&gt;=lfund_start),MIN(lfund_area-lfund_home-lfund_grants,MAX(D46,INDEX($C$6:$C$92,MIN(87,42+lfund_lead)))),0)</f>
        <v>13937212</v>
      </c>
      <c r="E47" s="75" t="n">
        <f aca="false">D47-D46</f>
        <v>664675</v>
      </c>
      <c r="F47" s="76" t="n">
        <f aca="false">lfund_price/lfund_term*(D47-IF(47-lfund_term&lt;6,0,INDEX($D$6:$D$92,47-5-lfund_term)))/1000000</f>
        <v>0.05212475</v>
      </c>
      <c r="G47" s="75" t="n">
        <f aca="false">IF(AND(lfund_on=1,$A47&gt;=lfund_start+1,$A47&lt;lfund_start+1+lfund_grant_years),lfund_grants/lfund_grant_years,0)</f>
        <v>0</v>
      </c>
      <c r="H47" s="76" t="n">
        <f aca="false">(E47+G47)*lfund_survey/1000000</f>
        <v>0.01994025</v>
      </c>
      <c r="I47" s="75" t="n">
        <f aca="false">IF(AND(lfund_on=1,$A47&gt;=lfund_start),MIN(D47,MAX(I46,C47)),0)</f>
        <v>11045426</v>
      </c>
      <c r="J47" s="76" t="n">
        <f aca="false">(W47-IF(47-lfund_inst&lt;6,0,INDEX($W$6:$W$92,47-5-lfund_inst)))/lfund_inst*(1-lfund_default)</f>
        <v>1.95999661152</v>
      </c>
      <c r="K47" s="76" t="n">
        <f aca="false">G47*lfund_grant_fee*U47/1000000</f>
        <v>0</v>
      </c>
      <c r="L47" s="76" t="n">
        <f aca="false">IF(AND(lfund_on=1,$A47&gt;=1860),lfund_home*lfund_lease_1932*($A47-1859)/(1932-1859)*lfund_rent*lfund_fee,0)/1000000</f>
        <v>0.00425753424657534</v>
      </c>
      <c r="M47" s="76" t="n">
        <f aca="false">J47+K47+L47-F47-H47</f>
        <v>1.89218914576658</v>
      </c>
      <c r="N47" s="76" t="n">
        <f aca="false">IF(lfund_on=1,IF(AND($A47&gt;=1852,$A47&lt;=1870),lfund_police,IF(AND($A47&gt;1870,$A47&lt;=1890),lfund_police_late,0))*lfund_police_cost*Economy!H47/INDEX(Economy!$H$6:$H$92,1877-1845),0)/1000000</f>
        <v>0.149716981132076</v>
      </c>
      <c r="O47" s="76" t="n">
        <f aca="false">M47-N47</f>
        <v>1.7424721646345</v>
      </c>
      <c r="P47" s="76" t="n">
        <f aca="false">P46*(1+lfund_rate)+M47</f>
        <v>39.7957625533863</v>
      </c>
      <c r="Q47" s="76" t="n">
        <f aca="false">Q46*(1+lfund_rate)+O47</f>
        <v>8.73231224768612</v>
      </c>
      <c r="R47" s="77" t="n">
        <f aca="false">People!T47*assist_cost*Economy!H47/1000000</f>
        <v>2.543616</v>
      </c>
      <c r="S47" s="78" t="n">
        <f aca="false">IF(SUM(R$6:R47)&gt;0,SUM(M$6:M47)/SUM(R$6:R47),0)</f>
        <v>0.298792241811694</v>
      </c>
      <c r="T47" s="79" t="n">
        <v>26.19</v>
      </c>
      <c r="U47" s="80" t="n">
        <f aca="false">MAX(lfund_floor,lfund_share*T47)</f>
        <v>5.238</v>
      </c>
      <c r="V47" s="76" t="n">
        <f aca="false">(I47-I46)*U47/1000000</f>
        <v>2.623708962</v>
      </c>
      <c r="W47" s="76" t="n">
        <f aca="false">W46+V47</f>
        <v>33.462851968</v>
      </c>
    </row>
    <row r="48" customFormat="false" ht="15" hidden="false" customHeight="true" outlineLevel="0" collapsed="false">
      <c r="A48" s="4" t="n">
        <v>1888</v>
      </c>
      <c r="B48" s="47" t="n">
        <v>20359294</v>
      </c>
      <c r="C48" s="75" t="n">
        <f aca="false">MAX(0,B48*lfund_farm_scale-lfund_grants)</f>
        <v>11559294</v>
      </c>
      <c r="D48" s="75" t="n">
        <f aca="false">IF(AND(lfund_on=1,$A48&gt;=lfund_start),MIN(lfund_area-lfund_home-lfund_grants,MAX(D47,INDEX($C$6:$C$92,MIN(87,43+lfund_lead)))),0)</f>
        <v>14621902</v>
      </c>
      <c r="E48" s="75" t="n">
        <f aca="false">D48-D47</f>
        <v>684690</v>
      </c>
      <c r="F48" s="76" t="n">
        <f aca="false">lfund_price/lfund_term*(D48-IF(48-lfund_term&lt;6,0,INDEX($D$6:$D$92,48-5-lfund_term)))/1000000</f>
        <v>0.053208365</v>
      </c>
      <c r="G48" s="75" t="n">
        <f aca="false">IF(AND(lfund_on=1,$A48&gt;=lfund_start+1,$A48&lt;lfund_start+1+lfund_grant_years),lfund_grants/lfund_grant_years,0)</f>
        <v>0</v>
      </c>
      <c r="H48" s="76" t="n">
        <f aca="false">(E48+G48)*lfund_survey/1000000</f>
        <v>0.0205407</v>
      </c>
      <c r="I48" s="75" t="n">
        <f aca="false">IF(AND(lfund_on=1,$A48&gt;=lfund_start),MIN(D48,MAX(I47,C48)),0)</f>
        <v>11559294</v>
      </c>
      <c r="J48" s="76" t="n">
        <f aca="false">(W48-IF(48-lfund_inst&lt;6,0,INDEX($W$6:$W$92,48-5-lfund_inst)))/lfund_inst*(1-lfund_default)</f>
        <v>2.16150756516</v>
      </c>
      <c r="K48" s="76" t="n">
        <f aca="false">G48*lfund_grant_fee*U48/1000000</f>
        <v>0</v>
      </c>
      <c r="L48" s="76" t="n">
        <f aca="false">IF(AND(lfund_on=1,$A48&gt;=1860),lfund_home*lfund_lease_1932*($A48-1859)/(1932-1859)*lfund_rent*lfund_fee,0)/1000000</f>
        <v>0.00440958904109589</v>
      </c>
      <c r="M48" s="76" t="n">
        <f aca="false">J48+K48+L48-F48-H48</f>
        <v>2.0921680892011</v>
      </c>
      <c r="N48" s="76" t="n">
        <f aca="false">IF(lfund_on=1,IF(AND($A48&gt;=1852,$A48&lt;=1870),lfund_police,IF(AND($A48&gt;1870,$A48&lt;=1890),lfund_police_late,0))*lfund_police_cost*Economy!H48/INDEX(Economy!$H$6:$H$92,1877-1845),0)/1000000</f>
        <v>0.149310141509434</v>
      </c>
      <c r="O48" s="76" t="n">
        <f aca="false">M48-N48</f>
        <v>1.94285794769166</v>
      </c>
      <c r="P48" s="76" t="n">
        <f aca="false">P47*(1+lfund_rate)+M48</f>
        <v>43.8777187702567</v>
      </c>
      <c r="Q48" s="76" t="n">
        <f aca="false">Q47*(1+lfund_rate)+O48</f>
        <v>11.1117858077621</v>
      </c>
      <c r="R48" s="77" t="n">
        <f aca="false">People!T48*assist_cost*Economy!H48/1000000</f>
        <v>1.268352</v>
      </c>
      <c r="S48" s="78" t="n">
        <f aca="false">IF(SUM(R$6:R48)&gt;0,SUM(M$6:M48)/SUM(R$6:R48),0)</f>
        <v>0.319075693154029</v>
      </c>
      <c r="T48" s="79" t="n">
        <v>28.15</v>
      </c>
      <c r="U48" s="80" t="n">
        <f aca="false">MAX(lfund_floor,lfund_share*T48)</f>
        <v>5.63</v>
      </c>
      <c r="V48" s="76" t="n">
        <f aca="false">(I48-I47)*U48/1000000</f>
        <v>2.89307684</v>
      </c>
      <c r="W48" s="76" t="n">
        <f aca="false">W47+V48</f>
        <v>36.355928808</v>
      </c>
    </row>
    <row r="49" customFormat="false" ht="15" hidden="false" customHeight="true" outlineLevel="0" collapsed="false">
      <c r="A49" s="4" t="n">
        <v>1889</v>
      </c>
      <c r="B49" s="47" t="n">
        <v>20886468</v>
      </c>
      <c r="C49" s="75" t="n">
        <f aca="false">MAX(0,B49*lfund_farm_scale-lfund_grants)</f>
        <v>12086468</v>
      </c>
      <c r="D49" s="75" t="n">
        <f aca="false">IF(AND(lfund_on=1,$A49&gt;=lfund_start),MIN(lfund_area-lfund_home-lfund_grants,MAX(D48,INDEX($C$6:$C$92,MIN(87,44+lfund_lead)))),0)</f>
        <v>15327210</v>
      </c>
      <c r="E49" s="75" t="n">
        <f aca="false">D49-D48</f>
        <v>705308</v>
      </c>
      <c r="F49" s="76" t="n">
        <f aca="false">lfund_price/lfund_term*(D49-IF(49-lfund_term&lt;6,0,INDEX($D$6:$D$92,49-5-lfund_term)))/1000000</f>
        <v>0.05430613</v>
      </c>
      <c r="G49" s="75" t="n">
        <f aca="false">IF(AND(lfund_on=1,$A49&gt;=lfund_start+1,$A49&lt;lfund_start+1+lfund_grant_years),lfund_grants/lfund_grant_years,0)</f>
        <v>0</v>
      </c>
      <c r="H49" s="76" t="n">
        <f aca="false">(E49+G49)*lfund_survey/1000000</f>
        <v>0.02115924</v>
      </c>
      <c r="I49" s="75" t="n">
        <f aca="false">IF(AND(lfund_on=1,$A49&gt;=lfund_start),MIN(D49,MAX(I48,C49)),0)</f>
        <v>12086468</v>
      </c>
      <c r="J49" s="76" t="n">
        <f aca="false">(W49-IF(49-lfund_inst&lt;6,0,INDEX($W$6:$W$92,49-5-lfund_inst)))/lfund_inst*(1-lfund_default)</f>
        <v>2.38373098308</v>
      </c>
      <c r="K49" s="76" t="n">
        <f aca="false">G49*lfund_grant_fee*U49/1000000</f>
        <v>0</v>
      </c>
      <c r="L49" s="76" t="n">
        <f aca="false">IF(AND(lfund_on=1,$A49&gt;=1860),lfund_home*lfund_lease_1932*($A49-1859)/(1932-1859)*lfund_rent*lfund_fee,0)/1000000</f>
        <v>0.00456164383561644</v>
      </c>
      <c r="M49" s="76" t="n">
        <f aca="false">J49+K49+L49-F49-H49</f>
        <v>2.31282725691562</v>
      </c>
      <c r="N49" s="76" t="n">
        <f aca="false">IF(lfund_on=1,IF(AND($A49&gt;=1852,$A49&lt;=1870),lfund_police,IF(AND($A49&gt;1870,$A49&lt;=1890),lfund_police_late,0))*lfund_police_cost*Economy!H49/INDEX(Economy!$H$6:$H$92,1877-1845),0)/1000000</f>
        <v>0.148903301886792</v>
      </c>
      <c r="O49" s="76" t="n">
        <f aca="false">M49-N49</f>
        <v>2.16392395502882</v>
      </c>
      <c r="P49" s="76" t="n">
        <f aca="false">P48*(1+lfund_rate)+M49</f>
        <v>48.3844319656852</v>
      </c>
      <c r="Q49" s="76" t="n">
        <f aca="false">Q48*(1+lfund_rate)+O49</f>
        <v>13.831299053179</v>
      </c>
      <c r="R49" s="77" t="n">
        <f aca="false">People!T49*assist_cost*Economy!H49/1000000</f>
        <v>1.264896</v>
      </c>
      <c r="S49" s="78" t="n">
        <f aca="false">IF(SUM(R$6:R49)&gt;0,SUM(M$6:M49)/SUM(R$6:R49),0)</f>
        <v>0.341346590297622</v>
      </c>
      <c r="T49" s="79" t="n">
        <v>30.26</v>
      </c>
      <c r="U49" s="80" t="n">
        <f aca="false">MAX(lfund_floor,lfund_share*T49)</f>
        <v>6.052</v>
      </c>
      <c r="V49" s="76" t="n">
        <f aca="false">(I49-I48)*U49/1000000</f>
        <v>3.190457048</v>
      </c>
      <c r="W49" s="76" t="n">
        <f aca="false">W48+V49</f>
        <v>39.546385856</v>
      </c>
    </row>
    <row r="50" customFormat="false" ht="15" hidden="false" customHeight="true" outlineLevel="0" collapsed="false">
      <c r="A50" s="4" t="n">
        <v>1890</v>
      </c>
      <c r="B50" s="47" t="n">
        <v>21427293</v>
      </c>
      <c r="C50" s="75" t="n">
        <f aca="false">MAX(0,B50*lfund_farm_scale-lfund_grants)</f>
        <v>12627293</v>
      </c>
      <c r="D50" s="75" t="n">
        <f aca="false">IF(AND(lfund_on=1,$A50&gt;=lfund_start),MIN(lfund_area-lfund_home-lfund_grants,MAX(D49,INDEX($C$6:$C$92,MIN(87,45+lfund_lead)))),0)</f>
        <v>16053757</v>
      </c>
      <c r="E50" s="75" t="n">
        <f aca="false">D50-D49</f>
        <v>726547</v>
      </c>
      <c r="F50" s="76" t="n">
        <f aca="false">lfund_price/lfund_term*(D50-IF(50-lfund_term&lt;6,0,INDEX($D$6:$D$92,50-5-lfund_term)))/1000000</f>
        <v>0.05541778</v>
      </c>
      <c r="G50" s="75" t="n">
        <f aca="false">IF(AND(lfund_on=1,$A50&gt;=lfund_start+1,$A50&lt;lfund_start+1+lfund_grant_years),lfund_grants/lfund_grant_years,0)</f>
        <v>0</v>
      </c>
      <c r="H50" s="76" t="n">
        <f aca="false">(E50+G50)*lfund_survey/1000000</f>
        <v>0.02179641</v>
      </c>
      <c r="I50" s="75" t="n">
        <f aca="false">IF(AND(lfund_on=1,$A50&gt;=lfund_start),MIN(D50,MAX(I49,C50)),0)</f>
        <v>12627293</v>
      </c>
      <c r="J50" s="76" t="n">
        <f aca="false">(W50-IF(50-lfund_inst&lt;6,0,INDEX($W$6:$W$92,50-5-lfund_inst)))/lfund_inst*(1-lfund_default)</f>
        <v>2.62883403576</v>
      </c>
      <c r="K50" s="76" t="n">
        <f aca="false">G50*lfund_grant_fee*U50/1000000</f>
        <v>0</v>
      </c>
      <c r="L50" s="76" t="n">
        <f aca="false">IF(AND(lfund_on=1,$A50&gt;=1860),lfund_home*lfund_lease_1932*($A50-1859)/(1932-1859)*lfund_rent*lfund_fee,0)/1000000</f>
        <v>0.00471369863013699</v>
      </c>
      <c r="M50" s="76" t="n">
        <f aca="false">J50+K50+L50-F50-H50</f>
        <v>2.55633354439014</v>
      </c>
      <c r="N50" s="76" t="n">
        <f aca="false">IF(lfund_on=1,IF(AND($A50&gt;=1852,$A50&lt;=1870),lfund_police,IF(AND($A50&gt;1870,$A50&lt;=1890),lfund_police_late,0))*lfund_police_cost*Economy!H50/INDEX(Economy!$H$6:$H$92,1877-1845),0)/1000000</f>
        <v>0.148496462264151</v>
      </c>
      <c r="O50" s="76" t="n">
        <f aca="false">M50-N50</f>
        <v>2.40783708212599</v>
      </c>
      <c r="P50" s="76" t="n">
        <f aca="false">P49*(1+lfund_rate)+M50</f>
        <v>53.3599871083596</v>
      </c>
      <c r="Q50" s="76" t="n">
        <f aca="false">Q49*(1+lfund_rate)+O50</f>
        <v>16.930701087964</v>
      </c>
      <c r="R50" s="77" t="n">
        <f aca="false">People!T50*assist_cost*Economy!H50/1000000</f>
        <v>1.314</v>
      </c>
      <c r="S50" s="78" t="n">
        <f aca="false">IF(SUM(R$6:R50)&gt;0,SUM(M$6:M50)/SUM(R$6:R50),0)</f>
        <v>0.365562655650382</v>
      </c>
      <c r="T50" s="79" t="n">
        <v>32.53</v>
      </c>
      <c r="U50" s="80" t="n">
        <f aca="false">MAX(lfund_floor,lfund_share*T50)</f>
        <v>6.506</v>
      </c>
      <c r="V50" s="76" t="n">
        <f aca="false">(I50-I49)*U50/1000000</f>
        <v>3.51860745</v>
      </c>
      <c r="W50" s="76" t="n">
        <f aca="false">W49+V50</f>
        <v>43.064993306</v>
      </c>
    </row>
    <row r="51" customFormat="false" ht="15" hidden="false" customHeight="true" outlineLevel="0" collapsed="false">
      <c r="A51" s="4" t="n">
        <v>1891</v>
      </c>
      <c r="B51" s="47" t="n">
        <v>22072537</v>
      </c>
      <c r="C51" s="75" t="n">
        <f aca="false">MAX(0,B51*lfund_farm_scale-lfund_grants)</f>
        <v>13272537</v>
      </c>
      <c r="D51" s="75" t="n">
        <f aca="false">IF(AND(lfund_on=1,$A51&gt;=lfund_start),MIN(lfund_area-lfund_home-lfund_grants,MAX(D50,INDEX($C$6:$C$92,MIN(87,46+lfund_lead)))),0)</f>
        <v>16802183</v>
      </c>
      <c r="E51" s="75" t="n">
        <f aca="false">D51-D50</f>
        <v>748426</v>
      </c>
      <c r="F51" s="76" t="n">
        <f aca="false">lfund_price/lfund_term*(D51-IF(51-lfund_term&lt;6,0,INDEX($D$6:$D$92,51-5-lfund_term)))/1000000</f>
        <v>0.056543005</v>
      </c>
      <c r="G51" s="75" t="n">
        <f aca="false">IF(AND(lfund_on=1,$A51&gt;=lfund_start+1,$A51&lt;lfund_start+1+lfund_grant_years),lfund_grants/lfund_grant_years,0)</f>
        <v>0</v>
      </c>
      <c r="H51" s="76" t="n">
        <f aca="false">(E51+G51)*lfund_survey/1000000</f>
        <v>0.02245278</v>
      </c>
      <c r="I51" s="75" t="n">
        <f aca="false">IF(AND(lfund_on=1,$A51&gt;=lfund_start),MIN(D51,MAX(I50,C51)),0)</f>
        <v>13272537</v>
      </c>
      <c r="J51" s="76" t="n">
        <f aca="false">(W51-IF(51-lfund_inst&lt;6,0,INDEX($W$6:$W$92,51-5-lfund_inst)))/lfund_inst*(1-lfund_default)</f>
        <v>2.93537949192</v>
      </c>
      <c r="K51" s="76" t="n">
        <f aca="false">G51*lfund_grant_fee*U51/1000000</f>
        <v>0</v>
      </c>
      <c r="L51" s="76" t="n">
        <f aca="false">IF(AND(lfund_on=1,$A51&gt;=1860),lfund_home*lfund_lease_1932*($A51-1859)/(1932-1859)*lfund_rent*lfund_fee,0)/1000000</f>
        <v>0.00486575342465754</v>
      </c>
      <c r="M51" s="76" t="n">
        <f aca="false">J51+K51+L51-F51-H51</f>
        <v>2.86124946034466</v>
      </c>
      <c r="N51" s="76" t="n">
        <f aca="false">IF(lfund_on=1,IF(AND($A51&gt;=1852,$A51&lt;=1870),lfund_police,IF(AND($A51&gt;1870,$A51&lt;=1890),lfund_police_late,0))*lfund_police_cost*Economy!H51/INDEX(Economy!$H$6:$H$92,1877-1845),0)/1000000</f>
        <v>0</v>
      </c>
      <c r="O51" s="76" t="n">
        <f aca="false">M51-N51</f>
        <v>2.86124946034466</v>
      </c>
      <c r="P51" s="76" t="n">
        <f aca="false">P50*(1+lfund_rate)+M51</f>
        <v>58.8892359241222</v>
      </c>
      <c r="Q51" s="76" t="n">
        <f aca="false">Q50*(1+lfund_rate)+O51</f>
        <v>20.6384856027068</v>
      </c>
      <c r="R51" s="77" t="n">
        <f aca="false">People!T51*assist_cost*Economy!H51/1000000</f>
        <v>1.29906</v>
      </c>
      <c r="S51" s="78" t="n">
        <f aca="false">IF(SUM(R$6:R51)&gt;0,SUM(M$6:M51)/SUM(R$6:R51),0)</f>
        <v>0.392575841830023</v>
      </c>
      <c r="T51" s="79" t="n">
        <v>31.63</v>
      </c>
      <c r="U51" s="80" t="n">
        <f aca="false">MAX(lfund_floor,lfund_share*T51)</f>
        <v>6.326</v>
      </c>
      <c r="V51" s="76" t="n">
        <f aca="false">(I51-I50)*U51/1000000</f>
        <v>4.081813544</v>
      </c>
      <c r="W51" s="76" t="n">
        <f aca="false">W50+V51</f>
        <v>47.14680685</v>
      </c>
    </row>
    <row r="52" customFormat="false" ht="15" hidden="false" customHeight="true" outlineLevel="0" collapsed="false">
      <c r="A52" s="4" t="n">
        <v>1892</v>
      </c>
      <c r="B52" s="47" t="n">
        <v>22737212</v>
      </c>
      <c r="C52" s="75" t="n">
        <f aca="false">MAX(0,B52*lfund_farm_scale-lfund_grants)</f>
        <v>13937212</v>
      </c>
      <c r="D52" s="75" t="n">
        <f aca="false">IF(AND(lfund_on=1,$A52&gt;=lfund_start),MIN(lfund_area-lfund_home-lfund_grants,MAX(D51,INDEX($C$6:$C$92,MIN(87,47+lfund_lead)))),0)</f>
        <v>17573146</v>
      </c>
      <c r="E52" s="75" t="n">
        <f aca="false">D52-D51</f>
        <v>770963</v>
      </c>
      <c r="F52" s="76" t="n">
        <f aca="false">lfund_price/lfund_term*(D52-IF(52-lfund_term&lt;6,0,INDEX($D$6:$D$92,52-5-lfund_term)))/1000000</f>
        <v>0.057681445</v>
      </c>
      <c r="G52" s="75" t="n">
        <f aca="false">IF(AND(lfund_on=1,$A52&gt;=lfund_start+1,$A52&lt;lfund_start+1+lfund_grant_years),lfund_grants/lfund_grant_years,0)</f>
        <v>0</v>
      </c>
      <c r="H52" s="76" t="n">
        <f aca="false">(E52+G52)*lfund_survey/1000000</f>
        <v>0.02312889</v>
      </c>
      <c r="I52" s="75" t="n">
        <f aca="false">IF(AND(lfund_on=1,$A52&gt;=lfund_start),MIN(D52,MAX(I51,C52)),0)</f>
        <v>13937212</v>
      </c>
      <c r="J52" s="76" t="n">
        <f aca="false">(W52-IF(52-lfund_inst&lt;6,0,INDEX($W$6:$W$92,52-5-lfund_inst)))/lfund_inst*(1-lfund_default)</f>
        <v>3.19890710376</v>
      </c>
      <c r="K52" s="76" t="n">
        <f aca="false">G52*lfund_grant_fee*U52/1000000</f>
        <v>0</v>
      </c>
      <c r="L52" s="76" t="n">
        <f aca="false">IF(AND(lfund_on=1,$A52&gt;=1860),lfund_home*lfund_lease_1932*($A52-1859)/(1932-1859)*lfund_rent*lfund_fee,0)/1000000</f>
        <v>0.00501780821917808</v>
      </c>
      <c r="M52" s="76" t="n">
        <f aca="false">J52+K52+L52-F52-H52</f>
        <v>3.12311457697918</v>
      </c>
      <c r="N52" s="76" t="n">
        <f aca="false">IF(lfund_on=1,IF(AND($A52&gt;=1852,$A52&lt;=1870),lfund_police,IF(AND($A52&gt;1870,$A52&lt;=1890),lfund_police_late,0))*lfund_police_cost*Economy!H52/INDEX(Economy!$H$6:$H$92,1877-1845),0)/1000000</f>
        <v>0</v>
      </c>
      <c r="O52" s="76" t="n">
        <f aca="false">M52-N52</f>
        <v>3.12311457697918</v>
      </c>
      <c r="P52" s="76" t="n">
        <f aca="false">P51*(1+lfund_rate)+M52</f>
        <v>64.9568122973075</v>
      </c>
      <c r="Q52" s="76" t="n">
        <f aca="false">Q51*(1+lfund_rate)+O52</f>
        <v>24.7935244598213</v>
      </c>
      <c r="R52" s="77" t="n">
        <f aca="false">People!T52*assist_cost*Economy!H52/1000000</f>
        <v>1.28394</v>
      </c>
      <c r="S52" s="78" t="n">
        <f aca="false">IF(SUM(R$6:R52)&gt;0,SUM(M$6:M52)/SUM(R$6:R52),0)</f>
        <v>0.421798531762803</v>
      </c>
      <c r="T52" s="79" t="n">
        <v>30.75</v>
      </c>
      <c r="U52" s="80" t="n">
        <f aca="false">MAX(lfund_floor,lfund_share*T52)</f>
        <v>6.15</v>
      </c>
      <c r="V52" s="76" t="n">
        <f aca="false">(I52-I51)*U52/1000000</f>
        <v>4.08775125</v>
      </c>
      <c r="W52" s="76" t="n">
        <f aca="false">W51+V52</f>
        <v>51.2345581</v>
      </c>
    </row>
    <row r="53" customFormat="false" ht="15" hidden="false" customHeight="true" outlineLevel="0" collapsed="false">
      <c r="A53" s="4" t="n">
        <v>1893</v>
      </c>
      <c r="B53" s="47" t="n">
        <v>23421902</v>
      </c>
      <c r="C53" s="75" t="n">
        <f aca="false">MAX(0,B53*lfund_farm_scale-lfund_grants)</f>
        <v>14621902</v>
      </c>
      <c r="D53" s="75" t="n">
        <f aca="false">IF(AND(lfund_on=1,$A53&gt;=lfund_start),MIN(lfund_area-lfund_home-lfund_grants,MAX(D52,INDEX($C$6:$C$92,MIN(87,48+lfund_lead)))),0)</f>
        <v>18367326</v>
      </c>
      <c r="E53" s="75" t="n">
        <f aca="false">D53-D52</f>
        <v>794180</v>
      </c>
      <c r="F53" s="76" t="n">
        <f aca="false">lfund_price/lfund_term*(D53-IF(53-lfund_term&lt;6,0,INDEX($D$6:$D$92,53-5-lfund_term)))/1000000</f>
        <v>0.05883273</v>
      </c>
      <c r="G53" s="75" t="n">
        <f aca="false">IF(AND(lfund_on=1,$A53&gt;=lfund_start+1,$A53&lt;lfund_start+1+lfund_grant_years),lfund_grants/lfund_grant_years,0)</f>
        <v>0</v>
      </c>
      <c r="H53" s="76" t="n">
        <f aca="false">(E53+G53)*lfund_survey/1000000</f>
        <v>0.0238254</v>
      </c>
      <c r="I53" s="75" t="n">
        <f aca="false">IF(AND(lfund_on=1,$A53&gt;=lfund_start),MIN(D53,MAX(I52,C53)),0)</f>
        <v>14621902</v>
      </c>
      <c r="J53" s="76" t="n">
        <f aca="false">(W53-IF(53-lfund_inst&lt;6,0,INDEX($W$6:$W$92,53-5-lfund_inst)))/lfund_inst*(1-lfund_default)</f>
        <v>3.41515358856</v>
      </c>
      <c r="K53" s="76" t="n">
        <f aca="false">G53*lfund_grant_fee*U53/1000000</f>
        <v>0</v>
      </c>
      <c r="L53" s="76" t="n">
        <f aca="false">IF(AND(lfund_on=1,$A53&gt;=1860),lfund_home*lfund_lease_1932*($A53-1859)/(1932-1859)*lfund_rent*lfund_fee,0)/1000000</f>
        <v>0.00516986301369863</v>
      </c>
      <c r="M53" s="76" t="n">
        <f aca="false">J53+K53+L53-F53-H53</f>
        <v>3.3376653215737</v>
      </c>
      <c r="N53" s="76" t="n">
        <f aca="false">IF(lfund_on=1,IF(AND($A53&gt;=1852,$A53&lt;=1870),lfund_police,IF(AND($A53&gt;1870,$A53&lt;=1890),lfund_police_late,0))*lfund_police_cost*Economy!H53/INDEX(Economy!$H$6:$H$92,1877-1845),0)/1000000</f>
        <v>0</v>
      </c>
      <c r="O53" s="76" t="n">
        <f aca="false">M53-N53</f>
        <v>3.3376653215737</v>
      </c>
      <c r="P53" s="76" t="n">
        <f aca="false">P52*(1+lfund_rate)+M53</f>
        <v>71.5423182337466</v>
      </c>
      <c r="Q53" s="76" t="n">
        <f aca="false">Q52*(1+lfund_rate)+O53</f>
        <v>29.3708660043861</v>
      </c>
      <c r="R53" s="77" t="n">
        <f aca="false">People!T53*assist_cost*Economy!H53/1000000</f>
        <v>1.269</v>
      </c>
      <c r="S53" s="78" t="n">
        <f aca="false">IF(SUM(R$6:R53)&gt;0,SUM(M$6:M53)/SUM(R$6:R53),0)</f>
        <v>0.452630231611519</v>
      </c>
      <c r="T53" s="79" t="n">
        <v>29.9</v>
      </c>
      <c r="U53" s="80" t="n">
        <f aca="false">MAX(lfund_floor,lfund_share*T53)</f>
        <v>5.98</v>
      </c>
      <c r="V53" s="76" t="n">
        <f aca="false">(I53-I52)*U53/1000000</f>
        <v>4.0944462</v>
      </c>
      <c r="W53" s="76" t="n">
        <f aca="false">W52+V53</f>
        <v>55.3290043</v>
      </c>
    </row>
    <row r="54" customFormat="false" ht="15" hidden="false" customHeight="true" outlineLevel="0" collapsed="false">
      <c r="A54" s="4" t="n">
        <v>1894</v>
      </c>
      <c r="B54" s="47" t="n">
        <v>24127210</v>
      </c>
      <c r="C54" s="75" t="n">
        <f aca="false">MAX(0,B54*lfund_farm_scale-lfund_grants)</f>
        <v>15327210</v>
      </c>
      <c r="D54" s="75" t="n">
        <f aca="false">IF(AND(lfund_on=1,$A54&gt;=lfund_start),MIN(lfund_area-lfund_home-lfund_grants,MAX(D53,INDEX($C$6:$C$92,MIN(87,49+lfund_lead)))),0)</f>
        <v>19185421</v>
      </c>
      <c r="E54" s="75" t="n">
        <f aca="false">D54-D53</f>
        <v>818095</v>
      </c>
      <c r="F54" s="76" t="n">
        <f aca="false">lfund_price/lfund_term*(D54-IF(54-lfund_term&lt;6,0,INDEX($D$6:$D$92,54-5-lfund_term)))/1000000</f>
        <v>0.05999642</v>
      </c>
      <c r="G54" s="75" t="n">
        <f aca="false">IF(AND(lfund_on=1,$A54&gt;=lfund_start+1,$A54&lt;lfund_start+1+lfund_grant_years),lfund_grants/lfund_grant_years,0)</f>
        <v>0</v>
      </c>
      <c r="H54" s="76" t="n">
        <f aca="false">(E54+G54)*lfund_survey/1000000</f>
        <v>0.02454285</v>
      </c>
      <c r="I54" s="75" t="n">
        <f aca="false">IF(AND(lfund_on=1,$A54&gt;=lfund_start),MIN(D54,MAX(I53,C54)),0)</f>
        <v>15327210</v>
      </c>
      <c r="J54" s="76" t="n">
        <f aca="false">(W54-IF(54-lfund_inst&lt;6,0,INDEX($W$6:$W$92,54-5-lfund_inst)))/lfund_inst*(1-lfund_default)</f>
        <v>3.57899024808</v>
      </c>
      <c r="K54" s="76" t="n">
        <f aca="false">G54*lfund_grant_fee*U54/1000000</f>
        <v>0</v>
      </c>
      <c r="L54" s="76" t="n">
        <f aca="false">IF(AND(lfund_on=1,$A54&gt;=1860),lfund_home*lfund_lease_1932*($A54-1859)/(1932-1859)*lfund_rent*lfund_fee,0)/1000000</f>
        <v>0.00532191780821918</v>
      </c>
      <c r="M54" s="76" t="n">
        <f aca="false">J54+K54+L54-F54-H54</f>
        <v>3.49977289588822</v>
      </c>
      <c r="N54" s="76" t="n">
        <f aca="false">IF(lfund_on=1,IF(AND($A54&gt;=1852,$A54&lt;=1870),lfund_police,IF(AND($A54&gt;1870,$A54&lt;=1890),lfund_police_late,0))*lfund_police_cost*Economy!H54/INDEX(Economy!$H$6:$H$92,1877-1845),0)/1000000</f>
        <v>0</v>
      </c>
      <c r="O54" s="76" t="n">
        <f aca="false">M54-N54</f>
        <v>3.49977289588822</v>
      </c>
      <c r="P54" s="76" t="n">
        <f aca="false">P53*(1+lfund_rate)+M54</f>
        <v>78.6192070413222</v>
      </c>
      <c r="Q54" s="76" t="n">
        <f aca="false">Q53*(1+lfund_rate)+O54</f>
        <v>34.3391822004936</v>
      </c>
      <c r="R54" s="77" t="n">
        <f aca="false">People!T54*assist_cost*Economy!H54/1000000</f>
        <v>1.25406</v>
      </c>
      <c r="S54" s="78" t="n">
        <f aca="false">IF(SUM(R$6:R54)&gt;0,SUM(M$6:M54)/SUM(R$6:R54),0)</f>
        <v>0.484450341584814</v>
      </c>
      <c r="T54" s="79" t="n">
        <v>29.07</v>
      </c>
      <c r="U54" s="80" t="n">
        <f aca="false">MAX(lfund_floor,lfund_share*T54)</f>
        <v>5.814</v>
      </c>
      <c r="V54" s="76" t="n">
        <f aca="false">(I54-I53)*U54/1000000</f>
        <v>4.100660712</v>
      </c>
      <c r="W54" s="76" t="n">
        <f aca="false">W53+V54</f>
        <v>59.429665012</v>
      </c>
    </row>
    <row r="55" customFormat="false" ht="15" hidden="false" customHeight="true" outlineLevel="0" collapsed="false">
      <c r="A55" s="4" t="n">
        <v>1895</v>
      </c>
      <c r="B55" s="47" t="n">
        <v>24853757</v>
      </c>
      <c r="C55" s="75" t="n">
        <f aca="false">MAX(0,B55*lfund_farm_scale-lfund_grants)</f>
        <v>16053757</v>
      </c>
      <c r="D55" s="75" t="n">
        <f aca="false">IF(AND(lfund_on=1,$A55&gt;=lfund_start),MIN(lfund_area-lfund_home-lfund_grants,MAX(D54,INDEX($C$6:$C$92,MIN(87,50+lfund_lead)))),0)</f>
        <v>20028151</v>
      </c>
      <c r="E55" s="75" t="n">
        <f aca="false">D55-D54</f>
        <v>842730</v>
      </c>
      <c r="F55" s="76" t="n">
        <f aca="false">lfund_price/lfund_term*(D55-IF(55-lfund_term&lt;6,0,INDEX($D$6:$D$92,55-5-lfund_term)))/1000000</f>
        <v>0.061172045</v>
      </c>
      <c r="G55" s="75" t="n">
        <f aca="false">IF(AND(lfund_on=1,$A55&gt;=lfund_start+1,$A55&lt;lfund_start+1+lfund_grant_years),lfund_grants/lfund_grant_years,0)</f>
        <v>0</v>
      </c>
      <c r="H55" s="76" t="n">
        <f aca="false">(E55+G55)*lfund_survey/1000000</f>
        <v>0.0252819</v>
      </c>
      <c r="I55" s="75" t="n">
        <f aca="false">IF(AND(lfund_on=1,$A55&gt;=lfund_start),MIN(D55,MAX(I54,C55)),0)</f>
        <v>16053757</v>
      </c>
      <c r="J55" s="76" t="n">
        <f aca="false">(W55-IF(55-lfund_inst&lt;6,0,INDEX($W$6:$W$92,55-5-lfund_inst)))/lfund_inst*(1-lfund_default)</f>
        <v>3.68506231992</v>
      </c>
      <c r="K55" s="76" t="n">
        <f aca="false">G55*lfund_grant_fee*U55/1000000</f>
        <v>0</v>
      </c>
      <c r="L55" s="76" t="n">
        <f aca="false">IF(AND(lfund_on=1,$A55&gt;=1860),lfund_home*lfund_lease_1932*($A55-1859)/(1932-1859)*lfund_rent*lfund_fee,0)/1000000</f>
        <v>0.00547397260273973</v>
      </c>
      <c r="M55" s="76" t="n">
        <f aca="false">J55+K55+L55-F55-H55</f>
        <v>3.60408234752274</v>
      </c>
      <c r="N55" s="76" t="n">
        <f aca="false">IF(lfund_on=1,IF(AND($A55&gt;=1852,$A55&lt;=1870),lfund_police,IF(AND($A55&gt;1870,$A55&lt;=1890),lfund_police_late,0))*lfund_police_cost*Economy!H55/INDEX(Economy!$H$6:$H$92,1877-1845),0)/1000000</f>
        <v>0</v>
      </c>
      <c r="O55" s="76" t="n">
        <f aca="false">M55-N55</f>
        <v>3.60408234752274</v>
      </c>
      <c r="P55" s="76" t="n">
        <f aca="false">P54*(1+lfund_rate)+M55</f>
        <v>86.154249740911</v>
      </c>
      <c r="Q55" s="76" t="n">
        <f aca="false">Q54*(1+lfund_rate)+O55</f>
        <v>39.6602236580411</v>
      </c>
      <c r="R55" s="77" t="n">
        <f aca="false">People!T55*assist_cost*Economy!H55/1000000</f>
        <v>1.23894</v>
      </c>
      <c r="S55" s="78" t="n">
        <f aca="false">IF(SUM(R$6:R55)&gt;0,SUM(M$6:M55)/SUM(R$6:R55),0)</f>
        <v>0.516616398623288</v>
      </c>
      <c r="T55" s="79" t="n">
        <v>28.27</v>
      </c>
      <c r="U55" s="80" t="n">
        <f aca="false">MAX(lfund_floor,lfund_share*T55)</f>
        <v>5.654</v>
      </c>
      <c r="V55" s="76" t="n">
        <f aca="false">(I55-I54)*U55/1000000</f>
        <v>4.107896738</v>
      </c>
      <c r="W55" s="76" t="n">
        <f aca="false">W54+V55</f>
        <v>63.53756175</v>
      </c>
    </row>
    <row r="56" customFormat="false" ht="15" hidden="false" customHeight="true" outlineLevel="0" collapsed="false">
      <c r="A56" s="4" t="n">
        <v>1896</v>
      </c>
      <c r="B56" s="47" t="n">
        <v>25602183</v>
      </c>
      <c r="C56" s="75" t="n">
        <f aca="false">MAX(0,B56*lfund_farm_scale-lfund_grants)</f>
        <v>16802183</v>
      </c>
      <c r="D56" s="75" t="n">
        <f aca="false">IF(AND(lfund_on=1,$A56&gt;=lfund_start),MIN(lfund_area-lfund_home-lfund_grants,MAX(D55,INDEX($C$6:$C$92,MIN(87,51+lfund_lead)))),0)</f>
        <v>20028151</v>
      </c>
      <c r="E56" s="75" t="n">
        <f aca="false">D56-D55</f>
        <v>0</v>
      </c>
      <c r="F56" s="76" t="n">
        <f aca="false">lfund_price/lfund_term*(D56-IF(56-lfund_term&lt;6,0,INDEX($D$6:$D$92,56-5-lfund_term)))/1000000</f>
        <v>0.05902369</v>
      </c>
      <c r="G56" s="75" t="n">
        <f aca="false">IF(AND(lfund_on=1,$A56&gt;=lfund_start+1,$A56&lt;lfund_start+1+lfund_grant_years),lfund_grants/lfund_grant_years,0)</f>
        <v>0</v>
      </c>
      <c r="H56" s="76" t="n">
        <f aca="false">(E56+G56)*lfund_survey/1000000</f>
        <v>0</v>
      </c>
      <c r="I56" s="75" t="n">
        <f aca="false">IF(AND(lfund_on=1,$A56&gt;=lfund_start),MIN(D56,MAX(I55,C56)),0)</f>
        <v>16802183</v>
      </c>
      <c r="J56" s="76" t="n">
        <f aca="false">(W56-IF(56-lfund_inst&lt;6,0,INDEX($W$6:$W$92,56-5-lfund_inst)))/lfund_inst*(1-lfund_default)</f>
        <v>3.69073875528</v>
      </c>
      <c r="K56" s="76" t="n">
        <f aca="false">G56*lfund_grant_fee*U56/1000000</f>
        <v>0</v>
      </c>
      <c r="L56" s="76" t="n">
        <f aca="false">IF(AND(lfund_on=1,$A56&gt;=1860),lfund_home*lfund_lease_1932*($A56-1859)/(1932-1859)*lfund_rent*lfund_fee,0)/1000000</f>
        <v>0.00562602739726027</v>
      </c>
      <c r="M56" s="76" t="n">
        <f aca="false">J56+K56+L56-F56-H56</f>
        <v>3.63734109267726</v>
      </c>
      <c r="N56" s="76" t="n">
        <f aca="false">IF(lfund_on=1,IF(AND($A56&gt;=1852,$A56&lt;=1870),lfund_police,IF(AND($A56&gt;1870,$A56&lt;=1890),lfund_police_late,0))*lfund_police_cost*Economy!H56/INDEX(Economy!$H$6:$H$92,1877-1845),0)/1000000</f>
        <v>0</v>
      </c>
      <c r="O56" s="76" t="n">
        <f aca="false">M56-N56</f>
        <v>3.63734109267726</v>
      </c>
      <c r="P56" s="76" t="n">
        <f aca="false">P55*(1+lfund_rate)+M56</f>
        <v>94.0993033206338</v>
      </c>
      <c r="Q56" s="76" t="n">
        <f aca="false">Q55*(1+lfund_rate)+O56</f>
        <v>45.2805759336204</v>
      </c>
      <c r="R56" s="77" t="n">
        <f aca="false">People!T56*assist_cost*Economy!H56/1000000</f>
        <v>1.224</v>
      </c>
      <c r="S56" s="78" t="n">
        <f aca="false">IF(SUM(R$6:R56)&gt;0,SUM(M$6:M56)/SUM(R$6:R56),0)</f>
        <v>0.548378208249538</v>
      </c>
      <c r="T56" s="79" t="n">
        <v>27.48</v>
      </c>
      <c r="U56" s="80" t="n">
        <f aca="false">MAX(lfund_floor,lfund_share*T56)</f>
        <v>5.496</v>
      </c>
      <c r="V56" s="76" t="n">
        <f aca="false">(I56-I55)*U56/1000000</f>
        <v>4.113349296</v>
      </c>
      <c r="W56" s="76" t="n">
        <f aca="false">W55+V56</f>
        <v>67.650911046</v>
      </c>
    </row>
    <row r="57" customFormat="false" ht="15" hidden="false" customHeight="true" outlineLevel="0" collapsed="false">
      <c r="A57" s="4" t="n">
        <v>1897</v>
      </c>
      <c r="B57" s="47" t="n">
        <v>26373146</v>
      </c>
      <c r="C57" s="75" t="n">
        <f aca="false">MAX(0,B57*lfund_farm_scale-lfund_grants)</f>
        <v>17573146</v>
      </c>
      <c r="D57" s="75" t="n">
        <f aca="false">IF(AND(lfund_on=1,$A57&gt;=lfund_start),MIN(lfund_area-lfund_home-lfund_grants,MAX(D56,INDEX($C$6:$C$92,MIN(87,52+lfund_lead)))),0)</f>
        <v>20028151</v>
      </c>
      <c r="E57" s="75" t="n">
        <f aca="false">D57-D56</f>
        <v>0</v>
      </c>
      <c r="F57" s="76" t="n">
        <f aca="false">lfund_price/lfund_term*(D57-IF(57-lfund_term&lt;6,0,INDEX($D$6:$D$92,57-5-lfund_term)))/1000000</f>
        <v>0.05681971</v>
      </c>
      <c r="G57" s="75" t="n">
        <f aca="false">IF(AND(lfund_on=1,$A57&gt;=lfund_start+1,$A57&lt;lfund_start+1+lfund_grant_years),lfund_grants/lfund_grant_years,0)</f>
        <v>0</v>
      </c>
      <c r="H57" s="76" t="n">
        <f aca="false">(E57+G57)*lfund_survey/1000000</f>
        <v>0</v>
      </c>
      <c r="I57" s="75" t="n">
        <f aca="false">IF(AND(lfund_on=1,$A57&gt;=lfund_start),MIN(D57,MAX(I56,C57)),0)</f>
        <v>17573146</v>
      </c>
      <c r="J57" s="76" t="n">
        <f aca="false">(W57-IF(57-lfund_inst&lt;6,0,INDEX($W$6:$W$92,57-5-lfund_inst)))/lfund_inst*(1-lfund_default)</f>
        <v>3.69654825924</v>
      </c>
      <c r="K57" s="76" t="n">
        <f aca="false">G57*lfund_grant_fee*U57/1000000</f>
        <v>0</v>
      </c>
      <c r="L57" s="76" t="n">
        <f aca="false">IF(AND(lfund_on=1,$A57&gt;=1860),lfund_home*lfund_lease_1932*($A57-1859)/(1932-1859)*lfund_rent*lfund_fee,0)/1000000</f>
        <v>0.00577808219178082</v>
      </c>
      <c r="M57" s="76" t="n">
        <f aca="false">J57+K57+L57-F57-H57</f>
        <v>3.64550663143178</v>
      </c>
      <c r="N57" s="76" t="n">
        <f aca="false">IF(lfund_on=1,IF(AND($A57&gt;=1852,$A57&lt;=1870),lfund_police,IF(AND($A57&gt;1870,$A57&lt;=1890),lfund_police_late,0))*lfund_police_cost*Economy!H57/INDEX(Economy!$H$6:$H$92,1877-1845),0)/1000000</f>
        <v>0</v>
      </c>
      <c r="O57" s="76" t="n">
        <f aca="false">M57-N57</f>
        <v>3.64550663143178</v>
      </c>
      <c r="P57" s="76" t="n">
        <f aca="false">P56*(1+lfund_rate)+M57</f>
        <v>102.449775118097</v>
      </c>
      <c r="Q57" s="76" t="n">
        <f aca="false">Q56*(1+lfund_rate)+O57</f>
        <v>51.1901113617332</v>
      </c>
      <c r="R57" s="77" t="n">
        <f aca="false">People!T57*assist_cost*Economy!H57/1000000</f>
        <v>1.26</v>
      </c>
      <c r="S57" s="78" t="n">
        <f aca="false">IF(SUM(R$6:R57)&gt;0,SUM(M$6:M57)/SUM(R$6:R57),0)</f>
        <v>0.579196324513622</v>
      </c>
      <c r="T57" s="79" t="n">
        <v>26.72</v>
      </c>
      <c r="U57" s="80" t="n">
        <f aca="false">MAX(lfund_floor,lfund_share*T57)</f>
        <v>5.344</v>
      </c>
      <c r="V57" s="76" t="n">
        <f aca="false">(I57-I56)*U57/1000000</f>
        <v>4.120026272</v>
      </c>
      <c r="W57" s="76" t="n">
        <f aca="false">W56+V57</f>
        <v>71.770937318</v>
      </c>
    </row>
    <row r="58" customFormat="false" ht="15" hidden="false" customHeight="true" outlineLevel="0" collapsed="false">
      <c r="A58" s="4" t="n">
        <v>1898</v>
      </c>
      <c r="B58" s="47" t="n">
        <v>27167326</v>
      </c>
      <c r="C58" s="75" t="n">
        <f aca="false">MAX(0,B58*lfund_farm_scale-lfund_grants)</f>
        <v>18367326</v>
      </c>
      <c r="D58" s="75" t="n">
        <f aca="false">IF(AND(lfund_on=1,$A58&gt;=lfund_start),MIN(lfund_area-lfund_home-lfund_grants,MAX(D57,INDEX($C$6:$C$92,MIN(87,53+lfund_lead)))),0)</f>
        <v>20028151</v>
      </c>
      <c r="E58" s="75" t="n">
        <f aca="false">D58-D57</f>
        <v>0</v>
      </c>
      <c r="F58" s="76" t="n">
        <f aca="false">lfund_price/lfund_term*(D58-IF(58-lfund_term&lt;6,0,INDEX($D$6:$D$92,58-5-lfund_term)))/1000000</f>
        <v>0.054558655</v>
      </c>
      <c r="G58" s="75" t="n">
        <f aca="false">IF(AND(lfund_on=1,$A58&gt;=lfund_start+1,$A58&lt;lfund_start+1+lfund_grant_years),lfund_grants/lfund_grant_years,0)</f>
        <v>0</v>
      </c>
      <c r="H58" s="76" t="n">
        <f aca="false">(E58+G58)*lfund_survey/1000000</f>
        <v>0</v>
      </c>
      <c r="I58" s="75" t="n">
        <f aca="false">IF(AND(lfund_on=1,$A58&gt;=lfund_start),MIN(D58,MAX(I57,C58)),0)</f>
        <v>18367326</v>
      </c>
      <c r="J58" s="76" t="n">
        <f aca="false">(W58-IF(58-lfund_inst&lt;6,0,INDEX($W$6:$W$92,58-5-lfund_inst)))/lfund_inst*(1-lfund_default)</f>
        <v>3.70232861364</v>
      </c>
      <c r="K58" s="76" t="n">
        <f aca="false">G58*lfund_grant_fee*U58/1000000</f>
        <v>0</v>
      </c>
      <c r="L58" s="76" t="n">
        <f aca="false">IF(AND(lfund_on=1,$A58&gt;=1860),lfund_home*lfund_lease_1932*($A58-1859)/(1932-1859)*lfund_rent*lfund_fee,0)/1000000</f>
        <v>0.00593013698630137</v>
      </c>
      <c r="M58" s="76" t="n">
        <f aca="false">J58+K58+L58-F58-H58</f>
        <v>3.6537000956263</v>
      </c>
      <c r="N58" s="76" t="n">
        <f aca="false">IF(lfund_on=1,IF(AND($A58&gt;=1852,$A58&lt;=1870),lfund_police,IF(AND($A58&gt;1870,$A58&lt;=1890),lfund_police_late,0))*lfund_police_cost*Economy!H58/INDEX(Economy!$H$6:$H$92,1877-1845),0)/1000000</f>
        <v>0</v>
      </c>
      <c r="O58" s="76" t="n">
        <f aca="false">M58-N58</f>
        <v>3.6537000956263</v>
      </c>
      <c r="P58" s="76" t="n">
        <f aca="false">P57*(1+lfund_rate)+M58</f>
        <v>111.225963969628</v>
      </c>
      <c r="Q58" s="76" t="n">
        <f aca="false">Q57*(1+lfund_rate)+O58</f>
        <v>57.4033170254461</v>
      </c>
      <c r="R58" s="77" t="n">
        <f aca="false">People!T58*assist_cost*Economy!H58/1000000</f>
        <v>1.296</v>
      </c>
      <c r="S58" s="78" t="n">
        <f aca="false">IF(SUM(R$6:R58)&gt;0,SUM(M$6:M58)/SUM(R$6:R58),0)</f>
        <v>0.609073492493582</v>
      </c>
      <c r="T58" s="79" t="n">
        <v>25.98</v>
      </c>
      <c r="U58" s="80" t="n">
        <f aca="false">MAX(lfund_floor,lfund_share*T58)</f>
        <v>5.196</v>
      </c>
      <c r="V58" s="76" t="n">
        <f aca="false">(I58-I57)*U58/1000000</f>
        <v>4.12655928</v>
      </c>
      <c r="W58" s="76" t="n">
        <f aca="false">W57+V58</f>
        <v>75.897496598</v>
      </c>
    </row>
    <row r="59" customFormat="false" ht="15" hidden="false" customHeight="true" outlineLevel="0" collapsed="false">
      <c r="A59" s="4" t="n">
        <v>1899</v>
      </c>
      <c r="B59" s="47" t="n">
        <v>27985421</v>
      </c>
      <c r="C59" s="75" t="n">
        <f aca="false">MAX(0,B59*lfund_farm_scale-lfund_grants)</f>
        <v>19185421</v>
      </c>
      <c r="D59" s="75" t="n">
        <f aca="false">IF(AND(lfund_on=1,$A59&gt;=lfund_start),MIN(lfund_area-lfund_home-lfund_grants,MAX(D58,INDEX($C$6:$C$92,MIN(87,54+lfund_lead)))),0)</f>
        <v>20028151</v>
      </c>
      <c r="E59" s="75" t="n">
        <f aca="false">D59-D58</f>
        <v>0</v>
      </c>
      <c r="F59" s="76" t="n">
        <f aca="false">lfund_price/lfund_term*(D59-IF(59-lfund_term&lt;6,0,INDEX($D$6:$D$92,59-5-lfund_term)))/1000000</f>
        <v>0.05223906</v>
      </c>
      <c r="G59" s="75" t="n">
        <f aca="false">IF(AND(lfund_on=1,$A59&gt;=lfund_start+1,$A59&lt;lfund_start+1+lfund_grant_years),lfund_grants/lfund_grant_years,0)</f>
        <v>0</v>
      </c>
      <c r="H59" s="76" t="n">
        <f aca="false">(E59+G59)*lfund_survey/1000000</f>
        <v>0</v>
      </c>
      <c r="I59" s="75" t="n">
        <f aca="false">IF(AND(lfund_on=1,$A59&gt;=lfund_start),MIN(D59,MAX(I58,C59)),0)</f>
        <v>19185421</v>
      </c>
      <c r="J59" s="76" t="n">
        <f aca="false">(W59-IF(59-lfund_inst&lt;6,0,INDEX($W$6:$W$92,59-5-lfund_inst)))/lfund_inst*(1-lfund_default)</f>
        <v>3.70815255468</v>
      </c>
      <c r="K59" s="76" t="n">
        <f aca="false">G59*lfund_grant_fee*U59/1000000</f>
        <v>0</v>
      </c>
      <c r="L59" s="76" t="n">
        <f aca="false">IF(AND(lfund_on=1,$A59&gt;=1860),lfund_home*lfund_lease_1932*($A59-1859)/(1932-1859)*lfund_rent*lfund_fee,0)/1000000</f>
        <v>0.00608219178082192</v>
      </c>
      <c r="M59" s="76" t="n">
        <f aca="false">J59+K59+L59-F59-H59</f>
        <v>3.66199568646082</v>
      </c>
      <c r="N59" s="76" t="n">
        <f aca="false">IF(lfund_on=1,IF(AND($A59&gt;=1852,$A59&lt;=1870),lfund_police,IF(AND($A59&gt;1870,$A59&lt;=1890),lfund_police_late,0))*lfund_police_cost*Economy!H59/INDEX(Economy!$H$6:$H$92,1877-1845),0)/1000000</f>
        <v>0</v>
      </c>
      <c r="O59" s="76" t="n">
        <f aca="false">M59-N59</f>
        <v>3.66199568646082</v>
      </c>
      <c r="P59" s="76" t="n">
        <f aca="false">P58*(1+lfund_rate)+M59</f>
        <v>120.449257854571</v>
      </c>
      <c r="Q59" s="76" t="n">
        <f aca="false">Q58*(1+lfund_rate)+O59</f>
        <v>63.9354785631793</v>
      </c>
      <c r="R59" s="77" t="n">
        <f aca="false">People!T59*assist_cost*Economy!H59/1000000</f>
        <v>1.332</v>
      </c>
      <c r="S59" s="78" t="n">
        <f aca="false">IF(SUM(R$6:R59)&gt;0,SUM(M$6:M59)/SUM(R$6:R59),0)</f>
        <v>0.638015131552124</v>
      </c>
      <c r="T59" s="79" t="n">
        <v>25.26</v>
      </c>
      <c r="U59" s="80" t="n">
        <f aca="false">MAX(lfund_floor,lfund_share*T59)</f>
        <v>5.052</v>
      </c>
      <c r="V59" s="76" t="n">
        <f aca="false">(I59-I58)*U59/1000000</f>
        <v>4.13301594</v>
      </c>
      <c r="W59" s="76" t="n">
        <f aca="false">W58+V59</f>
        <v>80.030512538</v>
      </c>
    </row>
    <row r="60" customFormat="false" ht="15" hidden="false" customHeight="true" outlineLevel="0" collapsed="false">
      <c r="A60" s="4" t="n">
        <v>1900</v>
      </c>
      <c r="B60" s="47" t="n">
        <v>28828151</v>
      </c>
      <c r="C60" s="75" t="n">
        <f aca="false">MAX(0,B60*lfund_farm_scale-lfund_grants)</f>
        <v>20028151</v>
      </c>
      <c r="D60" s="75" t="n">
        <f aca="false">IF(AND(lfund_on=1,$A60&gt;=lfund_start),MIN(lfund_area-lfund_home-lfund_grants,MAX(D59,INDEX($C$6:$C$92,MIN(87,55+lfund_lead)))),0)</f>
        <v>20028151</v>
      </c>
      <c r="E60" s="75" t="n">
        <f aca="false">D60-D59</f>
        <v>0</v>
      </c>
      <c r="F60" s="76" t="n">
        <f aca="false">lfund_price/lfund_term*(D60-IF(60-lfund_term&lt;6,0,INDEX($D$6:$D$92,60-5-lfund_term)))/1000000</f>
        <v>0.0498594</v>
      </c>
      <c r="G60" s="75" t="n">
        <f aca="false">IF(AND(lfund_on=1,$A60&gt;=lfund_start+1,$A60&lt;lfund_start+1+lfund_grant_years),lfund_grants/lfund_grant_years,0)</f>
        <v>0</v>
      </c>
      <c r="H60" s="76" t="n">
        <f aca="false">(E60+G60)*lfund_survey/1000000</f>
        <v>0</v>
      </c>
      <c r="I60" s="75" t="n">
        <f aca="false">IF(AND(lfund_on=1,$A60&gt;=lfund_start),MIN(D60,MAX(I59,C60)),0)</f>
        <v>20028151</v>
      </c>
      <c r="J60" s="76" t="n">
        <f aca="false">(W60-IF(60-lfund_inst&lt;6,0,INDEX($W$6:$W$92,60-5-lfund_inst)))/lfund_inst*(1-lfund_default)</f>
        <v>3.71383929864</v>
      </c>
      <c r="K60" s="76" t="n">
        <f aca="false">G60*lfund_grant_fee*U60/1000000</f>
        <v>0</v>
      </c>
      <c r="L60" s="76" t="n">
        <f aca="false">IF(AND(lfund_on=1,$A60&gt;=1860),lfund_home*lfund_lease_1932*($A60-1859)/(1932-1859)*lfund_rent*lfund_fee,0)/1000000</f>
        <v>0.00623424657534247</v>
      </c>
      <c r="M60" s="76" t="n">
        <f aca="false">J60+K60+L60-F60-H60</f>
        <v>3.67021414521534</v>
      </c>
      <c r="N60" s="76" t="n">
        <f aca="false">IF(lfund_on=1,IF(AND($A60&gt;=1852,$A60&lt;=1870),lfund_police,IF(AND($A60&gt;1870,$A60&lt;=1890),lfund_police_late,0))*lfund_police_cost*Economy!H60/INDEX(Economy!$H$6:$H$92,1877-1845),0)/1000000</f>
        <v>0</v>
      </c>
      <c r="O60" s="76" t="n">
        <f aca="false">M60-N60</f>
        <v>3.67021414521534</v>
      </c>
      <c r="P60" s="76" t="n">
        <f aca="false">P59*(1+lfund_rate)+M60</f>
        <v>130.141934892515</v>
      </c>
      <c r="Q60" s="76" t="n">
        <f aca="false">Q59*(1+lfund_rate)+O60</f>
        <v>70.8024666365536</v>
      </c>
      <c r="R60" s="77" t="n">
        <f aca="false">People!T60*assist_cost*Economy!H60/1000000</f>
        <v>1.92888</v>
      </c>
      <c r="S60" s="78" t="n">
        <f aca="false">IF(SUM(R$6:R60)&gt;0,SUM(M$6:M60)/SUM(R$6:R60),0)</f>
        <v>0.662306893831772</v>
      </c>
      <c r="T60" s="79" t="n">
        <v>24.56</v>
      </c>
      <c r="U60" s="80" t="n">
        <f aca="false">MAX(lfund_floor,lfund_share*T60)</f>
        <v>4.912</v>
      </c>
      <c r="V60" s="76" t="n">
        <f aca="false">(I60-I59)*U60/1000000</f>
        <v>4.13948976</v>
      </c>
      <c r="W60" s="76" t="n">
        <f aca="false">W59+V60</f>
        <v>84.170002298</v>
      </c>
    </row>
    <row r="61" customFormat="false" ht="15" hidden="false" customHeight="true" outlineLevel="0" collapsed="false">
      <c r="A61" s="4" t="n">
        <v>1901</v>
      </c>
      <c r="B61" s="47" t="n">
        <v>28737200</v>
      </c>
      <c r="C61" s="75" t="n">
        <f aca="false">MAX(0,B61*lfund_farm_scale-lfund_grants)</f>
        <v>19937200</v>
      </c>
      <c r="D61" s="75" t="n">
        <f aca="false">IF(AND(lfund_on=1,$A61&gt;=lfund_start),MIN(lfund_area-lfund_home-lfund_grants,MAX(D60,INDEX($C$6:$C$92,MIN(87,56+lfund_lead)))),0)</f>
        <v>20028151</v>
      </c>
      <c r="E61" s="75" t="n">
        <f aca="false">D61-D60</f>
        <v>0</v>
      </c>
      <c r="F61" s="76" t="n">
        <f aca="false">lfund_price/lfund_term*(D61-IF(61-lfund_term&lt;6,0,INDEX($D$6:$D$92,61-5-lfund_term)))/1000000</f>
        <v>0.04741812</v>
      </c>
      <c r="G61" s="75" t="n">
        <f aca="false">IF(AND(lfund_on=1,$A61&gt;=lfund_start+1,$A61&lt;lfund_start+1+lfund_grant_years),lfund_grants/lfund_grant_years,0)</f>
        <v>0</v>
      </c>
      <c r="H61" s="76" t="n">
        <f aca="false">(E61+G61)*lfund_survey/1000000</f>
        <v>0</v>
      </c>
      <c r="I61" s="75" t="n">
        <f aca="false">IF(AND(lfund_on=1,$A61&gt;=lfund_start),MIN(D61,MAX(I60,C61)),0)</f>
        <v>20028151</v>
      </c>
      <c r="J61" s="76" t="n">
        <f aca="false">(W61-IF(61-lfund_inst&lt;6,0,INDEX($W$6:$W$92,61-5-lfund_inst)))/lfund_inst*(1-lfund_default)</f>
        <v>2.97343642536</v>
      </c>
      <c r="K61" s="76" t="n">
        <f aca="false">G61*lfund_grant_fee*U61/1000000</f>
        <v>0</v>
      </c>
      <c r="L61" s="76" t="n">
        <f aca="false">IF(AND(lfund_on=1,$A61&gt;=1860),lfund_home*lfund_lease_1932*($A61-1859)/(1932-1859)*lfund_rent*lfund_fee,0)/1000000</f>
        <v>0.00638630136986302</v>
      </c>
      <c r="M61" s="76" t="n">
        <f aca="false">J61+K61+L61-F61-H61</f>
        <v>2.93240460672986</v>
      </c>
      <c r="N61" s="76" t="n">
        <f aca="false">IF(lfund_on=1,IF(AND($A61&gt;=1852,$A61&lt;=1870),lfund_police,IF(AND($A61&gt;1870,$A61&lt;=1890),lfund_police_late,0))*lfund_police_cost*Economy!H61/INDEX(Economy!$H$6:$H$92,1877-1845),0)/1000000</f>
        <v>0</v>
      </c>
      <c r="O61" s="76" t="n">
        <f aca="false">M61-N61</f>
        <v>2.93240460672986</v>
      </c>
      <c r="P61" s="76" t="n">
        <f aca="false">P60*(1+lfund_rate)+M61</f>
        <v>139.58143624387</v>
      </c>
      <c r="Q61" s="76" t="n">
        <f aca="false">Q60*(1+lfund_rate)+O61</f>
        <v>77.2749945751111</v>
      </c>
      <c r="R61" s="77" t="n">
        <f aca="false">People!T61*assist_cost*Economy!H61/1000000</f>
        <v>1.959336</v>
      </c>
      <c r="S61" s="78" t="n">
        <f aca="false">IF(SUM(R$6:R61)&gt;0,SUM(M$6:M61)/SUM(R$6:R61),0)</f>
        <v>0.678273046080029</v>
      </c>
      <c r="T61" s="79" t="n">
        <v>26.47</v>
      </c>
      <c r="U61" s="80" t="n">
        <f aca="false">MAX(lfund_floor,lfund_share*T61)</f>
        <v>5.294</v>
      </c>
      <c r="V61" s="76" t="n">
        <f aca="false">(I61-I60)*U61/1000000</f>
        <v>0</v>
      </c>
      <c r="W61" s="76" t="n">
        <f aca="false">W60+V61</f>
        <v>84.170002298</v>
      </c>
    </row>
    <row r="62" customFormat="false" ht="15" hidden="false" customHeight="true" outlineLevel="0" collapsed="false">
      <c r="A62" s="4" t="n">
        <v>1902</v>
      </c>
      <c r="B62" s="47" t="n">
        <v>28646536</v>
      </c>
      <c r="C62" s="75" t="n">
        <f aca="false">MAX(0,B62*lfund_farm_scale-lfund_grants)</f>
        <v>19846536</v>
      </c>
      <c r="D62" s="75" t="n">
        <f aca="false">IF(AND(lfund_on=1,$A62&gt;=lfund_start),MIN(lfund_area-lfund_home-lfund_grants,MAX(D61,INDEX($C$6:$C$92,MIN(87,57+lfund_lead)))),0)</f>
        <v>20028151</v>
      </c>
      <c r="E62" s="75" t="n">
        <f aca="false">D62-D61</f>
        <v>0</v>
      </c>
      <c r="F62" s="76" t="n">
        <f aca="false">lfund_price/lfund_term*(D62-IF(62-lfund_term&lt;6,0,INDEX($D$6:$D$92,62-5-lfund_term)))/1000000</f>
        <v>0.044913625</v>
      </c>
      <c r="G62" s="75" t="n">
        <f aca="false">IF(AND(lfund_on=1,$A62&gt;=lfund_start+1,$A62&lt;lfund_start+1+lfund_grant_years),lfund_grants/lfund_grant_years,0)</f>
        <v>0</v>
      </c>
      <c r="H62" s="76" t="n">
        <f aca="false">(E62+G62)*lfund_survey/1000000</f>
        <v>0</v>
      </c>
      <c r="I62" s="75" t="n">
        <f aca="false">IF(AND(lfund_on=1,$A62&gt;=lfund_start),MIN(D62,MAX(I61,C62)),0)</f>
        <v>20028151</v>
      </c>
      <c r="J62" s="76" t="n">
        <f aca="false">(W62-IF(62-lfund_inst&lt;6,0,INDEX($W$6:$W$92,62-5-lfund_inst)))/lfund_inst*(1-lfund_default)</f>
        <v>2.2318316964</v>
      </c>
      <c r="K62" s="76" t="n">
        <f aca="false">G62*lfund_grant_fee*U62/1000000</f>
        <v>0</v>
      </c>
      <c r="L62" s="76" t="n">
        <f aca="false">IF(AND(lfund_on=1,$A62&gt;=1860),lfund_home*lfund_lease_1932*($A62-1859)/(1932-1859)*lfund_rent*lfund_fee,0)/1000000</f>
        <v>0.00653835616438356</v>
      </c>
      <c r="M62" s="76" t="n">
        <f aca="false">J62+K62+L62-F62-H62</f>
        <v>2.19345642756438</v>
      </c>
      <c r="N62" s="76" t="n">
        <f aca="false">IF(lfund_on=1,IF(AND($A62&gt;=1852,$A62&lt;=1870),lfund_police,IF(AND($A62&gt;1870,$A62&lt;=1890),lfund_police_late,0))*lfund_police_cost*Economy!H62/INDEX(Economy!$H$6:$H$92,1877-1845),0)/1000000</f>
        <v>0</v>
      </c>
      <c r="O62" s="76" t="n">
        <f aca="false">M62-N62</f>
        <v>2.19345642756438</v>
      </c>
      <c r="P62" s="76" t="n">
        <f aca="false">P61*(1+lfund_rate)+M62</f>
        <v>148.753964483628</v>
      </c>
      <c r="Q62" s="76" t="n">
        <f aca="false">Q61*(1+lfund_rate)+O62</f>
        <v>83.3322007314311</v>
      </c>
      <c r="R62" s="77" t="n">
        <f aca="false">People!T62*assist_cost*Economy!H62/1000000</f>
        <v>1.989792</v>
      </c>
      <c r="S62" s="78" t="n">
        <f aca="false">IF(SUM(R$6:R62)&gt;0,SUM(M$6:M62)/SUM(R$6:R62),0)</f>
        <v>0.686357563097212</v>
      </c>
      <c r="T62" s="79" t="n">
        <v>28.53</v>
      </c>
      <c r="U62" s="80" t="n">
        <f aca="false">MAX(lfund_floor,lfund_share*T62)</f>
        <v>5.706</v>
      </c>
      <c r="V62" s="76" t="n">
        <f aca="false">(I62-I61)*U62/1000000</f>
        <v>0</v>
      </c>
      <c r="W62" s="76" t="n">
        <f aca="false">W61+V62</f>
        <v>84.170002298</v>
      </c>
    </row>
    <row r="63" customFormat="false" ht="15" hidden="false" customHeight="true" outlineLevel="0" collapsed="false">
      <c r="A63" s="4" t="n">
        <v>1903</v>
      </c>
      <c r="B63" s="47" t="n">
        <v>28556157</v>
      </c>
      <c r="C63" s="75" t="n">
        <f aca="false">MAX(0,B63*lfund_farm_scale-lfund_grants)</f>
        <v>19756157</v>
      </c>
      <c r="D63" s="75" t="n">
        <f aca="false">IF(AND(lfund_on=1,$A63&gt;=lfund_start),MIN(lfund_area-lfund_home-lfund_grants,MAX(D62,INDEX($C$6:$C$92,MIN(87,58+lfund_lead)))),0)</f>
        <v>20028151</v>
      </c>
      <c r="E63" s="75" t="n">
        <f aca="false">D63-D62</f>
        <v>0</v>
      </c>
      <c r="F63" s="76" t="n">
        <f aca="false">lfund_price/lfund_term*(D63-IF(63-lfund_term&lt;6,0,INDEX($D$6:$D$92,63-5-lfund_term)))/1000000</f>
        <v>0.042344285</v>
      </c>
      <c r="G63" s="75" t="n">
        <f aca="false">IF(AND(lfund_on=1,$A63&gt;=lfund_start+1,$A63&lt;lfund_start+1+lfund_grant_years),lfund_grants/lfund_grant_years,0)</f>
        <v>0</v>
      </c>
      <c r="H63" s="76" t="n">
        <f aca="false">(E63+G63)*lfund_survey/1000000</f>
        <v>0</v>
      </c>
      <c r="I63" s="75" t="n">
        <f aca="false">IF(AND(lfund_on=1,$A63&gt;=lfund_start),MIN(D63,MAX(I62,C63)),0)</f>
        <v>20028151</v>
      </c>
      <c r="J63" s="76" t="n">
        <f aca="false">(W63-IF(63-lfund_inst&lt;6,0,INDEX($W$6:$W$92,63-5-lfund_inst)))/lfund_inst*(1-lfund_default)</f>
        <v>1.489051026</v>
      </c>
      <c r="K63" s="76" t="n">
        <f aca="false">G63*lfund_grant_fee*U63/1000000</f>
        <v>0</v>
      </c>
      <c r="L63" s="76" t="n">
        <f aca="false">IF(AND(lfund_on=1,$A63&gt;=1860),lfund_home*lfund_lease_1932*($A63-1859)/(1932-1859)*lfund_rent*lfund_fee,0)/1000000</f>
        <v>0.00669041095890411</v>
      </c>
      <c r="M63" s="76" t="n">
        <f aca="false">J63+K63+L63-F63-H63</f>
        <v>1.45339715195891</v>
      </c>
      <c r="N63" s="76" t="n">
        <f aca="false">IF(lfund_on=1,IF(AND($A63&gt;=1852,$A63&lt;=1870),lfund_police,IF(AND($A63&gt;1870,$A63&lt;=1890),lfund_police_late,0))*lfund_police_cost*Economy!H63/INDEX(Economy!$H$6:$H$92,1877-1845),0)/1000000</f>
        <v>0</v>
      </c>
      <c r="O63" s="76" t="n">
        <f aca="false">M63-N63</f>
        <v>1.45339715195891</v>
      </c>
      <c r="P63" s="76" t="n">
        <f aca="false">P62*(1+lfund_rate)+M63</f>
        <v>157.645059859768</v>
      </c>
      <c r="Q63" s="76" t="n">
        <f aca="false">Q62*(1+lfund_rate)+O63</f>
        <v>88.9522079199615</v>
      </c>
      <c r="R63" s="77" t="n">
        <f aca="false">People!T63*assist_cost*Economy!H63/1000000</f>
        <v>2.020248</v>
      </c>
      <c r="S63" s="78" t="n">
        <f aca="false">IF(SUM(R$6:R63)&gt;0,SUM(M$6:M63)/SUM(R$6:R63),0)</f>
        <v>0.686985257231637</v>
      </c>
      <c r="T63" s="79" t="n">
        <v>30.75</v>
      </c>
      <c r="U63" s="80" t="n">
        <f aca="false">MAX(lfund_floor,lfund_share*T63)</f>
        <v>6.15</v>
      </c>
      <c r="V63" s="76" t="n">
        <f aca="false">(I63-I62)*U63/1000000</f>
        <v>0</v>
      </c>
      <c r="W63" s="76" t="n">
        <f aca="false">W62+V63</f>
        <v>84.170002298</v>
      </c>
    </row>
    <row r="64" customFormat="false" ht="15" hidden="false" customHeight="true" outlineLevel="0" collapsed="false">
      <c r="A64" s="4" t="n">
        <v>1904</v>
      </c>
      <c r="B64" s="47" t="n">
        <v>28466064</v>
      </c>
      <c r="C64" s="75" t="n">
        <f aca="false">MAX(0,B64*lfund_farm_scale-lfund_grants)</f>
        <v>19666064</v>
      </c>
      <c r="D64" s="75" t="n">
        <f aca="false">IF(AND(lfund_on=1,$A64&gt;=lfund_start),MIN(lfund_area-lfund_home-lfund_grants,MAX(D63,INDEX($C$6:$C$92,MIN(87,59+lfund_lead)))),0)</f>
        <v>20028151</v>
      </c>
      <c r="E64" s="75" t="n">
        <f aca="false">D64-D63</f>
        <v>0</v>
      </c>
      <c r="F64" s="76" t="n">
        <f aca="false">lfund_price/lfund_term*(D64-IF(64-lfund_term&lt;6,0,INDEX($D$6:$D$92,64-5-lfund_term)))/1000000</f>
        <v>0.039708415</v>
      </c>
      <c r="G64" s="75" t="n">
        <f aca="false">IF(AND(lfund_on=1,$A64&gt;=lfund_start+1,$A64&lt;lfund_start+1+lfund_grant_years),lfund_grants/lfund_grant_years,0)</f>
        <v>0</v>
      </c>
      <c r="H64" s="76" t="n">
        <f aca="false">(E64+G64)*lfund_survey/1000000</f>
        <v>0</v>
      </c>
      <c r="I64" s="75" t="n">
        <f aca="false">IF(AND(lfund_on=1,$A64&gt;=lfund_start),MIN(D64,MAX(I63,C64)),0)</f>
        <v>20028151</v>
      </c>
      <c r="J64" s="76" t="n">
        <f aca="false">(W64-IF(64-lfund_inst&lt;6,0,INDEX($W$6:$W$92,64-5-lfund_inst)))/lfund_inst*(1-lfund_default)</f>
        <v>0.745108156800001</v>
      </c>
      <c r="K64" s="76" t="n">
        <f aca="false">G64*lfund_grant_fee*U64/1000000</f>
        <v>0</v>
      </c>
      <c r="L64" s="76" t="n">
        <f aca="false">IF(AND(lfund_on=1,$A64&gt;=1860),lfund_home*lfund_lease_1932*($A64-1859)/(1932-1859)*lfund_rent*lfund_fee,0)/1000000</f>
        <v>0.00684246575342466</v>
      </c>
      <c r="M64" s="76" t="n">
        <f aca="false">J64+K64+L64-F64-H64</f>
        <v>0.712242207553425</v>
      </c>
      <c r="N64" s="76" t="n">
        <f aca="false">IF(lfund_on=1,IF(AND($A64&gt;=1852,$A64&lt;=1870),lfund_police,IF(AND($A64&gt;1870,$A64&lt;=1890),lfund_police_late,0))*lfund_police_cost*Economy!H64/INDEX(Economy!$H$6:$H$92,1877-1845),0)/1000000</f>
        <v>0</v>
      </c>
      <c r="O64" s="76" t="n">
        <f aca="false">M64-N64</f>
        <v>0.712242207553425</v>
      </c>
      <c r="P64" s="76" t="n">
        <f aca="false">P63*(1+lfund_rate)+M64</f>
        <v>166.23955506031</v>
      </c>
      <c r="Q64" s="76" t="n">
        <f aca="false">Q63*(1+lfund_rate)+O64</f>
        <v>94.112060523513</v>
      </c>
      <c r="R64" s="77" t="n">
        <f aca="false">People!T64*assist_cost*Economy!H64/1000000</f>
        <v>2.050704</v>
      </c>
      <c r="S64" s="78" t="n">
        <f aca="false">IF(SUM(R$6:R64)&gt;0,SUM(M$6:M64)/SUM(R$6:R64),0)</f>
        <v>0.680562231585185</v>
      </c>
      <c r="T64" s="79" t="n">
        <v>33.14</v>
      </c>
      <c r="U64" s="80" t="n">
        <f aca="false">MAX(lfund_floor,lfund_share*T64)</f>
        <v>6.628</v>
      </c>
      <c r="V64" s="76" t="n">
        <f aca="false">(I64-I63)*U64/1000000</f>
        <v>0</v>
      </c>
      <c r="W64" s="76" t="n">
        <f aca="false">W63+V64</f>
        <v>84.170002298</v>
      </c>
    </row>
    <row r="65" customFormat="false" ht="15" hidden="false" customHeight="true" outlineLevel="0" collapsed="false">
      <c r="A65" s="4" t="n">
        <v>1905</v>
      </c>
      <c r="B65" s="47" t="n">
        <v>28376256</v>
      </c>
      <c r="C65" s="75" t="n">
        <f aca="false">MAX(0,B65*lfund_farm_scale-lfund_grants)</f>
        <v>19576256</v>
      </c>
      <c r="D65" s="75" t="n">
        <f aca="false">IF(AND(lfund_on=1,$A65&gt;=lfund_start),MIN(lfund_area-lfund_home-lfund_grants,MAX(D64,INDEX($C$6:$C$92,MIN(87,60+lfund_lead)))),0)</f>
        <v>20028151</v>
      </c>
      <c r="E65" s="75" t="n">
        <f aca="false">D65-D64</f>
        <v>0</v>
      </c>
      <c r="F65" s="76" t="n">
        <f aca="false">lfund_price/lfund_term*(D65-IF(65-lfund_term&lt;6,0,INDEX($D$6:$D$92,65-5-lfund_term)))/1000000</f>
        <v>0.03700429</v>
      </c>
      <c r="G65" s="75" t="n">
        <f aca="false">IF(AND(lfund_on=1,$A65&gt;=lfund_start+1,$A65&lt;lfund_start+1+lfund_grant_years),lfund_grants/lfund_grant_years,0)</f>
        <v>0</v>
      </c>
      <c r="H65" s="76" t="n">
        <f aca="false">(E65+G65)*lfund_survey/1000000</f>
        <v>0</v>
      </c>
      <c r="I65" s="75" t="n">
        <f aca="false">IF(AND(lfund_on=1,$A65&gt;=lfund_start),MIN(D65,MAX(I64,C65)),0)</f>
        <v>20028151</v>
      </c>
      <c r="J65" s="76" t="n">
        <f aca="false">(W65-IF(65-lfund_inst&lt;6,0,INDEX($W$6:$W$92,65-5-lfund_inst)))/lfund_inst*(1-lfund_default)</f>
        <v>0</v>
      </c>
      <c r="K65" s="76" t="n">
        <f aca="false">G65*lfund_grant_fee*U65/1000000</f>
        <v>0</v>
      </c>
      <c r="L65" s="76" t="n">
        <f aca="false">IF(AND(lfund_on=1,$A65&gt;=1860),lfund_home*lfund_lease_1932*($A65-1859)/(1932-1859)*lfund_rent*lfund_fee,0)/1000000</f>
        <v>0.00699452054794521</v>
      </c>
      <c r="M65" s="76" t="n">
        <f aca="false">J65+K65+L65-F65-H65</f>
        <v>-0.0300097694520548</v>
      </c>
      <c r="N65" s="76" t="n">
        <f aca="false">IF(lfund_on=1,IF(AND($A65&gt;=1852,$A65&lt;=1870),lfund_police,IF(AND($A65&gt;1870,$A65&lt;=1890),lfund_police_late,0))*lfund_police_cost*Economy!H65/INDEX(Economy!$H$6:$H$92,1877-1845),0)/1000000</f>
        <v>0</v>
      </c>
      <c r="O65" s="76" t="n">
        <f aca="false">M65-N65</f>
        <v>-0.0300097694520548</v>
      </c>
      <c r="P65" s="76" t="n">
        <f aca="false">P64*(1+lfund_rate)+M65</f>
        <v>174.521523043874</v>
      </c>
      <c r="Q65" s="76" t="n">
        <f aca="false">Q64*(1+lfund_rate)+O65</f>
        <v>98.7876537802366</v>
      </c>
      <c r="R65" s="77" t="n">
        <f aca="false">People!T65*assist_cost*Economy!H65/1000000</f>
        <v>2.08116</v>
      </c>
      <c r="S65" s="78" t="n">
        <f aca="false">IF(SUM(R$6:R65)&gt;0,SUM(M$6:M65)/SUM(R$6:R65),0)</f>
        <v>0.66747631892551</v>
      </c>
      <c r="T65" s="79" t="n">
        <v>35.71</v>
      </c>
      <c r="U65" s="80" t="n">
        <f aca="false">MAX(lfund_floor,lfund_share*T65)</f>
        <v>7.142</v>
      </c>
      <c r="V65" s="76" t="n">
        <f aca="false">(I65-I64)*U65/1000000</f>
        <v>0</v>
      </c>
      <c r="W65" s="76" t="n">
        <f aca="false">W64+V65</f>
        <v>84.170002298</v>
      </c>
    </row>
    <row r="66" customFormat="false" ht="15" hidden="false" customHeight="true" outlineLevel="0" collapsed="false">
      <c r="A66" s="4" t="n">
        <v>1906</v>
      </c>
      <c r="B66" s="47" t="n">
        <v>28286730</v>
      </c>
      <c r="C66" s="75" t="n">
        <f aca="false">MAX(0,B66*lfund_farm_scale-lfund_grants)</f>
        <v>19486730</v>
      </c>
      <c r="D66" s="75" t="n">
        <f aca="false">IF(AND(lfund_on=1,$A66&gt;=lfund_start),MIN(lfund_area-lfund_home-lfund_grants,MAX(D65,INDEX($C$6:$C$92,MIN(87,61+lfund_lead)))),0)</f>
        <v>20028151</v>
      </c>
      <c r="E66" s="75" t="n">
        <f aca="false">D66-D65</f>
        <v>0</v>
      </c>
      <c r="F66" s="76" t="n">
        <f aca="false">lfund_price/lfund_term*(D66-IF(66-lfund_term&lt;6,0,INDEX($D$6:$D$92,66-5-lfund_term)))/1000000</f>
        <v>0.03377807</v>
      </c>
      <c r="G66" s="75" t="n">
        <f aca="false">IF(AND(lfund_on=1,$A66&gt;=lfund_start+1,$A66&lt;lfund_start+1+lfund_grant_years),lfund_grants/lfund_grant_years,0)</f>
        <v>0</v>
      </c>
      <c r="H66" s="76" t="n">
        <f aca="false">(E66+G66)*lfund_survey/1000000</f>
        <v>0</v>
      </c>
      <c r="I66" s="75" t="n">
        <f aca="false">IF(AND(lfund_on=1,$A66&gt;=lfund_start),MIN(D66,MAX(I65,C66)),0)</f>
        <v>20028151</v>
      </c>
      <c r="J66" s="76" t="n">
        <f aca="false">(W66-IF(66-lfund_inst&lt;6,0,INDEX($W$6:$W$92,66-5-lfund_inst)))/lfund_inst*(1-lfund_default)</f>
        <v>0</v>
      </c>
      <c r="K66" s="76" t="n">
        <f aca="false">G66*lfund_grant_fee*U66/1000000</f>
        <v>0</v>
      </c>
      <c r="L66" s="76" t="n">
        <f aca="false">IF(AND(lfund_on=1,$A66&gt;=1860),lfund_home*lfund_lease_1932*($A66-1859)/(1932-1859)*lfund_rent*lfund_fee,0)/1000000</f>
        <v>0.00714657534246575</v>
      </c>
      <c r="M66" s="76" t="n">
        <f aca="false">J66+K66+L66-F66-H66</f>
        <v>-0.0266314946575342</v>
      </c>
      <c r="N66" s="76" t="n">
        <f aca="false">IF(lfund_on=1,IF(AND($A66&gt;=1852,$A66&lt;=1870),lfund_police,IF(AND($A66&gt;1870,$A66&lt;=1890),lfund_police_late,0))*lfund_police_cost*Economy!H66/INDEX(Economy!$H$6:$H$92,1877-1845),0)/1000000</f>
        <v>0</v>
      </c>
      <c r="O66" s="76" t="n">
        <f aca="false">M66-N66</f>
        <v>-0.0266314946575342</v>
      </c>
      <c r="P66" s="76" t="n">
        <f aca="false">P65*(1+lfund_rate)+M66</f>
        <v>183.22096770141</v>
      </c>
      <c r="Q66" s="76" t="n">
        <f aca="false">Q65*(1+lfund_rate)+O66</f>
        <v>103.700404974591</v>
      </c>
      <c r="R66" s="77" t="n">
        <f aca="false">People!T66*assist_cost*Economy!H66/1000000</f>
        <v>2.142072</v>
      </c>
      <c r="S66" s="78" t="n">
        <f aca="false">IF(SUM(R$6:R66)&gt;0,SUM(M$6:M66)/SUM(R$6:R66),0)</f>
        <v>0.654550037775368</v>
      </c>
      <c r="T66" s="79" t="n">
        <v>38.49</v>
      </c>
      <c r="U66" s="80" t="n">
        <f aca="false">MAX(lfund_floor,lfund_share*T66)</f>
        <v>7.698</v>
      </c>
      <c r="V66" s="76" t="n">
        <f aca="false">(I66-I65)*U66/1000000</f>
        <v>0</v>
      </c>
      <c r="W66" s="76" t="n">
        <f aca="false">W65+V66</f>
        <v>84.170002298</v>
      </c>
    </row>
    <row r="67" customFormat="false" ht="15" hidden="false" customHeight="true" outlineLevel="0" collapsed="false">
      <c r="A67" s="4" t="n">
        <v>1907</v>
      </c>
      <c r="B67" s="47" t="n">
        <v>28197487</v>
      </c>
      <c r="C67" s="75" t="n">
        <f aca="false">MAX(0,B67*lfund_farm_scale-lfund_grants)</f>
        <v>19397487</v>
      </c>
      <c r="D67" s="75" t="n">
        <f aca="false">IF(AND(lfund_on=1,$A67&gt;=lfund_start),MIN(lfund_area-lfund_home-lfund_grants,MAX(D66,INDEX($C$6:$C$92,MIN(87,62+lfund_lead)))),0)</f>
        <v>20028151</v>
      </c>
      <c r="E67" s="75" t="n">
        <f aca="false">D67-D66</f>
        <v>0</v>
      </c>
      <c r="F67" s="76" t="n">
        <f aca="false">lfund_price/lfund_term*(D67-IF(67-lfund_term&lt;6,0,INDEX($D$6:$D$92,67-5-lfund_term)))/1000000</f>
        <v>0.030454695</v>
      </c>
      <c r="G67" s="75" t="n">
        <f aca="false">IF(AND(lfund_on=1,$A67&gt;=lfund_start+1,$A67&lt;lfund_start+1+lfund_grant_years),lfund_grants/lfund_grant_years,0)</f>
        <v>0</v>
      </c>
      <c r="H67" s="76" t="n">
        <f aca="false">(E67+G67)*lfund_survey/1000000</f>
        <v>0</v>
      </c>
      <c r="I67" s="75" t="n">
        <f aca="false">IF(AND(lfund_on=1,$A67&gt;=lfund_start),MIN(D67,MAX(I66,C67)),0)</f>
        <v>20028151</v>
      </c>
      <c r="J67" s="76" t="n">
        <f aca="false">(W67-IF(67-lfund_inst&lt;6,0,INDEX($W$6:$W$92,67-5-lfund_inst)))/lfund_inst*(1-lfund_default)</f>
        <v>0</v>
      </c>
      <c r="K67" s="76" t="n">
        <f aca="false">G67*lfund_grant_fee*U67/1000000</f>
        <v>0</v>
      </c>
      <c r="L67" s="76" t="n">
        <f aca="false">IF(AND(lfund_on=1,$A67&gt;=1860),lfund_home*lfund_lease_1932*($A67-1859)/(1932-1859)*lfund_rent*lfund_fee,0)/1000000</f>
        <v>0.0072986301369863</v>
      </c>
      <c r="M67" s="76" t="n">
        <f aca="false">J67+K67+L67-F67-H67</f>
        <v>-0.0231560648630137</v>
      </c>
      <c r="N67" s="76" t="n">
        <f aca="false">IF(lfund_on=1,IF(AND($A67&gt;=1852,$A67&lt;=1870),lfund_police,IF(AND($A67&gt;1870,$A67&lt;=1890),lfund_police_late,0))*lfund_police_cost*Economy!H67/INDEX(Economy!$H$6:$H$92,1877-1845),0)/1000000</f>
        <v>0</v>
      </c>
      <c r="O67" s="76" t="n">
        <f aca="false">M67-N67</f>
        <v>-0.0231560648630137</v>
      </c>
      <c r="P67" s="76" t="n">
        <f aca="false">P66*(1+lfund_rate)+M67</f>
        <v>192.358860021617</v>
      </c>
      <c r="Q67" s="76" t="n">
        <f aca="false">Q66*(1+lfund_rate)+O67</f>
        <v>108.862269158457</v>
      </c>
      <c r="R67" s="77" t="n">
        <f aca="false">People!T67*assist_cost*Economy!H67/1000000</f>
        <v>2.374848</v>
      </c>
      <c r="S67" s="78" t="n">
        <f aca="false">IF(SUM(R$6:R67)&gt;0,SUM(M$6:M67)/SUM(R$6:R67),0)</f>
        <v>0.640837102191535</v>
      </c>
      <c r="T67" s="79" t="n">
        <v>41.48</v>
      </c>
      <c r="U67" s="80" t="n">
        <f aca="false">MAX(lfund_floor,lfund_share*T67)</f>
        <v>8.296</v>
      </c>
      <c r="V67" s="76" t="n">
        <f aca="false">(I67-I66)*U67/1000000</f>
        <v>0</v>
      </c>
      <c r="W67" s="76" t="n">
        <f aca="false">W66+V67</f>
        <v>84.170002298</v>
      </c>
    </row>
    <row r="68" customFormat="false" ht="15" hidden="false" customHeight="true" outlineLevel="0" collapsed="false">
      <c r="A68" s="4" t="n">
        <v>1908</v>
      </c>
      <c r="B68" s="47" t="n">
        <v>28108526</v>
      </c>
      <c r="C68" s="75" t="n">
        <f aca="false">MAX(0,B68*lfund_farm_scale-lfund_grants)</f>
        <v>19308526</v>
      </c>
      <c r="D68" s="75" t="n">
        <f aca="false">IF(AND(lfund_on=1,$A68&gt;=lfund_start),MIN(lfund_area-lfund_home-lfund_grants,MAX(D67,INDEX($C$6:$C$92,MIN(87,63+lfund_lead)))),0)</f>
        <v>20028151</v>
      </c>
      <c r="E68" s="75" t="n">
        <f aca="false">D68-D67</f>
        <v>0</v>
      </c>
      <c r="F68" s="76" t="n">
        <f aca="false">lfund_price/lfund_term*(D68-IF(68-lfund_term&lt;6,0,INDEX($D$6:$D$92,68-5-lfund_term)))/1000000</f>
        <v>0.027031245</v>
      </c>
      <c r="G68" s="75" t="n">
        <f aca="false">IF(AND(lfund_on=1,$A68&gt;=lfund_start+1,$A68&lt;lfund_start+1+lfund_grant_years),lfund_grants/lfund_grant_years,0)</f>
        <v>0</v>
      </c>
      <c r="H68" s="76" t="n">
        <f aca="false">(E68+G68)*lfund_survey/1000000</f>
        <v>0</v>
      </c>
      <c r="I68" s="75" t="n">
        <f aca="false">IF(AND(lfund_on=1,$A68&gt;=lfund_start),MIN(D68,MAX(I67,C68)),0)</f>
        <v>20028151</v>
      </c>
      <c r="J68" s="76" t="n">
        <f aca="false">(W68-IF(68-lfund_inst&lt;6,0,INDEX($W$6:$W$92,68-5-lfund_inst)))/lfund_inst*(1-lfund_default)</f>
        <v>0</v>
      </c>
      <c r="K68" s="76" t="n">
        <f aca="false">G68*lfund_grant_fee*U68/1000000</f>
        <v>0</v>
      </c>
      <c r="L68" s="76" t="n">
        <f aca="false">IF(AND(lfund_on=1,$A68&gt;=1860),lfund_home*lfund_lease_1932*($A68-1859)/(1932-1859)*lfund_rent*lfund_fee,0)/1000000</f>
        <v>0.00745068493150685</v>
      </c>
      <c r="M68" s="76" t="n">
        <f aca="false">J68+K68+L68-F68-H68</f>
        <v>-0.0195805600684932</v>
      </c>
      <c r="N68" s="76" t="n">
        <f aca="false">IF(lfund_on=1,IF(AND($A68&gt;=1852,$A68&lt;=1870),lfund_police,IF(AND($A68&gt;1870,$A68&lt;=1890),lfund_police_late,0))*lfund_police_cost*Economy!H68/INDEX(Economy!$H$6:$H$92,1877-1845),0)/1000000</f>
        <v>0</v>
      </c>
      <c r="O68" s="76" t="n">
        <f aca="false">M68-N68</f>
        <v>-0.0195805600684932</v>
      </c>
      <c r="P68" s="76" t="n">
        <f aca="false">P67*(1+lfund_rate)+M68</f>
        <v>201.95722246263</v>
      </c>
      <c r="Q68" s="76" t="n">
        <f aca="false">Q67*(1+lfund_rate)+O68</f>
        <v>114.285802056312</v>
      </c>
      <c r="R68" s="77" t="n">
        <f aca="false">People!T68*assist_cost*Economy!H68/1000000</f>
        <v>2.440512</v>
      </c>
      <c r="S68" s="78" t="n">
        <f aca="false">IF(SUM(R$6:R68)&gt;0,SUM(M$6:M68)/SUM(R$6:R68),0)</f>
        <v>0.627358477694801</v>
      </c>
      <c r="T68" s="79" t="n">
        <v>44.71</v>
      </c>
      <c r="U68" s="80" t="n">
        <f aca="false">MAX(lfund_floor,lfund_share*T68)</f>
        <v>8.942</v>
      </c>
      <c r="V68" s="76" t="n">
        <f aca="false">(I68-I67)*U68/1000000</f>
        <v>0</v>
      </c>
      <c r="W68" s="76" t="n">
        <f aca="false">W67+V68</f>
        <v>84.170002298</v>
      </c>
    </row>
    <row r="69" customFormat="false" ht="15" hidden="false" customHeight="true" outlineLevel="0" collapsed="false">
      <c r="A69" s="4" t="n">
        <v>1909</v>
      </c>
      <c r="B69" s="47" t="n">
        <v>28019845</v>
      </c>
      <c r="C69" s="75" t="n">
        <f aca="false">MAX(0,B69*lfund_farm_scale-lfund_grants)</f>
        <v>19219845</v>
      </c>
      <c r="D69" s="75" t="n">
        <f aca="false">IF(AND(lfund_on=1,$A69&gt;=lfund_start),MIN(lfund_area-lfund_home-lfund_grants,MAX(D68,INDEX($C$6:$C$92,MIN(87,64+lfund_lead)))),0)</f>
        <v>20028151</v>
      </c>
      <c r="E69" s="75" t="n">
        <f aca="false">D69-D68</f>
        <v>0</v>
      </c>
      <c r="F69" s="76" t="n">
        <f aca="false">lfund_price/lfund_term*(D69-IF(69-lfund_term&lt;6,0,INDEX($D$6:$D$92,69-5-lfund_term)))/1000000</f>
        <v>0.023504705</v>
      </c>
      <c r="G69" s="75" t="n">
        <f aca="false">IF(AND(lfund_on=1,$A69&gt;=lfund_start+1,$A69&lt;lfund_start+1+lfund_grant_years),lfund_grants/lfund_grant_years,0)</f>
        <v>0</v>
      </c>
      <c r="H69" s="76" t="n">
        <f aca="false">(E69+G69)*lfund_survey/1000000</f>
        <v>0</v>
      </c>
      <c r="I69" s="75" t="n">
        <f aca="false">IF(AND(lfund_on=1,$A69&gt;=lfund_start),MIN(D69,MAX(I68,C69)),0)</f>
        <v>20028151</v>
      </c>
      <c r="J69" s="76" t="n">
        <f aca="false">(W69-IF(69-lfund_inst&lt;6,0,INDEX($W$6:$W$92,69-5-lfund_inst)))/lfund_inst*(1-lfund_default)</f>
        <v>0</v>
      </c>
      <c r="K69" s="76" t="n">
        <f aca="false">G69*lfund_grant_fee*U69/1000000</f>
        <v>0</v>
      </c>
      <c r="L69" s="76" t="n">
        <f aca="false">IF(AND(lfund_on=1,$A69&gt;=1860),lfund_home*lfund_lease_1932*($A69-1859)/(1932-1859)*lfund_rent*lfund_fee,0)/1000000</f>
        <v>0.0076027397260274</v>
      </c>
      <c r="M69" s="76" t="n">
        <f aca="false">J69+K69+L69-F69-H69</f>
        <v>-0.0159019652739726</v>
      </c>
      <c r="N69" s="76" t="n">
        <f aca="false">IF(lfund_on=1,IF(AND($A69&gt;=1852,$A69&lt;=1870),lfund_police,IF(AND($A69&gt;1870,$A69&lt;=1890),lfund_police_late,0))*lfund_police_cost*Economy!H69/INDEX(Economy!$H$6:$H$92,1877-1845),0)/1000000</f>
        <v>0</v>
      </c>
      <c r="O69" s="76" t="n">
        <f aca="false">M69-N69</f>
        <v>-0.0159019652739726</v>
      </c>
      <c r="P69" s="76" t="n">
        <f aca="false">P68*(1+lfund_rate)+M69</f>
        <v>212.039181620487</v>
      </c>
      <c r="Q69" s="76" t="n">
        <f aca="false">Q68*(1+lfund_rate)+O69</f>
        <v>119.984190193854</v>
      </c>
      <c r="R69" s="77" t="n">
        <f aca="false">People!T69*assist_cost*Economy!H69/1000000</f>
        <v>2.506176</v>
      </c>
      <c r="S69" s="78" t="n">
        <f aca="false">IF(SUM(R$6:R69)&gt;0,SUM(M$6:M69)/SUM(R$6:R69),0)</f>
        <v>0.614122854461409</v>
      </c>
      <c r="T69" s="79" t="n">
        <v>48.18</v>
      </c>
      <c r="U69" s="80" t="n">
        <f aca="false">MAX(lfund_floor,lfund_share*T69)</f>
        <v>9.636</v>
      </c>
      <c r="V69" s="76" t="n">
        <f aca="false">(I69-I68)*U69/1000000</f>
        <v>0</v>
      </c>
      <c r="W69" s="76" t="n">
        <f aca="false">W68+V69</f>
        <v>84.170002298</v>
      </c>
    </row>
    <row r="70" customFormat="false" ht="15" hidden="false" customHeight="true" outlineLevel="0" collapsed="false">
      <c r="A70" s="4" t="n">
        <v>1910</v>
      </c>
      <c r="B70" s="47" t="n">
        <v>27931444</v>
      </c>
      <c r="C70" s="75" t="n">
        <f aca="false">MAX(0,B70*lfund_farm_scale-lfund_grants)</f>
        <v>19131444</v>
      </c>
      <c r="D70" s="75" t="n">
        <f aca="false">IF(AND(lfund_on=1,$A70&gt;=lfund_start),MIN(lfund_area-lfund_home-lfund_grants,MAX(D69,INDEX($C$6:$C$92,MIN(87,65+lfund_lead)))),0)</f>
        <v>20028151</v>
      </c>
      <c r="E70" s="75" t="n">
        <f aca="false">D70-D69</f>
        <v>0</v>
      </c>
      <c r="F70" s="76" t="n">
        <f aca="false">lfund_price/lfund_term*(D70-IF(70-lfund_term&lt;6,0,INDEX($D$6:$D$92,70-5-lfund_term)))/1000000</f>
        <v>0.01987197</v>
      </c>
      <c r="G70" s="75" t="n">
        <f aca="false">IF(AND(lfund_on=1,$A70&gt;=lfund_start+1,$A70&lt;lfund_start+1+lfund_grant_years),lfund_grants/lfund_grant_years,0)</f>
        <v>0</v>
      </c>
      <c r="H70" s="76" t="n">
        <f aca="false">(E70+G70)*lfund_survey/1000000</f>
        <v>0</v>
      </c>
      <c r="I70" s="75" t="n">
        <f aca="false">IF(AND(lfund_on=1,$A70&gt;=lfund_start),MIN(D70,MAX(I69,C70)),0)</f>
        <v>20028151</v>
      </c>
      <c r="J70" s="76" t="n">
        <f aca="false">(W70-IF(70-lfund_inst&lt;6,0,INDEX($W$6:$W$92,70-5-lfund_inst)))/lfund_inst*(1-lfund_default)</f>
        <v>0</v>
      </c>
      <c r="K70" s="76" t="n">
        <f aca="false">G70*lfund_grant_fee*U70/1000000</f>
        <v>0</v>
      </c>
      <c r="L70" s="76" t="n">
        <f aca="false">IF(AND(lfund_on=1,$A70&gt;=1860),lfund_home*lfund_lease_1932*($A70-1859)/(1932-1859)*lfund_rent*lfund_fee,0)/1000000</f>
        <v>0.00775479452054795</v>
      </c>
      <c r="M70" s="76" t="n">
        <f aca="false">J70+K70+L70-F70-H70</f>
        <v>-0.0121171754794521</v>
      </c>
      <c r="N70" s="76" t="n">
        <f aca="false">IF(lfund_on=1,IF(AND($A70&gt;=1852,$A70&lt;=1870),lfund_police,IF(AND($A70&gt;1870,$A70&lt;=1890),lfund_police_late,0))*lfund_police_cost*Economy!H70/INDEX(Economy!$H$6:$H$92,1877-1845),0)/1000000</f>
        <v>0</v>
      </c>
      <c r="O70" s="76" t="n">
        <f aca="false">M70-N70</f>
        <v>-0.0121171754794521</v>
      </c>
      <c r="P70" s="76" t="n">
        <f aca="false">P69*(1+lfund_rate)+M70</f>
        <v>222.629023526032</v>
      </c>
      <c r="Q70" s="76" t="n">
        <f aca="false">Q69*(1+lfund_rate)+O70</f>
        <v>125.971282528067</v>
      </c>
      <c r="R70" s="77" t="n">
        <f aca="false">People!T70*assist_cost*Economy!H70/1000000</f>
        <v>2.57184</v>
      </c>
      <c r="S70" s="78" t="n">
        <f aca="false">IF(SUM(R$6:R70)&gt;0,SUM(M$6:M70)/SUM(R$6:R70),0)</f>
        <v>0.601137465399536</v>
      </c>
      <c r="T70" s="79" t="n">
        <v>51.93</v>
      </c>
      <c r="U70" s="80" t="n">
        <f aca="false">MAX(lfund_floor,lfund_share*T70)</f>
        <v>10.386</v>
      </c>
      <c r="V70" s="76" t="n">
        <f aca="false">(I70-I69)*U70/1000000</f>
        <v>0</v>
      </c>
      <c r="W70" s="76" t="n">
        <f aca="false">W69+V70</f>
        <v>84.170002298</v>
      </c>
    </row>
    <row r="71" customFormat="false" ht="15" hidden="false" customHeight="true" outlineLevel="0" collapsed="false">
      <c r="A71" s="4" t="n">
        <v>1911</v>
      </c>
      <c r="B71" s="47" t="n">
        <v>28071656</v>
      </c>
      <c r="C71" s="75" t="n">
        <f aca="false">MAX(0,B71*lfund_farm_scale-lfund_grants)</f>
        <v>19271656</v>
      </c>
      <c r="D71" s="75" t="n">
        <f aca="false">IF(AND(lfund_on=1,$A71&gt;=lfund_start),MIN(lfund_area-lfund_home-lfund_grants,MAX(D70,INDEX($C$6:$C$92,MIN(87,66+lfund_lead)))),0)</f>
        <v>20028151</v>
      </c>
      <c r="E71" s="75" t="n">
        <f aca="false">D71-D70</f>
        <v>0</v>
      </c>
      <c r="F71" s="76" t="n">
        <f aca="false">lfund_price/lfund_term*(D71-IF(71-lfund_term&lt;6,0,INDEX($D$6:$D$92,71-5-lfund_term)))/1000000</f>
        <v>0.01612984</v>
      </c>
      <c r="G71" s="75" t="n">
        <f aca="false">IF(AND(lfund_on=1,$A71&gt;=lfund_start+1,$A71&lt;lfund_start+1+lfund_grant_years),lfund_grants/lfund_grant_years,0)</f>
        <v>0</v>
      </c>
      <c r="H71" s="76" t="n">
        <f aca="false">(E71+G71)*lfund_survey/1000000</f>
        <v>0</v>
      </c>
      <c r="I71" s="75" t="n">
        <f aca="false">IF(AND(lfund_on=1,$A71&gt;=lfund_start),MIN(D71,MAX(I70,C71)),0)</f>
        <v>20028151</v>
      </c>
      <c r="J71" s="76" t="n">
        <f aca="false">(W71-IF(71-lfund_inst&lt;6,0,INDEX($W$6:$W$92,71-5-lfund_inst)))/lfund_inst*(1-lfund_default)</f>
        <v>0</v>
      </c>
      <c r="K71" s="76" t="n">
        <f aca="false">G71*lfund_grant_fee*U71/1000000</f>
        <v>0</v>
      </c>
      <c r="L71" s="76" t="n">
        <f aca="false">IF(AND(lfund_on=1,$A71&gt;=1860),lfund_home*lfund_lease_1932*($A71-1859)/(1932-1859)*lfund_rent*lfund_fee,0)/1000000</f>
        <v>0.00790684931506849</v>
      </c>
      <c r="M71" s="76" t="n">
        <f aca="false">J71+K71+L71-F71-H71</f>
        <v>-0.00822299068493151</v>
      </c>
      <c r="N71" s="76" t="n">
        <f aca="false">IF(lfund_on=1,IF(AND($A71&gt;=1852,$A71&lt;=1870),lfund_police,IF(AND($A71&gt;1870,$A71&lt;=1890),lfund_police_late,0))*lfund_police_cost*Economy!H71/INDEX(Economy!$H$6:$H$92,1877-1845),0)/1000000</f>
        <v>0</v>
      </c>
      <c r="O71" s="76" t="n">
        <f aca="false">M71-N71</f>
        <v>-0.00822299068493151</v>
      </c>
      <c r="P71" s="76" t="n">
        <f aca="false">P70*(1+lfund_rate)+M71</f>
        <v>233.752251711649</v>
      </c>
      <c r="Q71" s="76" t="n">
        <f aca="false">Q70*(1+lfund_rate)+O71</f>
        <v>132.261623663785</v>
      </c>
      <c r="R71" s="77" t="n">
        <f aca="false">People!T71*assist_cost*Economy!H71/1000000</f>
        <v>2.62656</v>
      </c>
      <c r="S71" s="78" t="n">
        <f aca="false">IF(SUM(R$6:R71)&gt;0,SUM(M$6:M71)/SUM(R$6:R71),0)</f>
        <v>0.588459632670775</v>
      </c>
      <c r="T71" s="79" t="n">
        <v>55.7</v>
      </c>
      <c r="U71" s="80" t="n">
        <f aca="false">MAX(lfund_floor,lfund_share*T71)</f>
        <v>11.14</v>
      </c>
      <c r="V71" s="76" t="n">
        <f aca="false">(I71-I70)*U71/1000000</f>
        <v>0</v>
      </c>
      <c r="W71" s="76" t="n">
        <f aca="false">W70+V71</f>
        <v>84.170002298</v>
      </c>
    </row>
    <row r="72" customFormat="false" ht="15" hidden="false" customHeight="true" outlineLevel="0" collapsed="false">
      <c r="A72" s="4" t="n">
        <v>1912</v>
      </c>
      <c r="B72" s="47" t="n">
        <v>28212572</v>
      </c>
      <c r="C72" s="75" t="n">
        <f aca="false">MAX(0,B72*lfund_farm_scale-lfund_grants)</f>
        <v>19412572</v>
      </c>
      <c r="D72" s="75" t="n">
        <f aca="false">IF(AND(lfund_on=1,$A72&gt;=lfund_start),MIN(lfund_area-lfund_home-lfund_grants,MAX(D71,INDEX($C$6:$C$92,MIN(87,67+lfund_lead)))),0)</f>
        <v>20127835</v>
      </c>
      <c r="E72" s="75" t="n">
        <f aca="false">D72-D71</f>
        <v>99684</v>
      </c>
      <c r="F72" s="76" t="n">
        <f aca="false">lfund_price/lfund_term*(D72-IF(72-lfund_term&lt;6,0,INDEX($D$6:$D$92,72-5-lfund_term)))/1000000</f>
        <v>0.012773445</v>
      </c>
      <c r="G72" s="75" t="n">
        <f aca="false">IF(AND(lfund_on=1,$A72&gt;=lfund_start+1,$A72&lt;lfund_start+1+lfund_grant_years),lfund_grants/lfund_grant_years,0)</f>
        <v>0</v>
      </c>
      <c r="H72" s="76" t="n">
        <f aca="false">(E72+G72)*lfund_survey/1000000</f>
        <v>0.00299052</v>
      </c>
      <c r="I72" s="75" t="n">
        <f aca="false">IF(AND(lfund_on=1,$A72&gt;=lfund_start),MIN(D72,MAX(I71,C72)),0)</f>
        <v>20028151</v>
      </c>
      <c r="J72" s="76" t="n">
        <f aca="false">(W72-IF(72-lfund_inst&lt;6,0,INDEX($W$6:$W$92,72-5-lfund_inst)))/lfund_inst*(1-lfund_default)</f>
        <v>0</v>
      </c>
      <c r="K72" s="76" t="n">
        <f aca="false">G72*lfund_grant_fee*U72/1000000</f>
        <v>0</v>
      </c>
      <c r="L72" s="76" t="n">
        <f aca="false">IF(AND(lfund_on=1,$A72&gt;=1860),lfund_home*lfund_lease_1932*($A72-1859)/(1932-1859)*lfund_rent*lfund_fee,0)/1000000</f>
        <v>0.00805890410958904</v>
      </c>
      <c r="M72" s="76" t="n">
        <f aca="false">J72+K72+L72-F72-H72</f>
        <v>-0.00770506089041096</v>
      </c>
      <c r="N72" s="76" t="n">
        <f aca="false">IF(lfund_on=1,IF(AND($A72&gt;=1852,$A72&lt;=1870),lfund_police,IF(AND($A72&gt;1870,$A72&lt;=1890),lfund_police_late,0))*lfund_police_cost*Economy!H72/INDEX(Economy!$H$6:$H$92,1877-1845),0)/1000000</f>
        <v>0</v>
      </c>
      <c r="O72" s="76" t="n">
        <f aca="false">M72-N72</f>
        <v>-0.00770506089041096</v>
      </c>
      <c r="P72" s="76" t="n">
        <f aca="false">P71*(1+lfund_rate)+M72</f>
        <v>245.432159236341</v>
      </c>
      <c r="Q72" s="76" t="n">
        <f aca="false">Q71*(1+lfund_rate)+O72</f>
        <v>138.866999786084</v>
      </c>
      <c r="R72" s="77" t="n">
        <f aca="false">People!T72*assist_cost*Economy!H72/1000000</f>
        <v>2.68128</v>
      </c>
      <c r="S72" s="78" t="n">
        <f aca="false">IF(SUM(R$6:R72)&gt;0,SUM(M$6:M72)/SUM(R$6:R72),0)</f>
        <v>0.576060276348532</v>
      </c>
      <c r="T72" s="79" t="n">
        <v>59.74</v>
      </c>
      <c r="U72" s="80" t="n">
        <f aca="false">MAX(lfund_floor,lfund_share*T72)</f>
        <v>11.948</v>
      </c>
      <c r="V72" s="76" t="n">
        <f aca="false">(I72-I71)*U72/1000000</f>
        <v>0</v>
      </c>
      <c r="W72" s="76" t="n">
        <f aca="false">W71+V72</f>
        <v>84.170002298</v>
      </c>
    </row>
    <row r="73" customFormat="false" ht="15" hidden="false" customHeight="true" outlineLevel="0" collapsed="false">
      <c r="A73" s="4" t="n">
        <v>1913</v>
      </c>
      <c r="B73" s="47" t="n">
        <v>28354196</v>
      </c>
      <c r="C73" s="75" t="n">
        <f aca="false">MAX(0,B73*lfund_farm_scale-lfund_grants)</f>
        <v>19554196</v>
      </c>
      <c r="D73" s="75" t="n">
        <f aca="false">IF(AND(lfund_on=1,$A73&gt;=lfund_start),MIN(lfund_area-lfund_home-lfund_grants,MAX(D72,INDEX($C$6:$C$92,MIN(87,68+lfund_lead)))),0)</f>
        <v>20273049</v>
      </c>
      <c r="E73" s="75" t="n">
        <f aca="false">D73-D72</f>
        <v>145214</v>
      </c>
      <c r="F73" s="76" t="n">
        <f aca="false">lfund_price/lfund_term*(D73-IF(73-lfund_term&lt;6,0,INDEX($D$6:$D$92,73-5-lfund_term)))/1000000</f>
        <v>0.009528615</v>
      </c>
      <c r="G73" s="75" t="n">
        <f aca="false">IF(AND(lfund_on=1,$A73&gt;=lfund_start+1,$A73&lt;lfund_start+1+lfund_grant_years),lfund_grants/lfund_grant_years,0)</f>
        <v>0</v>
      </c>
      <c r="H73" s="76" t="n">
        <f aca="false">(E73+G73)*lfund_survey/1000000</f>
        <v>0.00435642</v>
      </c>
      <c r="I73" s="75" t="n">
        <f aca="false">IF(AND(lfund_on=1,$A73&gt;=lfund_start),MIN(D73,MAX(I72,C73)),0)</f>
        <v>20028151</v>
      </c>
      <c r="J73" s="76" t="n">
        <f aca="false">(W73-IF(73-lfund_inst&lt;6,0,INDEX($W$6:$W$92,73-5-lfund_inst)))/lfund_inst*(1-lfund_default)</f>
        <v>0</v>
      </c>
      <c r="K73" s="76" t="n">
        <f aca="false">G73*lfund_grant_fee*U73/1000000</f>
        <v>0</v>
      </c>
      <c r="L73" s="76" t="n">
        <f aca="false">IF(AND(lfund_on=1,$A73&gt;=1860),lfund_home*lfund_lease_1932*($A73-1859)/(1932-1859)*lfund_rent*lfund_fee,0)/1000000</f>
        <v>0.00821095890410959</v>
      </c>
      <c r="M73" s="76" t="n">
        <f aca="false">J73+K73+L73-F73-H73</f>
        <v>-0.00567407609589041</v>
      </c>
      <c r="N73" s="76" t="n">
        <f aca="false">IF(lfund_on=1,IF(AND($A73&gt;=1852,$A73&lt;=1870),lfund_police,IF(AND($A73&gt;1870,$A73&lt;=1890),lfund_police_late,0))*lfund_police_cost*Economy!H73/INDEX(Economy!$H$6:$H$92,1877-1845),0)/1000000</f>
        <v>0</v>
      </c>
      <c r="O73" s="76" t="n">
        <f aca="false">M73-N73</f>
        <v>-0.00567407609589041</v>
      </c>
      <c r="P73" s="76" t="n">
        <f aca="false">P72*(1+lfund_rate)+M73</f>
        <v>257.698093122062</v>
      </c>
      <c r="Q73" s="76" t="n">
        <f aca="false">Q72*(1+lfund_rate)+O73</f>
        <v>145.804675699292</v>
      </c>
      <c r="R73" s="77" t="n">
        <f aca="false">People!T73*assist_cost*Economy!H73/1000000</f>
        <v>2.736</v>
      </c>
      <c r="S73" s="78" t="n">
        <f aca="false">IF(SUM(R$6:R73)&gt;0,SUM(M$6:M73)/SUM(R$6:R73),0)</f>
        <v>0.563949415068639</v>
      </c>
      <c r="T73" s="79" t="n">
        <v>64.08</v>
      </c>
      <c r="U73" s="80" t="n">
        <f aca="false">MAX(lfund_floor,lfund_share*T73)</f>
        <v>12.816</v>
      </c>
      <c r="V73" s="76" t="n">
        <f aca="false">(I73-I72)*U73/1000000</f>
        <v>0</v>
      </c>
      <c r="W73" s="76" t="n">
        <f aca="false">W72+V73</f>
        <v>84.170002298</v>
      </c>
    </row>
    <row r="74" customFormat="false" ht="15" hidden="false" customHeight="true" outlineLevel="0" collapsed="false">
      <c r="A74" s="4" t="n">
        <v>1914</v>
      </c>
      <c r="B74" s="47" t="n">
        <v>28496530</v>
      </c>
      <c r="C74" s="75" t="n">
        <f aca="false">MAX(0,B74*lfund_farm_scale-lfund_grants)</f>
        <v>19696530</v>
      </c>
      <c r="D74" s="75" t="n">
        <f aca="false">IF(AND(lfund_on=1,$A74&gt;=lfund_start),MIN(lfund_area-lfund_home-lfund_grants,MAX(D73,INDEX($C$6:$C$92,MIN(87,69+lfund_lead)))),0)</f>
        <v>20418991</v>
      </c>
      <c r="E74" s="75" t="n">
        <f aca="false">D74-D73</f>
        <v>145942</v>
      </c>
      <c r="F74" s="76" t="n">
        <f aca="false">lfund_price/lfund_term*(D74-IF(74-lfund_term&lt;6,0,INDEX($D$6:$D$92,74-5-lfund_term)))/1000000</f>
        <v>0.00616785</v>
      </c>
      <c r="G74" s="75" t="n">
        <f aca="false">IF(AND(lfund_on=1,$A74&gt;=lfund_start+1,$A74&lt;lfund_start+1+lfund_grant_years),lfund_grants/lfund_grant_years,0)</f>
        <v>0</v>
      </c>
      <c r="H74" s="76" t="n">
        <f aca="false">(E74+G74)*lfund_survey/1000000</f>
        <v>0.00437826</v>
      </c>
      <c r="I74" s="75" t="n">
        <f aca="false">IF(AND(lfund_on=1,$A74&gt;=lfund_start),MIN(D74,MAX(I73,C74)),0)</f>
        <v>20028151</v>
      </c>
      <c r="J74" s="76" t="n">
        <f aca="false">(W74-IF(74-lfund_inst&lt;6,0,INDEX($W$6:$W$92,74-5-lfund_inst)))/lfund_inst*(1-lfund_default)</f>
        <v>0</v>
      </c>
      <c r="K74" s="76" t="n">
        <f aca="false">G74*lfund_grant_fee*U74/1000000</f>
        <v>0</v>
      </c>
      <c r="L74" s="76" t="n">
        <f aca="false">IF(AND(lfund_on=1,$A74&gt;=1860),lfund_home*lfund_lease_1932*($A74-1859)/(1932-1859)*lfund_rent*lfund_fee,0)/1000000</f>
        <v>0.00836301369863014</v>
      </c>
      <c r="M74" s="76" t="n">
        <f aca="false">J74+K74+L74-F74-H74</f>
        <v>-0.00218309630136986</v>
      </c>
      <c r="N74" s="76" t="n">
        <f aca="false">IF(lfund_on=1,IF(AND($A74&gt;=1852,$A74&lt;=1870),lfund_police,IF(AND($A74&gt;1870,$A74&lt;=1890),lfund_police_late,0))*lfund_police_cost*Economy!H74/INDEX(Economy!$H$6:$H$92,1877-1845),0)/1000000</f>
        <v>0</v>
      </c>
      <c r="O74" s="76" t="n">
        <f aca="false">M74-N74</f>
        <v>-0.00218309630136986</v>
      </c>
      <c r="P74" s="76" t="n">
        <f aca="false">P73*(1+lfund_rate)+M74</f>
        <v>270.580814681864</v>
      </c>
      <c r="Q74" s="76" t="n">
        <f aca="false">Q73*(1+lfund_rate)+O74</f>
        <v>153.092726387956</v>
      </c>
      <c r="R74" s="77" t="n">
        <f aca="false">People!T74*assist_cost*Economy!H74/1000000</f>
        <v>1.2726</v>
      </c>
      <c r="S74" s="78" t="n">
        <f aca="false">IF(SUM(R$6:R74)&gt;0,SUM(M$6:M74)/SUM(R$6:R74),0)</f>
        <v>0.558490952700241</v>
      </c>
      <c r="T74" s="79" t="n">
        <v>68.74</v>
      </c>
      <c r="U74" s="80" t="n">
        <f aca="false">MAX(lfund_floor,lfund_share*T74)</f>
        <v>13.748</v>
      </c>
      <c r="V74" s="76" t="n">
        <f aca="false">(I74-I73)*U74/1000000</f>
        <v>0</v>
      </c>
      <c r="W74" s="76" t="n">
        <f aca="false">W73+V74</f>
        <v>84.170002298</v>
      </c>
    </row>
    <row r="75" customFormat="false" ht="15" hidden="false" customHeight="true" outlineLevel="0" collapsed="false">
      <c r="A75" s="4" t="n">
        <v>1915</v>
      </c>
      <c r="B75" s="47" t="n">
        <v>28639579</v>
      </c>
      <c r="C75" s="75" t="n">
        <f aca="false">MAX(0,B75*lfund_farm_scale-lfund_grants)</f>
        <v>19839579</v>
      </c>
      <c r="D75" s="75" t="n">
        <f aca="false">IF(AND(lfund_on=1,$A75&gt;=lfund_start),MIN(lfund_area-lfund_home-lfund_grants,MAX(D74,INDEX($C$6:$C$92,MIN(87,70+lfund_lead)))),0)</f>
        <v>20565667</v>
      </c>
      <c r="E75" s="75" t="n">
        <f aca="false">D75-D74</f>
        <v>146676</v>
      </c>
      <c r="F75" s="76" t="n">
        <f aca="false">lfund_price/lfund_term*(D75-IF(75-lfund_term&lt;6,0,INDEX($D$6:$D$92,75-5-lfund_term)))/1000000</f>
        <v>0.00268758</v>
      </c>
      <c r="G75" s="75" t="n">
        <f aca="false">IF(AND(lfund_on=1,$A75&gt;=lfund_start+1,$A75&lt;lfund_start+1+lfund_grant_years),lfund_grants/lfund_grant_years,0)</f>
        <v>0</v>
      </c>
      <c r="H75" s="76" t="n">
        <f aca="false">(E75+G75)*lfund_survey/1000000</f>
        <v>0.00440028</v>
      </c>
      <c r="I75" s="75" t="n">
        <f aca="false">IF(AND(lfund_on=1,$A75&gt;=lfund_start),MIN(D75,MAX(I74,C75)),0)</f>
        <v>20028151</v>
      </c>
      <c r="J75" s="76" t="n">
        <f aca="false">(W75-IF(75-lfund_inst&lt;6,0,INDEX($W$6:$W$92,75-5-lfund_inst)))/lfund_inst*(1-lfund_default)</f>
        <v>0</v>
      </c>
      <c r="K75" s="76" t="n">
        <f aca="false">G75*lfund_grant_fee*U75/1000000</f>
        <v>0</v>
      </c>
      <c r="L75" s="76" t="n">
        <f aca="false">IF(AND(lfund_on=1,$A75&gt;=1860),lfund_home*lfund_lease_1932*($A75-1859)/(1932-1859)*lfund_rent*lfund_fee,0)/1000000</f>
        <v>0.00851506849315069</v>
      </c>
      <c r="M75" s="76" t="n">
        <f aca="false">J75+K75+L75-F75-H75</f>
        <v>0.00142720849315069</v>
      </c>
      <c r="N75" s="76" t="n">
        <f aca="false">IF(lfund_on=1,IF(AND($A75&gt;=1852,$A75&lt;=1870),lfund_police,IF(AND($A75&gt;1870,$A75&lt;=1890),lfund_police_late,0))*lfund_police_cost*Economy!H75/INDEX(Economy!$H$6:$H$92,1877-1845),0)/1000000</f>
        <v>0</v>
      </c>
      <c r="O75" s="76" t="n">
        <f aca="false">M75-N75</f>
        <v>0.00142720849315069</v>
      </c>
      <c r="P75" s="76" t="n">
        <f aca="false">P74*(1+lfund_rate)+M75</f>
        <v>284.11128262445</v>
      </c>
      <c r="Q75" s="76" t="n">
        <f aca="false">Q74*(1+lfund_rate)+O75</f>
        <v>160.748789915846</v>
      </c>
      <c r="R75" s="77" t="n">
        <f aca="false">People!T75*assist_cost*Economy!H75/1000000</f>
        <v>1.3104</v>
      </c>
      <c r="S75" s="78" t="n">
        <f aca="false">IF(SUM(R$6:R75)&gt;0,SUM(M$6:M75)/SUM(R$6:R75),0)</f>
        <v>0.55300695222704</v>
      </c>
      <c r="T75" s="79" t="n">
        <v>73.73</v>
      </c>
      <c r="U75" s="80" t="n">
        <f aca="false">MAX(lfund_floor,lfund_share*T75)</f>
        <v>14.746</v>
      </c>
      <c r="V75" s="76" t="n">
        <f aca="false">(I75-I74)*U75/1000000</f>
        <v>0</v>
      </c>
      <c r="W75" s="76" t="n">
        <f aca="false">W74+V75</f>
        <v>84.170002298</v>
      </c>
    </row>
    <row r="76" customFormat="false" ht="15" hidden="false" customHeight="true" outlineLevel="0" collapsed="false">
      <c r="A76" s="4" t="n">
        <v>1916</v>
      </c>
      <c r="B76" s="47" t="n">
        <v>28783346</v>
      </c>
      <c r="C76" s="75" t="n">
        <f aca="false">MAX(0,B76*lfund_farm_scale-lfund_grants)</f>
        <v>19983346</v>
      </c>
      <c r="D76" s="75" t="n">
        <f aca="false">IF(AND(lfund_on=1,$A76&gt;=lfund_start),MIN(lfund_area-lfund_home-lfund_grants,MAX(D75,INDEX($C$6:$C$92,MIN(87,71+lfund_lead)))),0)</f>
        <v>20565667</v>
      </c>
      <c r="E76" s="75" t="n">
        <f aca="false">D76-D75</f>
        <v>0</v>
      </c>
      <c r="F76" s="76" t="n">
        <f aca="false">lfund_price/lfund_term*(D76-IF(76-lfund_term&lt;6,0,INDEX($D$6:$D$92,76-5-lfund_term)))/1000000</f>
        <v>0.00268758</v>
      </c>
      <c r="G76" s="75" t="n">
        <f aca="false">IF(AND(lfund_on=1,$A76&gt;=lfund_start+1,$A76&lt;lfund_start+1+lfund_grant_years),lfund_grants/lfund_grant_years,0)</f>
        <v>0</v>
      </c>
      <c r="H76" s="76" t="n">
        <f aca="false">(E76+G76)*lfund_survey/1000000</f>
        <v>0</v>
      </c>
      <c r="I76" s="75" t="n">
        <f aca="false">IF(AND(lfund_on=1,$A76&gt;=lfund_start),MIN(D76,MAX(I75,C76)),0)</f>
        <v>20028151</v>
      </c>
      <c r="J76" s="76" t="n">
        <f aca="false">(W76-IF(76-lfund_inst&lt;6,0,INDEX($W$6:$W$92,76-5-lfund_inst)))/lfund_inst*(1-lfund_default)</f>
        <v>0</v>
      </c>
      <c r="K76" s="76" t="n">
        <f aca="false">G76*lfund_grant_fee*U76/1000000</f>
        <v>0</v>
      </c>
      <c r="L76" s="76" t="n">
        <f aca="false">IF(AND(lfund_on=1,$A76&gt;=1860),lfund_home*lfund_lease_1932*($A76-1859)/(1932-1859)*lfund_rent*lfund_fee,0)/1000000</f>
        <v>0.00866712328767124</v>
      </c>
      <c r="M76" s="76" t="n">
        <f aca="false">J76+K76+L76-F76-H76</f>
        <v>0.00597954328767123</v>
      </c>
      <c r="N76" s="76" t="n">
        <f aca="false">IF(lfund_on=1,IF(AND($A76&gt;=1852,$A76&lt;=1870),lfund_police,IF(AND($A76&gt;1870,$A76&lt;=1890),lfund_police_late,0))*lfund_police_cost*Economy!H76/INDEX(Economy!$H$6:$H$92,1877-1845),0)/1000000</f>
        <v>0</v>
      </c>
      <c r="O76" s="76" t="n">
        <f aca="false">M76-N76</f>
        <v>0.00597954328767123</v>
      </c>
      <c r="P76" s="76" t="n">
        <f aca="false">P75*(1+lfund_rate)+M76</f>
        <v>298.32282629896</v>
      </c>
      <c r="Q76" s="76" t="n">
        <f aca="false">Q75*(1+lfund_rate)+O76</f>
        <v>168.792208954926</v>
      </c>
      <c r="R76" s="77" t="n">
        <f aca="false">People!T76*assist_cost*Economy!H76/1000000</f>
        <v>1.4742</v>
      </c>
      <c r="S76" s="78" t="n">
        <f aca="false">IF(SUM(R$6:R76)&gt;0,SUM(M$6:M76)/SUM(R$6:R76),0)</f>
        <v>0.546997504402508</v>
      </c>
      <c r="T76" s="79" t="n">
        <v>79.08</v>
      </c>
      <c r="U76" s="80" t="n">
        <f aca="false">MAX(lfund_floor,lfund_share*T76)</f>
        <v>15.816</v>
      </c>
      <c r="V76" s="76" t="n">
        <f aca="false">(I76-I75)*U76/1000000</f>
        <v>0</v>
      </c>
      <c r="W76" s="76" t="n">
        <f aca="false">W75+V76</f>
        <v>84.170002298</v>
      </c>
    </row>
    <row r="77" customFormat="false" ht="15" hidden="false" customHeight="true" outlineLevel="0" collapsed="false">
      <c r="A77" s="4" t="n">
        <v>1917</v>
      </c>
      <c r="B77" s="47" t="n">
        <v>28927835</v>
      </c>
      <c r="C77" s="75" t="n">
        <f aca="false">MAX(0,B77*lfund_farm_scale-lfund_grants)</f>
        <v>20127835</v>
      </c>
      <c r="D77" s="75" t="n">
        <f aca="false">IF(AND(lfund_on=1,$A77&gt;=lfund_start),MIN(lfund_area-lfund_home-lfund_grants,MAX(D76,INDEX($C$6:$C$92,MIN(87,72+lfund_lead)))),0)</f>
        <v>20565667</v>
      </c>
      <c r="E77" s="75" t="n">
        <f aca="false">D77-D76</f>
        <v>0</v>
      </c>
      <c r="F77" s="76" t="n">
        <f aca="false">lfund_price/lfund_term*(D77-IF(77-lfund_term&lt;6,0,INDEX($D$6:$D$92,77-5-lfund_term)))/1000000</f>
        <v>0.00268758</v>
      </c>
      <c r="G77" s="75" t="n">
        <f aca="false">IF(AND(lfund_on=1,$A77&gt;=lfund_start+1,$A77&lt;lfund_start+1+lfund_grant_years),lfund_grants/lfund_grant_years,0)</f>
        <v>0</v>
      </c>
      <c r="H77" s="76" t="n">
        <f aca="false">(E77+G77)*lfund_survey/1000000</f>
        <v>0</v>
      </c>
      <c r="I77" s="75" t="n">
        <f aca="false">IF(AND(lfund_on=1,$A77&gt;=lfund_start),MIN(D77,MAX(I76,C77)),0)</f>
        <v>20127835</v>
      </c>
      <c r="J77" s="76" t="n">
        <f aca="false">(W77-IF(77-lfund_inst&lt;6,0,INDEX($W$6:$W$92,77-5-lfund_inst)))/lfund_inst*(1-lfund_default)</f>
        <v>0.304387087680001</v>
      </c>
      <c r="K77" s="76" t="n">
        <f aca="false">G77*lfund_grant_fee*U77/1000000</f>
        <v>0</v>
      </c>
      <c r="L77" s="76" t="n">
        <f aca="false">IF(AND(lfund_on=1,$A77&gt;=1860),lfund_home*lfund_lease_1932*($A77-1859)/(1932-1859)*lfund_rent*lfund_fee,0)/1000000</f>
        <v>0.00881917808219178</v>
      </c>
      <c r="M77" s="76" t="n">
        <f aca="false">J77+K77+L77-F77-H77</f>
        <v>0.310518685762193</v>
      </c>
      <c r="N77" s="76" t="n">
        <f aca="false">IF(lfund_on=1,IF(AND($A77&gt;=1852,$A77&lt;=1870),lfund_police,IF(AND($A77&gt;1870,$A77&lt;=1890),lfund_police_late,0))*lfund_police_cost*Economy!H77/INDEX(Economy!$H$6:$H$92,1877-1845),0)/1000000</f>
        <v>0</v>
      </c>
      <c r="O77" s="76" t="n">
        <f aca="false">M77-N77</f>
        <v>0.310518685762193</v>
      </c>
      <c r="P77" s="76" t="n">
        <f aca="false">P76*(1+lfund_rate)+M77</f>
        <v>313.549486299671</v>
      </c>
      <c r="Q77" s="76" t="n">
        <f aca="false">Q76*(1+lfund_rate)+O77</f>
        <v>177.542338088435</v>
      </c>
      <c r="R77" s="77" t="n">
        <f aca="false">People!T77*assist_cost*Economy!H77/1000000</f>
        <v>1.7892</v>
      </c>
      <c r="S77" s="78" t="n">
        <f aca="false">IF(SUM(R$6:R77)&gt;0,SUM(M$6:M77)/SUM(R$6:R77),0)</f>
        <v>0.542100854665378</v>
      </c>
      <c r="T77" s="79" t="n">
        <v>84.82</v>
      </c>
      <c r="U77" s="80" t="n">
        <f aca="false">MAX(lfund_floor,lfund_share*T77)</f>
        <v>16.964</v>
      </c>
      <c r="V77" s="76" t="n">
        <f aca="false">(I77-I76)*U77/1000000</f>
        <v>1.691039376</v>
      </c>
      <c r="W77" s="76" t="n">
        <f aca="false">W76+V77</f>
        <v>85.861041674</v>
      </c>
    </row>
    <row r="78" customFormat="false" ht="15" hidden="false" customHeight="true" outlineLevel="0" collapsed="false">
      <c r="A78" s="4" t="n">
        <v>1918</v>
      </c>
      <c r="B78" s="47" t="n">
        <v>29073049</v>
      </c>
      <c r="C78" s="75" t="n">
        <f aca="false">MAX(0,B78*lfund_farm_scale-lfund_grants)</f>
        <v>20273049</v>
      </c>
      <c r="D78" s="75" t="n">
        <f aca="false">IF(AND(lfund_on=1,$A78&gt;=lfund_start),MIN(lfund_area-lfund_home-lfund_grants,MAX(D77,INDEX($C$6:$C$92,MIN(87,73+lfund_lead)))),0)</f>
        <v>20565667</v>
      </c>
      <c r="E78" s="75" t="n">
        <f aca="false">D78-D77</f>
        <v>0</v>
      </c>
      <c r="F78" s="76" t="n">
        <f aca="false">lfund_price/lfund_term*(D78-IF(78-lfund_term&lt;6,0,INDEX($D$6:$D$92,78-5-lfund_term)))/1000000</f>
        <v>0.00268758</v>
      </c>
      <c r="G78" s="75" t="n">
        <f aca="false">IF(AND(lfund_on=1,$A78&gt;=lfund_start+1,$A78&lt;lfund_start+1+lfund_grant_years),lfund_grants/lfund_grant_years,0)</f>
        <v>0</v>
      </c>
      <c r="H78" s="76" t="n">
        <f aca="false">(E78+G78)*lfund_survey/1000000</f>
        <v>0</v>
      </c>
      <c r="I78" s="75" t="n">
        <f aca="false">IF(AND(lfund_on=1,$A78&gt;=lfund_start),MIN(D78,MAX(I77,C78)),0)</f>
        <v>20273049</v>
      </c>
      <c r="J78" s="76" t="n">
        <f aca="false">(W78-IF(78-lfund_inst&lt;6,0,INDEX($W$6:$W$92,78-5-lfund_inst)))/lfund_inst*(1-lfund_default)</f>
        <v>0.7800035976</v>
      </c>
      <c r="K78" s="76" t="n">
        <f aca="false">G78*lfund_grant_fee*U78/1000000</f>
        <v>0</v>
      </c>
      <c r="L78" s="76" t="n">
        <f aca="false">IF(AND(lfund_on=1,$A78&gt;=1860),lfund_home*lfund_lease_1932*($A78-1859)/(1932-1859)*lfund_rent*lfund_fee,0)/1000000</f>
        <v>0.00897123287671233</v>
      </c>
      <c r="M78" s="76" t="n">
        <f aca="false">J78+K78+L78-F78-H78</f>
        <v>0.786287250476712</v>
      </c>
      <c r="N78" s="76" t="n">
        <f aca="false">IF(lfund_on=1,IF(AND($A78&gt;=1852,$A78&lt;=1870),lfund_police,IF(AND($A78&gt;1870,$A78&lt;=1890),lfund_police_late,0))*lfund_police_cost*Economy!H78/INDEX(Economy!$H$6:$H$92,1877-1845),0)/1000000</f>
        <v>0</v>
      </c>
      <c r="O78" s="76" t="n">
        <f aca="false">M78-N78</f>
        <v>0.786287250476712</v>
      </c>
      <c r="P78" s="76" t="n">
        <f aca="false">P77*(1+lfund_rate)+M78</f>
        <v>330.013247865131</v>
      </c>
      <c r="Q78" s="76" t="n">
        <f aca="false">Q77*(1+lfund_rate)+O78</f>
        <v>187.205742243333</v>
      </c>
      <c r="R78" s="77" t="n">
        <f aca="false">People!T78*assist_cost*Economy!H78/1000000</f>
        <v>2.0916</v>
      </c>
      <c r="S78" s="78" t="n">
        <f aca="false">IF(SUM(R$6:R78)&gt;0,SUM(M$6:M78)/SUM(R$6:R78),0)</f>
        <v>0.539592150152704</v>
      </c>
      <c r="T78" s="79" t="n">
        <v>90.98</v>
      </c>
      <c r="U78" s="80" t="n">
        <f aca="false">MAX(lfund_floor,lfund_share*T78)</f>
        <v>18.196</v>
      </c>
      <c r="V78" s="76" t="n">
        <f aca="false">(I78-I77)*U78/1000000</f>
        <v>2.642313944</v>
      </c>
      <c r="W78" s="76" t="n">
        <f aca="false">W77+V78</f>
        <v>88.503355618</v>
      </c>
    </row>
    <row r="79" customFormat="false" ht="15" hidden="false" customHeight="true" outlineLevel="0" collapsed="false">
      <c r="A79" s="4" t="n">
        <v>1919</v>
      </c>
      <c r="B79" s="47" t="n">
        <v>29218991</v>
      </c>
      <c r="C79" s="75" t="n">
        <f aca="false">MAX(0,B79*lfund_farm_scale-lfund_grants)</f>
        <v>20418991</v>
      </c>
      <c r="D79" s="75" t="n">
        <f aca="false">IF(AND(lfund_on=1,$A79&gt;=lfund_start),MIN(lfund_area-lfund_home-lfund_grants,MAX(D78,INDEX($C$6:$C$92,MIN(87,74+lfund_lead)))),0)</f>
        <v>20565667</v>
      </c>
      <c r="E79" s="75" t="n">
        <f aca="false">D79-D78</f>
        <v>0</v>
      </c>
      <c r="F79" s="76" t="n">
        <f aca="false">lfund_price/lfund_term*(D79-IF(79-lfund_term&lt;6,0,INDEX($D$6:$D$92,79-5-lfund_term)))/1000000</f>
        <v>0.00268758</v>
      </c>
      <c r="G79" s="75" t="n">
        <f aca="false">IF(AND(lfund_on=1,$A79&gt;=lfund_start+1,$A79&lt;lfund_start+1+lfund_grant_years),lfund_grants/lfund_grant_years,0)</f>
        <v>0</v>
      </c>
      <c r="H79" s="76" t="n">
        <f aca="false">(E79+G79)*lfund_survey/1000000</f>
        <v>0</v>
      </c>
      <c r="I79" s="75" t="n">
        <f aca="false">IF(AND(lfund_on=1,$A79&gt;=lfund_start),MIN(D79,MAX(I78,C79)),0)</f>
        <v>20418991</v>
      </c>
      <c r="J79" s="76" t="n">
        <f aca="false">(W79-IF(79-lfund_inst&lt;6,0,INDEX($W$6:$W$92,79-5-lfund_inst)))/lfund_inst*(1-lfund_default)</f>
        <v>1.29268033056</v>
      </c>
      <c r="K79" s="76" t="n">
        <f aca="false">G79*lfund_grant_fee*U79/1000000</f>
        <v>0</v>
      </c>
      <c r="L79" s="76" t="n">
        <f aca="false">IF(AND(lfund_on=1,$A79&gt;=1860),lfund_home*lfund_lease_1932*($A79-1859)/(1932-1859)*lfund_rent*lfund_fee,0)/1000000</f>
        <v>0.00912328767123288</v>
      </c>
      <c r="M79" s="76" t="n">
        <f aca="false">J79+K79+L79-F79-H79</f>
        <v>1.29911603823123</v>
      </c>
      <c r="N79" s="76" t="n">
        <f aca="false">IF(lfund_on=1,IF(AND($A79&gt;=1852,$A79&lt;=1870),lfund_police,IF(AND($A79&gt;1870,$A79&lt;=1890),lfund_police_late,0))*lfund_police_cost*Economy!H79/INDEX(Economy!$H$6:$H$92,1877-1845),0)/1000000</f>
        <v>0</v>
      </c>
      <c r="O79" s="76" t="n">
        <f aca="false">M79-N79</f>
        <v>1.29911603823123</v>
      </c>
      <c r="P79" s="76" t="n">
        <f aca="false">P78*(1+lfund_rate)+M79</f>
        <v>347.813026296619</v>
      </c>
      <c r="Q79" s="76" t="n">
        <f aca="false">Q78*(1+lfund_rate)+O79</f>
        <v>197.865145393731</v>
      </c>
      <c r="R79" s="77" t="n">
        <f aca="false">People!T79*assist_cost*Economy!H79/1000000</f>
        <v>6.2586</v>
      </c>
      <c r="S79" s="78" t="n">
        <f aca="false">IF(SUM(R$6:R79)&gt;0,SUM(M$6:M79)/SUM(R$6:R79),0)</f>
        <v>0.525241944147916</v>
      </c>
      <c r="T79" s="79" t="n">
        <v>97.58</v>
      </c>
      <c r="U79" s="80" t="n">
        <f aca="false">MAX(lfund_floor,lfund_share*T79)</f>
        <v>19.516</v>
      </c>
      <c r="V79" s="76" t="n">
        <f aca="false">(I79-I78)*U79/1000000</f>
        <v>2.848204072</v>
      </c>
      <c r="W79" s="76" t="n">
        <f aca="false">W78+V79</f>
        <v>91.35155969</v>
      </c>
    </row>
    <row r="80" customFormat="false" ht="15" hidden="false" customHeight="true" outlineLevel="0" collapsed="false">
      <c r="A80" s="4" t="n">
        <v>1920</v>
      </c>
      <c r="B80" s="47" t="n">
        <v>29365667</v>
      </c>
      <c r="C80" s="75" t="n">
        <f aca="false">MAX(0,B80*lfund_farm_scale-lfund_grants)</f>
        <v>20565667</v>
      </c>
      <c r="D80" s="75" t="n">
        <f aca="false">IF(AND(lfund_on=1,$A80&gt;=lfund_start),MIN(lfund_area-lfund_home-lfund_grants,MAX(D79,INDEX($C$6:$C$92,MIN(87,75+lfund_lead)))),0)</f>
        <v>20565667</v>
      </c>
      <c r="E80" s="75" t="n">
        <f aca="false">D80-D79</f>
        <v>0</v>
      </c>
      <c r="F80" s="76" t="n">
        <f aca="false">lfund_price/lfund_term*(D80-IF(80-lfund_term&lt;6,0,INDEX($D$6:$D$92,80-5-lfund_term)))/1000000</f>
        <v>0.00268758</v>
      </c>
      <c r="G80" s="75" t="n">
        <f aca="false">IF(AND(lfund_on=1,$A80&gt;=lfund_start+1,$A80&lt;lfund_start+1+lfund_grant_years),lfund_grants/lfund_grant_years,0)</f>
        <v>0</v>
      </c>
      <c r="H80" s="76" t="n">
        <f aca="false">(E80+G80)*lfund_survey/1000000</f>
        <v>0</v>
      </c>
      <c r="I80" s="75" t="n">
        <f aca="false">IF(AND(lfund_on=1,$A80&gt;=lfund_start),MIN(D80,MAX(I79,C80)),0)</f>
        <v>20565667</v>
      </c>
      <c r="J80" s="76" t="n">
        <f aca="false">(W80-IF(80-lfund_inst&lt;6,0,INDEX($W$6:$W$92,80-5-lfund_inst)))/lfund_inst*(1-lfund_default)</f>
        <v>1.84537309968</v>
      </c>
      <c r="K80" s="76" t="n">
        <f aca="false">G80*lfund_grant_fee*U80/1000000</f>
        <v>0</v>
      </c>
      <c r="L80" s="76" t="n">
        <f aca="false">IF(AND(lfund_on=1,$A80&gt;=1860),lfund_home*lfund_lease_1932*($A80-1859)/(1932-1859)*lfund_rent*lfund_fee,0)/1000000</f>
        <v>0.00927534246575342</v>
      </c>
      <c r="M80" s="76" t="n">
        <f aca="false">J80+K80+L80-F80-H80</f>
        <v>1.85196086214575</v>
      </c>
      <c r="N80" s="76" t="n">
        <f aca="false">IF(lfund_on=1,IF(AND($A80&gt;=1852,$A80&lt;=1870),lfund_police,IF(AND($A80&gt;1870,$A80&lt;=1890),lfund_police_late,0))*lfund_police_cost*Economy!H80/INDEX(Economy!$H$6:$H$92,1877-1845),0)/1000000</f>
        <v>0</v>
      </c>
      <c r="O80" s="76" t="n">
        <f aca="false">M80-N80</f>
        <v>1.85196086214575</v>
      </c>
      <c r="P80" s="76" t="n">
        <f aca="false">P79*(1+lfund_rate)+M80</f>
        <v>367.055638473596</v>
      </c>
      <c r="Q80" s="76" t="n">
        <f aca="false">Q79*(1+lfund_rate)+O80</f>
        <v>209.610363525564</v>
      </c>
      <c r="R80" s="77" t="n">
        <f aca="false">People!T80*assist_cost*Economy!H80/1000000</f>
        <v>7.011</v>
      </c>
      <c r="S80" s="78" t="n">
        <f aca="false">IF(SUM(R$6:R80)&gt;0,SUM(M$6:M80)/SUM(R$6:R80),0)</f>
        <v>0.513184482434705</v>
      </c>
      <c r="T80" s="79" t="n">
        <v>104.67</v>
      </c>
      <c r="U80" s="80" t="n">
        <f aca="false">MAX(lfund_floor,lfund_share*T80)</f>
        <v>20.934</v>
      </c>
      <c r="V80" s="76" t="n">
        <f aca="false">(I80-I79)*U80/1000000</f>
        <v>3.070515384</v>
      </c>
      <c r="W80" s="76" t="n">
        <f aca="false">W79+V80</f>
        <v>94.422075074</v>
      </c>
    </row>
    <row r="81" customFormat="false" ht="15" hidden="false" customHeight="true" outlineLevel="0" collapsed="false">
      <c r="A81" s="4" t="n">
        <v>1921</v>
      </c>
      <c r="B81" s="47" t="n">
        <v>28986246</v>
      </c>
      <c r="C81" s="75" t="n">
        <f aca="false">MAX(0,B81*lfund_farm_scale-lfund_grants)</f>
        <v>20186246</v>
      </c>
      <c r="D81" s="75" t="n">
        <f aca="false">IF(AND(lfund_on=1,$A81&gt;=lfund_start),MIN(lfund_area-lfund_home-lfund_grants,MAX(D80,INDEX($C$6:$C$92,MIN(87,76+lfund_lead)))),0)</f>
        <v>20565667</v>
      </c>
      <c r="E81" s="75" t="n">
        <f aca="false">D81-D80</f>
        <v>0</v>
      </c>
      <c r="F81" s="76" t="n">
        <f aca="false">lfund_price/lfund_term*(D81-IF(81-lfund_term&lt;6,0,INDEX($D$6:$D$92,81-5-lfund_term)))/1000000</f>
        <v>0.00268758</v>
      </c>
      <c r="G81" s="75" t="n">
        <f aca="false">IF(AND(lfund_on=1,$A81&gt;=lfund_start+1,$A81&lt;lfund_start+1+lfund_grant_years),lfund_grants/lfund_grant_years,0)</f>
        <v>0</v>
      </c>
      <c r="H81" s="76" t="n">
        <f aca="false">(E81+G81)*lfund_survey/1000000</f>
        <v>0</v>
      </c>
      <c r="I81" s="75" t="n">
        <f aca="false">IF(AND(lfund_on=1,$A81&gt;=lfund_start),MIN(D81,MAX(I80,C81)),0)</f>
        <v>20565667</v>
      </c>
      <c r="J81" s="76" t="n">
        <f aca="false">(W81-IF(81-lfund_inst&lt;6,0,INDEX($W$6:$W$92,81-5-lfund_inst)))/lfund_inst*(1-lfund_default)</f>
        <v>1.84537309968</v>
      </c>
      <c r="K81" s="76" t="n">
        <f aca="false">G81*lfund_grant_fee*U81/1000000</f>
        <v>0</v>
      </c>
      <c r="L81" s="76" t="n">
        <f aca="false">IF(AND(lfund_on=1,$A81&gt;=1860),lfund_home*lfund_lease_1932*($A81-1859)/(1932-1859)*lfund_rent*lfund_fee,0)/1000000</f>
        <v>0.00942739726027397</v>
      </c>
      <c r="M81" s="76" t="n">
        <f aca="false">J81+K81+L81-F81-H81</f>
        <v>1.85211291694028</v>
      </c>
      <c r="N81" s="76" t="n">
        <f aca="false">IF(lfund_on=1,IF(AND($A81&gt;=1852,$A81&lt;=1870),lfund_police,IF(AND($A81&gt;1870,$A81&lt;=1890),lfund_police_late,0))*lfund_police_cost*Economy!H81/INDEX(Economy!$H$6:$H$92,1877-1845),0)/1000000</f>
        <v>0</v>
      </c>
      <c r="O81" s="76" t="n">
        <f aca="false">M81-N81</f>
        <v>1.85211291694028</v>
      </c>
      <c r="P81" s="76" t="n">
        <f aca="false">P80*(1+lfund_rate)+M81</f>
        <v>387.260533314216</v>
      </c>
      <c r="Q81" s="76" t="n">
        <f aca="false">Q80*(1+lfund_rate)+O81</f>
        <v>221.942994618782</v>
      </c>
      <c r="R81" s="77" t="n">
        <f aca="false">People!T81*assist_cost*Economy!H81/1000000</f>
        <v>5.814</v>
      </c>
      <c r="S81" s="78" t="n">
        <f aca="false">IF(SUM(R$6:R81)&gt;0,SUM(M$6:M81)/SUM(R$6:R81),0)</f>
        <v>0.506005996364171</v>
      </c>
      <c r="T81" s="79" t="n">
        <v>106.58</v>
      </c>
      <c r="U81" s="80" t="n">
        <f aca="false">MAX(lfund_floor,lfund_share*T81)</f>
        <v>21.316</v>
      </c>
      <c r="V81" s="76" t="n">
        <f aca="false">(I81-I80)*U81/1000000</f>
        <v>0</v>
      </c>
      <c r="W81" s="76" t="n">
        <f aca="false">W80+V81</f>
        <v>94.422075074</v>
      </c>
    </row>
    <row r="82" customFormat="false" ht="15" hidden="false" customHeight="true" outlineLevel="0" collapsed="false">
      <c r="A82" s="4" t="n">
        <v>1922</v>
      </c>
      <c r="B82" s="47" t="n">
        <v>28611727</v>
      </c>
      <c r="C82" s="75" t="n">
        <f aca="false">MAX(0,B82*lfund_farm_scale-lfund_grants)</f>
        <v>19811727</v>
      </c>
      <c r="D82" s="75" t="n">
        <f aca="false">IF(AND(lfund_on=1,$A82&gt;=lfund_start),MIN(lfund_area-lfund_home-lfund_grants,MAX(D81,INDEX($C$6:$C$92,MIN(87,77+lfund_lead)))),0)</f>
        <v>20565667</v>
      </c>
      <c r="E82" s="75" t="n">
        <f aca="false">D82-D81</f>
        <v>0</v>
      </c>
      <c r="F82" s="76" t="n">
        <f aca="false">lfund_price/lfund_term*(D82-IF(82-lfund_term&lt;6,0,INDEX($D$6:$D$92,82-5-lfund_term)))/1000000</f>
        <v>0.00268758</v>
      </c>
      <c r="G82" s="75" t="n">
        <f aca="false">IF(AND(lfund_on=1,$A82&gt;=lfund_start+1,$A82&lt;lfund_start+1+lfund_grant_years),lfund_grants/lfund_grant_years,0)</f>
        <v>0</v>
      </c>
      <c r="H82" s="76" t="n">
        <f aca="false">(E82+G82)*lfund_survey/1000000</f>
        <v>0</v>
      </c>
      <c r="I82" s="75" t="n">
        <f aca="false">IF(AND(lfund_on=1,$A82&gt;=lfund_start),MIN(D82,MAX(I81,C82)),0)</f>
        <v>20565667</v>
      </c>
      <c r="J82" s="76" t="n">
        <f aca="false">(W82-IF(82-lfund_inst&lt;6,0,INDEX($W$6:$W$92,82-5-lfund_inst)))/lfund_inst*(1-lfund_default)</f>
        <v>1.540986012</v>
      </c>
      <c r="K82" s="76" t="n">
        <f aca="false">G82*lfund_grant_fee*U82/1000000</f>
        <v>0</v>
      </c>
      <c r="L82" s="76" t="n">
        <f aca="false">IF(AND(lfund_on=1,$A82&gt;=1860),lfund_home*lfund_lease_1932*($A82-1859)/(1932-1859)*lfund_rent*lfund_fee,0)/1000000</f>
        <v>0.00957945205479452</v>
      </c>
      <c r="M82" s="76" t="n">
        <f aca="false">J82+K82+L82-F82-H82</f>
        <v>1.54787788405479</v>
      </c>
      <c r="N82" s="76" t="n">
        <f aca="false">IF(lfund_on=1,IF(AND($A82&gt;=1852,$A82&lt;=1870),lfund_police,IF(AND($A82&gt;1870,$A82&lt;=1890),lfund_police_late,0))*lfund_police_cost*Economy!H82/INDEX(Economy!$H$6:$H$92,1877-1845),0)/1000000</f>
        <v>0</v>
      </c>
      <c r="O82" s="76" t="n">
        <f aca="false">M82-N82</f>
        <v>1.54787788405479</v>
      </c>
      <c r="P82" s="76" t="n">
        <f aca="false">P81*(1+lfund_rate)+M82</f>
        <v>408.171437863981</v>
      </c>
      <c r="Q82" s="76" t="n">
        <f aca="false">Q81*(1+lfund_rate)+O82</f>
        <v>234.588022233776</v>
      </c>
      <c r="R82" s="77" t="n">
        <f aca="false">People!T82*assist_cost*Economy!H82/1000000</f>
        <v>5.4036</v>
      </c>
      <c r="S82" s="78" t="n">
        <f aca="false">IF(SUM(R$6:R82)&gt;0,SUM(M$6:M82)/SUM(R$6:R82),0)</f>
        <v>0.498729096046089</v>
      </c>
      <c r="T82" s="79" t="n">
        <v>108.52</v>
      </c>
      <c r="U82" s="80" t="n">
        <f aca="false">MAX(lfund_floor,lfund_share*T82)</f>
        <v>21.704</v>
      </c>
      <c r="V82" s="76" t="n">
        <f aca="false">(I82-I81)*U82/1000000</f>
        <v>0</v>
      </c>
      <c r="W82" s="76" t="n">
        <f aca="false">W81+V82</f>
        <v>94.422075074</v>
      </c>
    </row>
    <row r="83" customFormat="false" ht="15" hidden="false" customHeight="true" outlineLevel="0" collapsed="false">
      <c r="A83" s="4" t="n">
        <v>1923</v>
      </c>
      <c r="B83" s="47" t="n">
        <v>28242047</v>
      </c>
      <c r="C83" s="75" t="n">
        <f aca="false">MAX(0,B83*lfund_farm_scale-lfund_grants)</f>
        <v>19442047</v>
      </c>
      <c r="D83" s="75" t="n">
        <f aca="false">IF(AND(lfund_on=1,$A83&gt;=lfund_start),MIN(lfund_area-lfund_home-lfund_grants,MAX(D82,INDEX($C$6:$C$92,MIN(87,78+lfund_lead)))),0)</f>
        <v>20565667</v>
      </c>
      <c r="E83" s="75" t="n">
        <f aca="false">D83-D82</f>
        <v>0</v>
      </c>
      <c r="F83" s="76" t="n">
        <f aca="false">lfund_price/lfund_term*(D83-IF(83-lfund_term&lt;6,0,INDEX($D$6:$D$92,83-5-lfund_term)))/1000000</f>
        <v>0.00268758</v>
      </c>
      <c r="G83" s="75" t="n">
        <f aca="false">IF(AND(lfund_on=1,$A83&gt;=lfund_start+1,$A83&lt;lfund_start+1+lfund_grant_years),lfund_grants/lfund_grant_years,0)</f>
        <v>0</v>
      </c>
      <c r="H83" s="76" t="n">
        <f aca="false">(E83+G83)*lfund_survey/1000000</f>
        <v>0</v>
      </c>
      <c r="I83" s="75" t="n">
        <f aca="false">IF(AND(lfund_on=1,$A83&gt;=lfund_start),MIN(D83,MAX(I82,C83)),0)</f>
        <v>20565667</v>
      </c>
      <c r="J83" s="76" t="n">
        <f aca="false">(W83-IF(83-lfund_inst&lt;6,0,INDEX($W$6:$W$92,83-5-lfund_inst)))/lfund_inst*(1-lfund_default)</f>
        <v>1.06536950208</v>
      </c>
      <c r="K83" s="76" t="n">
        <f aca="false">G83*lfund_grant_fee*U83/1000000</f>
        <v>0</v>
      </c>
      <c r="L83" s="76" t="n">
        <f aca="false">IF(AND(lfund_on=1,$A83&gt;=1860),lfund_home*lfund_lease_1932*($A83-1859)/(1932-1859)*lfund_rent*lfund_fee,0)/1000000</f>
        <v>0.00973150684931507</v>
      </c>
      <c r="M83" s="76" t="n">
        <f aca="false">J83+K83+L83-F83-H83</f>
        <v>1.07241342892932</v>
      </c>
      <c r="N83" s="76" t="n">
        <f aca="false">IF(lfund_on=1,IF(AND($A83&gt;=1852,$A83&lt;=1870),lfund_police,IF(AND($A83&gt;1870,$A83&lt;=1890),lfund_police_late,0))*lfund_police_cost*Economy!H83/INDEX(Economy!$H$6:$H$92,1877-1845),0)/1000000</f>
        <v>0</v>
      </c>
      <c r="O83" s="76" t="n">
        <f aca="false">M83-N83</f>
        <v>1.07241342892932</v>
      </c>
      <c r="P83" s="76" t="n">
        <f aca="false">P82*(1+lfund_rate)+M83</f>
        <v>429.65242318611</v>
      </c>
      <c r="Q83" s="76" t="n">
        <f aca="false">Q82*(1+lfund_rate)+O83</f>
        <v>247.389836774394</v>
      </c>
      <c r="R83" s="77" t="n">
        <f aca="false">People!T83*assist_cost*Economy!H83/1000000</f>
        <v>5.5404</v>
      </c>
      <c r="S83" s="78" t="n">
        <f aca="false">IF(SUM(R$6:R83)&gt;0,SUM(M$6:M83)/SUM(R$6:R83),0)</f>
        <v>0.48869937865421</v>
      </c>
      <c r="T83" s="79" t="n">
        <v>110.5</v>
      </c>
      <c r="U83" s="80" t="n">
        <f aca="false">MAX(lfund_floor,lfund_share*T83)</f>
        <v>22.1</v>
      </c>
      <c r="V83" s="76" t="n">
        <f aca="false">(I83-I82)*U83/1000000</f>
        <v>0</v>
      </c>
      <c r="W83" s="76" t="n">
        <f aca="false">W82+V83</f>
        <v>94.422075074</v>
      </c>
    </row>
    <row r="84" customFormat="false" ht="15" hidden="false" customHeight="true" outlineLevel="0" collapsed="false">
      <c r="A84" s="4" t="n">
        <v>1924</v>
      </c>
      <c r="B84" s="47" t="n">
        <v>27877144</v>
      </c>
      <c r="C84" s="75" t="n">
        <f aca="false">MAX(0,B84*lfund_farm_scale-lfund_grants)</f>
        <v>19077144</v>
      </c>
      <c r="D84" s="75" t="n">
        <f aca="false">IF(AND(lfund_on=1,$A84&gt;=lfund_start),MIN(lfund_area-lfund_home-lfund_grants,MAX(D83,INDEX($C$6:$C$92,MIN(87,79+lfund_lead)))),0)</f>
        <v>21033572</v>
      </c>
      <c r="E84" s="75" t="n">
        <f aca="false">D84-D83</f>
        <v>467905</v>
      </c>
      <c r="F84" s="76" t="n">
        <f aca="false">lfund_price/lfund_term*(D84-IF(84-lfund_term&lt;6,0,INDEX($D$6:$D$92,84-5-lfund_term)))/1000000</f>
        <v>0.005027105</v>
      </c>
      <c r="G84" s="75" t="n">
        <f aca="false">IF(AND(lfund_on=1,$A84&gt;=lfund_start+1,$A84&lt;lfund_start+1+lfund_grant_years),lfund_grants/lfund_grant_years,0)</f>
        <v>0</v>
      </c>
      <c r="H84" s="76" t="n">
        <f aca="false">(E84+G84)*lfund_survey/1000000</f>
        <v>0.01403715</v>
      </c>
      <c r="I84" s="75" t="n">
        <f aca="false">IF(AND(lfund_on=1,$A84&gt;=lfund_start),MIN(D84,MAX(I83,C84)),0)</f>
        <v>20565667</v>
      </c>
      <c r="J84" s="76" t="n">
        <f aca="false">(W84-IF(84-lfund_inst&lt;6,0,INDEX($W$6:$W$92,84-5-lfund_inst)))/lfund_inst*(1-lfund_default)</f>
        <v>0.552692769120001</v>
      </c>
      <c r="K84" s="76" t="n">
        <f aca="false">G84*lfund_grant_fee*U84/1000000</f>
        <v>0</v>
      </c>
      <c r="L84" s="76" t="n">
        <f aca="false">IF(AND(lfund_on=1,$A84&gt;=1860),lfund_home*lfund_lease_1932*($A84-1859)/(1932-1859)*lfund_rent*lfund_fee,0)/1000000</f>
        <v>0.00988356164383562</v>
      </c>
      <c r="M84" s="76" t="n">
        <f aca="false">J84+K84+L84-F84-H84</f>
        <v>0.543512075763836</v>
      </c>
      <c r="N84" s="76" t="n">
        <f aca="false">IF(lfund_on=1,IF(AND($A84&gt;=1852,$A84&lt;=1870),lfund_police,IF(AND($A84&gt;1870,$A84&lt;=1890),lfund_police_late,0))*lfund_police_cost*Economy!H84/INDEX(Economy!$H$6:$H$92,1877-1845),0)/1000000</f>
        <v>0</v>
      </c>
      <c r="O84" s="76" t="n">
        <f aca="false">M84-N84</f>
        <v>0.543512075763836</v>
      </c>
      <c r="P84" s="76" t="n">
        <f aca="false">P83*(1+lfund_rate)+M84</f>
        <v>451.678556421179</v>
      </c>
      <c r="Q84" s="76" t="n">
        <f aca="false">Q83*(1+lfund_rate)+O84</f>
        <v>260.302840688878</v>
      </c>
      <c r="R84" s="77" t="n">
        <f aca="false">People!T84*assist_cost*Economy!H84/1000000</f>
        <v>5.5404</v>
      </c>
      <c r="S84" s="78" t="n">
        <f aca="false">IF(SUM(R$6:R84)&gt;0,SUM(M$6:M84)/SUM(R$6:R84),0)</f>
        <v>0.476270289956463</v>
      </c>
      <c r="T84" s="79" t="n">
        <v>112.52</v>
      </c>
      <c r="U84" s="80" t="n">
        <f aca="false">MAX(lfund_floor,lfund_share*T84)</f>
        <v>22.504</v>
      </c>
      <c r="V84" s="76" t="n">
        <f aca="false">(I84-I83)*U84/1000000</f>
        <v>0</v>
      </c>
      <c r="W84" s="76" t="n">
        <f aca="false">W83+V84</f>
        <v>94.422075074</v>
      </c>
    </row>
    <row r="85" customFormat="false" ht="15" hidden="false" customHeight="true" outlineLevel="0" collapsed="false">
      <c r="A85" s="4" t="n">
        <v>1925</v>
      </c>
      <c r="B85" s="47" t="n">
        <v>27516955</v>
      </c>
      <c r="C85" s="75" t="n">
        <f aca="false">MAX(0,B85*lfund_farm_scale-lfund_grants)</f>
        <v>18716955</v>
      </c>
      <c r="D85" s="75" t="n">
        <f aca="false">IF(AND(lfund_on=1,$A85&gt;=lfund_start),MIN(lfund_area-lfund_home-lfund_grants,MAX(D84,INDEX($C$6:$C$92,MIN(87,80+lfund_lead)))),0)</f>
        <v>21642581</v>
      </c>
      <c r="E85" s="75" t="n">
        <f aca="false">D85-D84</f>
        <v>609009</v>
      </c>
      <c r="F85" s="76" t="n">
        <f aca="false">lfund_price/lfund_term*(D85-IF(85-lfund_term&lt;6,0,INDEX($D$6:$D$92,85-5-lfund_term)))/1000000</f>
        <v>0.00807215</v>
      </c>
      <c r="G85" s="75" t="n">
        <f aca="false">IF(AND(lfund_on=1,$A85&gt;=lfund_start+1,$A85&lt;lfund_start+1+lfund_grant_years),lfund_grants/lfund_grant_years,0)</f>
        <v>0</v>
      </c>
      <c r="H85" s="76" t="n">
        <f aca="false">(E85+G85)*lfund_survey/1000000</f>
        <v>0.01827027</v>
      </c>
      <c r="I85" s="75" t="n">
        <f aca="false">IF(AND(lfund_on=1,$A85&gt;=lfund_start),MIN(D85,MAX(I84,C85)),0)</f>
        <v>20565667</v>
      </c>
      <c r="J85" s="76" t="n">
        <f aca="false">(W85-IF(85-lfund_inst&lt;6,0,INDEX($W$6:$W$92,85-5-lfund_inst)))/lfund_inst*(1-lfund_default)</f>
        <v>0</v>
      </c>
      <c r="K85" s="76" t="n">
        <f aca="false">G85*lfund_grant_fee*U85/1000000</f>
        <v>0</v>
      </c>
      <c r="L85" s="76" t="n">
        <f aca="false">IF(AND(lfund_on=1,$A85&gt;=1860),lfund_home*lfund_lease_1932*($A85-1859)/(1932-1859)*lfund_rent*lfund_fee,0)/1000000</f>
        <v>0.0100356164383562</v>
      </c>
      <c r="M85" s="76" t="n">
        <f aca="false">J85+K85+L85-F85-H85</f>
        <v>-0.0163068035616438</v>
      </c>
      <c r="N85" s="76" t="n">
        <f aca="false">IF(lfund_on=1,IF(AND($A85&gt;=1852,$A85&lt;=1870),lfund_police,IF(AND($A85&gt;1870,$A85&lt;=1890),lfund_police_late,0))*lfund_police_cost*Economy!H85/INDEX(Economy!$H$6:$H$92,1877-1845),0)/1000000</f>
        <v>0</v>
      </c>
      <c r="O85" s="76" t="n">
        <f aca="false">M85-N85</f>
        <v>-0.0163068035616438</v>
      </c>
      <c r="P85" s="76" t="n">
        <f aca="false">P84*(1+lfund_rate)+M85</f>
        <v>474.246177438676</v>
      </c>
      <c r="Q85" s="76" t="n">
        <f aca="false">Q84*(1+lfund_rate)+O85</f>
        <v>273.30167591976</v>
      </c>
      <c r="R85" s="77" t="n">
        <f aca="false">People!T85*assist_cost*Economy!H85/1000000</f>
        <v>5.643</v>
      </c>
      <c r="S85" s="78" t="n">
        <f aca="false">IF(SUM(R$6:R85)&gt;0,SUM(M$6:M85)/SUM(R$6:R85),0)</f>
        <v>0.461228313738037</v>
      </c>
      <c r="T85" s="79" t="n">
        <v>114.57</v>
      </c>
      <c r="U85" s="80" t="n">
        <f aca="false">MAX(lfund_floor,lfund_share*T85)</f>
        <v>22.914</v>
      </c>
      <c r="V85" s="76" t="n">
        <f aca="false">(I85-I84)*U85/1000000</f>
        <v>0</v>
      </c>
      <c r="W85" s="76" t="n">
        <f aca="false">W84+V85</f>
        <v>94.422075074</v>
      </c>
    </row>
    <row r="86" customFormat="false" ht="15" hidden="false" customHeight="true" outlineLevel="0" collapsed="false">
      <c r="A86" s="4" t="n">
        <v>1926</v>
      </c>
      <c r="B86" s="47" t="n">
        <v>28078674</v>
      </c>
      <c r="C86" s="75" t="n">
        <f aca="false">MAX(0,B86*lfund_farm_scale-lfund_grants)</f>
        <v>19278674</v>
      </c>
      <c r="D86" s="75" t="n">
        <f aca="false">IF(AND(lfund_on=1,$A86&gt;=lfund_start),MIN(lfund_area-lfund_home-lfund_grants,MAX(D85,INDEX($C$6:$C$92,MIN(87,81+lfund_lead)))),0)</f>
        <v>21642581</v>
      </c>
      <c r="E86" s="75" t="n">
        <f aca="false">D86-D85</f>
        <v>0</v>
      </c>
      <c r="F86" s="76" t="n">
        <f aca="false">lfund_price/lfund_term*(D86-IF(86-lfund_term&lt;6,0,INDEX($D$6:$D$92,86-5-lfund_term)))/1000000</f>
        <v>0.00807215</v>
      </c>
      <c r="G86" s="75" t="n">
        <f aca="false">IF(AND(lfund_on=1,$A86&gt;=lfund_start+1,$A86&lt;lfund_start+1+lfund_grant_years),lfund_grants/lfund_grant_years,0)</f>
        <v>0</v>
      </c>
      <c r="H86" s="76" t="n">
        <f aca="false">(E86+G86)*lfund_survey/1000000</f>
        <v>0</v>
      </c>
      <c r="I86" s="75" t="n">
        <f aca="false">IF(AND(lfund_on=1,$A86&gt;=lfund_start),MIN(D86,MAX(I85,C86)),0)</f>
        <v>20565667</v>
      </c>
      <c r="J86" s="76" t="n">
        <f aca="false">(W86-IF(86-lfund_inst&lt;6,0,INDEX($W$6:$W$92,86-5-lfund_inst)))/lfund_inst*(1-lfund_default)</f>
        <v>0</v>
      </c>
      <c r="K86" s="76" t="n">
        <f aca="false">G86*lfund_grant_fee*U86/1000000</f>
        <v>0</v>
      </c>
      <c r="L86" s="76" t="n">
        <f aca="false">IF(AND(lfund_on=1,$A86&gt;=1860),lfund_home*lfund_lease_1932*($A86-1859)/(1932-1859)*lfund_rent*lfund_fee,0)/1000000</f>
        <v>0.0101876712328767</v>
      </c>
      <c r="M86" s="76" t="n">
        <f aca="false">J86+K86+L86-F86-H86</f>
        <v>0.00211552123287671</v>
      </c>
      <c r="N86" s="76" t="n">
        <f aca="false">IF(lfund_on=1,IF(AND($A86&gt;=1852,$A86&lt;=1870),lfund_police,IF(AND($A86&gt;1870,$A86&lt;=1890),lfund_police_late,0))*lfund_police_cost*Economy!H86/INDEX(Economy!$H$6:$H$92,1877-1845),0)/1000000</f>
        <v>0</v>
      </c>
      <c r="O86" s="76" t="n">
        <f aca="false">M86-N86</f>
        <v>0.00211552123287671</v>
      </c>
      <c r="P86" s="76" t="n">
        <f aca="false">P85*(1+lfund_rate)+M86</f>
        <v>497.960601831843</v>
      </c>
      <c r="Q86" s="76" t="n">
        <f aca="false">Q85*(1+lfund_rate)+O86</f>
        <v>286.968875236981</v>
      </c>
      <c r="R86" s="77" t="n">
        <f aca="false">People!T86*assist_cost*Economy!H86/1000000</f>
        <v>5.5404</v>
      </c>
      <c r="S86" s="78" t="n">
        <f aca="false">IF(SUM(R$6:R86)&gt;0,SUM(M$6:M86)/SUM(R$6:R86),0)</f>
        <v>0.447448982467785</v>
      </c>
      <c r="T86" s="79" t="n">
        <v>114.12</v>
      </c>
      <c r="U86" s="80" t="n">
        <f aca="false">MAX(lfund_floor,lfund_share*T86)</f>
        <v>22.824</v>
      </c>
      <c r="V86" s="76" t="n">
        <f aca="false">(I86-I85)*U86/1000000</f>
        <v>0</v>
      </c>
      <c r="W86" s="76" t="n">
        <f aca="false">W85+V86</f>
        <v>94.422075074</v>
      </c>
    </row>
    <row r="87" customFormat="false" ht="15" hidden="false" customHeight="true" outlineLevel="0" collapsed="false">
      <c r="A87" s="4" t="n">
        <v>1927</v>
      </c>
      <c r="B87" s="47" t="n">
        <v>28651859</v>
      </c>
      <c r="C87" s="75" t="n">
        <f aca="false">MAX(0,B87*lfund_farm_scale-lfund_grants)</f>
        <v>19851859</v>
      </c>
      <c r="D87" s="75" t="n">
        <f aca="false">IF(AND(lfund_on=1,$A87&gt;=lfund_start),MIN(lfund_area-lfund_home-lfund_grants,MAX(D86,INDEX($C$6:$C$92,MIN(87,82+lfund_lead)))),0)</f>
        <v>21642581</v>
      </c>
      <c r="E87" s="75" t="n">
        <f aca="false">D87-D86</f>
        <v>0</v>
      </c>
      <c r="F87" s="76" t="n">
        <f aca="false">lfund_price/lfund_term*(D87-IF(87-lfund_term&lt;6,0,INDEX($D$6:$D$92,87-5-lfund_term)))/1000000</f>
        <v>0.00807215</v>
      </c>
      <c r="G87" s="75" t="n">
        <f aca="false">IF(AND(lfund_on=1,$A87&gt;=lfund_start+1,$A87&lt;lfund_start+1+lfund_grant_years),lfund_grants/lfund_grant_years,0)</f>
        <v>0</v>
      </c>
      <c r="H87" s="76" t="n">
        <f aca="false">(E87+G87)*lfund_survey/1000000</f>
        <v>0</v>
      </c>
      <c r="I87" s="75" t="n">
        <f aca="false">IF(AND(lfund_on=1,$A87&gt;=lfund_start),MIN(D87,MAX(I86,C87)),0)</f>
        <v>20565667</v>
      </c>
      <c r="J87" s="76" t="n">
        <f aca="false">(W87-IF(87-lfund_inst&lt;6,0,INDEX($W$6:$W$92,87-5-lfund_inst)))/lfund_inst*(1-lfund_default)</f>
        <v>0</v>
      </c>
      <c r="K87" s="76" t="n">
        <f aca="false">G87*lfund_grant_fee*U87/1000000</f>
        <v>0</v>
      </c>
      <c r="L87" s="76" t="n">
        <f aca="false">IF(AND(lfund_on=1,$A87&gt;=1860),lfund_home*lfund_lease_1932*($A87-1859)/(1932-1859)*lfund_rent*lfund_fee,0)/1000000</f>
        <v>0.0103397260273973</v>
      </c>
      <c r="M87" s="76" t="n">
        <f aca="false">J87+K87+L87-F87-H87</f>
        <v>0.00226757602739726</v>
      </c>
      <c r="N87" s="76" t="n">
        <f aca="false">IF(lfund_on=1,IF(AND($A87&gt;=1852,$A87&lt;=1870),lfund_police,IF(AND($A87&gt;1870,$A87&lt;=1890),lfund_police_late,0))*lfund_police_cost*Economy!H87/INDEX(Economy!$H$6:$H$92,1877-1845),0)/1000000</f>
        <v>0</v>
      </c>
      <c r="O87" s="76" t="n">
        <f aca="false">M87-N87</f>
        <v>0.00226757602739726</v>
      </c>
      <c r="P87" s="76" t="n">
        <f aca="false">P86*(1+lfund_rate)+M87</f>
        <v>522.860899499462</v>
      </c>
      <c r="Q87" s="76" t="n">
        <f aca="false">Q86*(1+lfund_rate)+O87</f>
        <v>301.319586574857</v>
      </c>
      <c r="R87" s="77" t="n">
        <f aca="false">People!T87*assist_cost*Economy!H87/1000000</f>
        <v>5.4036</v>
      </c>
      <c r="S87" s="78" t="n">
        <f aca="false">IF(SUM(R$6:R87)&gt;0,SUM(M$6:M87)/SUM(R$6:R87),0)</f>
        <v>0.434782199698742</v>
      </c>
      <c r="T87" s="79" t="n">
        <v>113.67</v>
      </c>
      <c r="U87" s="80" t="n">
        <f aca="false">MAX(lfund_floor,lfund_share*T87)</f>
        <v>22.734</v>
      </c>
      <c r="V87" s="76" t="n">
        <f aca="false">(I87-I86)*U87/1000000</f>
        <v>0</v>
      </c>
      <c r="W87" s="76" t="n">
        <f aca="false">W86+V87</f>
        <v>94.422075074</v>
      </c>
    </row>
    <row r="88" customFormat="false" ht="15" hidden="false" customHeight="true" outlineLevel="0" collapsed="false">
      <c r="A88" s="4" t="n">
        <v>1928</v>
      </c>
      <c r="B88" s="47" t="n">
        <v>29236746</v>
      </c>
      <c r="C88" s="75" t="n">
        <f aca="false">MAX(0,B88*lfund_farm_scale-lfund_grants)</f>
        <v>20436746</v>
      </c>
      <c r="D88" s="75" t="n">
        <f aca="false">IF(AND(lfund_on=1,$A88&gt;=lfund_start),MIN(lfund_area-lfund_home-lfund_grants,MAX(D87,INDEX($C$6:$C$92,MIN(87,83+lfund_lead)))),0)</f>
        <v>21642581</v>
      </c>
      <c r="E88" s="75" t="n">
        <f aca="false">D88-D87</f>
        <v>0</v>
      </c>
      <c r="F88" s="76" t="n">
        <f aca="false">lfund_price/lfund_term*(D88-IF(88-lfund_term&lt;6,0,INDEX($D$6:$D$92,88-5-lfund_term)))/1000000</f>
        <v>0.00807215</v>
      </c>
      <c r="G88" s="75" t="n">
        <f aca="false">IF(AND(lfund_on=1,$A88&gt;=lfund_start+1,$A88&lt;lfund_start+1+lfund_grant_years),lfund_grants/lfund_grant_years,0)</f>
        <v>0</v>
      </c>
      <c r="H88" s="76" t="n">
        <f aca="false">(E88+G88)*lfund_survey/1000000</f>
        <v>0</v>
      </c>
      <c r="I88" s="75" t="n">
        <f aca="false">IF(AND(lfund_on=1,$A88&gt;=lfund_start),MIN(D88,MAX(I87,C88)),0)</f>
        <v>20565667</v>
      </c>
      <c r="J88" s="76" t="n">
        <f aca="false">(W88-IF(88-lfund_inst&lt;6,0,INDEX($W$6:$W$92,88-5-lfund_inst)))/lfund_inst*(1-lfund_default)</f>
        <v>0</v>
      </c>
      <c r="K88" s="76" t="n">
        <f aca="false">G88*lfund_grant_fee*U88/1000000</f>
        <v>0</v>
      </c>
      <c r="L88" s="76" t="n">
        <f aca="false">IF(AND(lfund_on=1,$A88&gt;=1860),lfund_home*lfund_lease_1932*($A88-1859)/(1932-1859)*lfund_rent*lfund_fee,0)/1000000</f>
        <v>0.0104917808219178</v>
      </c>
      <c r="M88" s="76" t="n">
        <f aca="false">J88+K88+L88-F88-H88</f>
        <v>0.00241963082191781</v>
      </c>
      <c r="N88" s="76" t="n">
        <f aca="false">IF(lfund_on=1,IF(AND($A88&gt;=1852,$A88&lt;=1870),lfund_police,IF(AND($A88&gt;1870,$A88&lt;=1890),lfund_police_late,0))*lfund_police_cost*Economy!H88/INDEX(Economy!$H$6:$H$92,1877-1845),0)/1000000</f>
        <v>0</v>
      </c>
      <c r="O88" s="76" t="n">
        <f aca="false">M88-N88</f>
        <v>0.00241963082191781</v>
      </c>
      <c r="P88" s="76" t="n">
        <f aca="false">P87*(1+lfund_rate)+M88</f>
        <v>549.006364105258</v>
      </c>
      <c r="Q88" s="76" t="n">
        <f aca="false">Q87*(1+lfund_rate)+O88</f>
        <v>316.387985534422</v>
      </c>
      <c r="R88" s="77" t="n">
        <f aca="false">People!T88*assist_cost*Economy!H88/1000000</f>
        <v>5.472</v>
      </c>
      <c r="S88" s="78" t="n">
        <f aca="false">IF(SUM(R$6:R88)&gt;0,SUM(M$6:M88)/SUM(R$6:R88),0)</f>
        <v>0.422666827328797</v>
      </c>
      <c r="T88" s="79" t="n">
        <v>113.22</v>
      </c>
      <c r="U88" s="80" t="n">
        <f aca="false">MAX(lfund_floor,lfund_share*T88)</f>
        <v>22.644</v>
      </c>
      <c r="V88" s="76" t="n">
        <f aca="false">(I88-I87)*U88/1000000</f>
        <v>0</v>
      </c>
      <c r="W88" s="76" t="n">
        <f aca="false">W87+V88</f>
        <v>94.422075074</v>
      </c>
    </row>
    <row r="89" customFormat="false" ht="15" hidden="false" customHeight="true" outlineLevel="0" collapsed="false">
      <c r="A89" s="4" t="n">
        <v>1929</v>
      </c>
      <c r="B89" s="47" t="n">
        <v>29833572</v>
      </c>
      <c r="C89" s="75" t="n">
        <f aca="false">MAX(0,B89*lfund_farm_scale-lfund_grants)</f>
        <v>21033572</v>
      </c>
      <c r="D89" s="75" t="n">
        <f aca="false">IF(AND(lfund_on=1,$A89&gt;=lfund_start),MIN(lfund_area-lfund_home-lfund_grants,MAX(D88,INDEX($C$6:$C$92,MIN(87,84+lfund_lead)))),0)</f>
        <v>21642581</v>
      </c>
      <c r="E89" s="75" t="n">
        <f aca="false">D89-D88</f>
        <v>0</v>
      </c>
      <c r="F89" s="76" t="n">
        <f aca="false">lfund_price/lfund_term*(D89-IF(89-lfund_term&lt;6,0,INDEX($D$6:$D$92,89-5-lfund_term)))/1000000</f>
        <v>0.00807215</v>
      </c>
      <c r="G89" s="75" t="n">
        <f aca="false">IF(AND(lfund_on=1,$A89&gt;=lfund_start+1,$A89&lt;lfund_start+1+lfund_grant_years),lfund_grants/lfund_grant_years,0)</f>
        <v>0</v>
      </c>
      <c r="H89" s="76" t="n">
        <f aca="false">(E89+G89)*lfund_survey/1000000</f>
        <v>0</v>
      </c>
      <c r="I89" s="75" t="n">
        <f aca="false">IF(AND(lfund_on=1,$A89&gt;=lfund_start),MIN(D89,MAX(I88,C89)),0)</f>
        <v>21033572</v>
      </c>
      <c r="J89" s="76" t="n">
        <f aca="false">(W89-IF(89-lfund_inst&lt;6,0,INDEX($W$6:$W$92,89-5-lfund_inst)))/lfund_inst*(1-lfund_default)</f>
        <v>1.8995632866</v>
      </c>
      <c r="K89" s="76" t="n">
        <f aca="false">G89*lfund_grant_fee*U89/1000000</f>
        <v>0</v>
      </c>
      <c r="L89" s="76" t="n">
        <f aca="false">IF(AND(lfund_on=1,$A89&gt;=1860),lfund_home*lfund_lease_1932*($A89-1859)/(1932-1859)*lfund_rent*lfund_fee,0)/1000000</f>
        <v>0.0106438356164384</v>
      </c>
      <c r="M89" s="76" t="n">
        <f aca="false">J89+K89+L89-F89-H89</f>
        <v>1.90213497221644</v>
      </c>
      <c r="N89" s="76" t="n">
        <f aca="false">IF(lfund_on=1,IF(AND($A89&gt;=1852,$A89&lt;=1870),lfund_police,IF(AND($A89&gt;1870,$A89&lt;=1890),lfund_police_late,0))*lfund_police_cost*Economy!H89/INDEX(Economy!$H$6:$H$92,1877-1845),0)/1000000</f>
        <v>0</v>
      </c>
      <c r="O89" s="76" t="n">
        <f aca="false">M89-N89</f>
        <v>1.90213497221644</v>
      </c>
      <c r="P89" s="76" t="n">
        <f aca="false">P88*(1+lfund_rate)+M89</f>
        <v>578.358817282737</v>
      </c>
      <c r="Q89" s="76" t="n">
        <f aca="false">Q88*(1+lfund_rate)+O89</f>
        <v>334.10951978336</v>
      </c>
      <c r="R89" s="77" t="n">
        <f aca="false">People!T89*assist_cost*Economy!H89/1000000</f>
        <v>5.472</v>
      </c>
      <c r="S89" s="78" t="n">
        <f aca="false">IF(SUM(R$6:R89)&gt;0,SUM(M$6:M89)/SUM(R$6:R89),0)</f>
        <v>0.420630089643891</v>
      </c>
      <c r="T89" s="79" t="n">
        <v>112.77</v>
      </c>
      <c r="U89" s="80" t="n">
        <f aca="false">MAX(lfund_floor,lfund_share*T89)</f>
        <v>22.554</v>
      </c>
      <c r="V89" s="76" t="n">
        <f aca="false">(I89-I88)*U89/1000000</f>
        <v>10.55312937</v>
      </c>
      <c r="W89" s="76" t="n">
        <f aca="false">W88+V89</f>
        <v>104.975204444</v>
      </c>
    </row>
    <row r="90" customFormat="false" ht="15" hidden="false" customHeight="true" outlineLevel="0" collapsed="false">
      <c r="A90" s="4" t="n">
        <v>1930</v>
      </c>
      <c r="B90" s="47" t="n">
        <v>30442581</v>
      </c>
      <c r="C90" s="75" t="n">
        <f aca="false">MAX(0,B90*lfund_farm_scale-lfund_grants)</f>
        <v>21642581</v>
      </c>
      <c r="D90" s="75" t="n">
        <f aca="false">IF(AND(lfund_on=1,$A90&gt;=lfund_start),MIN(lfund_area-lfund_home-lfund_grants,MAX(D89,INDEX($C$6:$C$92,MIN(87,85+lfund_lead)))),0)</f>
        <v>21642581</v>
      </c>
      <c r="E90" s="75" t="n">
        <f aca="false">D90-D89</f>
        <v>0</v>
      </c>
      <c r="F90" s="76" t="n">
        <f aca="false">lfund_price/lfund_term*(D90-IF(90-lfund_term&lt;6,0,INDEX($D$6:$D$92,90-5-lfund_term)))/1000000</f>
        <v>0.00807215</v>
      </c>
      <c r="G90" s="75" t="n">
        <f aca="false">IF(AND(lfund_on=1,$A90&gt;=lfund_start+1,$A90&lt;lfund_start+1+lfund_grant_years),lfund_grants/lfund_grant_years,0)</f>
        <v>0</v>
      </c>
      <c r="H90" s="76" t="n">
        <f aca="false">(E90+G90)*lfund_survey/1000000</f>
        <v>0</v>
      </c>
      <c r="I90" s="75" t="n">
        <f aca="false">IF(AND(lfund_on=1,$A90&gt;=lfund_start),MIN(D90,MAX(I89,C90)),0)</f>
        <v>21642581</v>
      </c>
      <c r="J90" s="76" t="n">
        <f aca="false">(W90-IF(90-lfund_inst&lt;6,0,INDEX($W$6:$W$92,90-5-lfund_inst)))/lfund_inst*(1-lfund_default)</f>
        <v>4.36232260152</v>
      </c>
      <c r="K90" s="76" t="n">
        <f aca="false">G90*lfund_grant_fee*U90/1000000</f>
        <v>0</v>
      </c>
      <c r="L90" s="76" t="n">
        <f aca="false">IF(AND(lfund_on=1,$A90&gt;=1860),lfund_home*lfund_lease_1932*($A90-1859)/(1932-1859)*lfund_rent*lfund_fee,0)/1000000</f>
        <v>0.0107958904109589</v>
      </c>
      <c r="M90" s="76" t="n">
        <f aca="false">J90+K90+L90-F90-H90</f>
        <v>4.36504634193096</v>
      </c>
      <c r="N90" s="76" t="n">
        <f aca="false">IF(lfund_on=1,IF(AND($A90&gt;=1852,$A90&lt;=1870),lfund_police,IF(AND($A90&gt;1870,$A90&lt;=1890),lfund_police_late,0))*lfund_police_cost*Economy!H90/INDEX(Economy!$H$6:$H$92,1877-1845),0)/1000000</f>
        <v>0</v>
      </c>
      <c r="O90" s="76" t="n">
        <f aca="false">M90-N90</f>
        <v>4.36504634193096</v>
      </c>
      <c r="P90" s="76" t="n">
        <f aca="false">P89*(1+lfund_rate)+M90</f>
        <v>611.641804488805</v>
      </c>
      <c r="Q90" s="76" t="n">
        <f aca="false">Q89*(1+lfund_rate)+O90</f>
        <v>355.180042114459</v>
      </c>
      <c r="R90" s="77" t="n">
        <f aca="false">People!T90*assist_cost*Economy!H90/1000000</f>
        <v>1.738728</v>
      </c>
      <c r="S90" s="78" t="n">
        <f aca="false">IF(SUM(R$6:R90)&gt;0,SUM(M$6:M90)/SUM(R$6:R90),0)</f>
        <v>0.438496246492234</v>
      </c>
      <c r="T90" s="79" t="n">
        <v>112.33</v>
      </c>
      <c r="U90" s="80" t="n">
        <f aca="false">MAX(lfund_floor,lfund_share*T90)</f>
        <v>22.466</v>
      </c>
      <c r="V90" s="76" t="n">
        <f aca="false">(I90-I89)*U90/1000000</f>
        <v>13.681996194</v>
      </c>
      <c r="W90" s="76" t="n">
        <f aca="false">W89+V90</f>
        <v>118.657200638</v>
      </c>
    </row>
    <row r="91" customFormat="false" ht="15" hidden="false" customHeight="true" outlineLevel="0" collapsed="false">
      <c r="A91" s="4" t="n">
        <v>1931</v>
      </c>
      <c r="B91" s="47" t="n">
        <v>30442581</v>
      </c>
      <c r="C91" s="75" t="n">
        <f aca="false">MAX(0,B91*lfund_farm_scale-lfund_grants)</f>
        <v>21642581</v>
      </c>
      <c r="D91" s="75" t="n">
        <f aca="false">IF(AND(lfund_on=1,$A91&gt;=lfund_start),MIN(lfund_area-lfund_home-lfund_grants,MAX(D90,INDEX($C$6:$C$92,MIN(87,86+lfund_lead)))),0)</f>
        <v>21642581</v>
      </c>
      <c r="E91" s="75" t="n">
        <f aca="false">D91-D90</f>
        <v>0</v>
      </c>
      <c r="F91" s="76" t="n">
        <f aca="false">lfund_price/lfund_term*(D91-IF(91-lfund_term&lt;6,0,INDEX($D$6:$D$92,91-5-lfund_term)))/1000000</f>
        <v>0.00807215</v>
      </c>
      <c r="G91" s="75" t="n">
        <f aca="false">IF(AND(lfund_on=1,$A91&gt;=lfund_start+1,$A91&lt;lfund_start+1+lfund_grant_years),lfund_grants/lfund_grant_years,0)</f>
        <v>0</v>
      </c>
      <c r="H91" s="76" t="n">
        <f aca="false">(E91+G91)*lfund_survey/1000000</f>
        <v>0</v>
      </c>
      <c r="I91" s="75" t="n">
        <f aca="false">IF(AND(lfund_on=1,$A91&gt;=lfund_start),MIN(D91,MAX(I90,C91)),0)</f>
        <v>21642581</v>
      </c>
      <c r="J91" s="76" t="n">
        <f aca="false">(W91-IF(91-lfund_inst&lt;6,0,INDEX($W$6:$W$92,91-5-lfund_inst)))/lfund_inst*(1-lfund_default)</f>
        <v>4.36232260152</v>
      </c>
      <c r="K91" s="76" t="n">
        <f aca="false">G91*lfund_grant_fee*U91/1000000</f>
        <v>0</v>
      </c>
      <c r="L91" s="76" t="n">
        <f aca="false">IF(AND(lfund_on=1,$A91&gt;=1860),lfund_home*lfund_lease_1932*($A91-1859)/(1932-1859)*lfund_rent*lfund_fee,0)/1000000</f>
        <v>0.0109479452054795</v>
      </c>
      <c r="M91" s="76" t="n">
        <f aca="false">J91+K91+L91-F91-H91</f>
        <v>4.36519839672548</v>
      </c>
      <c r="N91" s="76" t="n">
        <f aca="false">IF(lfund_on=1,IF(AND($A91&gt;=1852,$A91&lt;=1870),lfund_police,IF(AND($A91&gt;1870,$A91&lt;=1890),lfund_police_late,0))*lfund_police_cost*Economy!H91/INDEX(Economy!$H$6:$H$92,1877-1845),0)/1000000</f>
        <v>0</v>
      </c>
      <c r="O91" s="76" t="n">
        <f aca="false">M91-N91</f>
        <v>4.36519839672548</v>
      </c>
      <c r="P91" s="76" t="n">
        <f aca="false">P90*(1+lfund_rate)+M91</f>
        <v>646.58909310997</v>
      </c>
      <c r="Q91" s="76" t="n">
        <f aca="false">Q90*(1+lfund_rate)+O91</f>
        <v>377.304242616907</v>
      </c>
      <c r="R91" s="77" t="n">
        <f aca="false">People!T91*assist_cost*Economy!H91/1000000</f>
        <v>1.631592</v>
      </c>
      <c r="S91" s="78" t="n">
        <f aca="false">IF(SUM(R$6:R91)&gt;0,SUM(M$6:M91)/SUM(R$6:R91),0)</f>
        <v>0.456298584309484</v>
      </c>
      <c r="T91" s="79" t="n">
        <v>112.33</v>
      </c>
      <c r="U91" s="80" t="n">
        <f aca="false">MAX(lfund_floor,lfund_share*T91)</f>
        <v>22.466</v>
      </c>
      <c r="V91" s="76" t="n">
        <f aca="false">(I91-I90)*U91/1000000</f>
        <v>0</v>
      </c>
      <c r="W91" s="76" t="n">
        <f aca="false">W90+V91</f>
        <v>118.657200638</v>
      </c>
    </row>
    <row r="92" customFormat="false" ht="15" hidden="false" customHeight="true" outlineLevel="0" collapsed="false">
      <c r="A92" s="4" t="n">
        <v>1932</v>
      </c>
      <c r="B92" s="47" t="n">
        <v>30442581</v>
      </c>
      <c r="C92" s="75" t="n">
        <f aca="false">MAX(0,B92*lfund_farm_scale-lfund_grants)</f>
        <v>21642581</v>
      </c>
      <c r="D92" s="75" t="n">
        <f aca="false">IF(AND(lfund_on=1,$A92&gt;=lfund_start),MIN(lfund_area-lfund_home-lfund_grants,MAX(D91,INDEX($C$6:$C$92,MIN(87,87+lfund_lead)))),0)</f>
        <v>21642581</v>
      </c>
      <c r="E92" s="75" t="n">
        <f aca="false">D92-D91</f>
        <v>0</v>
      </c>
      <c r="F92" s="76" t="n">
        <f aca="false">lfund_price/lfund_term*(D92-IF(92-lfund_term&lt;6,0,INDEX($D$6:$D$92,92-5-lfund_term)))/1000000</f>
        <v>0.00757373</v>
      </c>
      <c r="G92" s="75" t="n">
        <f aca="false">IF(AND(lfund_on=1,$A92&gt;=lfund_start+1,$A92&lt;lfund_start+1+lfund_grant_years),lfund_grants/lfund_grant_years,0)</f>
        <v>0</v>
      </c>
      <c r="H92" s="76" t="n">
        <f aca="false">(E92+G92)*lfund_survey/1000000</f>
        <v>0</v>
      </c>
      <c r="I92" s="75" t="n">
        <f aca="false">IF(AND(lfund_on=1,$A92&gt;=lfund_start),MIN(D92,MAX(I91,C92)),0)</f>
        <v>21642581</v>
      </c>
      <c r="J92" s="76" t="n">
        <f aca="false">(W92-IF(92-lfund_inst&lt;6,0,INDEX($W$6:$W$92,92-5-lfund_inst)))/lfund_inst*(1-lfund_default)</f>
        <v>4.36232260152</v>
      </c>
      <c r="K92" s="76" t="n">
        <f aca="false">G92*lfund_grant_fee*U92/1000000</f>
        <v>0</v>
      </c>
      <c r="L92" s="76" t="n">
        <f aca="false">IF(AND(lfund_on=1,$A92&gt;=1860),lfund_home*lfund_lease_1932*($A92-1859)/(1932-1859)*lfund_rent*lfund_fee,0)/1000000</f>
        <v>0.0111</v>
      </c>
      <c r="M92" s="76" t="n">
        <f aca="false">J92+K92+L92-F92-H92</f>
        <v>4.36584887152</v>
      </c>
      <c r="N92" s="76" t="n">
        <f aca="false">IF(lfund_on=1,IF(AND($A92&gt;=1852,$A92&lt;=1870),lfund_police,IF(AND($A92&gt;1870,$A92&lt;=1890),lfund_police_late,0))*lfund_police_cost*Economy!H92/INDEX(Economy!$H$6:$H$92,1877-1845),0)/1000000</f>
        <v>0</v>
      </c>
      <c r="O92" s="76" t="n">
        <f aca="false">M92-N92</f>
        <v>4.36584887152</v>
      </c>
      <c r="P92" s="76" t="n">
        <f aca="false">P91*(1+lfund_rate)+M92</f>
        <v>683.284396636989</v>
      </c>
      <c r="Q92" s="76" t="n">
        <f aca="false">Q91*(1+lfund_rate)+O92</f>
        <v>400.535303619273</v>
      </c>
      <c r="R92" s="77" t="n">
        <f aca="false">People!T92*assist_cost*Economy!H92/1000000</f>
        <v>1.531152</v>
      </c>
      <c r="S92" s="78" t="n">
        <f aca="false">IF(SUM(R$6:R92)&gt;0,SUM(M$6:M92)/SUM(R$6:R92),0)</f>
        <v>0.474053363173518</v>
      </c>
      <c r="T92" s="79" t="n">
        <v>112.33</v>
      </c>
      <c r="U92" s="80" t="n">
        <f aca="false">MAX(lfund_floor,lfund_share*T92)</f>
        <v>22.466</v>
      </c>
      <c r="V92" s="76" t="n">
        <f aca="false">(I92-I91)*U92/1000000</f>
        <v>0</v>
      </c>
      <c r="W92" s="76" t="n">
        <f aca="false">W91+V92</f>
        <v>118.657200638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Y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5" min="2" style="1" width="12.44"/>
  </cols>
  <sheetData>
    <row r="1" customFormat="false" ht="18" hidden="false" customHeight="true" outlineLevel="0" collapsed="false">
      <c r="A1" s="19" t="s">
        <v>1493</v>
      </c>
    </row>
    <row r="2" customFormat="false" ht="14.25" hidden="false" customHeight="true" outlineLevel="0" collapsed="false">
      <c r="A2" s="3" t="s">
        <v>1494</v>
      </c>
    </row>
    <row r="3" customFormat="false" ht="14.25" hidden="false" customHeight="true" outlineLevel="0" collapsed="false">
      <c r="A3" s="20" t="s">
        <v>1315</v>
      </c>
    </row>
    <row r="4" customFormat="false" ht="14.25" hidden="false" customHeight="true" outlineLevel="0" collapsed="false">
      <c r="B4" s="58" t="s">
        <v>1495</v>
      </c>
      <c r="C4" s="58"/>
      <c r="D4" s="58"/>
      <c r="E4" s="58"/>
      <c r="F4" s="58" t="s">
        <v>1496</v>
      </c>
      <c r="G4" s="58"/>
      <c r="H4" s="58"/>
      <c r="I4" s="58"/>
      <c r="J4" s="58"/>
      <c r="K4" s="58"/>
      <c r="L4" s="58"/>
      <c r="M4" s="58"/>
      <c r="N4" s="58"/>
      <c r="O4" s="58"/>
      <c r="P4" s="58" t="s">
        <v>1497</v>
      </c>
      <c r="Q4" s="58"/>
      <c r="R4" s="58"/>
      <c r="S4" s="58"/>
      <c r="T4" s="58"/>
      <c r="U4" s="58"/>
      <c r="V4" s="58" t="s">
        <v>1498</v>
      </c>
      <c r="W4" s="58"/>
      <c r="X4" s="58"/>
      <c r="Y4" s="58"/>
    </row>
    <row r="5" customFormat="false" ht="54" hidden="false" customHeight="true" outlineLevel="0" collapsed="false">
      <c r="A5" s="60" t="s">
        <v>103</v>
      </c>
      <c r="B5" s="7" t="s">
        <v>1499</v>
      </c>
      <c r="C5" s="7" t="s">
        <v>1500</v>
      </c>
      <c r="D5" s="7" t="s">
        <v>1501</v>
      </c>
      <c r="E5" s="7" t="s">
        <v>1502</v>
      </c>
      <c r="F5" s="7" t="s">
        <v>1503</v>
      </c>
      <c r="G5" s="7" t="s">
        <v>1504</v>
      </c>
      <c r="H5" s="7" t="s">
        <v>1505</v>
      </c>
      <c r="I5" s="7" t="s">
        <v>1506</v>
      </c>
      <c r="J5" s="7" t="s">
        <v>1507</v>
      </c>
      <c r="K5" s="7" t="s">
        <v>1508</v>
      </c>
      <c r="L5" s="7" t="s">
        <v>1509</v>
      </c>
      <c r="M5" s="7" t="s">
        <v>1510</v>
      </c>
      <c r="N5" s="7" t="s">
        <v>1511</v>
      </c>
      <c r="O5" s="7" t="s">
        <v>1512</v>
      </c>
      <c r="P5" s="7" t="s">
        <v>1513</v>
      </c>
      <c r="Q5" s="7" t="s">
        <v>1514</v>
      </c>
      <c r="R5" s="7" t="s">
        <v>1515</v>
      </c>
      <c r="S5" s="7" t="s">
        <v>1516</v>
      </c>
      <c r="T5" s="7" t="s">
        <v>1517</v>
      </c>
      <c r="U5" s="7" t="s">
        <v>1518</v>
      </c>
      <c r="V5" s="7" t="s">
        <v>31</v>
      </c>
      <c r="W5" s="7" t="s">
        <v>1519</v>
      </c>
      <c r="X5" s="7" t="s">
        <v>1520</v>
      </c>
      <c r="Y5" s="7" t="s">
        <v>1521</v>
      </c>
    </row>
    <row r="6" customFormat="false" ht="14.25" hidden="false" customHeight="true" outlineLevel="0" collapsed="false">
      <c r="A6" s="61" t="n">
        <v>1846</v>
      </c>
      <c r="B6" s="56" t="n">
        <f aca="false">Loans!V6-Loans!W6</f>
        <v>0</v>
      </c>
      <c r="C6" s="56" t="n">
        <f aca="false">0</f>
        <v>0</v>
      </c>
      <c r="D6" s="56" t="n">
        <f aca="false">opening_cash+Budget!Z6-B6-C6</f>
        <v>0.1337912129305</v>
      </c>
      <c r="E6" s="56" t="n">
        <f aca="false">MAX(0.1,Budget!M6*cash_target)</f>
        <v>0.222276991217625</v>
      </c>
      <c r="F6" s="56" t="n">
        <f aca="false">0</f>
        <v>0</v>
      </c>
      <c r="G6" s="56" t="n">
        <f aca="false">MAX(0,E6-D6)</f>
        <v>0.088485778287125</v>
      </c>
      <c r="H6" s="56" t="n">
        <f aca="false">G6/issue_price</f>
        <v>0.0912224518423969</v>
      </c>
      <c r="I6" s="56" t="n">
        <f aca="false">0</f>
        <v>0</v>
      </c>
      <c r="J6" s="56" t="n">
        <f aca="false">0</f>
        <v>0</v>
      </c>
      <c r="K6" s="56" t="n">
        <f aca="false">0</f>
        <v>0</v>
      </c>
      <c r="L6" s="56" t="n">
        <f aca="false">IF(D6&gt;E6,D6-E6-I6-K6,0)</f>
        <v>0</v>
      </c>
      <c r="M6" s="56" t="n">
        <f aca="false">D6+F6+G6-I6-K6-L6</f>
        <v>0.222276991217625</v>
      </c>
      <c r="N6" s="56" t="n">
        <f aca="false">I6+J6+Q6*issue_price*dev_bonds+SUMPRODUCT((Events!$B$6:$B$400&lt;=$A6)*(Events!$C$6:$C$400&gt;=$A6)*(Events!$E$6:$E$400="Investment")*Events!$H$6:$H$400)</f>
        <v>0</v>
      </c>
      <c r="O6" s="56" t="n">
        <f aca="false">0</f>
        <v>0</v>
      </c>
      <c r="P6" s="56" t="n">
        <f aca="false">SUMPRODUCT((Events!$B$6:$B$400&lt;=$A6)*(Events!$C$6:$C$400&gt;=$A6)*(Events!$E$6:$E$400="Debt assumed")*Events!$H$6:$H$400)</f>
        <v>0</v>
      </c>
      <c r="Q6" s="56" t="n">
        <f aca="false">0</f>
        <v>0</v>
      </c>
      <c r="R6" s="56" t="n">
        <f aca="false">P6+H6</f>
        <v>0.0912224518423969</v>
      </c>
      <c r="S6" s="56" t="n">
        <f aca="false">L6</f>
        <v>0</v>
      </c>
      <c r="T6" s="72" t="n">
        <f aca="false">Loans!X6</f>
        <v>0</v>
      </c>
      <c r="U6" s="56" t="n">
        <f aca="false">R6-M6-S6-T6</f>
        <v>-0.131054539375228</v>
      </c>
      <c r="V6" s="66" t="n">
        <f aca="false">R6/Economy!O6</f>
        <v>0.00483245865692216</v>
      </c>
      <c r="W6" s="66" t="n">
        <f aca="false">Budget!X6/Budget!M6</f>
        <v>0</v>
      </c>
      <c r="X6" s="66" t="n">
        <f aca="false">S6/Economy!O6</f>
        <v>0</v>
      </c>
      <c r="Y6" s="56" t="n">
        <f aca="false">MAX(0,H6+Q6-'Gold &amp; money'!G6)</f>
        <v>0.0912224518423969</v>
      </c>
    </row>
    <row r="7" customFormat="false" ht="14.25" hidden="false" customHeight="true" outlineLevel="0" collapsed="false">
      <c r="A7" s="61" t="n">
        <v>1847</v>
      </c>
      <c r="B7" s="56" t="n">
        <f aca="false">Loans!V7-Loans!W7</f>
        <v>0</v>
      </c>
      <c r="C7" s="56" t="n">
        <f aca="false">R6*debt_amort</f>
        <v>0.00182444903684794</v>
      </c>
      <c r="D7" s="56" t="n">
        <f aca="false">M6+Budget!Z7-B7-C7</f>
        <v>-0.263073846488796</v>
      </c>
      <c r="E7" s="56" t="n">
        <f aca="false">MAX(0.1,Budget!M7*cash_target)</f>
        <v>0.230928108079844</v>
      </c>
      <c r="F7" s="56" t="n">
        <f aca="false">IF(D7&lt;E7,MIN(E7-D7,S6),0)</f>
        <v>0</v>
      </c>
      <c r="G7" s="56" t="n">
        <f aca="false">MAX(0,E7-D7-F7)</f>
        <v>0.49400195456864</v>
      </c>
      <c r="H7" s="56" t="n">
        <f aca="false">G7/issue_price</f>
        <v>0.50928036553468</v>
      </c>
      <c r="I7" s="56" t="n">
        <f aca="false">IF(AND(D7&gt;E7,$A7&gt;=dev_start),(D7-E7)*dev_share,0)</f>
        <v>0</v>
      </c>
      <c r="J7" s="56" t="n">
        <f aca="false">IF($A7&gt;=dev_start,MAX(0,S6-F7-reserve_buffer*Economy!O7),0)</f>
        <v>0</v>
      </c>
      <c r="K7" s="56" t="n">
        <f aca="false">IF(D7&gt;E7,MIN((D7-E7-I7)*repay_share,R6-C7),0)</f>
        <v>0</v>
      </c>
      <c r="L7" s="56" t="n">
        <f aca="false">IF(D7&gt;E7,D7-E7-I7-K7,0)</f>
        <v>0</v>
      </c>
      <c r="M7" s="56" t="n">
        <f aca="false">D7+F7+G7-I7-K7-L7</f>
        <v>0.230928108079844</v>
      </c>
      <c r="N7" s="56" t="n">
        <f aca="false">I7+J7+Q7*issue_price*dev_bonds+SUMPRODUCT((Events!$B$6:$B$400&lt;=$A7)*(Events!$C$6:$C$400&gt;=$A7)*(Events!$E$6:$E$400="Investment")*Events!$H$6:$H$400)</f>
        <v>0</v>
      </c>
      <c r="O7" s="56" t="n">
        <f aca="false">O6*(1-dev_dep)+N7</f>
        <v>0</v>
      </c>
      <c r="P7" s="56" t="n">
        <f aca="false">SUMPRODUCT((Events!$B$6:$B$400&lt;=$A7)*(Events!$C$6:$C$400&gt;=$A7)*(Events!$E$6:$E$400="Debt assumed")*Events!$H$6:$H$400)</f>
        <v>0</v>
      </c>
      <c r="Q7" s="56" t="n">
        <f aca="false">IF($A7&lt;1887,0,MAX(0,debt_floor*Economy!O7-(R6+P7+H7-C7-K7)))</f>
        <v>0</v>
      </c>
      <c r="R7" s="56" t="n">
        <f aca="false">R6+P7+H7-C7-K7+Q7</f>
        <v>0.598678368340229</v>
      </c>
      <c r="S7" s="56" t="n">
        <f aca="false">S6+L7-F7-J7+Q7*issue_price*(1-dev_bonds)</f>
        <v>0</v>
      </c>
      <c r="T7" s="72" t="n">
        <f aca="false">Loans!X7</f>
        <v>0</v>
      </c>
      <c r="U7" s="56" t="n">
        <f aca="false">R7-M7-S7-T7</f>
        <v>0.367750260260386</v>
      </c>
      <c r="V7" s="66" t="n">
        <f aca="false">R7/Economy!O7</f>
        <v>0.0303929691756181</v>
      </c>
      <c r="W7" s="66" t="n">
        <f aca="false">Budget!X7/Budget!M7</f>
        <v>0.00595500683289997</v>
      </c>
      <c r="X7" s="66" t="n">
        <f aca="false">S7/Economy!O7</f>
        <v>0</v>
      </c>
      <c r="Y7" s="56" t="n">
        <f aca="false">MAX(0,H7+Q7-'Gold &amp; money'!G7)</f>
        <v>0.50928036553468</v>
      </c>
    </row>
    <row r="8" customFormat="false" ht="14.25" hidden="false" customHeight="true" outlineLevel="0" collapsed="false">
      <c r="A8" s="61" t="n">
        <v>1848</v>
      </c>
      <c r="B8" s="56" t="n">
        <f aca="false">Loans!V8-Loans!W8</f>
        <v>0</v>
      </c>
      <c r="C8" s="56" t="n">
        <f aca="false">R7*debt_amort</f>
        <v>0.0119735673668046</v>
      </c>
      <c r="D8" s="56" t="n">
        <f aca="false">M7+Budget!Z8-B8-C8</f>
        <v>-0.396744622204691</v>
      </c>
      <c r="E8" s="56" t="n">
        <f aca="false">MAX(0.1,Budget!M8*cash_target)</f>
        <v>0.314783886455258</v>
      </c>
      <c r="F8" s="56" t="n">
        <f aca="false">IF(D8&lt;E8,MIN(E8-D8,S7),0)</f>
        <v>0</v>
      </c>
      <c r="G8" s="56" t="n">
        <f aca="false">MAX(0,E8-D8-F8)</f>
        <v>0.71152850865995</v>
      </c>
      <c r="H8" s="56" t="n">
        <f aca="false">G8/issue_price</f>
        <v>0.733534545010257</v>
      </c>
      <c r="I8" s="56" t="n">
        <f aca="false">IF(AND(D8&gt;E8,$A8&gt;=dev_start),(D8-E8)*dev_share,0)</f>
        <v>0</v>
      </c>
      <c r="J8" s="56" t="n">
        <f aca="false">IF($A8&gt;=dev_start,MAX(0,S7-F8-reserve_buffer*Economy!O8),0)</f>
        <v>0</v>
      </c>
      <c r="K8" s="56" t="n">
        <f aca="false">IF(D8&gt;E8,MIN((D8-E8-I8)*repay_share,R7-C8),0)</f>
        <v>0</v>
      </c>
      <c r="L8" s="56" t="n">
        <f aca="false">IF(D8&gt;E8,D8-E8-I8-K8,0)</f>
        <v>0</v>
      </c>
      <c r="M8" s="56" t="n">
        <f aca="false">D8+F8+G8-I8-K8-L8</f>
        <v>0.314783886455258</v>
      </c>
      <c r="N8" s="56" t="n">
        <f aca="false">I8+J8+Q8*issue_price*dev_bonds+SUMPRODUCT((Events!$B$6:$B$400&lt;=$A8)*(Events!$C$6:$C$400&gt;=$A8)*(Events!$E$6:$E$400="Investment")*Events!$H$6:$H$400)</f>
        <v>0</v>
      </c>
      <c r="O8" s="56" t="n">
        <f aca="false">O7*(1-dev_dep)+N8</f>
        <v>0</v>
      </c>
      <c r="P8" s="56" t="n">
        <f aca="false">SUMPRODUCT((Events!$B$6:$B$400&lt;=$A8)*(Events!$C$6:$C$400&gt;=$A8)*(Events!$E$6:$E$400="Debt assumed")*Events!$H$6:$H$400)</f>
        <v>14.6</v>
      </c>
      <c r="Q8" s="56" t="n">
        <f aca="false">IF($A8&lt;1887,0,MAX(0,debt_floor*Economy!O8-(R7+P8+H8-C8-K8)))</f>
        <v>0</v>
      </c>
      <c r="R8" s="56" t="n">
        <f aca="false">R7+P8+H8-C8-K8+Q8</f>
        <v>15.9202393459837</v>
      </c>
      <c r="S8" s="56" t="n">
        <f aca="false">S7+L8-F8-J8+Q8*issue_price*(1-dev_bonds)</f>
        <v>0</v>
      </c>
      <c r="T8" s="72" t="n">
        <f aca="false">Loans!X8</f>
        <v>0</v>
      </c>
      <c r="U8" s="56" t="n">
        <f aca="false">R8-M8-S8-T8</f>
        <v>15.6054554595284</v>
      </c>
      <c r="V8" s="66" t="n">
        <f aca="false">R8/Economy!O8</f>
        <v>0.549335492134936</v>
      </c>
      <c r="W8" s="66" t="n">
        <f aca="false">Budget!X8/Budget!M8</f>
        <v>0.0287658000004806</v>
      </c>
      <c r="X8" s="66" t="n">
        <f aca="false">S8/Economy!O8</f>
        <v>0</v>
      </c>
      <c r="Y8" s="56" t="n">
        <f aca="false">MAX(0,H8+Q8-'Gold &amp; money'!G8)</f>
        <v>0.733534545010257</v>
      </c>
    </row>
    <row r="9" customFormat="false" ht="14.25" hidden="false" customHeight="true" outlineLevel="0" collapsed="false">
      <c r="A9" s="61" t="n">
        <v>1849</v>
      </c>
      <c r="B9" s="56" t="n">
        <f aca="false">Loans!V9-Loans!W9</f>
        <v>0</v>
      </c>
      <c r="C9" s="56" t="n">
        <f aca="false">R8*debt_amort</f>
        <v>0.318404786919674</v>
      </c>
      <c r="D9" s="56" t="n">
        <f aca="false">M8+Budget!Z9-B9-C9</f>
        <v>0.32052352841854</v>
      </c>
      <c r="E9" s="56" t="n">
        <f aca="false">MAX(0.1,Budget!M9*cash_target)</f>
        <v>1.6852075720695</v>
      </c>
      <c r="F9" s="56" t="n">
        <f aca="false">IF(D9&lt;E9,MIN(E9-D9,S8),0)</f>
        <v>0</v>
      </c>
      <c r="G9" s="56" t="n">
        <f aca="false">MAX(0,E9-D9-F9)</f>
        <v>1.36468404365096</v>
      </c>
      <c r="H9" s="56" t="n">
        <f aca="false">G9/issue_price</f>
        <v>1.40689076665048</v>
      </c>
      <c r="I9" s="56" t="n">
        <f aca="false">IF(AND(D9&gt;E9,$A9&gt;=dev_start),(D9-E9)*dev_share,0)</f>
        <v>0</v>
      </c>
      <c r="J9" s="56" t="n">
        <f aca="false">IF($A9&gt;=dev_start,MAX(0,S8-F9-reserve_buffer*Economy!O9),0)</f>
        <v>0</v>
      </c>
      <c r="K9" s="56" t="n">
        <f aca="false">IF(D9&gt;E9,MIN((D9-E9-I9)*repay_share,R8-C9),0)</f>
        <v>0</v>
      </c>
      <c r="L9" s="56" t="n">
        <f aca="false">IF(D9&gt;E9,D9-E9-I9-K9,0)</f>
        <v>0</v>
      </c>
      <c r="M9" s="56" t="n">
        <f aca="false">D9+F9+G9-I9-K9-L9</f>
        <v>1.6852075720695</v>
      </c>
      <c r="N9" s="56" t="n">
        <f aca="false">I9+J9+Q9*issue_price*dev_bonds+SUMPRODUCT((Events!$B$6:$B$400&lt;=$A9)*(Events!$C$6:$C$400&gt;=$A9)*(Events!$E$6:$E$400="Investment")*Events!$H$6:$H$400)</f>
        <v>0</v>
      </c>
      <c r="O9" s="56" t="n">
        <f aca="false">O8*(1-dev_dep)+N9</f>
        <v>0</v>
      </c>
      <c r="P9" s="56" t="n">
        <f aca="false">SUMPRODUCT((Events!$B$6:$B$400&lt;=$A9)*(Events!$C$6:$C$400&gt;=$A9)*(Events!$E$6:$E$400="Debt assumed")*Events!$H$6:$H$400)</f>
        <v>0</v>
      </c>
      <c r="Q9" s="56" t="n">
        <f aca="false">IF($A9&lt;1887,0,MAX(0,debt_floor*Economy!O9-(R8+P9+H9-C9-K9)))</f>
        <v>0</v>
      </c>
      <c r="R9" s="56" t="n">
        <f aca="false">R8+P9+H9-C9-K9+Q9</f>
        <v>17.0087253257145</v>
      </c>
      <c r="S9" s="56" t="n">
        <f aca="false">S8+L9-F9-J9+Q9*issue_price*(1-dev_bonds)</f>
        <v>0</v>
      </c>
      <c r="T9" s="72" t="n">
        <f aca="false">Loans!X9</f>
        <v>0</v>
      </c>
      <c r="U9" s="56" t="n">
        <f aca="false">R9-M9-S9-T9</f>
        <v>15.323517753645</v>
      </c>
      <c r="V9" s="66" t="n">
        <f aca="false">R9/Economy!O9</f>
        <v>0.226886445855055</v>
      </c>
      <c r="W9" s="66" t="n">
        <f aca="false">Budget!X9/Budget!M9</f>
        <v>0.143595152353713</v>
      </c>
      <c r="X9" s="66" t="n">
        <f aca="false">S9/Economy!O9</f>
        <v>0</v>
      </c>
      <c r="Y9" s="56" t="n">
        <f aca="false">MAX(0,H9+Q9-'Gold &amp; money'!G9)</f>
        <v>1.40689076665048</v>
      </c>
    </row>
    <row r="10" customFormat="false" ht="14.25" hidden="false" customHeight="true" outlineLevel="0" collapsed="false">
      <c r="A10" s="61" t="n">
        <v>1850</v>
      </c>
      <c r="B10" s="56" t="n">
        <f aca="false">Loans!V10-Loans!W10</f>
        <v>0</v>
      </c>
      <c r="C10" s="56" t="n">
        <f aca="false">R9*debt_amort</f>
        <v>0.34017450651429</v>
      </c>
      <c r="D10" s="56" t="n">
        <f aca="false">M9+Budget!Z10-B10-C10</f>
        <v>1.60423068838243</v>
      </c>
      <c r="E10" s="56" t="n">
        <f aca="false">MAX(0.1,Budget!M10*cash_target)</f>
        <v>1.94356140023271</v>
      </c>
      <c r="F10" s="56" t="n">
        <f aca="false">IF(D10&lt;E10,MIN(E10-D10,S9),0)</f>
        <v>0</v>
      </c>
      <c r="G10" s="56" t="n">
        <f aca="false">MAX(0,E10-D10-F10)</f>
        <v>0.339330711850276</v>
      </c>
      <c r="H10" s="56" t="n">
        <f aca="false">G10/issue_price</f>
        <v>0.349825476134306</v>
      </c>
      <c r="I10" s="56" t="n">
        <f aca="false">IF(AND(D10&gt;E10,$A10&gt;=dev_start),(D10-E10)*dev_share,0)</f>
        <v>0</v>
      </c>
      <c r="J10" s="56" t="n">
        <f aca="false">IF($A10&gt;=dev_start,MAX(0,S9-F10-reserve_buffer*Economy!O10),0)</f>
        <v>0</v>
      </c>
      <c r="K10" s="56" t="n">
        <f aca="false">IF(D10&gt;E10,MIN((D10-E10-I10)*repay_share,R9-C10),0)</f>
        <v>0</v>
      </c>
      <c r="L10" s="56" t="n">
        <f aca="false">IF(D10&gt;E10,D10-E10-I10-K10,0)</f>
        <v>0</v>
      </c>
      <c r="M10" s="56" t="n">
        <f aca="false">D10+F10+G10-I10-K10-L10</f>
        <v>1.94356140023271</v>
      </c>
      <c r="N10" s="56" t="n">
        <f aca="false">I10+J10+Q10*issue_price*dev_bonds+SUMPRODUCT((Events!$B$6:$B$400&lt;=$A10)*(Events!$C$6:$C$400&gt;=$A10)*(Events!$E$6:$E$400="Investment")*Events!$H$6:$H$400)</f>
        <v>0</v>
      </c>
      <c r="O10" s="56" t="n">
        <f aca="false">O9*(1-dev_dep)+N10</f>
        <v>0</v>
      </c>
      <c r="P10" s="56" t="n">
        <f aca="false">SUMPRODUCT((Events!$B$6:$B$400&lt;=$A10)*(Events!$C$6:$C$400&gt;=$A10)*(Events!$E$6:$E$400="Debt assumed")*Events!$H$6:$H$400)</f>
        <v>0</v>
      </c>
      <c r="Q10" s="56" t="n">
        <f aca="false">IF($A10&lt;1887,0,MAX(0,debt_floor*Economy!O10-(R9+P10+H10-C10-K10)))</f>
        <v>0</v>
      </c>
      <c r="R10" s="56" t="n">
        <f aca="false">R9+P10+H10-C10-K10+Q10</f>
        <v>17.0183762953345</v>
      </c>
      <c r="S10" s="56" t="n">
        <f aca="false">S9+L10-F10-J10+Q10*issue_price*(1-dev_bonds)</f>
        <v>0</v>
      </c>
      <c r="T10" s="72" t="n">
        <f aca="false">Loans!X10</f>
        <v>0</v>
      </c>
      <c r="U10" s="56" t="n">
        <f aca="false">R10-M10-S10-T10</f>
        <v>15.0748148951018</v>
      </c>
      <c r="V10" s="66" t="n">
        <f aca="false">R10/Economy!O10</f>
        <v>0.190234665920777</v>
      </c>
      <c r="W10" s="66" t="n">
        <f aca="false">Budget!X10/Budget!M10</f>
        <v>0.133676393922611</v>
      </c>
      <c r="X10" s="66" t="n">
        <f aca="false">S10/Economy!O10</f>
        <v>0</v>
      </c>
      <c r="Y10" s="56" t="n">
        <f aca="false">MAX(0,H10+Q10-'Gold &amp; money'!G10)</f>
        <v>0.349825476134306</v>
      </c>
    </row>
    <row r="11" customFormat="false" ht="14.25" hidden="false" customHeight="true" outlineLevel="0" collapsed="false">
      <c r="A11" s="61" t="n">
        <v>1851</v>
      </c>
      <c r="B11" s="56" t="n">
        <f aca="false">Loans!V11-Loans!W11</f>
        <v>0</v>
      </c>
      <c r="C11" s="56" t="n">
        <f aca="false">R10*debt_amort</f>
        <v>0.34036752590669</v>
      </c>
      <c r="D11" s="56" t="n">
        <f aca="false">M10+Budget!Z11-B11-C11</f>
        <v>3.01040817420114</v>
      </c>
      <c r="E11" s="56" t="n">
        <f aca="false">MAX(0.1,Budget!M11*cash_target)</f>
        <v>2.63533805067326</v>
      </c>
      <c r="F11" s="56" t="n">
        <f aca="false">IF(D11&lt;E11,MIN(E11-D11,S10),0)</f>
        <v>0</v>
      </c>
      <c r="G11" s="56" t="n">
        <f aca="false">MAX(0,E11-D11-F11)</f>
        <v>0</v>
      </c>
      <c r="H11" s="56" t="n">
        <f aca="false">G11/issue_price</f>
        <v>0</v>
      </c>
      <c r="I11" s="56" t="n">
        <f aca="false">IF(AND(D11&gt;E11,$A11&gt;=dev_start),(D11-E11)*dev_share,0)</f>
        <v>0</v>
      </c>
      <c r="J11" s="56" t="n">
        <f aca="false">IF($A11&gt;=dev_start,MAX(0,S10-F11-reserve_buffer*Economy!O11),0)</f>
        <v>0</v>
      </c>
      <c r="K11" s="56" t="n">
        <f aca="false">IF(D11&gt;E11,MIN((D11-E11-I11)*repay_share,R10-C11),0)</f>
        <v>0.3000560988223</v>
      </c>
      <c r="L11" s="56" t="n">
        <f aca="false">IF(D11&gt;E11,D11-E11-I11-K11,0)</f>
        <v>0.0750140247055749</v>
      </c>
      <c r="M11" s="56" t="n">
        <f aca="false">D11+F11+G11-I11-K11-L11</f>
        <v>2.63533805067326</v>
      </c>
      <c r="N11" s="56" t="n">
        <f aca="false">I11+J11+Q11*issue_price*dev_bonds+SUMPRODUCT((Events!$B$6:$B$400&lt;=$A11)*(Events!$C$6:$C$400&gt;=$A11)*(Events!$E$6:$E$400="Investment")*Events!$H$6:$H$400)</f>
        <v>0</v>
      </c>
      <c r="O11" s="56" t="n">
        <f aca="false">O10*(1-dev_dep)+N11</f>
        <v>0</v>
      </c>
      <c r="P11" s="56" t="n">
        <f aca="false">SUMPRODUCT((Events!$B$6:$B$400&lt;=$A11)*(Events!$C$6:$C$400&gt;=$A11)*(Events!$E$6:$E$400="Debt assumed")*Events!$H$6:$H$400)</f>
        <v>0</v>
      </c>
      <c r="Q11" s="56" t="n">
        <f aca="false">IF($A11&lt;1887,0,MAX(0,debt_floor*Economy!O11-(R10+P11+H11-C11-K11)))</f>
        <v>0</v>
      </c>
      <c r="R11" s="56" t="n">
        <f aca="false">R10+P11+H11-C11-K11+Q11</f>
        <v>16.3779526706055</v>
      </c>
      <c r="S11" s="56" t="n">
        <f aca="false">S10+L11-F11-J11+Q11*issue_price*(1-dev_bonds)</f>
        <v>0.0750140247055749</v>
      </c>
      <c r="T11" s="72" t="n">
        <f aca="false">Loans!X11</f>
        <v>0</v>
      </c>
      <c r="U11" s="56" t="n">
        <f aca="false">R11-M11-S11-T11</f>
        <v>13.6676005952267</v>
      </c>
      <c r="V11" s="66" t="n">
        <f aca="false">R11/Economy!O11</f>
        <v>0.132073407958157</v>
      </c>
      <c r="W11" s="66" t="n">
        <f aca="false">Budget!X11/Budget!M11</f>
        <v>0.0989651466761055</v>
      </c>
      <c r="X11" s="66" t="n">
        <f aca="false">S11/Economy!O11</f>
        <v>0.000604920412629105</v>
      </c>
      <c r="Y11" s="56" t="n">
        <f aca="false">MAX(0,H11+Q11-'Gold &amp; money'!G11)</f>
        <v>0</v>
      </c>
    </row>
    <row r="12" customFormat="false" ht="14.25" hidden="false" customHeight="true" outlineLevel="0" collapsed="false">
      <c r="A12" s="61" t="n">
        <v>1852</v>
      </c>
      <c r="B12" s="56" t="n">
        <f aca="false">Loans!V12-Loans!W12</f>
        <v>0</v>
      </c>
      <c r="C12" s="56" t="n">
        <f aca="false">R11*debt_amort</f>
        <v>0.32755905341211</v>
      </c>
      <c r="D12" s="56" t="n">
        <f aca="false">M11+Budget!Z12-B12-C12</f>
        <v>3.46493395261477</v>
      </c>
      <c r="E12" s="56" t="n">
        <f aca="false">MAX(0.1,Budget!M12*cash_target)</f>
        <v>3.59896839050057</v>
      </c>
      <c r="F12" s="56" t="n">
        <f aca="false">IF(D12&lt;E12,MIN(E12-D12,S11),0)</f>
        <v>0.0750140247055749</v>
      </c>
      <c r="G12" s="56" t="n">
        <f aca="false">MAX(0,E12-D12-F12)</f>
        <v>0.0590204131802245</v>
      </c>
      <c r="H12" s="56" t="n">
        <f aca="false">G12/issue_price</f>
        <v>0.0608457867837366</v>
      </c>
      <c r="I12" s="56" t="n">
        <f aca="false">IF(AND(D12&gt;E12,$A12&gt;=dev_start),(D12-E12)*dev_share,0)</f>
        <v>0</v>
      </c>
      <c r="J12" s="56" t="n">
        <f aca="false">IF($A12&gt;=dev_start,MAX(0,S11-F12-reserve_buffer*Economy!O12),0)</f>
        <v>0</v>
      </c>
      <c r="K12" s="56" t="n">
        <f aca="false">IF(D12&gt;E12,MIN((D12-E12-I12)*repay_share,R11-C12),0)</f>
        <v>0</v>
      </c>
      <c r="L12" s="56" t="n">
        <f aca="false">IF(D12&gt;E12,D12-E12-I12-K12,0)</f>
        <v>0</v>
      </c>
      <c r="M12" s="56" t="n">
        <f aca="false">D12+F12+G12-I12-K12-L12</f>
        <v>3.59896839050057</v>
      </c>
      <c r="N12" s="56" t="n">
        <f aca="false">I12+J12+Q12*issue_price*dev_bonds+SUMPRODUCT((Events!$B$6:$B$400&lt;=$A12)*(Events!$C$6:$C$400&gt;=$A12)*(Events!$E$6:$E$400="Investment")*Events!$H$6:$H$400)</f>
        <v>0</v>
      </c>
      <c r="O12" s="56" t="n">
        <f aca="false">O11*(1-dev_dep)+N12</f>
        <v>0</v>
      </c>
      <c r="P12" s="56" t="n">
        <f aca="false">SUMPRODUCT((Events!$B$6:$B$400&lt;=$A12)*(Events!$C$6:$C$400&gt;=$A12)*(Events!$E$6:$E$400="Debt assumed")*Events!$H$6:$H$400)</f>
        <v>0</v>
      </c>
      <c r="Q12" s="56" t="n">
        <f aca="false">IF($A12&lt;1887,0,MAX(0,debt_floor*Economy!O12-(R11+P12+H12-C12-K12)))</f>
        <v>0</v>
      </c>
      <c r="R12" s="56" t="n">
        <f aca="false">R11+P12+H12-C12-K12+Q12</f>
        <v>16.1112394039771</v>
      </c>
      <c r="S12" s="56" t="n">
        <f aca="false">S11+L12-F12-J12+Q12*issue_price*(1-dev_bonds)</f>
        <v>0</v>
      </c>
      <c r="T12" s="72" t="n">
        <f aca="false">Loans!X12</f>
        <v>0</v>
      </c>
      <c r="U12" s="56" t="n">
        <f aca="false">R12-M12-S12-T12</f>
        <v>12.5122710134766</v>
      </c>
      <c r="V12" s="66" t="n">
        <f aca="false">R12/Economy!O12</f>
        <v>0.110342491701101</v>
      </c>
      <c r="W12" s="66" t="n">
        <f aca="false">Budget!X12/Budget!M12</f>
        <v>0.0700813243575735</v>
      </c>
      <c r="X12" s="66" t="n">
        <f aca="false">S12/Economy!O12</f>
        <v>0</v>
      </c>
      <c r="Y12" s="56" t="n">
        <f aca="false">MAX(0,H12+Q12-'Gold &amp; money'!G12)</f>
        <v>0.0608457867837366</v>
      </c>
    </row>
    <row r="13" customFormat="false" ht="14.25" hidden="false" customHeight="true" outlineLevel="0" collapsed="false">
      <c r="A13" s="61" t="n">
        <v>1853</v>
      </c>
      <c r="B13" s="56" t="n">
        <f aca="false">Loans!V13-Loans!W13</f>
        <v>0</v>
      </c>
      <c r="C13" s="56" t="n">
        <f aca="false">R12*debt_amort</f>
        <v>0.322224788079543</v>
      </c>
      <c r="D13" s="56" t="n">
        <f aca="false">M12+Budget!Z13-B13-C13</f>
        <v>5.69856623788818</v>
      </c>
      <c r="E13" s="56" t="n">
        <f aca="false">MAX(0.1,Budget!M13*cash_target)</f>
        <v>3.84609196169756</v>
      </c>
      <c r="F13" s="56" t="n">
        <f aca="false">IF(D13&lt;E13,MIN(E13-D13,S12),0)</f>
        <v>0</v>
      </c>
      <c r="G13" s="56" t="n">
        <f aca="false">MAX(0,E13-D13-F13)</f>
        <v>0</v>
      </c>
      <c r="H13" s="56" t="n">
        <f aca="false">G13/issue_price</f>
        <v>0</v>
      </c>
      <c r="I13" s="56" t="n">
        <f aca="false">IF(AND(D13&gt;E13,$A13&gt;=dev_start),(D13-E13)*dev_share,0)</f>
        <v>0</v>
      </c>
      <c r="J13" s="56" t="n">
        <f aca="false">IF($A13&gt;=dev_start,MAX(0,S12-F13-reserve_buffer*Economy!O13),0)</f>
        <v>0</v>
      </c>
      <c r="K13" s="56" t="n">
        <f aca="false">IF(D13&gt;E13,MIN((D13-E13-I13)*repay_share,R12-C13),0)</f>
        <v>1.4819794209525</v>
      </c>
      <c r="L13" s="56" t="n">
        <f aca="false">IF(D13&gt;E13,D13-E13-I13-K13,0)</f>
        <v>0.370494855238124</v>
      </c>
      <c r="M13" s="56" t="n">
        <f aca="false">D13+F13+G13-I13-K13-L13</f>
        <v>3.84609196169756</v>
      </c>
      <c r="N13" s="56" t="n">
        <f aca="false">I13+J13+Q13*issue_price*dev_bonds+SUMPRODUCT((Events!$B$6:$B$400&lt;=$A13)*(Events!$C$6:$C$400&gt;=$A13)*(Events!$E$6:$E$400="Investment")*Events!$H$6:$H$400)</f>
        <v>0</v>
      </c>
      <c r="O13" s="56" t="n">
        <f aca="false">O12*(1-dev_dep)+N13</f>
        <v>0</v>
      </c>
      <c r="P13" s="56" t="n">
        <f aca="false">SUMPRODUCT((Events!$B$6:$B$400&lt;=$A13)*(Events!$C$6:$C$400&gt;=$A13)*(Events!$E$6:$E$400="Debt assumed")*Events!$H$6:$H$400)</f>
        <v>0</v>
      </c>
      <c r="Q13" s="56" t="n">
        <f aca="false">IF($A13&lt;1887,0,MAX(0,debt_floor*Economy!O13-(R12+P13+H13-C13-K13)))</f>
        <v>0</v>
      </c>
      <c r="R13" s="56" t="n">
        <f aca="false">R12+P13+H13-C13-K13+Q13</f>
        <v>14.3070351949451</v>
      </c>
      <c r="S13" s="56" t="n">
        <f aca="false">S12+L13-F13-J13+Q13*issue_price*(1-dev_bonds)</f>
        <v>0.370494855238124</v>
      </c>
      <c r="T13" s="72" t="n">
        <f aca="false">Loans!X13</f>
        <v>0</v>
      </c>
      <c r="U13" s="56" t="n">
        <f aca="false">R13-M13-S13-T13</f>
        <v>10.0904483780094</v>
      </c>
      <c r="V13" s="66" t="n">
        <f aca="false">R13/Economy!O13</f>
        <v>0.091236058335526</v>
      </c>
      <c r="W13" s="66" t="n">
        <f aca="false">Budget!X13/Budget!M13</f>
        <v>0.0647198900261295</v>
      </c>
      <c r="X13" s="66" t="n">
        <f aca="false">S13/Economy!O13</f>
        <v>0.00236264814931473</v>
      </c>
      <c r="Y13" s="56" t="n">
        <f aca="false">MAX(0,H13+Q13-'Gold &amp; money'!G13)</f>
        <v>0</v>
      </c>
    </row>
    <row r="14" customFormat="false" ht="14.25" hidden="false" customHeight="true" outlineLevel="0" collapsed="false">
      <c r="A14" s="61" t="n">
        <v>1854</v>
      </c>
      <c r="B14" s="56" t="n">
        <f aca="false">Loans!V14-Loans!W14</f>
        <v>0</v>
      </c>
      <c r="C14" s="56" t="n">
        <f aca="false">R13*debt_amort</f>
        <v>0.286140703898902</v>
      </c>
      <c r="D14" s="56" t="n">
        <f aca="false">M13+Budget!Z14-B14-C14</f>
        <v>6.51090334908454</v>
      </c>
      <c r="E14" s="56" t="n">
        <f aca="false">MAX(0.1,Budget!M14*cash_target)</f>
        <v>4.26156018826926</v>
      </c>
      <c r="F14" s="56" t="n">
        <f aca="false">IF(D14&lt;E14,MIN(E14-D14,S13),0)</f>
        <v>0</v>
      </c>
      <c r="G14" s="56" t="n">
        <f aca="false">MAX(0,E14-D14-F14)</f>
        <v>0</v>
      </c>
      <c r="H14" s="56" t="n">
        <f aca="false">G14/issue_price</f>
        <v>0</v>
      </c>
      <c r="I14" s="56" t="n">
        <f aca="false">IF(AND(D14&gt;E14,$A14&gt;=dev_start),(D14-E14)*dev_share,0)</f>
        <v>0</v>
      </c>
      <c r="J14" s="56" t="n">
        <f aca="false">IF($A14&gt;=dev_start,MAX(0,S13-F14-reserve_buffer*Economy!O14),0)</f>
        <v>0</v>
      </c>
      <c r="K14" s="56" t="n">
        <f aca="false">IF(D14&gt;E14,MIN((D14-E14-I14)*repay_share,R13-C14),0)</f>
        <v>1.79947452865222</v>
      </c>
      <c r="L14" s="56" t="n">
        <f aca="false">IF(D14&gt;E14,D14-E14-I14-K14,0)</f>
        <v>0.449868632163056</v>
      </c>
      <c r="M14" s="56" t="n">
        <f aca="false">D14+F14+G14-I14-K14-L14</f>
        <v>4.26156018826926</v>
      </c>
      <c r="N14" s="56" t="n">
        <f aca="false">I14+J14+Q14*issue_price*dev_bonds+SUMPRODUCT((Events!$B$6:$B$400&lt;=$A14)*(Events!$C$6:$C$400&gt;=$A14)*(Events!$E$6:$E$400="Investment")*Events!$H$6:$H$400)</f>
        <v>0</v>
      </c>
      <c r="O14" s="56" t="n">
        <f aca="false">O13*(1-dev_dep)+N14</f>
        <v>0</v>
      </c>
      <c r="P14" s="56" t="n">
        <f aca="false">SUMPRODUCT((Events!$B$6:$B$400&lt;=$A14)*(Events!$C$6:$C$400&gt;=$A14)*(Events!$E$6:$E$400="Debt assumed")*Events!$H$6:$H$400)</f>
        <v>0</v>
      </c>
      <c r="Q14" s="56" t="n">
        <f aca="false">IF($A14&lt;1887,0,MAX(0,debt_floor*Economy!O14-(R13+P14+H14-C14-K14)))</f>
        <v>0</v>
      </c>
      <c r="R14" s="56" t="n">
        <f aca="false">R13+P14+H14-C14-K14+Q14</f>
        <v>12.221419962394</v>
      </c>
      <c r="S14" s="56" t="n">
        <f aca="false">S13+L14-F14-J14+Q14*issue_price*(1-dev_bonds)</f>
        <v>0.820363487401179</v>
      </c>
      <c r="T14" s="72" t="n">
        <f aca="false">Loans!X14</f>
        <v>0</v>
      </c>
      <c r="U14" s="56" t="n">
        <f aca="false">R14-M14-S14-T14</f>
        <v>7.13949628672354</v>
      </c>
      <c r="V14" s="66" t="n">
        <f aca="false">R14/Economy!O14</f>
        <v>0.07003101773281</v>
      </c>
      <c r="W14" s="66" t="n">
        <f aca="false">Budget!X14/Budget!M14</f>
        <v>0.0521209865844299</v>
      </c>
      <c r="X14" s="66" t="n">
        <f aca="false">S14/Economy!O14</f>
        <v>0.00470083591843841</v>
      </c>
      <c r="Y14" s="56" t="n">
        <f aca="false">MAX(0,H14+Q14-'Gold &amp; money'!G14)</f>
        <v>0</v>
      </c>
    </row>
    <row r="15" customFormat="false" ht="14.25" hidden="false" customHeight="true" outlineLevel="0" collapsed="false">
      <c r="A15" s="61" t="n">
        <v>1855</v>
      </c>
      <c r="B15" s="56" t="n">
        <f aca="false">Loans!V15-Loans!W15</f>
        <v>0</v>
      </c>
      <c r="C15" s="56" t="n">
        <f aca="false">R14*debt_amort</f>
        <v>0.24442839924788</v>
      </c>
      <c r="D15" s="56" t="n">
        <f aca="false">M14+Budget!Z15-B15-C15</f>
        <v>7.80246636730822</v>
      </c>
      <c r="E15" s="56" t="n">
        <f aca="false">MAX(0.1,Budget!M15*cash_target)</f>
        <v>4.70476548986293</v>
      </c>
      <c r="F15" s="56" t="n">
        <f aca="false">IF(D15&lt;E15,MIN(E15-D15,S14),0)</f>
        <v>0</v>
      </c>
      <c r="G15" s="56" t="n">
        <f aca="false">MAX(0,E15-D15-F15)</f>
        <v>0</v>
      </c>
      <c r="H15" s="56" t="n">
        <f aca="false">G15/issue_price</f>
        <v>0</v>
      </c>
      <c r="I15" s="56" t="n">
        <f aca="false">IF(AND(D15&gt;E15,$A15&gt;=dev_start),(D15-E15)*dev_share,0)</f>
        <v>0</v>
      </c>
      <c r="J15" s="56" t="n">
        <f aca="false">IF($A15&gt;=dev_start,MAX(0,S14-F15-reserve_buffer*Economy!O15),0)</f>
        <v>0</v>
      </c>
      <c r="K15" s="56" t="n">
        <f aca="false">IF(D15&gt;E15,MIN((D15-E15-I15)*repay_share,R14-C15),0)</f>
        <v>2.47816070195623</v>
      </c>
      <c r="L15" s="56" t="n">
        <f aca="false">IF(D15&gt;E15,D15-E15-I15-K15,0)</f>
        <v>0.619540175489057</v>
      </c>
      <c r="M15" s="56" t="n">
        <f aca="false">D15+F15+G15-I15-K15-L15</f>
        <v>4.70476548986293</v>
      </c>
      <c r="N15" s="56" t="n">
        <f aca="false">I15+J15+Q15*issue_price*dev_bonds+SUMPRODUCT((Events!$B$6:$B$400&lt;=$A15)*(Events!$C$6:$C$400&gt;=$A15)*(Events!$E$6:$E$400="Investment")*Events!$H$6:$H$400)</f>
        <v>0</v>
      </c>
      <c r="O15" s="56" t="n">
        <f aca="false">O14*(1-dev_dep)+N15</f>
        <v>0</v>
      </c>
      <c r="P15" s="56" t="n">
        <f aca="false">SUMPRODUCT((Events!$B$6:$B$400&lt;=$A15)*(Events!$C$6:$C$400&gt;=$A15)*(Events!$E$6:$E$400="Debt assumed")*Events!$H$6:$H$400)</f>
        <v>0</v>
      </c>
      <c r="Q15" s="56" t="n">
        <f aca="false">IF($A15&lt;1887,0,MAX(0,debt_floor*Economy!O15-(R14+P15+H15-C15-K15)))</f>
        <v>0</v>
      </c>
      <c r="R15" s="56" t="n">
        <f aca="false">R14+P15+H15-C15-K15+Q15</f>
        <v>9.49883086118987</v>
      </c>
      <c r="S15" s="56" t="n">
        <f aca="false">S14+L15-F15-J15+Q15*issue_price*(1-dev_bonds)</f>
        <v>1.43990366289024</v>
      </c>
      <c r="T15" s="72" t="n">
        <f aca="false">Loans!X15</f>
        <v>0</v>
      </c>
      <c r="U15" s="56" t="n">
        <f aca="false">R15-M15-S15-T15</f>
        <v>3.3541617084367</v>
      </c>
      <c r="V15" s="66" t="n">
        <f aca="false">R15/Economy!O15</f>
        <v>0.0525933621431929</v>
      </c>
      <c r="W15" s="66" t="n">
        <f aca="false">Budget!X15/Budget!M15</f>
        <v>0.0405236247851538</v>
      </c>
      <c r="X15" s="66" t="n">
        <f aca="false">S15/Economy!O15</f>
        <v>0.0079724942890719</v>
      </c>
      <c r="Y15" s="56" t="n">
        <f aca="false">MAX(0,H15+Q15-'Gold &amp; money'!G15)</f>
        <v>0</v>
      </c>
    </row>
    <row r="16" customFormat="false" ht="14.25" hidden="false" customHeight="true" outlineLevel="0" collapsed="false">
      <c r="A16" s="61" t="n">
        <v>1856</v>
      </c>
      <c r="B16" s="56" t="n">
        <f aca="false">Loans!V16-Loans!W16</f>
        <v>0</v>
      </c>
      <c r="C16" s="56" t="n">
        <f aca="false">R15*debt_amort</f>
        <v>0.189976617223797</v>
      </c>
      <c r="D16" s="56" t="n">
        <f aca="false">M15+Budget!Z16-B16-C16</f>
        <v>8.08185645875357</v>
      </c>
      <c r="E16" s="56" t="n">
        <f aca="false">MAX(0.1,Budget!M16*cash_target)</f>
        <v>5.33253099966501</v>
      </c>
      <c r="F16" s="56" t="n">
        <f aca="false">IF(D16&lt;E16,MIN(E16-D16,S15),0)</f>
        <v>0</v>
      </c>
      <c r="G16" s="56" t="n">
        <f aca="false">MAX(0,E16-D16-F16)</f>
        <v>0</v>
      </c>
      <c r="H16" s="56" t="n">
        <f aca="false">G16/issue_price</f>
        <v>0</v>
      </c>
      <c r="I16" s="56" t="n">
        <f aca="false">IF(AND(D16&gt;E16,$A16&gt;=dev_start),(D16-E16)*dev_share,0)</f>
        <v>0</v>
      </c>
      <c r="J16" s="56" t="n">
        <f aca="false">IF($A16&gt;=dev_start,MAX(0,S15-F16-reserve_buffer*Economy!O16),0)</f>
        <v>0</v>
      </c>
      <c r="K16" s="56" t="n">
        <f aca="false">IF(D16&gt;E16,MIN((D16-E16-I16)*repay_share,R15-C16),0)</f>
        <v>2.19946036727085</v>
      </c>
      <c r="L16" s="56" t="n">
        <f aca="false">IF(D16&gt;E16,D16-E16-I16-K16,0)</f>
        <v>0.549865091817712</v>
      </c>
      <c r="M16" s="56" t="n">
        <f aca="false">D16+F16+G16-I16-K16-L16</f>
        <v>5.33253099966501</v>
      </c>
      <c r="N16" s="56" t="n">
        <f aca="false">I16+J16+Q16*issue_price*dev_bonds+SUMPRODUCT((Events!$B$6:$B$400&lt;=$A16)*(Events!$C$6:$C$400&gt;=$A16)*(Events!$E$6:$E$400="Investment")*Events!$H$6:$H$400)</f>
        <v>0</v>
      </c>
      <c r="O16" s="56" t="n">
        <f aca="false">O15*(1-dev_dep)+N16</f>
        <v>0</v>
      </c>
      <c r="P16" s="56" t="n">
        <f aca="false">SUMPRODUCT((Events!$B$6:$B$400&lt;=$A16)*(Events!$C$6:$C$400&gt;=$A16)*(Events!$E$6:$E$400="Debt assumed")*Events!$H$6:$H$400)</f>
        <v>0</v>
      </c>
      <c r="Q16" s="56" t="n">
        <f aca="false">IF($A16&lt;1887,0,MAX(0,debt_floor*Economy!O16-(R15+P16+H16-C16-K16)))</f>
        <v>0</v>
      </c>
      <c r="R16" s="56" t="n">
        <f aca="false">R15+P16+H16-C16-K16+Q16</f>
        <v>7.10939387669522</v>
      </c>
      <c r="S16" s="56" t="n">
        <f aca="false">S15+L16-F16-J16+Q16*issue_price*(1-dev_bonds)</f>
        <v>1.98976875470795</v>
      </c>
      <c r="T16" s="72" t="n">
        <f aca="false">Loans!X16</f>
        <v>0</v>
      </c>
      <c r="U16" s="56" t="n">
        <f aca="false">R16-M16-S16-T16</f>
        <v>-0.212905877677732</v>
      </c>
      <c r="V16" s="66" t="n">
        <f aca="false">R16/Economy!O16</f>
        <v>0.0346177682234395</v>
      </c>
      <c r="W16" s="66" t="n">
        <f aca="false">Budget!X16/Budget!M16</f>
        <v>0.0278773256052258</v>
      </c>
      <c r="X16" s="66" t="n">
        <f aca="false">S16/Economy!O16</f>
        <v>0.00968878005121034</v>
      </c>
      <c r="Y16" s="56" t="n">
        <f aca="false">MAX(0,H16+Q16-'Gold &amp; money'!G16)</f>
        <v>0</v>
      </c>
    </row>
    <row r="17" customFormat="false" ht="14.25" hidden="false" customHeight="true" outlineLevel="0" collapsed="false">
      <c r="A17" s="61" t="n">
        <v>1857</v>
      </c>
      <c r="B17" s="56" t="n">
        <f aca="false">Loans!V17-Loans!W17</f>
        <v>0</v>
      </c>
      <c r="C17" s="56" t="n">
        <f aca="false">R16*debt_amort</f>
        <v>0.142187877533904</v>
      </c>
      <c r="D17" s="56" t="n">
        <f aca="false">M16+Budget!Z17-B17-C17</f>
        <v>7.88071026005866</v>
      </c>
      <c r="E17" s="56" t="n">
        <f aca="false">MAX(0.1,Budget!M17*cash_target)</f>
        <v>5.6495444278192</v>
      </c>
      <c r="F17" s="56" t="n">
        <f aca="false">IF(D17&lt;E17,MIN(E17-D17,S16),0)</f>
        <v>0</v>
      </c>
      <c r="G17" s="56" t="n">
        <f aca="false">MAX(0,E17-D17-F17)</f>
        <v>0</v>
      </c>
      <c r="H17" s="56" t="n">
        <f aca="false">G17/issue_price</f>
        <v>0</v>
      </c>
      <c r="I17" s="56" t="n">
        <f aca="false">IF(AND(D17&gt;E17,$A17&gt;=dev_start),(D17-E17)*dev_share,0)</f>
        <v>0</v>
      </c>
      <c r="J17" s="56" t="n">
        <f aca="false">IF($A17&gt;=dev_start,MAX(0,S16-F17-reserve_buffer*Economy!O17),0)</f>
        <v>0</v>
      </c>
      <c r="K17" s="56" t="n">
        <f aca="false">IF(D17&gt;E17,MIN((D17-E17-I17)*repay_share,R16-C17),0)</f>
        <v>1.78493266579157</v>
      </c>
      <c r="L17" s="56" t="n">
        <f aca="false">IF(D17&gt;E17,D17-E17-I17-K17,0)</f>
        <v>0.446233166447892</v>
      </c>
      <c r="M17" s="56" t="n">
        <f aca="false">D17+F17+G17-I17-K17-L17</f>
        <v>5.6495444278192</v>
      </c>
      <c r="N17" s="56" t="n">
        <f aca="false">I17+J17+Q17*issue_price*dev_bonds+SUMPRODUCT((Events!$B$6:$B$400&lt;=$A17)*(Events!$C$6:$C$400&gt;=$A17)*(Events!$E$6:$E$400="Investment")*Events!$H$6:$H$400)</f>
        <v>0</v>
      </c>
      <c r="O17" s="56" t="n">
        <f aca="false">O16*(1-dev_dep)+N17</f>
        <v>0</v>
      </c>
      <c r="P17" s="56" t="n">
        <f aca="false">SUMPRODUCT((Events!$B$6:$B$400&lt;=$A17)*(Events!$C$6:$C$400&gt;=$A17)*(Events!$E$6:$E$400="Debt assumed")*Events!$H$6:$H$400)</f>
        <v>0</v>
      </c>
      <c r="Q17" s="56" t="n">
        <f aca="false">IF($A17&lt;1887,0,MAX(0,debt_floor*Economy!O17-(R16+P17+H17-C17-K17)))</f>
        <v>0</v>
      </c>
      <c r="R17" s="56" t="n">
        <f aca="false">R16+P17+H17-C17-K17+Q17</f>
        <v>5.18227333336975</v>
      </c>
      <c r="S17" s="56" t="n">
        <f aca="false">S16+L17-F17-J17+Q17*issue_price*(1-dev_bonds)</f>
        <v>2.43600192115584</v>
      </c>
      <c r="T17" s="72" t="n">
        <f aca="false">Loans!X17</f>
        <v>0</v>
      </c>
      <c r="U17" s="56" t="n">
        <f aca="false">R17-M17-S17-T17</f>
        <v>-2.90327301560529</v>
      </c>
      <c r="V17" s="66" t="n">
        <f aca="false">R17/Economy!O17</f>
        <v>0.0238703176012588</v>
      </c>
      <c r="W17" s="66" t="n">
        <f aca="false">Budget!X17/Budget!M17</f>
        <v>0.0197883599535099</v>
      </c>
      <c r="X17" s="66" t="n">
        <f aca="false">S17/Economy!O17</f>
        <v>0.0112205852132187</v>
      </c>
      <c r="Y17" s="56" t="n">
        <f aca="false">MAX(0,H17+Q17-'Gold &amp; money'!G17)</f>
        <v>0</v>
      </c>
    </row>
    <row r="18" customFormat="false" ht="14.25" hidden="false" customHeight="true" outlineLevel="0" collapsed="false">
      <c r="A18" s="61" t="n">
        <v>1858</v>
      </c>
      <c r="B18" s="56" t="n">
        <f aca="false">Loans!V18-Loans!W18</f>
        <v>0</v>
      </c>
      <c r="C18" s="56" t="n">
        <f aca="false">R17*debt_amort</f>
        <v>0.103645466667395</v>
      </c>
      <c r="D18" s="56" t="n">
        <f aca="false">M17+Budget!Z18-B18-C18</f>
        <v>8.38417300313921</v>
      </c>
      <c r="E18" s="56" t="n">
        <f aca="false">MAX(0.1,Budget!M18*cash_target)</f>
        <v>6.28653349841236</v>
      </c>
      <c r="F18" s="56" t="n">
        <f aca="false">IF(D18&lt;E18,MIN(E18-D18,S17),0)</f>
        <v>0</v>
      </c>
      <c r="G18" s="56" t="n">
        <f aca="false">MAX(0,E18-D18-F18)</f>
        <v>0</v>
      </c>
      <c r="H18" s="56" t="n">
        <f aca="false">G18/issue_price</f>
        <v>0</v>
      </c>
      <c r="I18" s="56" t="n">
        <f aca="false">IF(AND(D18&gt;E18,$A18&gt;=dev_start),(D18-E18)*dev_share,0)</f>
        <v>0</v>
      </c>
      <c r="J18" s="56" t="n">
        <f aca="false">IF($A18&gt;=dev_start,MAX(0,S17-F18-reserve_buffer*Economy!O18),0)</f>
        <v>0</v>
      </c>
      <c r="K18" s="56" t="n">
        <f aca="false">IF(D18&gt;E18,MIN((D18-E18-I18)*repay_share,R17-C18),0)</f>
        <v>1.67811160378148</v>
      </c>
      <c r="L18" s="56" t="n">
        <f aca="false">IF(D18&gt;E18,D18-E18-I18-K18,0)</f>
        <v>0.41952790094537</v>
      </c>
      <c r="M18" s="56" t="n">
        <f aca="false">D18+F18+G18-I18-K18-L18</f>
        <v>6.28653349841236</v>
      </c>
      <c r="N18" s="56" t="n">
        <f aca="false">I18+J18+Q18*issue_price*dev_bonds+SUMPRODUCT((Events!$B$6:$B$400&lt;=$A18)*(Events!$C$6:$C$400&gt;=$A18)*(Events!$E$6:$E$400="Investment")*Events!$H$6:$H$400)</f>
        <v>0</v>
      </c>
      <c r="O18" s="56" t="n">
        <f aca="false">O17*(1-dev_dep)+N18</f>
        <v>0</v>
      </c>
      <c r="P18" s="56" t="n">
        <f aca="false">SUMPRODUCT((Events!$B$6:$B$400&lt;=$A18)*(Events!$C$6:$C$400&gt;=$A18)*(Events!$E$6:$E$400="Debt assumed")*Events!$H$6:$H$400)</f>
        <v>0</v>
      </c>
      <c r="Q18" s="56" t="n">
        <f aca="false">IF($A18&lt;1887,0,MAX(0,debt_floor*Economy!O18-(R17+P18+H18-C18-K18)))</f>
        <v>0</v>
      </c>
      <c r="R18" s="56" t="n">
        <f aca="false">R17+P18+H18-C18-K18+Q18</f>
        <v>3.40051626292088</v>
      </c>
      <c r="S18" s="56" t="n">
        <f aca="false">S17+L18-F18-J18+Q18*issue_price*(1-dev_bonds)</f>
        <v>2.85552982210121</v>
      </c>
      <c r="T18" s="72" t="n">
        <f aca="false">Loans!X18</f>
        <v>0</v>
      </c>
      <c r="U18" s="56" t="n">
        <f aca="false">R18-M18-S18-T18</f>
        <v>-5.7415470575927</v>
      </c>
      <c r="V18" s="66" t="n">
        <f aca="false">R18/Economy!O18</f>
        <v>0.0139958459484856</v>
      </c>
      <c r="W18" s="66" t="n">
        <f aca="false">Budget!X18/Budget!M18</f>
        <v>0.0130246532032193</v>
      </c>
      <c r="X18" s="66" t="n">
        <f aca="false">S18/Economy!O18</f>
        <v>0.0117527905768951</v>
      </c>
      <c r="Y18" s="56" t="n">
        <f aca="false">MAX(0,H18+Q18-'Gold &amp; money'!G18)</f>
        <v>0</v>
      </c>
    </row>
    <row r="19" customFormat="false" ht="14.25" hidden="false" customHeight="true" outlineLevel="0" collapsed="false">
      <c r="A19" s="61" t="n">
        <v>1859</v>
      </c>
      <c r="B19" s="56" t="n">
        <f aca="false">Loans!V19-Loans!W19</f>
        <v>0</v>
      </c>
      <c r="C19" s="56" t="n">
        <f aca="false">R18*debt_amort</f>
        <v>0.0680103252584175</v>
      </c>
      <c r="D19" s="56" t="n">
        <f aca="false">M18+Budget!Z19-B19-C19</f>
        <v>9.12813989576926</v>
      </c>
      <c r="E19" s="56" t="n">
        <f aca="false">MAX(0.1,Budget!M19*cash_target)</f>
        <v>6.95406811472783</v>
      </c>
      <c r="F19" s="56" t="n">
        <f aca="false">IF(D19&lt;E19,MIN(E19-D19,S18),0)</f>
        <v>0</v>
      </c>
      <c r="G19" s="56" t="n">
        <f aca="false">MAX(0,E19-D19-F19)</f>
        <v>0</v>
      </c>
      <c r="H19" s="56" t="n">
        <f aca="false">G19/issue_price</f>
        <v>0</v>
      </c>
      <c r="I19" s="56" t="n">
        <f aca="false">IF(AND(D19&gt;E19,$A19&gt;=dev_start),(D19-E19)*dev_share,0)</f>
        <v>0</v>
      </c>
      <c r="J19" s="56" t="n">
        <f aca="false">IF($A19&gt;=dev_start,MAX(0,S18-F19-reserve_buffer*Economy!O19),0)</f>
        <v>0</v>
      </c>
      <c r="K19" s="56" t="n">
        <f aca="false">IF(D19&gt;E19,MIN((D19-E19-I19)*repay_share,R18-C19),0)</f>
        <v>1.73925742483315</v>
      </c>
      <c r="L19" s="56" t="n">
        <f aca="false">IF(D19&gt;E19,D19-E19-I19-K19,0)</f>
        <v>0.434814356208286</v>
      </c>
      <c r="M19" s="56" t="n">
        <f aca="false">D19+F19+G19-I19-K19-L19</f>
        <v>6.95406811472783</v>
      </c>
      <c r="N19" s="56" t="n">
        <f aca="false">I19+J19+Q19*issue_price*dev_bonds+SUMPRODUCT((Events!$B$6:$B$400&lt;=$A19)*(Events!$C$6:$C$400&gt;=$A19)*(Events!$E$6:$E$400="Investment")*Events!$H$6:$H$400)</f>
        <v>0</v>
      </c>
      <c r="O19" s="56" t="n">
        <f aca="false">O18*(1-dev_dep)+N19</f>
        <v>0</v>
      </c>
      <c r="P19" s="56" t="n">
        <f aca="false">SUMPRODUCT((Events!$B$6:$B$400&lt;=$A19)*(Events!$C$6:$C$400&gt;=$A19)*(Events!$E$6:$E$400="Debt assumed")*Events!$H$6:$H$400)</f>
        <v>0</v>
      </c>
      <c r="Q19" s="56" t="n">
        <f aca="false">IF($A19&lt;1887,0,MAX(0,debt_floor*Economy!O19-(R18+P19+H19-C19-K19)))</f>
        <v>0</v>
      </c>
      <c r="R19" s="56" t="n">
        <f aca="false">R18+P19+H19-C19-K19+Q19</f>
        <v>1.59324851282931</v>
      </c>
      <c r="S19" s="56" t="n">
        <f aca="false">S18+L19-F19-J19+Q19*issue_price*(1-dev_bonds)</f>
        <v>3.2903441783095</v>
      </c>
      <c r="T19" s="72" t="n">
        <f aca="false">Loans!X19</f>
        <v>0</v>
      </c>
      <c r="U19" s="56" t="n">
        <f aca="false">R19-M19-S19-T19</f>
        <v>-8.65116378020801</v>
      </c>
      <c r="V19" s="66" t="n">
        <f aca="false">R19/Economy!O19</f>
        <v>0.00591445585849836</v>
      </c>
      <c r="W19" s="66" t="n">
        <f aca="false">Budget!X19/Budget!M19</f>
        <v>0.00775059747446914</v>
      </c>
      <c r="X19" s="66" t="n">
        <f aca="false">S19/Economy!O19</f>
        <v>0.0122144130342354</v>
      </c>
      <c r="Y19" s="56" t="n">
        <f aca="false">MAX(0,H19+Q19-'Gold &amp; money'!G19)</f>
        <v>0</v>
      </c>
    </row>
    <row r="20" customFormat="false" ht="14.25" hidden="false" customHeight="true" outlineLevel="0" collapsed="false">
      <c r="A20" s="61" t="n">
        <v>1860</v>
      </c>
      <c r="B20" s="56" t="n">
        <f aca="false">Loans!V20-Loans!W20</f>
        <v>0</v>
      </c>
      <c r="C20" s="56" t="n">
        <f aca="false">R19*debt_amort</f>
        <v>0.0318649702565863</v>
      </c>
      <c r="D20" s="56" t="n">
        <f aca="false">M19+Budget!Z20-B20-C20</f>
        <v>7.72544685028259</v>
      </c>
      <c r="E20" s="56" t="n">
        <f aca="false">MAX(0.1,Budget!M20*cash_target)</f>
        <v>7.56752417896824</v>
      </c>
      <c r="F20" s="56" t="n">
        <f aca="false">IF(D20&lt;E20,MIN(E20-D20,S19),0)</f>
        <v>0</v>
      </c>
      <c r="G20" s="56" t="n">
        <f aca="false">MAX(0,E20-D20-F20)</f>
        <v>0</v>
      </c>
      <c r="H20" s="56" t="n">
        <f aca="false">G20/issue_price</f>
        <v>0</v>
      </c>
      <c r="I20" s="56" t="n">
        <f aca="false">IF(AND(D20&gt;E20,$A20&gt;=dev_start),(D20-E20)*dev_share,0)</f>
        <v>0</v>
      </c>
      <c r="J20" s="56" t="n">
        <f aca="false">IF($A20&gt;=dev_start,MAX(0,S19-F20-reserve_buffer*Economy!O20),0)</f>
        <v>0</v>
      </c>
      <c r="K20" s="56" t="n">
        <f aca="false">IF(D20&gt;E20,MIN((D20-E20-I20)*repay_share,R19-C20),0)</f>
        <v>0.126338137051475</v>
      </c>
      <c r="L20" s="56" t="n">
        <f aca="false">IF(D20&gt;E20,D20-E20-I20-K20,0)</f>
        <v>0.0315845342628688</v>
      </c>
      <c r="M20" s="56" t="n">
        <f aca="false">D20+F20+G20-I20-K20-L20</f>
        <v>7.56752417896824</v>
      </c>
      <c r="N20" s="56" t="n">
        <f aca="false">I20+J20+Q20*issue_price*dev_bonds+SUMPRODUCT((Events!$B$6:$B$400&lt;=$A20)*(Events!$C$6:$C$400&gt;=$A20)*(Events!$E$6:$E$400="Investment")*Events!$H$6:$H$400)</f>
        <v>0</v>
      </c>
      <c r="O20" s="56" t="n">
        <f aca="false">O19*(1-dev_dep)+N20</f>
        <v>0</v>
      </c>
      <c r="P20" s="56" t="n">
        <f aca="false">SUMPRODUCT((Events!$B$6:$B$400&lt;=$A20)*(Events!$C$6:$C$400&gt;=$A20)*(Events!$E$6:$E$400="Debt assumed")*Events!$H$6:$H$400)</f>
        <v>0</v>
      </c>
      <c r="Q20" s="56" t="n">
        <f aca="false">IF($A20&lt;1887,0,MAX(0,debt_floor*Economy!O20-(R19+P20+H20-C20-K20)))</f>
        <v>0</v>
      </c>
      <c r="R20" s="56" t="n">
        <f aca="false">R19+P20+H20-C20-K20+Q20</f>
        <v>1.43504540552125</v>
      </c>
      <c r="S20" s="56" t="n">
        <f aca="false">S19+L20-F20-J20+Q20*issue_price*(1-dev_bonds)</f>
        <v>3.32192871257237</v>
      </c>
      <c r="T20" s="72" t="n">
        <f aca="false">Loans!X20</f>
        <v>0</v>
      </c>
      <c r="U20" s="56" t="n">
        <f aca="false">R20-M20-S20-T20</f>
        <v>-9.45440748601936</v>
      </c>
      <c r="V20" s="66" t="n">
        <f aca="false">R20/Economy!O20</f>
        <v>0.00488595539476134</v>
      </c>
      <c r="W20" s="66" t="n">
        <f aca="false">Budget!X20/Budget!M20</f>
        <v>0.00335281156250843</v>
      </c>
      <c r="X20" s="66" t="n">
        <f aca="false">S20/Economy!O20</f>
        <v>0.0113103010202733</v>
      </c>
      <c r="Y20" s="56" t="n">
        <f aca="false">MAX(0,H20+Q20-'Gold &amp; money'!G20)</f>
        <v>0</v>
      </c>
    </row>
    <row r="21" customFormat="false" ht="14.25" hidden="false" customHeight="true" outlineLevel="0" collapsed="false">
      <c r="A21" s="64" t="n">
        <v>1861</v>
      </c>
      <c r="B21" s="56" t="n">
        <f aca="false">Loans!V21-Loans!W21</f>
        <v>0</v>
      </c>
      <c r="C21" s="56" t="n">
        <f aca="false">R20*debt_amort</f>
        <v>0.028700908110425</v>
      </c>
      <c r="D21" s="56" t="n">
        <f aca="false">M20+Budget!Z21-B21-C21</f>
        <v>9.07435091800645</v>
      </c>
      <c r="E21" s="56" t="n">
        <f aca="false">MAX(0.1,Budget!M21*cash_target)</f>
        <v>10.0977576499653</v>
      </c>
      <c r="F21" s="56" t="n">
        <f aca="false">IF(D21&lt;E21,MIN(E21-D21,S20),0)</f>
        <v>1.02340673195888</v>
      </c>
      <c r="G21" s="56" t="n">
        <f aca="false">MAX(0,E21-D21-F21)</f>
        <v>0</v>
      </c>
      <c r="H21" s="56" t="n">
        <f aca="false">G21/issue_price</f>
        <v>0</v>
      </c>
      <c r="I21" s="56" t="n">
        <f aca="false">IF(AND(D21&gt;E21,$A21&gt;=dev_start),(D21-E21)*dev_share,0)</f>
        <v>0</v>
      </c>
      <c r="J21" s="56" t="n">
        <f aca="false">IF($A21&gt;=dev_start,MAX(0,S20-F21-reserve_buffer*Economy!O21),0)</f>
        <v>0</v>
      </c>
      <c r="K21" s="56" t="n">
        <f aca="false">IF(D21&gt;E21,MIN((D21-E21-I21)*repay_share,R20-C21),0)</f>
        <v>0</v>
      </c>
      <c r="L21" s="56" t="n">
        <f aca="false">IF(D21&gt;E21,D21-E21-I21-K21,0)</f>
        <v>0</v>
      </c>
      <c r="M21" s="56" t="n">
        <f aca="false">D21+F21+G21-I21-K21-L21</f>
        <v>10.0977576499653</v>
      </c>
      <c r="N21" s="56" t="n">
        <f aca="false">I21+J21+Q21*issue_price*dev_bonds+SUMPRODUCT((Events!$B$6:$B$400&lt;=$A21)*(Events!$C$6:$C$400&gt;=$A21)*(Events!$E$6:$E$400="Investment")*Events!$H$6:$H$400)</f>
        <v>0</v>
      </c>
      <c r="O21" s="56" t="n">
        <f aca="false">O20*(1-dev_dep)+N21</f>
        <v>0</v>
      </c>
      <c r="P21" s="56" t="n">
        <f aca="false">SUMPRODUCT((Events!$B$6:$B$400&lt;=$A21)*(Events!$C$6:$C$400&gt;=$A21)*(Events!$E$6:$E$400="Debt assumed")*Events!$H$6:$H$400)</f>
        <v>0</v>
      </c>
      <c r="Q21" s="56" t="n">
        <f aca="false">IF($A21&lt;1887,0,MAX(0,debt_floor*Economy!O21-(R20+P21+H21-C21-K21)))</f>
        <v>0</v>
      </c>
      <c r="R21" s="56" t="n">
        <f aca="false">R20+P21+H21-C21-K21+Q21</f>
        <v>1.40634449741083</v>
      </c>
      <c r="S21" s="56" t="n">
        <f aca="false">S20+L21-F21-J21+Q21*issue_price*(1-dev_bonds)</f>
        <v>2.29852198061348</v>
      </c>
      <c r="T21" s="72" t="n">
        <f aca="false">Loans!X21</f>
        <v>0</v>
      </c>
      <c r="U21" s="56" t="n">
        <f aca="false">R21-M21-S21-T21</f>
        <v>-10.989935133168</v>
      </c>
      <c r="V21" s="66" t="n">
        <f aca="false">R21/Economy!O21</f>
        <v>0.00452945164451517</v>
      </c>
      <c r="W21" s="66" t="n">
        <f aca="false">Budget!X21/Budget!M21</f>
        <v>0.00227029120205521</v>
      </c>
      <c r="X21" s="66" t="n">
        <f aca="false">S21/Economy!O21</f>
        <v>0.00740291172199375</v>
      </c>
      <c r="Y21" s="56" t="n">
        <f aca="false">MAX(0,H21+Q21-'Gold &amp; money'!G21)</f>
        <v>0</v>
      </c>
    </row>
    <row r="22" customFormat="false" ht="14.25" hidden="false" customHeight="true" outlineLevel="0" collapsed="false">
      <c r="A22" s="64" t="n">
        <v>1862</v>
      </c>
      <c r="B22" s="56" t="n">
        <f aca="false">Loans!V22-Loans!W22</f>
        <v>0</v>
      </c>
      <c r="C22" s="56" t="n">
        <f aca="false">R21*debt_amort</f>
        <v>0.0281268899482165</v>
      </c>
      <c r="D22" s="56" t="n">
        <f aca="false">M21+Budget!Z22-B22-C22</f>
        <v>3.5418296436968</v>
      </c>
      <c r="E22" s="56" t="n">
        <f aca="false">MAX(0.1,Budget!M22*cash_target)</f>
        <v>11.3196750531766</v>
      </c>
      <c r="F22" s="56" t="n">
        <f aca="false">IF(D22&lt;E22,MIN(E22-D22,S21),0)</f>
        <v>2.29852198061348</v>
      </c>
      <c r="G22" s="56" t="n">
        <f aca="false">MAX(0,E22-D22-F22)</f>
        <v>5.47932342886633</v>
      </c>
      <c r="H22" s="56" t="n">
        <f aca="false">G22/issue_price</f>
        <v>5.64878704006838</v>
      </c>
      <c r="I22" s="56" t="n">
        <f aca="false">IF(AND(D22&gt;E22,$A22&gt;=dev_start),(D22-E22)*dev_share,0)</f>
        <v>0</v>
      </c>
      <c r="J22" s="56" t="n">
        <f aca="false">IF($A22&gt;=dev_start,MAX(0,S21-F22-reserve_buffer*Economy!O22),0)</f>
        <v>0</v>
      </c>
      <c r="K22" s="56" t="n">
        <f aca="false">IF(D22&gt;E22,MIN((D22-E22-I22)*repay_share,R21-C22),0)</f>
        <v>0</v>
      </c>
      <c r="L22" s="56" t="n">
        <f aca="false">IF(D22&gt;E22,D22-E22-I22-K22,0)</f>
        <v>0</v>
      </c>
      <c r="M22" s="56" t="n">
        <f aca="false">D22+F22+G22-I22-K22-L22</f>
        <v>11.3196750531766</v>
      </c>
      <c r="N22" s="56" t="n">
        <f aca="false">I22+J22+Q22*issue_price*dev_bonds+SUMPRODUCT((Events!$B$6:$B$400&lt;=$A22)*(Events!$C$6:$C$400&gt;=$A22)*(Events!$E$6:$E$400="Investment")*Events!$H$6:$H$400)</f>
        <v>0</v>
      </c>
      <c r="O22" s="56" t="n">
        <f aca="false">O21*(1-dev_dep)+N22</f>
        <v>0</v>
      </c>
      <c r="P22" s="56" t="n">
        <f aca="false">SUMPRODUCT((Events!$B$6:$B$400&lt;=$A22)*(Events!$C$6:$C$400&gt;=$A22)*(Events!$E$6:$E$400="Debt assumed")*Events!$H$6:$H$400)</f>
        <v>0</v>
      </c>
      <c r="Q22" s="56" t="n">
        <f aca="false">IF($A22&lt;1887,0,MAX(0,debt_floor*Economy!O22-(R21+P22+H22-C22-K22)))</f>
        <v>0</v>
      </c>
      <c r="R22" s="56" t="n">
        <f aca="false">R21+P22+H22-C22-K22+Q22</f>
        <v>7.02700464753099</v>
      </c>
      <c r="S22" s="56" t="n">
        <f aca="false">S21+L22-F22-J22+Q22*issue_price*(1-dev_bonds)</f>
        <v>0</v>
      </c>
      <c r="T22" s="72" t="n">
        <f aca="false">Loans!X22</f>
        <v>0</v>
      </c>
      <c r="U22" s="56" t="n">
        <f aca="false">R22-M22-S22-T22</f>
        <v>-4.29267040564562</v>
      </c>
      <c r="V22" s="66" t="n">
        <f aca="false">R22/Economy!O22</f>
        <v>0.0202210488989968</v>
      </c>
      <c r="W22" s="66" t="n">
        <f aca="false">Budget!X22/Budget!M22</f>
        <v>0.00199403508293372</v>
      </c>
      <c r="X22" s="66" t="n">
        <f aca="false">S22/Economy!O22</f>
        <v>0</v>
      </c>
      <c r="Y22" s="56" t="n">
        <f aca="false">MAX(0,H22+Q22-'Gold &amp; money'!G22)</f>
        <v>5.64878704006838</v>
      </c>
    </row>
    <row r="23" customFormat="false" ht="14.25" hidden="false" customHeight="true" outlineLevel="0" collapsed="false">
      <c r="A23" s="64" t="n">
        <v>1863</v>
      </c>
      <c r="B23" s="56" t="n">
        <f aca="false">Loans!V23-Loans!W23</f>
        <v>0</v>
      </c>
      <c r="C23" s="56" t="n">
        <f aca="false">R22*debt_amort</f>
        <v>0.14054009295062</v>
      </c>
      <c r="D23" s="56" t="n">
        <f aca="false">M22+Budget!Z23-B23-C23</f>
        <v>5.12131697578928</v>
      </c>
      <c r="E23" s="56" t="n">
        <f aca="false">MAX(0.1,Budget!M23*cash_target)</f>
        <v>13.4744520520363</v>
      </c>
      <c r="F23" s="56" t="n">
        <f aca="false">IF(D23&lt;E23,MIN(E23-D23,S22),0)</f>
        <v>0</v>
      </c>
      <c r="G23" s="56" t="n">
        <f aca="false">MAX(0,E23-D23-F23)</f>
        <v>8.35313507624701</v>
      </c>
      <c r="H23" s="56" t="n">
        <f aca="false">G23/issue_price</f>
        <v>8.61147946004846</v>
      </c>
      <c r="I23" s="56" t="n">
        <f aca="false">IF(AND(D23&gt;E23,$A23&gt;=dev_start),(D23-E23)*dev_share,0)</f>
        <v>0</v>
      </c>
      <c r="J23" s="56" t="n">
        <f aca="false">IF($A23&gt;=dev_start,MAX(0,S22-F23-reserve_buffer*Economy!O23),0)</f>
        <v>0</v>
      </c>
      <c r="K23" s="56" t="n">
        <f aca="false">IF(D23&gt;E23,MIN((D23-E23-I23)*repay_share,R22-C23),0)</f>
        <v>0</v>
      </c>
      <c r="L23" s="56" t="n">
        <f aca="false">IF(D23&gt;E23,D23-E23-I23-K23,0)</f>
        <v>0</v>
      </c>
      <c r="M23" s="56" t="n">
        <f aca="false">D23+F23+G23-I23-K23-L23</f>
        <v>13.4744520520363</v>
      </c>
      <c r="N23" s="56" t="n">
        <f aca="false">I23+J23+Q23*issue_price*dev_bonds+SUMPRODUCT((Events!$B$6:$B$400&lt;=$A23)*(Events!$C$6:$C$400&gt;=$A23)*(Events!$E$6:$E$400="Investment")*Events!$H$6:$H$400)</f>
        <v>0</v>
      </c>
      <c r="O23" s="56" t="n">
        <f aca="false">O22*(1-dev_dep)+N23</f>
        <v>0</v>
      </c>
      <c r="P23" s="56" t="n">
        <f aca="false">SUMPRODUCT((Events!$B$6:$B$400&lt;=$A23)*(Events!$C$6:$C$400&gt;=$A23)*(Events!$E$6:$E$400="Debt assumed")*Events!$H$6:$H$400)</f>
        <v>0</v>
      </c>
      <c r="Q23" s="56" t="n">
        <f aca="false">IF($A23&lt;1887,0,MAX(0,debt_floor*Economy!O23-(R22+P23+H23-C23-K23)))</f>
        <v>0</v>
      </c>
      <c r="R23" s="56" t="n">
        <f aca="false">R22+P23+H23-C23-K23+Q23</f>
        <v>15.4979440146288</v>
      </c>
      <c r="S23" s="56" t="n">
        <f aca="false">S22+L23-F23-J23+Q23*issue_price*(1-dev_bonds)</f>
        <v>0</v>
      </c>
      <c r="T23" s="72" t="n">
        <f aca="false">Loans!X23</f>
        <v>0</v>
      </c>
      <c r="U23" s="56" t="n">
        <f aca="false">R23-M23-S23-T23</f>
        <v>2.02349196259255</v>
      </c>
      <c r="V23" s="66" t="n">
        <f aca="false">R23/Economy!O23</f>
        <v>0.0374185875422702</v>
      </c>
      <c r="W23" s="66" t="n">
        <f aca="false">Budget!X23/Budget!M23</f>
        <v>0.00840928072650743</v>
      </c>
      <c r="X23" s="66" t="n">
        <f aca="false">S23/Economy!O23</f>
        <v>0</v>
      </c>
      <c r="Y23" s="56" t="n">
        <f aca="false">MAX(0,H23+Q23-'Gold &amp; money'!G23)</f>
        <v>8.61147946004846</v>
      </c>
    </row>
    <row r="24" customFormat="false" ht="14.25" hidden="false" customHeight="true" outlineLevel="0" collapsed="false">
      <c r="A24" s="64" t="n">
        <v>1864</v>
      </c>
      <c r="B24" s="56" t="n">
        <f aca="false">Loans!V24-Loans!W24</f>
        <v>0</v>
      </c>
      <c r="C24" s="56" t="n">
        <f aca="false">R23*debt_amort</f>
        <v>0.309958880292577</v>
      </c>
      <c r="D24" s="56" t="n">
        <f aca="false">M23+Budget!Z24-B24-C24</f>
        <v>10.4507340377428</v>
      </c>
      <c r="E24" s="56" t="n">
        <f aca="false">MAX(0.1,Budget!M24*cash_target)</f>
        <v>15.6873587777485</v>
      </c>
      <c r="F24" s="56" t="n">
        <f aca="false">IF(D24&lt;E24,MIN(E24-D24,S23),0)</f>
        <v>0</v>
      </c>
      <c r="G24" s="56" t="n">
        <f aca="false">MAX(0,E24-D24-F24)</f>
        <v>5.23662474000567</v>
      </c>
      <c r="H24" s="56" t="n">
        <f aca="false">G24/issue_price</f>
        <v>5.39858220619141</v>
      </c>
      <c r="I24" s="56" t="n">
        <f aca="false">IF(AND(D24&gt;E24,$A24&gt;=dev_start),(D24-E24)*dev_share,0)</f>
        <v>0</v>
      </c>
      <c r="J24" s="56" t="n">
        <f aca="false">IF($A24&gt;=dev_start,MAX(0,S23-F24-reserve_buffer*Economy!O24),0)</f>
        <v>0</v>
      </c>
      <c r="K24" s="56" t="n">
        <f aca="false">IF(D24&gt;E24,MIN((D24-E24-I24)*repay_share,R23-C24),0)</f>
        <v>0</v>
      </c>
      <c r="L24" s="56" t="n">
        <f aca="false">IF(D24&gt;E24,D24-E24-I24-K24,0)</f>
        <v>0</v>
      </c>
      <c r="M24" s="56" t="n">
        <f aca="false">D24+F24+G24-I24-K24-L24</f>
        <v>15.6873587777485</v>
      </c>
      <c r="N24" s="56" t="n">
        <f aca="false">I24+J24+Q24*issue_price*dev_bonds+SUMPRODUCT((Events!$B$6:$B$400&lt;=$A24)*(Events!$C$6:$C$400&gt;=$A24)*(Events!$E$6:$E$400="Investment")*Events!$H$6:$H$400)</f>
        <v>0</v>
      </c>
      <c r="O24" s="56" t="n">
        <f aca="false">O23*(1-dev_dep)+N24</f>
        <v>0</v>
      </c>
      <c r="P24" s="56" t="n">
        <f aca="false">SUMPRODUCT((Events!$B$6:$B$400&lt;=$A24)*(Events!$C$6:$C$400&gt;=$A24)*(Events!$E$6:$E$400="Debt assumed")*Events!$H$6:$H$400)</f>
        <v>0</v>
      </c>
      <c r="Q24" s="56" t="n">
        <f aca="false">IF($A24&lt;1887,0,MAX(0,debt_floor*Economy!O24-(R23+P24+H24-C24-K24)))</f>
        <v>0</v>
      </c>
      <c r="R24" s="56" t="n">
        <f aca="false">R23+P24+H24-C24-K24+Q24</f>
        <v>20.5865673405277</v>
      </c>
      <c r="S24" s="56" t="n">
        <f aca="false">S23+L24-F24-J24+Q24*issue_price*(1-dev_bonds)</f>
        <v>0</v>
      </c>
      <c r="T24" s="72" t="n">
        <f aca="false">Loans!X24</f>
        <v>0</v>
      </c>
      <c r="U24" s="56" t="n">
        <f aca="false">R24-M24-S24-T24</f>
        <v>4.89920856277918</v>
      </c>
      <c r="V24" s="66" t="n">
        <f aca="false">R24/Economy!O24</f>
        <v>0.0423354276509977</v>
      </c>
      <c r="W24" s="66" t="n">
        <f aca="false">Budget!X24/Budget!M24</f>
        <v>0.0159796972828972</v>
      </c>
      <c r="X24" s="66" t="n">
        <f aca="false">S24/Economy!O24</f>
        <v>0</v>
      </c>
      <c r="Y24" s="56" t="n">
        <f aca="false">MAX(0,H24+Q24-'Gold &amp; money'!G24)</f>
        <v>5.39858220619141</v>
      </c>
    </row>
    <row r="25" customFormat="false" ht="14.25" hidden="false" customHeight="true" outlineLevel="0" collapsed="false">
      <c r="A25" s="64" t="n">
        <v>1865</v>
      </c>
      <c r="B25" s="56" t="n">
        <f aca="false">Loans!V25-Loans!W25</f>
        <v>0</v>
      </c>
      <c r="C25" s="56" t="n">
        <f aca="false">R24*debt_amort</f>
        <v>0.411731346810553</v>
      </c>
      <c r="D25" s="56" t="n">
        <f aca="false">M24+Budget!Z25-B25-C25</f>
        <v>25.7617562756849</v>
      </c>
      <c r="E25" s="56" t="n">
        <f aca="false">MAX(0.1,Budget!M25*cash_target)</f>
        <v>17.1401908409203</v>
      </c>
      <c r="F25" s="56" t="n">
        <f aca="false">IF(D25&lt;E25,MIN(E25-D25,S24),0)</f>
        <v>0</v>
      </c>
      <c r="G25" s="56" t="n">
        <f aca="false">MAX(0,E25-D25-F25)</f>
        <v>0</v>
      </c>
      <c r="H25" s="56" t="n">
        <f aca="false">G25/issue_price</f>
        <v>0</v>
      </c>
      <c r="I25" s="56" t="n">
        <f aca="false">IF(AND(D25&gt;E25,$A25&gt;=dev_start),(D25-E25)*dev_share,0)</f>
        <v>0</v>
      </c>
      <c r="J25" s="56" t="n">
        <f aca="false">IF($A25&gt;=dev_start,MAX(0,S24-F25-reserve_buffer*Economy!O25),0)</f>
        <v>0</v>
      </c>
      <c r="K25" s="56" t="n">
        <f aca="false">IF(D25&gt;E25,MIN((D25-E25-I25)*repay_share,R24-C25),0)</f>
        <v>6.89725234781168</v>
      </c>
      <c r="L25" s="56" t="n">
        <f aca="false">IF(D25&gt;E25,D25-E25-I25-K25,0)</f>
        <v>1.72431308695292</v>
      </c>
      <c r="M25" s="56" t="n">
        <f aca="false">D25+F25+G25-I25-K25-L25</f>
        <v>17.1401908409203</v>
      </c>
      <c r="N25" s="56" t="n">
        <f aca="false">I25+J25+Q25*issue_price*dev_bonds+SUMPRODUCT((Events!$B$6:$B$400&lt;=$A25)*(Events!$C$6:$C$400&gt;=$A25)*(Events!$E$6:$E$400="Investment")*Events!$H$6:$H$400)</f>
        <v>0</v>
      </c>
      <c r="O25" s="56" t="n">
        <f aca="false">O24*(1-dev_dep)+N25</f>
        <v>0</v>
      </c>
      <c r="P25" s="56" t="n">
        <f aca="false">SUMPRODUCT((Events!$B$6:$B$400&lt;=$A25)*(Events!$C$6:$C$400&gt;=$A25)*(Events!$E$6:$E$400="Debt assumed")*Events!$H$6:$H$400)</f>
        <v>0</v>
      </c>
      <c r="Q25" s="56" t="n">
        <f aca="false">IF($A25&lt;1887,0,MAX(0,debt_floor*Economy!O25-(R24+P25+H25-C25-K25)))</f>
        <v>0</v>
      </c>
      <c r="R25" s="56" t="n">
        <f aca="false">R24+P25+H25-C25-K25+Q25</f>
        <v>13.2775836459054</v>
      </c>
      <c r="S25" s="56" t="n">
        <f aca="false">S24+L25-F25-J25+Q25*issue_price*(1-dev_bonds)</f>
        <v>1.72431308695292</v>
      </c>
      <c r="T25" s="72" t="n">
        <f aca="false">Loans!X25</f>
        <v>0</v>
      </c>
      <c r="U25" s="56" t="n">
        <f aca="false">R25-M25-S25-T25</f>
        <v>-5.58692028196774</v>
      </c>
      <c r="V25" s="66" t="n">
        <f aca="false">R25/Economy!O25</f>
        <v>0.0250179262717026</v>
      </c>
      <c r="W25" s="66" t="n">
        <f aca="false">Budget!X25/Budget!M25</f>
        <v>0.0195173859141007</v>
      </c>
      <c r="X25" s="66" t="n">
        <f aca="false">S25/Economy!O25</f>
        <v>0.00324899008955016</v>
      </c>
      <c r="Y25" s="56" t="n">
        <f aca="false">MAX(0,H25+Q25-'Gold &amp; money'!G25)</f>
        <v>0</v>
      </c>
    </row>
    <row r="26" customFormat="false" ht="14.25" hidden="false" customHeight="true" outlineLevel="0" collapsed="false">
      <c r="A26" s="61" t="n">
        <v>1866</v>
      </c>
      <c r="B26" s="56" t="n">
        <f aca="false">Loans!V26-Loans!W26</f>
        <v>0</v>
      </c>
      <c r="C26" s="56" t="n">
        <f aca="false">R25*debt_amort</f>
        <v>0.265551672918109</v>
      </c>
      <c r="D26" s="56" t="n">
        <f aca="false">M25+Budget!Z26-B26-C26</f>
        <v>30.1002416076652</v>
      </c>
      <c r="E26" s="56" t="n">
        <f aca="false">MAX(0.1,Budget!M26*cash_target)</f>
        <v>17.8260598702818</v>
      </c>
      <c r="F26" s="56" t="n">
        <f aca="false">IF(D26&lt;E26,MIN(E26-D26,S25),0)</f>
        <v>0</v>
      </c>
      <c r="G26" s="56" t="n">
        <f aca="false">MAX(0,E26-D26-F26)</f>
        <v>0</v>
      </c>
      <c r="H26" s="56" t="n">
        <f aca="false">G26/issue_price</f>
        <v>0</v>
      </c>
      <c r="I26" s="56" t="n">
        <f aca="false">IF(AND(D26&gt;E26,$A26&gt;=dev_start),(D26-E26)*dev_share,0)</f>
        <v>0</v>
      </c>
      <c r="J26" s="56" t="n">
        <f aca="false">IF($A26&gt;=dev_start,MAX(0,S25-F26-reserve_buffer*Economy!O26),0)</f>
        <v>0</v>
      </c>
      <c r="K26" s="56" t="n">
        <f aca="false">IF(D26&gt;E26,MIN((D26-E26-I26)*repay_share,R25-C26),0)</f>
        <v>9.81934538990671</v>
      </c>
      <c r="L26" s="56" t="n">
        <f aca="false">IF(D26&gt;E26,D26-E26-I26-K26,0)</f>
        <v>2.45483634747668</v>
      </c>
      <c r="M26" s="56" t="n">
        <f aca="false">D26+F26+G26-I26-K26-L26</f>
        <v>17.8260598702818</v>
      </c>
      <c r="N26" s="56" t="n">
        <f aca="false">I26+J26+Q26*issue_price*dev_bonds+SUMPRODUCT((Events!$B$6:$B$400&lt;=$A26)*(Events!$C$6:$C$400&gt;=$A26)*(Events!$E$6:$E$400="Investment")*Events!$H$6:$H$400)</f>
        <v>0</v>
      </c>
      <c r="O26" s="56" t="n">
        <f aca="false">O25*(1-dev_dep)+N26</f>
        <v>0</v>
      </c>
      <c r="P26" s="56" t="n">
        <f aca="false">SUMPRODUCT((Events!$B$6:$B$400&lt;=$A26)*(Events!$C$6:$C$400&gt;=$A26)*(Events!$E$6:$E$400="Debt assumed")*Events!$H$6:$H$400)</f>
        <v>0</v>
      </c>
      <c r="Q26" s="56" t="n">
        <f aca="false">IF($A26&lt;1887,0,MAX(0,debt_floor*Economy!O26-(R25+P26+H26-C26-K26)))</f>
        <v>0</v>
      </c>
      <c r="R26" s="56" t="n">
        <f aca="false">R25+P26+H26-C26-K26+Q26</f>
        <v>3.19268658308062</v>
      </c>
      <c r="S26" s="56" t="n">
        <f aca="false">S25+L26-F26-J26+Q26*issue_price*(1-dev_bonds)</f>
        <v>4.17914943442959</v>
      </c>
      <c r="T26" s="72" t="n">
        <f aca="false">Loans!X26</f>
        <v>0</v>
      </c>
      <c r="U26" s="56" t="n">
        <f aca="false">R26-M26-S26-T26</f>
        <v>-18.8125227216308</v>
      </c>
      <c r="V26" s="66" t="n">
        <f aca="false">R26/Economy!O26</f>
        <v>0.00561704704301827</v>
      </c>
      <c r="W26" s="66" t="n">
        <f aca="false">Budget!X26/Budget!M26</f>
        <v>0.0119733221284506</v>
      </c>
      <c r="X26" s="66" t="n">
        <f aca="false">S26/Economy!O26</f>
        <v>0.00735257857673701</v>
      </c>
      <c r="Y26" s="56" t="n">
        <f aca="false">MAX(0,H26+Q26-'Gold &amp; money'!G26)</f>
        <v>0</v>
      </c>
    </row>
    <row r="27" customFormat="false" ht="14.25" hidden="false" customHeight="true" outlineLevel="0" collapsed="false">
      <c r="A27" s="61" t="n">
        <v>1867</v>
      </c>
      <c r="B27" s="56" t="n">
        <f aca="false">Loans!V27-Loans!W27</f>
        <v>10</v>
      </c>
      <c r="C27" s="56" t="n">
        <f aca="false">R26*debt_amort</f>
        <v>0.0638537316616123</v>
      </c>
      <c r="D27" s="56" t="n">
        <f aca="false">M26+Budget!Z27-B27-C27</f>
        <v>17.8179599144991</v>
      </c>
      <c r="E27" s="56" t="n">
        <f aca="false">MAX(0.1,Budget!M27*cash_target)</f>
        <v>19.3779703424259</v>
      </c>
      <c r="F27" s="56" t="n">
        <f aca="false">IF(D27&lt;E27,MIN(E27-D27,S26),0)</f>
        <v>1.56001042792688</v>
      </c>
      <c r="G27" s="56" t="n">
        <f aca="false">MAX(0,E27-D27-F27)</f>
        <v>0</v>
      </c>
      <c r="H27" s="56" t="n">
        <f aca="false">G27/issue_price</f>
        <v>0</v>
      </c>
      <c r="I27" s="56" t="n">
        <f aca="false">IF(AND(D27&gt;E27,$A27&gt;=dev_start),(D27-E27)*dev_share,0)</f>
        <v>0</v>
      </c>
      <c r="J27" s="56" t="n">
        <f aca="false">IF($A27&gt;=dev_start,MAX(0,S26-F27-reserve_buffer*Economy!O27),0)</f>
        <v>0</v>
      </c>
      <c r="K27" s="56" t="n">
        <f aca="false">IF(D27&gt;E27,MIN((D27-E27-I27)*repay_share,R26-C27),0)</f>
        <v>0</v>
      </c>
      <c r="L27" s="56" t="n">
        <f aca="false">IF(D27&gt;E27,D27-E27-I27-K27,0)</f>
        <v>0</v>
      </c>
      <c r="M27" s="56" t="n">
        <f aca="false">D27+F27+G27-I27-K27-L27</f>
        <v>19.3779703424259</v>
      </c>
      <c r="N27" s="56" t="n">
        <f aca="false">I27+J27+Q27*issue_price*dev_bonds+SUMPRODUCT((Events!$B$6:$B$400&lt;=$A27)*(Events!$C$6:$C$400&gt;=$A27)*(Events!$E$6:$E$400="Investment")*Events!$H$6:$H$400)</f>
        <v>0</v>
      </c>
      <c r="O27" s="56" t="n">
        <f aca="false">O26*(1-dev_dep)+N27</f>
        <v>0</v>
      </c>
      <c r="P27" s="56" t="n">
        <f aca="false">SUMPRODUCT((Events!$B$6:$B$400&lt;=$A27)*(Events!$C$6:$C$400&gt;=$A27)*(Events!$E$6:$E$400="Debt assumed")*Events!$H$6:$H$400)</f>
        <v>0</v>
      </c>
      <c r="Q27" s="56" t="n">
        <f aca="false">IF($A27&lt;1887,0,MAX(0,debt_floor*Economy!O27-(R26+P27+H27-C27-K27)))</f>
        <v>0</v>
      </c>
      <c r="R27" s="56" t="n">
        <f aca="false">R26+P27+H27-C27-K27+Q27</f>
        <v>3.128832851419</v>
      </c>
      <c r="S27" s="56" t="n">
        <f aca="false">S26+L27-F27-J27+Q27*issue_price*(1-dev_bonds)</f>
        <v>2.61913900650271</v>
      </c>
      <c r="T27" s="72" t="n">
        <f aca="false">Loans!X27</f>
        <v>10</v>
      </c>
      <c r="U27" s="56" t="n">
        <f aca="false">R27-M27-S27-T27</f>
        <v>-28.8682764975096</v>
      </c>
      <c r="V27" s="66" t="n">
        <f aca="false">R27/Economy!O27</f>
        <v>0.00507591930070586</v>
      </c>
      <c r="W27" s="66" t="n">
        <f aca="false">Budget!X27/Budget!M27</f>
        <v>0.00261966118091533</v>
      </c>
      <c r="X27" s="66" t="n">
        <f aca="false">S27/Economy!O27</f>
        <v>0.0042490407336107</v>
      </c>
      <c r="Y27" s="56" t="n">
        <f aca="false">MAX(0,H27+Q27-'Gold &amp; money'!G27)</f>
        <v>0</v>
      </c>
    </row>
    <row r="28" customFormat="false" ht="14.25" hidden="false" customHeight="true" outlineLevel="0" collapsed="false">
      <c r="A28" s="61" t="n">
        <v>1868</v>
      </c>
      <c r="B28" s="56" t="n">
        <f aca="false">Loans!V28-Loans!W28</f>
        <v>-0.4</v>
      </c>
      <c r="C28" s="56" t="n">
        <f aca="false">R27*debt_amort</f>
        <v>0.0625766570283801</v>
      </c>
      <c r="D28" s="56" t="n">
        <f aca="false">M27+Budget!Z28-B28-C28</f>
        <v>39.0887480148678</v>
      </c>
      <c r="E28" s="56" t="n">
        <f aca="false">MAX(0.1,Budget!M28*cash_target)</f>
        <v>21.0986127069198</v>
      </c>
      <c r="F28" s="56" t="n">
        <f aca="false">IF(D28&lt;E28,MIN(E28-D28,S27),0)</f>
        <v>0</v>
      </c>
      <c r="G28" s="56" t="n">
        <f aca="false">MAX(0,E28-D28-F28)</f>
        <v>0</v>
      </c>
      <c r="H28" s="56" t="n">
        <f aca="false">G28/issue_price</f>
        <v>0</v>
      </c>
      <c r="I28" s="56" t="n">
        <f aca="false">IF(AND(D28&gt;E28,$A28&gt;=dev_start),(D28-E28)*dev_share,0)</f>
        <v>0</v>
      </c>
      <c r="J28" s="56" t="n">
        <f aca="false">IF($A28&gt;=dev_start,MAX(0,S27-F28-reserve_buffer*Economy!O28),0)</f>
        <v>0</v>
      </c>
      <c r="K28" s="56" t="n">
        <f aca="false">IF(D28&gt;E28,MIN((D28-E28-I28)*repay_share,R27-C28),0)</f>
        <v>3.06625619439062</v>
      </c>
      <c r="L28" s="56" t="n">
        <f aca="false">IF(D28&gt;E28,D28-E28-I28-K28,0)</f>
        <v>14.9238791135574</v>
      </c>
      <c r="M28" s="56" t="n">
        <f aca="false">D28+F28+G28-I28-K28-L28</f>
        <v>21.0986127069198</v>
      </c>
      <c r="N28" s="56" t="n">
        <f aca="false">I28+J28+Q28*issue_price*dev_bonds+SUMPRODUCT((Events!$B$6:$B$400&lt;=$A28)*(Events!$C$6:$C$400&gt;=$A28)*(Events!$E$6:$E$400="Investment")*Events!$H$6:$H$400)</f>
        <v>0</v>
      </c>
      <c r="O28" s="56" t="n">
        <f aca="false">O27*(1-dev_dep)+N28</f>
        <v>0</v>
      </c>
      <c r="P28" s="56" t="n">
        <f aca="false">SUMPRODUCT((Events!$B$6:$B$400&lt;=$A28)*(Events!$C$6:$C$400&gt;=$A28)*(Events!$E$6:$E$400="Debt assumed")*Events!$H$6:$H$400)</f>
        <v>0</v>
      </c>
      <c r="Q28" s="56" t="n">
        <f aca="false">IF($A28&lt;1887,0,MAX(0,debt_floor*Economy!O28-(R27+P28+H28-C28-K28)))</f>
        <v>0</v>
      </c>
      <c r="R28" s="56" t="n">
        <f aca="false">R27+P28+H28-C28-K28+Q28</f>
        <v>0</v>
      </c>
      <c r="S28" s="56" t="n">
        <f aca="false">S27+L28-F28-J28+Q28*issue_price*(1-dev_bonds)</f>
        <v>17.5430181200601</v>
      </c>
      <c r="T28" s="72" t="n">
        <f aca="false">Loans!X28</f>
        <v>9.6</v>
      </c>
      <c r="U28" s="56" t="n">
        <f aca="false">R28-M28-S28-T28</f>
        <v>-48.2416308269799</v>
      </c>
      <c r="V28" s="66" t="n">
        <f aca="false">R28/Economy!O28</f>
        <v>0</v>
      </c>
      <c r="W28" s="66" t="n">
        <f aca="false">Budget!X28/Budget!M28</f>
        <v>0.00233194936899464</v>
      </c>
      <c r="X28" s="66" t="n">
        <f aca="false">S28/Economy!O28</f>
        <v>0.0263098067670874</v>
      </c>
      <c r="Y28" s="56" t="n">
        <f aca="false">MAX(0,H28+Q28-'Gold &amp; money'!G28)</f>
        <v>0</v>
      </c>
    </row>
    <row r="29" customFormat="false" ht="14.25" hidden="false" customHeight="true" outlineLevel="0" collapsed="false">
      <c r="A29" s="61" t="n">
        <v>1869</v>
      </c>
      <c r="B29" s="56" t="n">
        <f aca="false">Loans!V29-Loans!W29</f>
        <v>-0.384</v>
      </c>
      <c r="C29" s="56" t="n">
        <f aca="false">R28*debt_amort</f>
        <v>0</v>
      </c>
      <c r="D29" s="56" t="n">
        <f aca="false">M28+Budget!Z29-B29-C29</f>
        <v>44.0841088890499</v>
      </c>
      <c r="E29" s="56" t="n">
        <f aca="false">MAX(0.1,Budget!M29*cash_target)</f>
        <v>22.8376656980077</v>
      </c>
      <c r="F29" s="56" t="n">
        <f aca="false">IF(D29&lt;E29,MIN(E29-D29,S28),0)</f>
        <v>0</v>
      </c>
      <c r="G29" s="56" t="n">
        <f aca="false">MAX(0,E29-D29-F29)</f>
        <v>0</v>
      </c>
      <c r="H29" s="56" t="n">
        <f aca="false">G29/issue_price</f>
        <v>0</v>
      </c>
      <c r="I29" s="56" t="n">
        <f aca="false">IF(AND(D29&gt;E29,$A29&gt;=dev_start),(D29-E29)*dev_share,0)</f>
        <v>0</v>
      </c>
      <c r="J29" s="56" t="n">
        <f aca="false">IF($A29&gt;=dev_start,MAX(0,S28-F29-reserve_buffer*Economy!O29),0)</f>
        <v>0</v>
      </c>
      <c r="K29" s="56" t="n">
        <f aca="false">IF(D29&gt;E29,MIN((D29-E29-I29)*repay_share,R28-C29),0)</f>
        <v>0</v>
      </c>
      <c r="L29" s="56" t="n">
        <f aca="false">IF(D29&gt;E29,D29-E29-I29-K29,0)</f>
        <v>21.2464431910422</v>
      </c>
      <c r="M29" s="56" t="n">
        <f aca="false">D29+F29+G29-I29-K29-L29</f>
        <v>22.8376656980077</v>
      </c>
      <c r="N29" s="56" t="n">
        <f aca="false">I29+J29+Q29*issue_price*dev_bonds+SUMPRODUCT((Events!$B$6:$B$400&lt;=$A29)*(Events!$C$6:$C$400&gt;=$A29)*(Events!$E$6:$E$400="Investment")*Events!$H$6:$H$400)</f>
        <v>0</v>
      </c>
      <c r="O29" s="56" t="n">
        <f aca="false">O28*(1-dev_dep)+N29</f>
        <v>0</v>
      </c>
      <c r="P29" s="56" t="n">
        <f aca="false">SUMPRODUCT((Events!$B$6:$B$400&lt;=$A29)*(Events!$C$6:$C$400&gt;=$A29)*(Events!$E$6:$E$400="Debt assumed")*Events!$H$6:$H$400)</f>
        <v>0</v>
      </c>
      <c r="Q29" s="56" t="n">
        <f aca="false">IF($A29&lt;1887,0,MAX(0,debt_floor*Economy!O29-(R28+P29+H29-C29-K29)))</f>
        <v>0</v>
      </c>
      <c r="R29" s="56" t="n">
        <f aca="false">R28+P29+H29-C29-K29+Q29</f>
        <v>0</v>
      </c>
      <c r="S29" s="56" t="n">
        <f aca="false">S28+L29-F29-J29+Q29*issue_price*(1-dev_bonds)</f>
        <v>38.7894613111023</v>
      </c>
      <c r="T29" s="72" t="n">
        <f aca="false">Loans!X29</f>
        <v>9.216</v>
      </c>
      <c r="U29" s="56" t="n">
        <f aca="false">R29-M29-S29-T29</f>
        <v>-70.84312700911</v>
      </c>
      <c r="V29" s="66" t="n">
        <f aca="false">R29/Economy!O29</f>
        <v>0</v>
      </c>
      <c r="W29" s="66" t="n">
        <f aca="false">Budget!X29/Budget!M29</f>
        <v>0</v>
      </c>
      <c r="X29" s="66" t="n">
        <f aca="false">S29/Economy!O29</f>
        <v>0.0540268360269362</v>
      </c>
      <c r="Y29" s="56" t="n">
        <f aca="false">MAX(0,H29+Q29-'Gold &amp; money'!G29)</f>
        <v>0</v>
      </c>
    </row>
    <row r="30" customFormat="false" ht="14.25" hidden="false" customHeight="true" outlineLevel="0" collapsed="false">
      <c r="A30" s="64" t="n">
        <v>1870</v>
      </c>
      <c r="B30" s="56" t="n">
        <f aca="false">Loans!V30-Loans!W30</f>
        <v>4.63136</v>
      </c>
      <c r="C30" s="56" t="n">
        <f aca="false">R29*debt_amort</f>
        <v>0</v>
      </c>
      <c r="D30" s="56" t="n">
        <f aca="false">M29+Budget!Z30-B30-C30</f>
        <v>40.2371959116788</v>
      </c>
      <c r="E30" s="56" t="n">
        <f aca="false">MAX(0.1,Budget!M30*cash_target)</f>
        <v>24.8650120918924</v>
      </c>
      <c r="F30" s="56" t="n">
        <f aca="false">IF(D30&lt;E30,MIN(E30-D30,S29),0)</f>
        <v>0</v>
      </c>
      <c r="G30" s="56" t="n">
        <f aca="false">MAX(0,E30-D30-F30)</f>
        <v>0</v>
      </c>
      <c r="H30" s="56" t="n">
        <f aca="false">G30/issue_price</f>
        <v>0</v>
      </c>
      <c r="I30" s="56" t="n">
        <f aca="false">IF(AND(D30&gt;E30,$A30&gt;=dev_start),(D30-E30)*dev_share,0)</f>
        <v>0</v>
      </c>
      <c r="J30" s="56" t="n">
        <f aca="false">IF($A30&gt;=dev_start,MAX(0,S29-F30-reserve_buffer*Economy!O30),0)</f>
        <v>0</v>
      </c>
      <c r="K30" s="56" t="n">
        <f aca="false">IF(D30&gt;E30,MIN((D30-E30-I30)*repay_share,R29-C30),0)</f>
        <v>0</v>
      </c>
      <c r="L30" s="56" t="n">
        <f aca="false">IF(D30&gt;E30,D30-E30-I30-K30,0)</f>
        <v>15.3721838197864</v>
      </c>
      <c r="M30" s="56" t="n">
        <f aca="false">D30+F30+G30-I30-K30-L30</f>
        <v>24.8650120918924</v>
      </c>
      <c r="N30" s="56" t="n">
        <f aca="false">I30+J30+Q30*issue_price*dev_bonds+SUMPRODUCT((Events!$B$6:$B$400&lt;=$A30)*(Events!$C$6:$C$400&gt;=$A30)*(Events!$E$6:$E$400="Investment")*Events!$H$6:$H$400)</f>
        <v>0</v>
      </c>
      <c r="O30" s="56" t="n">
        <f aca="false">O29*(1-dev_dep)+N30</f>
        <v>0</v>
      </c>
      <c r="P30" s="56" t="n">
        <f aca="false">SUMPRODUCT((Events!$B$6:$B$400&lt;=$A30)*(Events!$C$6:$C$400&gt;=$A30)*(Events!$E$6:$E$400="Debt assumed")*Events!$H$6:$H$400)</f>
        <v>0</v>
      </c>
      <c r="Q30" s="56" t="n">
        <f aca="false">IF($A30&lt;1887,0,MAX(0,debt_floor*Economy!O30-(R29+P30+H30-C30-K30)))</f>
        <v>0</v>
      </c>
      <c r="R30" s="56" t="n">
        <f aca="false">R29+P30+H30-C30-K30+Q30</f>
        <v>0</v>
      </c>
      <c r="S30" s="56" t="n">
        <f aca="false">S29+L30-F30-J30+Q30*issue_price*(1-dev_bonds)</f>
        <v>54.1616451308887</v>
      </c>
      <c r="T30" s="72" t="n">
        <f aca="false">Loans!X30</f>
        <v>13.84736</v>
      </c>
      <c r="U30" s="56" t="n">
        <f aca="false">R30-M30-S30-T30</f>
        <v>-92.8740172227811</v>
      </c>
      <c r="V30" s="66" t="n">
        <f aca="false">R30/Economy!O30</f>
        <v>0</v>
      </c>
      <c r="W30" s="66" t="n">
        <f aca="false">Budget!X30/Budget!M30</f>
        <v>0</v>
      </c>
      <c r="X30" s="66" t="n">
        <f aca="false">S30/Economy!O30</f>
        <v>0.0697794447392243</v>
      </c>
      <c r="Y30" s="56" t="n">
        <f aca="false">MAX(0,H30+Q30-'Gold &amp; money'!G30)</f>
        <v>0</v>
      </c>
    </row>
    <row r="31" customFormat="false" ht="14.25" hidden="false" customHeight="true" outlineLevel="0" collapsed="false">
      <c r="A31" s="64" t="n">
        <v>1871</v>
      </c>
      <c r="B31" s="56" t="n">
        <f aca="false">Loans!V31-Loans!W31</f>
        <v>11.9461056</v>
      </c>
      <c r="C31" s="56" t="n">
        <f aca="false">R30*debt_amort</f>
        <v>0</v>
      </c>
      <c r="D31" s="56" t="n">
        <f aca="false">M30+Budget!Z31-B31-C31</f>
        <v>38.6266682390701</v>
      </c>
      <c r="E31" s="56" t="n">
        <f aca="false">MAX(0.1,Budget!M31*cash_target)</f>
        <v>26.8352222416004</v>
      </c>
      <c r="F31" s="56" t="n">
        <f aca="false">IF(D31&lt;E31,MIN(E31-D31,S30),0)</f>
        <v>0</v>
      </c>
      <c r="G31" s="56" t="n">
        <f aca="false">MAX(0,E31-D31-F31)</f>
        <v>0</v>
      </c>
      <c r="H31" s="56" t="n">
        <f aca="false">G31/issue_price</f>
        <v>0</v>
      </c>
      <c r="I31" s="56" t="n">
        <f aca="false">IF(AND(D31&gt;E31,$A31&gt;=dev_start),(D31-E31)*dev_share,0)</f>
        <v>0</v>
      </c>
      <c r="J31" s="56" t="n">
        <f aca="false">IF($A31&gt;=dev_start,MAX(0,S30-F31-reserve_buffer*Economy!O31),0)</f>
        <v>0</v>
      </c>
      <c r="K31" s="56" t="n">
        <f aca="false">IF(D31&gt;E31,MIN((D31-E31-I31)*repay_share,R30-C31),0)</f>
        <v>0</v>
      </c>
      <c r="L31" s="56" t="n">
        <f aca="false">IF(D31&gt;E31,D31-E31-I31-K31,0)</f>
        <v>11.7914459974697</v>
      </c>
      <c r="M31" s="56" t="n">
        <f aca="false">D31+F31+G31-I31-K31-L31</f>
        <v>26.8352222416004</v>
      </c>
      <c r="N31" s="56" t="n">
        <f aca="false">I31+J31+Q31*issue_price*dev_bonds+SUMPRODUCT((Events!$B$6:$B$400&lt;=$A31)*(Events!$C$6:$C$400&gt;=$A31)*(Events!$E$6:$E$400="Investment")*Events!$H$6:$H$400)</f>
        <v>0</v>
      </c>
      <c r="O31" s="56" t="n">
        <f aca="false">O30*(1-dev_dep)+N31</f>
        <v>0</v>
      </c>
      <c r="P31" s="56" t="n">
        <f aca="false">SUMPRODUCT((Events!$B$6:$B$400&lt;=$A31)*(Events!$C$6:$C$400&gt;=$A31)*(Events!$E$6:$E$400="Debt assumed")*Events!$H$6:$H$400)</f>
        <v>0</v>
      </c>
      <c r="Q31" s="56" t="n">
        <f aca="false">IF($A31&lt;1887,0,MAX(0,debt_floor*Economy!O31-(R30+P31+H31-C31-K31)))</f>
        <v>0</v>
      </c>
      <c r="R31" s="56" t="n">
        <f aca="false">R30+P31+H31-C31-K31+Q31</f>
        <v>0</v>
      </c>
      <c r="S31" s="56" t="n">
        <f aca="false">S30+L31-F31-J31+Q31*issue_price*(1-dev_bonds)</f>
        <v>65.9530911283584</v>
      </c>
      <c r="T31" s="72" t="n">
        <f aca="false">Loans!X31</f>
        <v>25.7934656</v>
      </c>
      <c r="U31" s="56" t="n">
        <f aca="false">R31-M31-S31-T31</f>
        <v>-118.581778969959</v>
      </c>
      <c r="V31" s="66" t="n">
        <f aca="false">R31/Economy!O31</f>
        <v>0</v>
      </c>
      <c r="W31" s="66" t="n">
        <f aca="false">Budget!X31/Budget!M31</f>
        <v>0</v>
      </c>
      <c r="X31" s="66" t="n">
        <f aca="false">S31/Economy!O31</f>
        <v>0.0794604237185284</v>
      </c>
      <c r="Y31" s="56" t="n">
        <f aca="false">MAX(0,H31+Q31-'Gold &amp; money'!G31)</f>
        <v>0</v>
      </c>
    </row>
    <row r="32" customFormat="false" ht="14.25" hidden="false" customHeight="true" outlineLevel="0" collapsed="false">
      <c r="A32" s="61" t="n">
        <v>1872</v>
      </c>
      <c r="B32" s="56" t="n">
        <f aca="false">Loans!V32-Loans!W32</f>
        <v>15.468261376</v>
      </c>
      <c r="C32" s="56" t="n">
        <f aca="false">R31*debt_amort</f>
        <v>0</v>
      </c>
      <c r="D32" s="56" t="n">
        <f aca="false">M31+Budget!Z32-B32-C32</f>
        <v>48.3503216500035</v>
      </c>
      <c r="E32" s="56" t="n">
        <f aca="false">MAX(0.1,Budget!M32*cash_target)</f>
        <v>28.8635634794375</v>
      </c>
      <c r="F32" s="56" t="n">
        <f aca="false">IF(D32&lt;E32,MIN(E32-D32,S31),0)</f>
        <v>0</v>
      </c>
      <c r="G32" s="56" t="n">
        <f aca="false">MAX(0,E32-D32-F32)</f>
        <v>0</v>
      </c>
      <c r="H32" s="56" t="n">
        <f aca="false">G32/issue_price</f>
        <v>0</v>
      </c>
      <c r="I32" s="56" t="n">
        <f aca="false">IF(AND(D32&gt;E32,$A32&gt;=dev_start),(D32-E32)*dev_share,0)</f>
        <v>0</v>
      </c>
      <c r="J32" s="56" t="n">
        <f aca="false">IF($A32&gt;=dev_start,MAX(0,S31-F32-reserve_buffer*Economy!O32),0)</f>
        <v>0</v>
      </c>
      <c r="K32" s="56" t="n">
        <f aca="false">IF(D32&gt;E32,MIN((D32-E32-I32)*repay_share,R31-C32),0)</f>
        <v>0</v>
      </c>
      <c r="L32" s="56" t="n">
        <f aca="false">IF(D32&gt;E32,D32-E32-I32-K32,0)</f>
        <v>19.486758170566</v>
      </c>
      <c r="M32" s="56" t="n">
        <f aca="false">D32+F32+G32-I32-K32-L32</f>
        <v>28.8635634794375</v>
      </c>
      <c r="N32" s="56" t="n">
        <f aca="false">I32+J32+Q32*issue_price*dev_bonds+SUMPRODUCT((Events!$B$6:$B$400&lt;=$A32)*(Events!$C$6:$C$400&gt;=$A32)*(Events!$E$6:$E$400="Investment")*Events!$H$6:$H$400)</f>
        <v>0</v>
      </c>
      <c r="O32" s="56" t="n">
        <f aca="false">O31*(1-dev_dep)+N32</f>
        <v>0</v>
      </c>
      <c r="P32" s="56" t="n">
        <f aca="false">SUMPRODUCT((Events!$B$6:$B$400&lt;=$A32)*(Events!$C$6:$C$400&gt;=$A32)*(Events!$E$6:$E$400="Debt assumed")*Events!$H$6:$H$400)</f>
        <v>0</v>
      </c>
      <c r="Q32" s="56" t="n">
        <f aca="false">IF($A32&lt;1887,0,MAX(0,debt_floor*Economy!O32-(R31+P32+H32-C32-K32)))</f>
        <v>0</v>
      </c>
      <c r="R32" s="56" t="n">
        <f aca="false">R31+P32+H32-C32-K32+Q32</f>
        <v>0</v>
      </c>
      <c r="S32" s="56" t="n">
        <f aca="false">S31+L32-F32-J32+Q32*issue_price*(1-dev_bonds)</f>
        <v>85.4398492989244</v>
      </c>
      <c r="T32" s="72" t="n">
        <f aca="false">Loans!X32</f>
        <v>41.261726976</v>
      </c>
      <c r="U32" s="56" t="n">
        <f aca="false">R32-M32-S32-T32</f>
        <v>-155.565139754362</v>
      </c>
      <c r="V32" s="66" t="n">
        <f aca="false">R32/Economy!O32</f>
        <v>0</v>
      </c>
      <c r="W32" s="66" t="n">
        <f aca="false">Budget!X32/Budget!M32</f>
        <v>0</v>
      </c>
      <c r="X32" s="66" t="n">
        <f aca="false">S32/Economy!O32</f>
        <v>0.0964743161756542</v>
      </c>
      <c r="Y32" s="56" t="n">
        <f aca="false">MAX(0,H32+Q32-'Gold &amp; money'!G32)</f>
        <v>0</v>
      </c>
    </row>
    <row r="33" customFormat="false" ht="14.25" hidden="false" customHeight="true" outlineLevel="0" collapsed="false">
      <c r="A33" s="61" t="n">
        <v>1873</v>
      </c>
      <c r="B33" s="56" t="n">
        <f aca="false">Loans!V33-Loans!W33</f>
        <v>-1.65046907904</v>
      </c>
      <c r="C33" s="56" t="n">
        <f aca="false">R32*debt_amort</f>
        <v>0</v>
      </c>
      <c r="D33" s="56" t="n">
        <f aca="false">M32+Budget!Z33-B33-C33</f>
        <v>68.9727448398882</v>
      </c>
      <c r="E33" s="56" t="n">
        <f aca="false">MAX(0.1,Budget!M33*cash_target)</f>
        <v>28.8042949375635</v>
      </c>
      <c r="F33" s="56" t="n">
        <f aca="false">IF(D33&lt;E33,MIN(E33-D33,S32),0)</f>
        <v>0</v>
      </c>
      <c r="G33" s="56" t="n">
        <f aca="false">MAX(0,E33-D33-F33)</f>
        <v>0</v>
      </c>
      <c r="H33" s="56" t="n">
        <f aca="false">G33/issue_price</f>
        <v>0</v>
      </c>
      <c r="I33" s="56" t="n">
        <f aca="false">IF(AND(D33&gt;E33,$A33&gt;=dev_start),(D33-E33)*dev_share,0)</f>
        <v>0</v>
      </c>
      <c r="J33" s="56" t="n">
        <f aca="false">IF($A33&gt;=dev_start,MAX(0,S32-F33-reserve_buffer*Economy!O33),0)</f>
        <v>0</v>
      </c>
      <c r="K33" s="56" t="n">
        <f aca="false">IF(D33&gt;E33,MIN((D33-E33-I33)*repay_share,R32-C33),0)</f>
        <v>0</v>
      </c>
      <c r="L33" s="56" t="n">
        <f aca="false">IF(D33&gt;E33,D33-E33-I33-K33,0)</f>
        <v>40.1684499023247</v>
      </c>
      <c r="M33" s="56" t="n">
        <f aca="false">D33+F33+G33-I33-K33-L33</f>
        <v>28.8042949375635</v>
      </c>
      <c r="N33" s="56" t="n">
        <f aca="false">I33+J33+Q33*issue_price*dev_bonds+SUMPRODUCT((Events!$B$6:$B$400&lt;=$A33)*(Events!$C$6:$C$400&gt;=$A33)*(Events!$E$6:$E$400="Investment")*Events!$H$6:$H$400)</f>
        <v>0</v>
      </c>
      <c r="O33" s="56" t="n">
        <f aca="false">O32*(1-dev_dep)+N33</f>
        <v>0</v>
      </c>
      <c r="P33" s="56" t="n">
        <f aca="false">SUMPRODUCT((Events!$B$6:$B$400&lt;=$A33)*(Events!$C$6:$C$400&gt;=$A33)*(Events!$E$6:$E$400="Debt assumed")*Events!$H$6:$H$400)</f>
        <v>0</v>
      </c>
      <c r="Q33" s="56" t="n">
        <f aca="false">IF($A33&lt;1887,0,MAX(0,debt_floor*Economy!O33-(R32+P33+H33-C33-K33)))</f>
        <v>0</v>
      </c>
      <c r="R33" s="56" t="n">
        <f aca="false">R32+P33+H33-C33-K33+Q33</f>
        <v>0</v>
      </c>
      <c r="S33" s="56" t="n">
        <f aca="false">S32+L33-F33-J33+Q33*issue_price*(1-dev_bonds)</f>
        <v>125.608299201249</v>
      </c>
      <c r="T33" s="72" t="n">
        <f aca="false">Loans!X33</f>
        <v>39.61125789696</v>
      </c>
      <c r="U33" s="56" t="n">
        <f aca="false">R33-M33-S33-T33</f>
        <v>-194.023852035773</v>
      </c>
      <c r="V33" s="66" t="n">
        <f aca="false">R33/Economy!O33</f>
        <v>0</v>
      </c>
      <c r="W33" s="66" t="n">
        <f aca="false">Budget!X33/Budget!M33</f>
        <v>0</v>
      </c>
      <c r="X33" s="66" t="n">
        <f aca="false">S33/Economy!O33</f>
        <v>0.134721733208739</v>
      </c>
      <c r="Y33" s="56" t="n">
        <f aca="false">MAX(0,H33+Q33-'Gold &amp; money'!G33)</f>
        <v>0</v>
      </c>
    </row>
    <row r="34" customFormat="false" ht="14.25" hidden="false" customHeight="true" outlineLevel="0" collapsed="false">
      <c r="A34" s="61" t="n">
        <v>1874</v>
      </c>
      <c r="B34" s="56" t="n">
        <f aca="false">Loans!V34-Loans!W34</f>
        <v>1.4155496841216</v>
      </c>
      <c r="C34" s="56" t="n">
        <f aca="false">R33*debt_amort</f>
        <v>0</v>
      </c>
      <c r="D34" s="56" t="n">
        <f aca="false">M33+Budget!Z34-B34-C34</f>
        <v>69.2707056406806</v>
      </c>
      <c r="E34" s="56" t="n">
        <f aca="false">MAX(0.1,Budget!M34*cash_target)</f>
        <v>30.8396413237741</v>
      </c>
      <c r="F34" s="56" t="n">
        <f aca="false">IF(D34&lt;E34,MIN(E34-D34,S33),0)</f>
        <v>0</v>
      </c>
      <c r="G34" s="56" t="n">
        <f aca="false">MAX(0,E34-D34-F34)</f>
        <v>0</v>
      </c>
      <c r="H34" s="56" t="n">
        <f aca="false">G34/issue_price</f>
        <v>0</v>
      </c>
      <c r="I34" s="56" t="n">
        <f aca="false">IF(AND(D34&gt;E34,$A34&gt;=dev_start),(D34-E34)*dev_share,0)</f>
        <v>0</v>
      </c>
      <c r="J34" s="56" t="n">
        <f aca="false">IF($A34&gt;=dev_start,MAX(0,S33-F34-reserve_buffer*Economy!O34),0)</f>
        <v>0</v>
      </c>
      <c r="K34" s="56" t="n">
        <f aca="false">IF(D34&gt;E34,MIN((D34-E34-I34)*repay_share,R33-C34),0)</f>
        <v>0</v>
      </c>
      <c r="L34" s="56" t="n">
        <f aca="false">IF(D34&gt;E34,D34-E34-I34-K34,0)</f>
        <v>38.4310643169065</v>
      </c>
      <c r="M34" s="56" t="n">
        <f aca="false">D34+F34+G34-I34-K34-L34</f>
        <v>30.8396413237741</v>
      </c>
      <c r="N34" s="56" t="n">
        <f aca="false">I34+J34+Q34*issue_price*dev_bonds+SUMPRODUCT((Events!$B$6:$B$400&lt;=$A34)*(Events!$C$6:$C$400&gt;=$A34)*(Events!$E$6:$E$400="Investment")*Events!$H$6:$H$400)</f>
        <v>0</v>
      </c>
      <c r="O34" s="56" t="n">
        <f aca="false">O33*(1-dev_dep)+N34</f>
        <v>0</v>
      </c>
      <c r="P34" s="56" t="n">
        <f aca="false">SUMPRODUCT((Events!$B$6:$B$400&lt;=$A34)*(Events!$C$6:$C$400&gt;=$A34)*(Events!$E$6:$E$400="Debt assumed")*Events!$H$6:$H$400)</f>
        <v>0</v>
      </c>
      <c r="Q34" s="56" t="n">
        <f aca="false">IF($A34&lt;1887,0,MAX(0,debt_floor*Economy!O34-(R33+P34+H34-C34-K34)))</f>
        <v>0</v>
      </c>
      <c r="R34" s="56" t="n">
        <f aca="false">R33+P34+H34-C34-K34+Q34</f>
        <v>0</v>
      </c>
      <c r="S34" s="56" t="n">
        <f aca="false">S33+L34-F34-J34+Q34*issue_price*(1-dev_bonds)</f>
        <v>164.039363518156</v>
      </c>
      <c r="T34" s="72" t="n">
        <f aca="false">Loans!X34</f>
        <v>41.0268075810816</v>
      </c>
      <c r="U34" s="56" t="n">
        <f aca="false">R34-M34-S34-T34</f>
        <v>-235.905812423011</v>
      </c>
      <c r="V34" s="66" t="n">
        <f aca="false">R34/Economy!O34</f>
        <v>0</v>
      </c>
      <c r="W34" s="66" t="n">
        <f aca="false">Budget!X34/Budget!M34</f>
        <v>0</v>
      </c>
      <c r="X34" s="66" t="n">
        <f aca="false">S34/Economy!O34</f>
        <v>0.165961285311425</v>
      </c>
      <c r="Y34" s="56" t="n">
        <f aca="false">MAX(0,H34+Q34-'Gold &amp; money'!G34)</f>
        <v>0</v>
      </c>
    </row>
    <row r="35" customFormat="false" ht="14.25" hidden="false" customHeight="true" outlineLevel="0" collapsed="false">
      <c r="A35" s="61" t="n">
        <v>1875</v>
      </c>
      <c r="B35" s="56" t="n">
        <f aca="false">Loans!V35-Loans!W35</f>
        <v>1.38892769675674</v>
      </c>
      <c r="C35" s="56" t="n">
        <f aca="false">R34*debt_amort</f>
        <v>0</v>
      </c>
      <c r="D35" s="56" t="n">
        <f aca="false">M34+Budget!Z35-B35-C35</f>
        <v>77.3263711450076</v>
      </c>
      <c r="E35" s="56" t="n">
        <f aca="false">MAX(0.1,Budget!M35*cash_target)</f>
        <v>33.5017990429619</v>
      </c>
      <c r="F35" s="56" t="n">
        <f aca="false">IF(D35&lt;E35,MIN(E35-D35,S34),0)</f>
        <v>0</v>
      </c>
      <c r="G35" s="56" t="n">
        <f aca="false">MAX(0,E35-D35-F35)</f>
        <v>0</v>
      </c>
      <c r="H35" s="56" t="n">
        <f aca="false">G35/issue_price</f>
        <v>0</v>
      </c>
      <c r="I35" s="56" t="n">
        <f aca="false">IF(AND(D35&gt;E35,$A35&gt;=dev_start),(D35-E35)*dev_share,0)</f>
        <v>0</v>
      </c>
      <c r="J35" s="56" t="n">
        <f aca="false">IF($A35&gt;=dev_start,MAX(0,S34-F35-reserve_buffer*Economy!O35),0)</f>
        <v>0</v>
      </c>
      <c r="K35" s="56" t="n">
        <f aca="false">IF(D35&gt;E35,MIN((D35-E35-I35)*repay_share,R34-C35),0)</f>
        <v>0</v>
      </c>
      <c r="L35" s="56" t="n">
        <f aca="false">IF(D35&gt;E35,D35-E35-I35-K35,0)</f>
        <v>43.8245721020458</v>
      </c>
      <c r="M35" s="56" t="n">
        <f aca="false">D35+F35+G35-I35-K35-L35</f>
        <v>33.5017990429619</v>
      </c>
      <c r="N35" s="56" t="n">
        <f aca="false">I35+J35+Q35*issue_price*dev_bonds+SUMPRODUCT((Events!$B$6:$B$400&lt;=$A35)*(Events!$C$6:$C$400&gt;=$A35)*(Events!$E$6:$E$400="Investment")*Events!$H$6:$H$400)</f>
        <v>1.2</v>
      </c>
      <c r="O35" s="56" t="n">
        <f aca="false">O34*(1-dev_dep)+N35</f>
        <v>1.2</v>
      </c>
      <c r="P35" s="56" t="n">
        <f aca="false">SUMPRODUCT((Events!$B$6:$B$400&lt;=$A35)*(Events!$C$6:$C$400&gt;=$A35)*(Events!$E$6:$E$400="Debt assumed")*Events!$H$6:$H$400)</f>
        <v>0</v>
      </c>
      <c r="Q35" s="56" t="n">
        <f aca="false">IF($A35&lt;1887,0,MAX(0,debt_floor*Economy!O35-(R34+P35+H35-C35-K35)))</f>
        <v>0</v>
      </c>
      <c r="R35" s="56" t="n">
        <f aca="false">R34+P35+H35-C35-K35+Q35</f>
        <v>0</v>
      </c>
      <c r="S35" s="56" t="n">
        <f aca="false">S34+L35-F35-J35+Q35*issue_price*(1-dev_bonds)</f>
        <v>207.863935620201</v>
      </c>
      <c r="T35" s="72" t="n">
        <f aca="false">Loans!X35</f>
        <v>42.4157352778383</v>
      </c>
      <c r="U35" s="56" t="n">
        <f aca="false">R35-M35-S35-T35</f>
        <v>-283.781469941002</v>
      </c>
      <c r="V35" s="66" t="n">
        <f aca="false">R35/Economy!O35</f>
        <v>0</v>
      </c>
      <c r="W35" s="66" t="n">
        <f aca="false">Budget!X35/Budget!M35</f>
        <v>0</v>
      </c>
      <c r="X35" s="66" t="n">
        <f aca="false">S35/Economy!O35</f>
        <v>0.195147555896956</v>
      </c>
      <c r="Y35" s="56" t="n">
        <f aca="false">MAX(0,H35+Q35-'Gold &amp; money'!G35)</f>
        <v>0</v>
      </c>
    </row>
    <row r="36" customFormat="false" ht="14.25" hidden="false" customHeight="true" outlineLevel="0" collapsed="false">
      <c r="A36" s="61" t="n">
        <v>1876</v>
      </c>
      <c r="B36" s="56" t="n">
        <f aca="false">Loans!V36-Loans!W36</f>
        <v>-7.37052941111353</v>
      </c>
      <c r="C36" s="56" t="n">
        <f aca="false">R35*debt_amort</f>
        <v>0</v>
      </c>
      <c r="D36" s="56" t="n">
        <f aca="false">M35+Budget!Z36-B36-C36</f>
        <v>92.9281315952783</v>
      </c>
      <c r="E36" s="56" t="n">
        <f aca="false">MAX(0.1,Budget!M36*cash_target)</f>
        <v>36.5877945015535</v>
      </c>
      <c r="F36" s="56" t="n">
        <f aca="false">IF(D36&lt;E36,MIN(E36-D36,S35),0)</f>
        <v>0</v>
      </c>
      <c r="G36" s="56" t="n">
        <f aca="false">MAX(0,E36-D36-F36)</f>
        <v>0</v>
      </c>
      <c r="H36" s="56" t="n">
        <f aca="false">G36/issue_price</f>
        <v>0</v>
      </c>
      <c r="I36" s="56" t="n">
        <f aca="false">IF(AND(D36&gt;E36,$A36&gt;=dev_start),(D36-E36)*dev_share,0)</f>
        <v>0</v>
      </c>
      <c r="J36" s="56" t="n">
        <f aca="false">IF($A36&gt;=dev_start,MAX(0,S35-F36-reserve_buffer*Economy!O36),0)</f>
        <v>0</v>
      </c>
      <c r="K36" s="56" t="n">
        <f aca="false">IF(D36&gt;E36,MIN((D36-E36-I36)*repay_share,R35-C36),0)</f>
        <v>0</v>
      </c>
      <c r="L36" s="56" t="n">
        <f aca="false">IF(D36&gt;E36,D36-E36-I36-K36,0)</f>
        <v>56.3403370937248</v>
      </c>
      <c r="M36" s="56" t="n">
        <f aca="false">D36+F36+G36-I36-K36-L36</f>
        <v>36.5877945015535</v>
      </c>
      <c r="N36" s="56" t="n">
        <f aca="false">I36+J36+Q36*issue_price*dev_bonds+SUMPRODUCT((Events!$B$6:$B$400&lt;=$A36)*(Events!$C$6:$C$400&gt;=$A36)*(Events!$E$6:$E$400="Investment")*Events!$H$6:$H$400)</f>
        <v>2.2</v>
      </c>
      <c r="O36" s="56" t="n">
        <f aca="false">O35*(1-dev_dep)+N36</f>
        <v>3.364</v>
      </c>
      <c r="P36" s="56" t="n">
        <f aca="false">SUMPRODUCT((Events!$B$6:$B$400&lt;=$A36)*(Events!$C$6:$C$400&gt;=$A36)*(Events!$E$6:$E$400="Debt assumed")*Events!$H$6:$H$400)</f>
        <v>0</v>
      </c>
      <c r="Q36" s="56" t="n">
        <f aca="false">IF($A36&lt;1887,0,MAX(0,debt_floor*Economy!O36-(R35+P36+H36-C36-K36)))</f>
        <v>0</v>
      </c>
      <c r="R36" s="56" t="n">
        <f aca="false">R35+P36+H36-C36-K36+Q36</f>
        <v>0</v>
      </c>
      <c r="S36" s="56" t="n">
        <f aca="false">S35+L36-F36-J36+Q36*issue_price*(1-dev_bonds)</f>
        <v>264.204272713926</v>
      </c>
      <c r="T36" s="72" t="n">
        <f aca="false">Loans!X36</f>
        <v>35.0452058667248</v>
      </c>
      <c r="U36" s="56" t="n">
        <f aca="false">R36-M36-S36-T36</f>
        <v>-335.837273082204</v>
      </c>
      <c r="V36" s="66" t="n">
        <f aca="false">R36/Economy!O36</f>
        <v>0</v>
      </c>
      <c r="W36" s="66" t="n">
        <f aca="false">Budget!X36/Budget!M36</f>
        <v>0</v>
      </c>
      <c r="X36" s="66" t="n">
        <f aca="false">S36/Economy!O36</f>
        <v>0.228661599954572</v>
      </c>
      <c r="Y36" s="56" t="n">
        <f aca="false">MAX(0,H36+Q36-'Gold &amp; money'!G36)</f>
        <v>0</v>
      </c>
    </row>
    <row r="37" customFormat="false" ht="14.25" hidden="false" customHeight="true" outlineLevel="0" collapsed="false">
      <c r="A37" s="61" t="n">
        <v>1877</v>
      </c>
      <c r="B37" s="56" t="n">
        <f aca="false">Loans!V37-Loans!W37</f>
        <v>-1.40181123466899</v>
      </c>
      <c r="C37" s="56" t="n">
        <f aca="false">R36*debt_amort</f>
        <v>0</v>
      </c>
      <c r="D37" s="56" t="n">
        <f aca="false">M36+Budget!Z37-B37-C37</f>
        <v>92.1393856744319</v>
      </c>
      <c r="E37" s="56" t="n">
        <f aca="false">MAX(0.1,Budget!M37*cash_target)</f>
        <v>38.4707190026088</v>
      </c>
      <c r="F37" s="56" t="n">
        <f aca="false">IF(D37&lt;E37,MIN(E37-D37,S36),0)</f>
        <v>0</v>
      </c>
      <c r="G37" s="56" t="n">
        <f aca="false">MAX(0,E37-D37-F37)</f>
        <v>0</v>
      </c>
      <c r="H37" s="56" t="n">
        <f aca="false">G37/issue_price</f>
        <v>0</v>
      </c>
      <c r="I37" s="56" t="n">
        <f aca="false">IF(AND(D37&gt;E37,$A37&gt;=dev_start),(D37-E37)*dev_share,0)</f>
        <v>0</v>
      </c>
      <c r="J37" s="56" t="n">
        <f aca="false">IF($A37&gt;=dev_start,MAX(0,S36-F37-reserve_buffer*Economy!O37),0)</f>
        <v>0</v>
      </c>
      <c r="K37" s="56" t="n">
        <f aca="false">IF(D37&gt;E37,MIN((D37-E37-I37)*repay_share,R36-C37),0)</f>
        <v>0</v>
      </c>
      <c r="L37" s="56" t="n">
        <f aca="false">IF(D37&gt;E37,D37-E37-I37-K37,0)</f>
        <v>53.6686666718231</v>
      </c>
      <c r="M37" s="56" t="n">
        <f aca="false">D37+F37+G37-I37-K37-L37</f>
        <v>38.4707190026088</v>
      </c>
      <c r="N37" s="56" t="n">
        <f aca="false">I37+J37+Q37*issue_price*dev_bonds+SUMPRODUCT((Events!$B$6:$B$400&lt;=$A37)*(Events!$C$6:$C$400&gt;=$A37)*(Events!$E$6:$E$400="Investment")*Events!$H$6:$H$400)</f>
        <v>2.2</v>
      </c>
      <c r="O37" s="56" t="n">
        <f aca="false">O36*(1-dev_dep)+N37</f>
        <v>5.46308</v>
      </c>
      <c r="P37" s="56" t="n">
        <f aca="false">SUMPRODUCT((Events!$B$6:$B$400&lt;=$A37)*(Events!$C$6:$C$400&gt;=$A37)*(Events!$E$6:$E$400="Debt assumed")*Events!$H$6:$H$400)</f>
        <v>0</v>
      </c>
      <c r="Q37" s="56" t="n">
        <f aca="false">IF($A37&lt;1887,0,MAX(0,debt_floor*Economy!O37-(R36+P37+H37-C37-K37)))</f>
        <v>0</v>
      </c>
      <c r="R37" s="56" t="n">
        <f aca="false">R36+P37+H37-C37-K37+Q37</f>
        <v>0</v>
      </c>
      <c r="S37" s="56" t="n">
        <f aca="false">S36+L37-F37-J37+Q37*issue_price*(1-dev_bonds)</f>
        <v>317.872939385749</v>
      </c>
      <c r="T37" s="72" t="n">
        <f aca="false">Loans!X37</f>
        <v>33.6433946320558</v>
      </c>
      <c r="U37" s="56" t="n">
        <f aca="false">R37-M37-S37-T37</f>
        <v>-389.987053020414</v>
      </c>
      <c r="V37" s="66" t="n">
        <f aca="false">R37/Economy!O37</f>
        <v>0</v>
      </c>
      <c r="W37" s="66" t="n">
        <f aca="false">Budget!X37/Budget!M37</f>
        <v>0</v>
      </c>
      <c r="X37" s="66" t="n">
        <f aca="false">S37/Economy!O37</f>
        <v>0.264032519332844</v>
      </c>
      <c r="Y37" s="56" t="n">
        <f aca="false">MAX(0,H37+Q37-'Gold &amp; money'!G37)</f>
        <v>0</v>
      </c>
    </row>
    <row r="38" customFormat="false" ht="14.25" hidden="false" customHeight="true" outlineLevel="0" collapsed="false">
      <c r="A38" s="61" t="n">
        <v>1878</v>
      </c>
      <c r="B38" s="56" t="n">
        <f aca="false">Loans!V38-Loans!W38</f>
        <v>-1.34573869528223</v>
      </c>
      <c r="C38" s="56" t="n">
        <f aca="false">R37*debt_amort</f>
        <v>0</v>
      </c>
      <c r="D38" s="56" t="n">
        <f aca="false">M37+Budget!Z38-B38-C38</f>
        <v>94.9071748989198</v>
      </c>
      <c r="E38" s="56" t="n">
        <f aca="false">MAX(0.1,Budget!M38*cash_target)</f>
        <v>41.8966987487357</v>
      </c>
      <c r="F38" s="56" t="n">
        <f aca="false">IF(D38&lt;E38,MIN(E38-D38,S37),0)</f>
        <v>0</v>
      </c>
      <c r="G38" s="56" t="n">
        <f aca="false">MAX(0,E38-D38-F38)</f>
        <v>0</v>
      </c>
      <c r="H38" s="56" t="n">
        <f aca="false">G38/issue_price</f>
        <v>0</v>
      </c>
      <c r="I38" s="56" t="n">
        <f aca="false">IF(AND(D38&gt;E38,$A38&gt;=dev_start),(D38-E38)*dev_share,0)</f>
        <v>0</v>
      </c>
      <c r="J38" s="56" t="n">
        <f aca="false">IF($A38&gt;=dev_start,MAX(0,S37-F38-reserve_buffer*Economy!O38),0)</f>
        <v>0</v>
      </c>
      <c r="K38" s="56" t="n">
        <f aca="false">IF(D38&gt;E38,MIN((D38-E38-I38)*repay_share,R37-C38),0)</f>
        <v>0</v>
      </c>
      <c r="L38" s="56" t="n">
        <f aca="false">IF(D38&gt;E38,D38-E38-I38-K38,0)</f>
        <v>53.0104761501841</v>
      </c>
      <c r="M38" s="56" t="n">
        <f aca="false">D38+F38+G38-I38-K38-L38</f>
        <v>41.8966987487357</v>
      </c>
      <c r="N38" s="56" t="n">
        <f aca="false">I38+J38+Q38*issue_price*dev_bonds+SUMPRODUCT((Events!$B$6:$B$400&lt;=$A38)*(Events!$C$6:$C$400&gt;=$A38)*(Events!$E$6:$E$400="Investment")*Events!$H$6:$H$400)</f>
        <v>4.7</v>
      </c>
      <c r="O38" s="56" t="n">
        <f aca="false">O37*(1-dev_dep)+N38</f>
        <v>9.9991876</v>
      </c>
      <c r="P38" s="56" t="n">
        <f aca="false">SUMPRODUCT((Events!$B$6:$B$400&lt;=$A38)*(Events!$C$6:$C$400&gt;=$A38)*(Events!$E$6:$E$400="Debt assumed")*Events!$H$6:$H$400)</f>
        <v>0</v>
      </c>
      <c r="Q38" s="56" t="n">
        <f aca="false">IF($A38&lt;1887,0,MAX(0,debt_floor*Economy!O38-(R37+P38+H38-C38-K38)))</f>
        <v>0</v>
      </c>
      <c r="R38" s="56" t="n">
        <f aca="false">R37+P38+H38-C38-K38+Q38</f>
        <v>0</v>
      </c>
      <c r="S38" s="56" t="n">
        <f aca="false">S37+L38-F38-J38+Q38*issue_price*(1-dev_bonds)</f>
        <v>370.883415535933</v>
      </c>
      <c r="T38" s="72" t="n">
        <f aca="false">Loans!X38</f>
        <v>32.2976559367736</v>
      </c>
      <c r="U38" s="56" t="n">
        <f aca="false">R38-M38-S38-T38</f>
        <v>-445.077770221443</v>
      </c>
      <c r="V38" s="66" t="n">
        <f aca="false">R38/Economy!O38</f>
        <v>0</v>
      </c>
      <c r="W38" s="66" t="n">
        <f aca="false">Budget!X38/Budget!M38</f>
        <v>0</v>
      </c>
      <c r="X38" s="66" t="n">
        <f aca="false">S38/Economy!O38</f>
        <v>0.289040140463285</v>
      </c>
      <c r="Y38" s="56" t="n">
        <f aca="false">MAX(0,H38+Q38-'Gold &amp; money'!G38)</f>
        <v>0</v>
      </c>
    </row>
    <row r="39" customFormat="false" ht="14.25" hidden="false" customHeight="true" outlineLevel="0" collapsed="false">
      <c r="A39" s="61" t="n">
        <v>1879</v>
      </c>
      <c r="B39" s="56" t="n">
        <f aca="false">Loans!V39-Loans!W39</f>
        <v>-1.29190906017094</v>
      </c>
      <c r="C39" s="56" t="n">
        <f aca="false">R38*debt_amort</f>
        <v>0</v>
      </c>
      <c r="D39" s="56" t="n">
        <f aca="false">M38+Budget!Z39-B39-C39</f>
        <v>112.439114774542</v>
      </c>
      <c r="E39" s="56" t="n">
        <f aca="false">MAX(0.1,Budget!M39*cash_target)</f>
        <v>44.1330238460992</v>
      </c>
      <c r="F39" s="56" t="n">
        <f aca="false">IF(D39&lt;E39,MIN(E39-D39,S38),0)</f>
        <v>0</v>
      </c>
      <c r="G39" s="56" t="n">
        <f aca="false">MAX(0,E39-D39-F39)</f>
        <v>0</v>
      </c>
      <c r="H39" s="56" t="n">
        <f aca="false">G39/issue_price</f>
        <v>0</v>
      </c>
      <c r="I39" s="56" t="n">
        <f aca="false">IF(AND(D39&gt;E39,$A39&gt;=dev_start),(D39-E39)*dev_share,0)</f>
        <v>0</v>
      </c>
      <c r="J39" s="56" t="n">
        <f aca="false">IF($A39&gt;=dev_start,MAX(0,S38-F39-reserve_buffer*Economy!O39),0)</f>
        <v>0</v>
      </c>
      <c r="K39" s="56" t="n">
        <f aca="false">IF(D39&gt;E39,MIN((D39-E39-I39)*repay_share,R38-C39),0)</f>
        <v>0</v>
      </c>
      <c r="L39" s="56" t="n">
        <f aca="false">IF(D39&gt;E39,D39-E39-I39-K39,0)</f>
        <v>68.306090928443</v>
      </c>
      <c r="M39" s="56" t="n">
        <f aca="false">D39+F39+G39-I39-K39-L39</f>
        <v>44.1330238460992</v>
      </c>
      <c r="N39" s="56" t="n">
        <f aca="false">I39+J39+Q39*issue_price*dev_bonds+SUMPRODUCT((Events!$B$6:$B$400&lt;=$A39)*(Events!$C$6:$C$400&gt;=$A39)*(Events!$E$6:$E$400="Investment")*Events!$H$6:$H$400)</f>
        <v>4.7</v>
      </c>
      <c r="O39" s="56" t="n">
        <f aca="false">O38*(1-dev_dep)+N39</f>
        <v>14.399211972</v>
      </c>
      <c r="P39" s="56" t="n">
        <f aca="false">SUMPRODUCT((Events!$B$6:$B$400&lt;=$A39)*(Events!$C$6:$C$400&gt;=$A39)*(Events!$E$6:$E$400="Debt assumed")*Events!$H$6:$H$400)</f>
        <v>0</v>
      </c>
      <c r="Q39" s="56" t="n">
        <f aca="false">IF($A39&lt;1887,0,MAX(0,debt_floor*Economy!O39-(R38+P39+H39-C39-K39)))</f>
        <v>0</v>
      </c>
      <c r="R39" s="56" t="n">
        <f aca="false">R38+P39+H39-C39-K39+Q39</f>
        <v>0</v>
      </c>
      <c r="S39" s="56" t="n">
        <f aca="false">S38+L39-F39-J39+Q39*issue_price*(1-dev_bonds)</f>
        <v>439.189506464376</v>
      </c>
      <c r="T39" s="72" t="n">
        <f aca="false">Loans!X39</f>
        <v>31.0057468766026</v>
      </c>
      <c r="U39" s="56" t="n">
        <f aca="false">R39-M39-S39-T39</f>
        <v>-514.328277187078</v>
      </c>
      <c r="V39" s="66" t="n">
        <f aca="false">R39/Economy!O39</f>
        <v>0</v>
      </c>
      <c r="W39" s="66" t="n">
        <f aca="false">Budget!X39/Budget!M39</f>
        <v>0</v>
      </c>
      <c r="X39" s="66" t="n">
        <f aca="false">S39/Economy!O39</f>
        <v>0.327867935335361</v>
      </c>
      <c r="Y39" s="56" t="n">
        <f aca="false">MAX(0,H39+Q39-'Gold &amp; money'!G39)</f>
        <v>0</v>
      </c>
    </row>
    <row r="40" customFormat="false" ht="14.25" hidden="false" customHeight="true" outlineLevel="0" collapsed="false">
      <c r="A40" s="61" t="n">
        <v>1880</v>
      </c>
      <c r="B40" s="56" t="n">
        <f aca="false">Loans!V40-Loans!W40</f>
        <v>-1.24023261308311</v>
      </c>
      <c r="C40" s="56" t="n">
        <f aca="false">R39*debt_amort</f>
        <v>0</v>
      </c>
      <c r="D40" s="56" t="n">
        <f aca="false">M39+Budget!Z40-B40-C40</f>
        <v>113.345409636835</v>
      </c>
      <c r="E40" s="56" t="n">
        <f aca="false">MAX(0.1,Budget!M40*cash_target)</f>
        <v>46.9800460918059</v>
      </c>
      <c r="F40" s="56" t="n">
        <f aca="false">IF(D40&lt;E40,MIN(E40-D40,S39),0)</f>
        <v>0</v>
      </c>
      <c r="G40" s="56" t="n">
        <f aca="false">MAX(0,E40-D40-F40)</f>
        <v>0</v>
      </c>
      <c r="H40" s="56" t="n">
        <f aca="false">G40/issue_price</f>
        <v>0</v>
      </c>
      <c r="I40" s="56" t="n">
        <f aca="false">IF(AND(D40&gt;E40,$A40&gt;=dev_start),(D40-E40)*dev_share,0)</f>
        <v>46.4557544815207</v>
      </c>
      <c r="J40" s="56" t="n">
        <f aca="false">IF($A40&gt;=dev_start,MAX(0,S39-F40-reserve_buffer*Economy!O40),0)</f>
        <v>397.073262833752</v>
      </c>
      <c r="K40" s="56" t="n">
        <f aca="false">IF(D40&gt;E40,MIN((D40-E40-I40)*repay_share,R39-C40),0)</f>
        <v>0</v>
      </c>
      <c r="L40" s="56" t="n">
        <f aca="false">IF(D40&gt;E40,D40-E40-I40-K40,0)</f>
        <v>19.9096090635089</v>
      </c>
      <c r="M40" s="56" t="n">
        <f aca="false">D40+F40+G40-I40-K40-L40</f>
        <v>46.9800460918059</v>
      </c>
      <c r="N40" s="56" t="n">
        <f aca="false">I40+J40+Q40*issue_price*dev_bonds+SUMPRODUCT((Events!$B$6:$B$400&lt;=$A40)*(Events!$C$6:$C$400&gt;=$A40)*(Events!$E$6:$E$400="Investment")*Events!$H$6:$H$400)</f>
        <v>446.029017315273</v>
      </c>
      <c r="O40" s="56" t="n">
        <f aca="false">O39*(1-dev_dep)+N40</f>
        <v>459.996252928113</v>
      </c>
      <c r="P40" s="56" t="n">
        <f aca="false">SUMPRODUCT((Events!$B$6:$B$400&lt;=$A40)*(Events!$C$6:$C$400&gt;=$A40)*(Events!$E$6:$E$400="Debt assumed")*Events!$H$6:$H$400)</f>
        <v>0</v>
      </c>
      <c r="Q40" s="56" t="n">
        <f aca="false">IF($A40&lt;1887,0,MAX(0,debt_floor*Economy!O40-(R39+P40+H40-C40-K40)))</f>
        <v>0</v>
      </c>
      <c r="R40" s="56" t="n">
        <f aca="false">R39+P40+H40-C40-K40+Q40</f>
        <v>0</v>
      </c>
      <c r="S40" s="56" t="n">
        <f aca="false">S39+L40-F40-J40+Q40*issue_price*(1-dev_bonds)</f>
        <v>62.0258526941328</v>
      </c>
      <c r="T40" s="72" t="n">
        <f aca="false">Loans!X40</f>
        <v>29.7655142635195</v>
      </c>
      <c r="U40" s="56" t="n">
        <f aca="false">R40-M40-S40-T40</f>
        <v>-138.771413049458</v>
      </c>
      <c r="V40" s="66" t="n">
        <f aca="false">R40/Economy!O40</f>
        <v>0</v>
      </c>
      <c r="W40" s="66" t="n">
        <f aca="false">Budget!X40/Budget!M40</f>
        <v>0</v>
      </c>
      <c r="X40" s="66" t="n">
        <f aca="false">S40/Economy!O40</f>
        <v>0.0441818980140708</v>
      </c>
      <c r="Y40" s="56" t="n">
        <f aca="false">MAX(0,H40+Q40-'Gold &amp; money'!G40)</f>
        <v>0</v>
      </c>
    </row>
    <row r="41" customFormat="false" ht="14.25" hidden="false" customHeight="true" outlineLevel="0" collapsed="false">
      <c r="A41" s="61" t="n">
        <v>1881</v>
      </c>
      <c r="B41" s="56" t="n">
        <f aca="false">Loans!V41-Loans!W41</f>
        <v>-1.19062322641921</v>
      </c>
      <c r="C41" s="56" t="n">
        <f aca="false">R40*debt_amort</f>
        <v>0</v>
      </c>
      <c r="D41" s="56" t="n">
        <f aca="false">M40+Budget!Z41-B41-C41</f>
        <v>94.8185128505391</v>
      </c>
      <c r="E41" s="56" t="n">
        <f aca="false">MAX(0.1,Budget!M41*cash_target)</f>
        <v>40.4906332901938</v>
      </c>
      <c r="F41" s="56" t="n">
        <f aca="false">IF(D41&lt;E41,MIN(E41-D41,S40),0)</f>
        <v>0</v>
      </c>
      <c r="G41" s="56" t="n">
        <f aca="false">MAX(0,E41-D41-F41)</f>
        <v>0</v>
      </c>
      <c r="H41" s="56" t="n">
        <f aca="false">G41/issue_price</f>
        <v>0</v>
      </c>
      <c r="I41" s="56" t="n">
        <f aca="false">IF(AND(D41&gt;E41,$A41&gt;=dev_start),(D41-E41)*dev_share,0)</f>
        <v>38.0295156922417</v>
      </c>
      <c r="J41" s="56" t="n">
        <f aca="false">IF($A41&gt;=dev_start,MAX(0,S40-F41-reserve_buffer*Economy!O41),0)</f>
        <v>17.4266115342852</v>
      </c>
      <c r="K41" s="56" t="n">
        <f aca="false">IF(D41&gt;E41,MIN((D41-E41-I41)*repay_share,R40-C41),0)</f>
        <v>0</v>
      </c>
      <c r="L41" s="56" t="n">
        <f aca="false">IF(D41&gt;E41,D41-E41-I41-K41,0)</f>
        <v>16.2983638681036</v>
      </c>
      <c r="M41" s="56" t="n">
        <f aca="false">D41+F41+G41-I41-K41-L41</f>
        <v>40.4906332901938</v>
      </c>
      <c r="N41" s="56" t="n">
        <f aca="false">I41+J41+Q41*issue_price*dev_bonds+SUMPRODUCT((Events!$B$6:$B$400&lt;=$A41)*(Events!$C$6:$C$400&gt;=$A41)*(Events!$E$6:$E$400="Investment")*Events!$H$6:$H$400)</f>
        <v>57.9561272265269</v>
      </c>
      <c r="O41" s="56" t="n">
        <f aca="false">O40*(1-dev_dep)+N41</f>
        <v>504.152492566797</v>
      </c>
      <c r="P41" s="56" t="n">
        <f aca="false">SUMPRODUCT((Events!$B$6:$B$400&lt;=$A41)*(Events!$C$6:$C$400&gt;=$A41)*(Events!$E$6:$E$400="Debt assumed")*Events!$H$6:$H$400)</f>
        <v>0</v>
      </c>
      <c r="Q41" s="56" t="n">
        <f aca="false">IF($A41&lt;1887,0,MAX(0,debt_floor*Economy!O41-(R40+P41+H41-C41-K41)))</f>
        <v>0</v>
      </c>
      <c r="R41" s="56" t="n">
        <f aca="false">R40+P41+H41-C41-K41+Q41</f>
        <v>0</v>
      </c>
      <c r="S41" s="56" t="n">
        <f aca="false">S40+L41-F41-J41+Q41*issue_price*(1-dev_bonds)</f>
        <v>60.8976050279512</v>
      </c>
      <c r="T41" s="72" t="n">
        <f aca="false">Loans!X41</f>
        <v>28.5748910371003</v>
      </c>
      <c r="U41" s="56" t="n">
        <f aca="false">R41-M41-S41-T41</f>
        <v>-129.963129355245</v>
      </c>
      <c r="V41" s="66" t="n">
        <f aca="false">R41/Economy!O41</f>
        <v>0</v>
      </c>
      <c r="W41" s="66" t="n">
        <f aca="false">Budget!X41/Budget!M41</f>
        <v>0</v>
      </c>
      <c r="X41" s="66" t="n">
        <f aca="false">S41/Economy!O41</f>
        <v>0.0409632115553416</v>
      </c>
      <c r="Y41" s="56" t="n">
        <f aca="false">MAX(0,H41+Q41-'Gold &amp; money'!G41)</f>
        <v>0</v>
      </c>
    </row>
    <row r="42" customFormat="false" ht="14.25" hidden="false" customHeight="true" outlineLevel="0" collapsed="false">
      <c r="A42" s="61" t="n">
        <v>1882</v>
      </c>
      <c r="B42" s="56" t="n">
        <f aca="false">Loans!V42-Loans!W42</f>
        <v>-1.14299821768609</v>
      </c>
      <c r="C42" s="56" t="n">
        <f aca="false">R41*debt_amort</f>
        <v>0</v>
      </c>
      <c r="D42" s="56" t="n">
        <f aca="false">M41+Budget!Z42-B42-C42</f>
        <v>92.5613695108108</v>
      </c>
      <c r="E42" s="56" t="n">
        <f aca="false">MAX(0.1,Budget!M42*cash_target)</f>
        <v>42.6467287502542</v>
      </c>
      <c r="F42" s="56" t="n">
        <f aca="false">IF(D42&lt;E42,MIN(E42-D42,S41),0)</f>
        <v>0</v>
      </c>
      <c r="G42" s="56" t="n">
        <f aca="false">MAX(0,E42-D42-F42)</f>
        <v>0</v>
      </c>
      <c r="H42" s="56" t="n">
        <f aca="false">G42/issue_price</f>
        <v>0</v>
      </c>
      <c r="I42" s="56" t="n">
        <f aca="false">IF(AND(D42&gt;E42,$A42&gt;=dev_start),(D42-E42)*dev_share,0)</f>
        <v>34.9402485323896</v>
      </c>
      <c r="J42" s="56" t="n">
        <f aca="false">IF($A42&gt;=dev_start,MAX(0,S41-F42-reserve_buffer*Economy!O42),0)</f>
        <v>13.7805487891396</v>
      </c>
      <c r="K42" s="56" t="n">
        <f aca="false">IF(D42&gt;E42,MIN((D42-E42-I42)*repay_share,R41-C42),0)</f>
        <v>0</v>
      </c>
      <c r="L42" s="56" t="n">
        <f aca="false">IF(D42&gt;E42,D42-E42-I42-K42,0)</f>
        <v>14.974392228167</v>
      </c>
      <c r="M42" s="56" t="n">
        <f aca="false">D42+F42+G42-I42-K42-L42</f>
        <v>42.6467287502542</v>
      </c>
      <c r="N42" s="56" t="n">
        <f aca="false">I42+J42+Q42*issue_price*dev_bonds+SUMPRODUCT((Events!$B$6:$B$400&lt;=$A42)*(Events!$C$6:$C$400&gt;=$A42)*(Events!$E$6:$E$400="Investment")*Events!$H$6:$H$400)</f>
        <v>50.9207973215292</v>
      </c>
      <c r="O42" s="56" t="n">
        <f aca="false">O41*(1-dev_dep)+N42</f>
        <v>539.948715111322</v>
      </c>
      <c r="P42" s="56" t="n">
        <f aca="false">SUMPRODUCT((Events!$B$6:$B$400&lt;=$A42)*(Events!$C$6:$C$400&gt;=$A42)*(Events!$E$6:$E$400="Debt assumed")*Events!$H$6:$H$400)</f>
        <v>0</v>
      </c>
      <c r="Q42" s="56" t="n">
        <f aca="false">IF($A42&lt;1887,0,MAX(0,debt_floor*Economy!O42-(R41+P42+H42-C42-K42)))</f>
        <v>0</v>
      </c>
      <c r="R42" s="56" t="n">
        <f aca="false">R41+P42+H42-C42-K42+Q42</f>
        <v>0</v>
      </c>
      <c r="S42" s="56" t="n">
        <f aca="false">S41+L42-F42-J42+Q42*issue_price*(1-dev_bonds)</f>
        <v>62.0914484669786</v>
      </c>
      <c r="T42" s="72" t="n">
        <f aca="false">Loans!X42</f>
        <v>27.4318928194142</v>
      </c>
      <c r="U42" s="56" t="n">
        <f aca="false">R42-M42-S42-T42</f>
        <v>-132.170070036647</v>
      </c>
      <c r="V42" s="66" t="n">
        <f aca="false">R42/Economy!O42</f>
        <v>0</v>
      </c>
      <c r="W42" s="66" t="n">
        <f aca="false">Budget!X42/Budget!M42</f>
        <v>0</v>
      </c>
      <c r="X42" s="66" t="n">
        <f aca="false">S42/Economy!O42</f>
        <v>0.0395343767778719</v>
      </c>
      <c r="Y42" s="56" t="n">
        <f aca="false">MAX(0,H42+Q42-'Gold &amp; money'!G42)</f>
        <v>0</v>
      </c>
    </row>
    <row r="43" customFormat="false" ht="14.25" hidden="false" customHeight="true" outlineLevel="0" collapsed="false">
      <c r="A43" s="61" t="n">
        <v>1883</v>
      </c>
      <c r="B43" s="56" t="n">
        <f aca="false">Loans!V43-Loans!W43</f>
        <v>-1.09727821169258</v>
      </c>
      <c r="C43" s="56" t="n">
        <f aca="false">R42*debt_amort</f>
        <v>0</v>
      </c>
      <c r="D43" s="56" t="n">
        <f aca="false">M42+Budget!Z43-B43-C43</f>
        <v>96.1565975725636</v>
      </c>
      <c r="E43" s="56" t="n">
        <f aca="false">MAX(0.1,Budget!M43*cash_target)</f>
        <v>44.8537595466029</v>
      </c>
      <c r="F43" s="56" t="n">
        <f aca="false">IF(D43&lt;E43,MIN(E43-D43,S42),0)</f>
        <v>0</v>
      </c>
      <c r="G43" s="56" t="n">
        <f aca="false">MAX(0,E43-D43-F43)</f>
        <v>0</v>
      </c>
      <c r="H43" s="56" t="n">
        <f aca="false">G43/issue_price</f>
        <v>0</v>
      </c>
      <c r="I43" s="56" t="n">
        <f aca="false">IF(AND(D43&gt;E43,$A43&gt;=dev_start),(D43-E43)*dev_share,0)</f>
        <v>35.9119866181725</v>
      </c>
      <c r="J43" s="56" t="n">
        <f aca="false">IF($A43&gt;=dev_start,MAX(0,S42-F43-reserve_buffer*Economy!O43),0)</f>
        <v>12.3823661009659</v>
      </c>
      <c r="K43" s="56" t="n">
        <f aca="false">IF(D43&gt;E43,MIN((D43-E43-I43)*repay_share,R42-C43),0)</f>
        <v>0</v>
      </c>
      <c r="L43" s="56" t="n">
        <f aca="false">IF(D43&gt;E43,D43-E43-I43-K43,0)</f>
        <v>15.3908514077882</v>
      </c>
      <c r="M43" s="56" t="n">
        <f aca="false">D43+F43+G43-I43-K43-L43</f>
        <v>44.8537595466029</v>
      </c>
      <c r="N43" s="56" t="n">
        <f aca="false">I43+J43+Q43*issue_price*dev_bonds+SUMPRODUCT((Events!$B$6:$B$400&lt;=$A43)*(Events!$C$6:$C$400&gt;=$A43)*(Events!$E$6:$E$400="Investment")*Events!$H$6:$H$400)</f>
        <v>49.4943527191384</v>
      </c>
      <c r="O43" s="56" t="n">
        <f aca="false">O42*(1-dev_dep)+N43</f>
        <v>573.244606377121</v>
      </c>
      <c r="P43" s="56" t="n">
        <f aca="false">SUMPRODUCT((Events!$B$6:$B$400&lt;=$A43)*(Events!$C$6:$C$400&gt;=$A43)*(Events!$E$6:$E$400="Debt assumed")*Events!$H$6:$H$400)</f>
        <v>0</v>
      </c>
      <c r="Q43" s="56" t="n">
        <f aca="false">IF($A43&lt;1887,0,MAX(0,debt_floor*Economy!O43-(R42+P43+H43-C43-K43)))</f>
        <v>0</v>
      </c>
      <c r="R43" s="56" t="n">
        <f aca="false">R42+P43+H43-C43-K43+Q43</f>
        <v>0</v>
      </c>
      <c r="S43" s="56" t="n">
        <f aca="false">S42+L43-F43-J43+Q43*issue_price*(1-dev_bonds)</f>
        <v>65.0999337738009</v>
      </c>
      <c r="T43" s="72" t="n">
        <f aca="false">Loans!X43</f>
        <v>26.3346146077217</v>
      </c>
      <c r="U43" s="56" t="n">
        <f aca="false">R43-M43-S43-T43</f>
        <v>-136.288307928125</v>
      </c>
      <c r="V43" s="66" t="n">
        <f aca="false">R43/Economy!O43</f>
        <v>0</v>
      </c>
      <c r="W43" s="66" t="n">
        <f aca="false">Budget!X43/Budget!M43</f>
        <v>0</v>
      </c>
      <c r="X43" s="66" t="n">
        <f aca="false">S43/Economy!O43</f>
        <v>0.0392885549331593</v>
      </c>
      <c r="Y43" s="56" t="n">
        <f aca="false">MAX(0,H43+Q43-'Gold &amp; money'!G43)</f>
        <v>0</v>
      </c>
    </row>
    <row r="44" customFormat="false" ht="14.25" hidden="false" customHeight="true" outlineLevel="0" collapsed="false">
      <c r="A44" s="61" t="n">
        <v>1884</v>
      </c>
      <c r="B44" s="56" t="n">
        <f aca="false">Loans!V44-Loans!W44</f>
        <v>-1.0533870082574</v>
      </c>
      <c r="C44" s="56" t="n">
        <f aca="false">R43*debt_amort</f>
        <v>0</v>
      </c>
      <c r="D44" s="56" t="n">
        <f aca="false">M43+Budget!Z44-B44-C44</f>
        <v>97.8107035691157</v>
      </c>
      <c r="E44" s="56" t="n">
        <f aca="false">MAX(0.1,Budget!M44*cash_target)</f>
        <v>46.309834349967</v>
      </c>
      <c r="F44" s="56" t="n">
        <f aca="false">IF(D44&lt;E44,MIN(E44-D44,S43),0)</f>
        <v>0</v>
      </c>
      <c r="G44" s="56" t="n">
        <f aca="false">MAX(0,E44-D44-F44)</f>
        <v>0</v>
      </c>
      <c r="H44" s="56" t="n">
        <f aca="false">G44/issue_price</f>
        <v>0</v>
      </c>
      <c r="I44" s="56" t="n">
        <f aca="false">IF(AND(D44&gt;E44,$A44&gt;=dev_start),(D44-E44)*dev_share,0)</f>
        <v>36.0506084534041</v>
      </c>
      <c r="J44" s="56" t="n">
        <f aca="false">IF($A44&gt;=dev_start,MAX(0,S43-F44-reserve_buffer*Economy!O44),0)</f>
        <v>13.741141252299</v>
      </c>
      <c r="K44" s="56" t="n">
        <f aca="false">IF(D44&gt;E44,MIN((D44-E44-I44)*repay_share,R43-C44),0)</f>
        <v>0</v>
      </c>
      <c r="L44" s="56" t="n">
        <f aca="false">IF(D44&gt;E44,D44-E44-I44-K44,0)</f>
        <v>15.4502607657446</v>
      </c>
      <c r="M44" s="56" t="n">
        <f aca="false">D44+F44+G44-I44-K44-L44</f>
        <v>46.309834349967</v>
      </c>
      <c r="N44" s="56" t="n">
        <f aca="false">I44+J44+Q44*issue_price*dev_bonds+SUMPRODUCT((Events!$B$6:$B$400&lt;=$A44)*(Events!$C$6:$C$400&gt;=$A44)*(Events!$E$6:$E$400="Investment")*Events!$H$6:$H$400)</f>
        <v>50.9917497057031</v>
      </c>
      <c r="O44" s="56" t="n">
        <f aca="false">O43*(1-dev_dep)+N44</f>
        <v>607.03901789151</v>
      </c>
      <c r="P44" s="56" t="n">
        <f aca="false">SUMPRODUCT((Events!$B$6:$B$400&lt;=$A44)*(Events!$C$6:$C$400&gt;=$A44)*(Events!$E$6:$E$400="Debt assumed")*Events!$H$6:$H$400)</f>
        <v>0</v>
      </c>
      <c r="Q44" s="56" t="n">
        <f aca="false">IF($A44&lt;1887,0,MAX(0,debt_floor*Economy!O44-(R43+P44+H44-C44-K44)))</f>
        <v>0</v>
      </c>
      <c r="R44" s="56" t="n">
        <f aca="false">R43+P44+H44-C44-K44+Q44</f>
        <v>0</v>
      </c>
      <c r="S44" s="56" t="n">
        <f aca="false">S43+L44-F44-J44+Q44*issue_price*(1-dev_bonds)</f>
        <v>66.8090532872465</v>
      </c>
      <c r="T44" s="72" t="n">
        <f aca="false">Loans!X44</f>
        <v>25.2812275994643</v>
      </c>
      <c r="U44" s="56" t="n">
        <f aca="false">R44-M44-S44-T44</f>
        <v>-138.400115236678</v>
      </c>
      <c r="V44" s="66" t="n">
        <f aca="false">R44/Economy!O44</f>
        <v>0</v>
      </c>
      <c r="W44" s="66" t="n">
        <f aca="false">Budget!X44/Budget!M44</f>
        <v>0</v>
      </c>
      <c r="X44" s="66" t="n">
        <f aca="false">S44/Economy!O44</f>
        <v>0.0390248972029139</v>
      </c>
      <c r="Y44" s="56" t="n">
        <f aca="false">MAX(0,H44+Q44-'Gold &amp; money'!G44)</f>
        <v>0</v>
      </c>
    </row>
    <row r="45" customFormat="false" ht="14.25" hidden="false" customHeight="true" outlineLevel="0" collapsed="false">
      <c r="A45" s="61" t="n">
        <v>1885</v>
      </c>
      <c r="B45" s="56" t="n">
        <f aca="false">Loans!V45-Loans!W45</f>
        <v>-0.411251455208648</v>
      </c>
      <c r="C45" s="56" t="n">
        <f aca="false">R44*debt_amort</f>
        <v>0</v>
      </c>
      <c r="D45" s="56" t="n">
        <f aca="false">M44+Budget!Z45-B45-C45</f>
        <v>100.957797685581</v>
      </c>
      <c r="E45" s="56" t="n">
        <f aca="false">MAX(0.1,Budget!M45*cash_target)</f>
        <v>48.7364836293148</v>
      </c>
      <c r="F45" s="56" t="n">
        <f aca="false">IF(D45&lt;E45,MIN(E45-D45,S44),0)</f>
        <v>0</v>
      </c>
      <c r="G45" s="56" t="n">
        <f aca="false">MAX(0,E45-D45-F45)</f>
        <v>0</v>
      </c>
      <c r="H45" s="56" t="n">
        <f aca="false">G45/issue_price</f>
        <v>0</v>
      </c>
      <c r="I45" s="56" t="n">
        <f aca="false">IF(AND(D45&gt;E45,$A45&gt;=dev_start),(D45-E45)*dev_share,0)</f>
        <v>36.5549198393861</v>
      </c>
      <c r="J45" s="56" t="n">
        <f aca="false">IF($A45&gt;=dev_start,MAX(0,S44-F45-reserve_buffer*Economy!O45),0)</f>
        <v>12.66616908256</v>
      </c>
      <c r="K45" s="56" t="n">
        <f aca="false">IF(D45&gt;E45,MIN((D45-E45-I45)*repay_share,R44-C45),0)</f>
        <v>0</v>
      </c>
      <c r="L45" s="56" t="n">
        <f aca="false">IF(D45&gt;E45,D45-E45-I45-K45,0)</f>
        <v>15.6663942168798</v>
      </c>
      <c r="M45" s="56" t="n">
        <f aca="false">D45+F45+G45-I45-K45-L45</f>
        <v>48.7364836293148</v>
      </c>
      <c r="N45" s="56" t="n">
        <f aca="false">I45+J45+Q45*issue_price*dev_bonds+SUMPRODUCT((Events!$B$6:$B$400&lt;=$A45)*(Events!$C$6:$C$400&gt;=$A45)*(Events!$E$6:$E$400="Investment")*Events!$H$6:$H$400)</f>
        <v>50.4210889219462</v>
      </c>
      <c r="O45" s="56" t="n">
        <f aca="false">O44*(1-dev_dep)+N45</f>
        <v>639.248936276711</v>
      </c>
      <c r="P45" s="56" t="n">
        <f aca="false">SUMPRODUCT((Events!$B$6:$B$400&lt;=$A45)*(Events!$C$6:$C$400&gt;=$A45)*(Events!$E$6:$E$400="Debt assumed")*Events!$H$6:$H$400)</f>
        <v>0</v>
      </c>
      <c r="Q45" s="56" t="n">
        <f aca="false">IF($A45&lt;1887,0,MAX(0,debt_floor*Economy!O45-(R44+P45+H45-C45-K45)))</f>
        <v>0</v>
      </c>
      <c r="R45" s="56" t="n">
        <f aca="false">R44+P45+H45-C45-K45+Q45</f>
        <v>0</v>
      </c>
      <c r="S45" s="56" t="n">
        <f aca="false">S44+L45-F45-J45+Q45*issue_price*(1-dev_bonds)</f>
        <v>69.8092784215663</v>
      </c>
      <c r="T45" s="72" t="n">
        <f aca="false">Loans!X45</f>
        <v>24.8699761442556</v>
      </c>
      <c r="U45" s="56" t="n">
        <f aca="false">R45-M45-S45-T45</f>
        <v>-143.415738195137</v>
      </c>
      <c r="V45" s="66" t="n">
        <f aca="false">R45/Economy!O45</f>
        <v>0</v>
      </c>
      <c r="W45" s="66" t="n">
        <f aca="false">Budget!X45/Budget!M45</f>
        <v>0</v>
      </c>
      <c r="X45" s="66" t="n">
        <f aca="false">S45/Economy!O45</f>
        <v>0.0386805834859036</v>
      </c>
      <c r="Y45" s="56" t="n">
        <f aca="false">MAX(0,H45+Q45-'Gold &amp; money'!G45)</f>
        <v>0</v>
      </c>
    </row>
    <row r="46" customFormat="false" ht="14.25" hidden="false" customHeight="true" outlineLevel="0" collapsed="false">
      <c r="A46" s="61" t="n">
        <v>1886</v>
      </c>
      <c r="B46" s="56" t="n">
        <f aca="false">Loans!V46-Loans!W46</f>
        <v>-0.9948013264634</v>
      </c>
      <c r="C46" s="56" t="n">
        <f aca="false">R45*debt_amort</f>
        <v>0</v>
      </c>
      <c r="D46" s="56" t="n">
        <f aca="false">M45+Budget!Z46-B46-C46</f>
        <v>110.348569940116</v>
      </c>
      <c r="E46" s="56" t="n">
        <f aca="false">MAX(0.1,Budget!M46*cash_target)</f>
        <v>52.9418999280923</v>
      </c>
      <c r="F46" s="56" t="n">
        <f aca="false">IF(D46&lt;E46,MIN(E46-D46,S45),0)</f>
        <v>0</v>
      </c>
      <c r="G46" s="56" t="n">
        <f aca="false">MAX(0,E46-D46-F46)</f>
        <v>0</v>
      </c>
      <c r="H46" s="56" t="n">
        <f aca="false">G46/issue_price</f>
        <v>0</v>
      </c>
      <c r="I46" s="56" t="n">
        <f aca="false">IF(AND(D46&gt;E46,$A46&gt;=dev_start),(D46-E46)*dev_share,0)</f>
        <v>40.1846690084163</v>
      </c>
      <c r="J46" s="56" t="n">
        <f aca="false">IF($A46&gt;=dev_start,MAX(0,S45-F46-reserve_buffer*Economy!O46),0)</f>
        <v>10.9078177139665</v>
      </c>
      <c r="K46" s="56" t="n">
        <f aca="false">IF(D46&gt;E46,MIN((D46-E46-I46)*repay_share,R45-C46),0)</f>
        <v>0</v>
      </c>
      <c r="L46" s="56" t="n">
        <f aca="false">IF(D46&gt;E46,D46-E46-I46-K46,0)</f>
        <v>17.222001003607</v>
      </c>
      <c r="M46" s="56" t="n">
        <f aca="false">D46+F46+G46-I46-K46-L46</f>
        <v>52.9418999280923</v>
      </c>
      <c r="N46" s="56" t="n">
        <f aca="false">I46+J46+Q46*issue_price*dev_bonds+SUMPRODUCT((Events!$B$6:$B$400&lt;=$A46)*(Events!$C$6:$C$400&gt;=$A46)*(Events!$E$6:$E$400="Investment")*Events!$H$6:$H$400)</f>
        <v>51.0924867223827</v>
      </c>
      <c r="O46" s="56" t="n">
        <f aca="false">O45*(1-dev_dep)+N46</f>
        <v>671.163954910793</v>
      </c>
      <c r="P46" s="56" t="n">
        <f aca="false">SUMPRODUCT((Events!$B$6:$B$400&lt;=$A46)*(Events!$C$6:$C$400&gt;=$A46)*(Events!$E$6:$E$400="Debt assumed")*Events!$H$6:$H$400)</f>
        <v>0</v>
      </c>
      <c r="Q46" s="56" t="n">
        <f aca="false">IF($A46&lt;1887,0,MAX(0,debt_floor*Economy!O46-(R45+P46+H46-C46-K46)))</f>
        <v>0</v>
      </c>
      <c r="R46" s="56" t="n">
        <f aca="false">R45+P46+H46-C46-K46+Q46</f>
        <v>0</v>
      </c>
      <c r="S46" s="56" t="n">
        <f aca="false">S45+L46-F46-J46+Q46*issue_price*(1-dev_bonds)</f>
        <v>76.1234617112068</v>
      </c>
      <c r="T46" s="72" t="n">
        <f aca="false">Loans!X46</f>
        <v>23.8751748177922</v>
      </c>
      <c r="U46" s="56" t="n">
        <f aca="false">R46-M46-S46-T46</f>
        <v>-152.940536457091</v>
      </c>
      <c r="V46" s="66" t="n">
        <f aca="false">R46/Economy!O46</f>
        <v>0</v>
      </c>
      <c r="W46" s="66" t="n">
        <f aca="false">Budget!X46/Budget!M46</f>
        <v>0</v>
      </c>
      <c r="X46" s="66" t="n">
        <f aca="false">S46/Economy!O46</f>
        <v>0.0387715996157214</v>
      </c>
      <c r="Y46" s="56" t="n">
        <f aca="false">MAX(0,H46+Q46-'Gold &amp; money'!G46)</f>
        <v>0</v>
      </c>
    </row>
    <row r="47" customFormat="false" ht="14.25" hidden="false" customHeight="true" outlineLevel="0" collapsed="false">
      <c r="A47" s="61" t="n">
        <v>1887</v>
      </c>
      <c r="B47" s="56" t="n">
        <f aca="false">Loans!V47-Loans!W47</f>
        <v>-0.955009204984069</v>
      </c>
      <c r="C47" s="56" t="n">
        <f aca="false">R46*debt_amort</f>
        <v>0</v>
      </c>
      <c r="D47" s="56" t="n">
        <f aca="false">M46+Budget!Z47-B47-C47</f>
        <v>117.856794996737</v>
      </c>
      <c r="E47" s="56" t="n">
        <f aca="false">MAX(0.1,Budget!M47*cash_target)</f>
        <v>56.422883259007</v>
      </c>
      <c r="F47" s="56" t="n">
        <f aca="false">IF(D47&lt;E47,MIN(E47-D47,S46),0)</f>
        <v>0</v>
      </c>
      <c r="G47" s="56" t="n">
        <f aca="false">MAX(0,E47-D47-F47)</f>
        <v>0</v>
      </c>
      <c r="H47" s="56" t="n">
        <f aca="false">G47/issue_price</f>
        <v>0</v>
      </c>
      <c r="I47" s="56" t="n">
        <f aca="false">IF(AND(D47&gt;E47,$A47&gt;=dev_start),(D47-E47)*dev_share,0)</f>
        <v>43.0037382164109</v>
      </c>
      <c r="J47" s="56" t="n">
        <f aca="false">IF($A47&gt;=dev_start,MAX(0,S46-F47-reserve_buffer*Economy!O47),0)</f>
        <v>13.2264148646102</v>
      </c>
      <c r="K47" s="56" t="n">
        <f aca="false">IF(D47&gt;E47,MIN((D47-E47-I47)*repay_share,R46-C47),0)</f>
        <v>0</v>
      </c>
      <c r="L47" s="56" t="n">
        <f aca="false">IF(D47&gt;E47,D47-E47-I47-K47,0)</f>
        <v>18.430173521319</v>
      </c>
      <c r="M47" s="56" t="n">
        <f aca="false">D47+F47+G47-I47-K47-L47</f>
        <v>56.422883259007</v>
      </c>
      <c r="N47" s="56" t="n">
        <f aca="false">I47+J47+Q47*issue_price*dev_bonds+SUMPRODUCT((Events!$B$6:$B$400&lt;=$A47)*(Events!$C$6:$C$400&gt;=$A47)*(Events!$E$6:$E$400="Investment")*Events!$H$6:$H$400)</f>
        <v>157.913712149686</v>
      </c>
      <c r="O47" s="56" t="n">
        <f aca="false">O46*(1-dev_dep)+N47</f>
        <v>808.942748413154</v>
      </c>
      <c r="P47" s="56" t="n">
        <f aca="false">SUMPRODUCT((Events!$B$6:$B$400&lt;=$A47)*(Events!$C$6:$C$400&gt;=$A47)*(Events!$E$6:$E$400="Debt assumed")*Events!$H$6:$H$400)</f>
        <v>0</v>
      </c>
      <c r="Q47" s="56" t="n">
        <f aca="false">IF($A47&lt;1887,0,MAX(0,debt_floor*Economy!O47-(R46+P47+H47-C47-K47)))</f>
        <v>104.828411410994</v>
      </c>
      <c r="R47" s="56" t="n">
        <f aca="false">R46+P47+H47-C47-K47+Q47</f>
        <v>104.828411410994</v>
      </c>
      <c r="S47" s="56" t="n">
        <f aca="false">S46+L47-F47-J47+Q47*issue_price*(1-dev_bonds)</f>
        <v>81.3272203679155</v>
      </c>
      <c r="T47" s="72" t="n">
        <f aca="false">Loans!X47</f>
        <v>22.9201656128081</v>
      </c>
      <c r="U47" s="56" t="n">
        <f aca="false">R47-M47-S47-T47</f>
        <v>-55.8418578287363</v>
      </c>
      <c r="V47" s="66" t="n">
        <f aca="false">R47/Economy!O47</f>
        <v>0.05</v>
      </c>
      <c r="W47" s="66" t="n">
        <f aca="false">Budget!X47/Budget!M47</f>
        <v>0</v>
      </c>
      <c r="X47" s="66" t="n">
        <f aca="false">S47/Economy!O47</f>
        <v>0.0387906385650837</v>
      </c>
      <c r="Y47" s="56" t="n">
        <f aca="false">MAX(0,H47+Q47-'Gold &amp; money'!G47)</f>
        <v>104.828411410994</v>
      </c>
    </row>
    <row r="48" customFormat="false" ht="14.25" hidden="false" customHeight="true" outlineLevel="0" collapsed="false">
      <c r="A48" s="61" t="n">
        <v>1888</v>
      </c>
      <c r="B48" s="56" t="n">
        <f aca="false">Loans!V48-Loans!W48</f>
        <v>2.08319122958347</v>
      </c>
      <c r="C48" s="56" t="n">
        <f aca="false">R47*debt_amort</f>
        <v>2.09656822821989</v>
      </c>
      <c r="D48" s="56" t="n">
        <f aca="false">M47+Budget!Z48-B48-C48</f>
        <v>110.857293957977</v>
      </c>
      <c r="E48" s="56" t="n">
        <f aca="false">MAX(0.1,Budget!M48*cash_target)</f>
        <v>57.9907919796594</v>
      </c>
      <c r="F48" s="56" t="n">
        <f aca="false">IF(D48&lt;E48,MIN(E48-D48,S47),0)</f>
        <v>0</v>
      </c>
      <c r="G48" s="56" t="n">
        <f aca="false">MAX(0,E48-D48-F48)</f>
        <v>0</v>
      </c>
      <c r="H48" s="56" t="n">
        <f aca="false">G48/issue_price</f>
        <v>0</v>
      </c>
      <c r="I48" s="56" t="n">
        <f aca="false">IF(AND(D48&gt;E48,$A48&gt;=dev_start),(D48-E48)*dev_share,0)</f>
        <v>37.0065513848224</v>
      </c>
      <c r="J48" s="56" t="n">
        <f aca="false">IF($A48&gt;=dev_start,MAX(0,S47-F48-reserve_buffer*Economy!O48),0)</f>
        <v>13.9606746368926</v>
      </c>
      <c r="K48" s="56" t="n">
        <f aca="false">IF(D48&gt;E48,MIN((D48-E48-I48)*repay_share,R47-C48),0)</f>
        <v>12.6879604747963</v>
      </c>
      <c r="L48" s="56" t="n">
        <f aca="false">IF(D48&gt;E48,D48-E48-I48-K48,0)</f>
        <v>3.17199011869906</v>
      </c>
      <c r="M48" s="56" t="n">
        <f aca="false">D48+F48+G48-I48-K48-L48</f>
        <v>57.9907919796594</v>
      </c>
      <c r="N48" s="56" t="n">
        <f aca="false">I48+J48+Q48*issue_price*dev_bonds+SUMPRODUCT((Events!$B$6:$B$400&lt;=$A48)*(Events!$C$6:$C$400&gt;=$A48)*(Events!$E$6:$E$400="Investment")*Events!$H$6:$H$400)</f>
        <v>72.5339087267966</v>
      </c>
      <c r="O48" s="56" t="n">
        <f aca="false">O47*(1-dev_dep)+N48</f>
        <v>857.208374687556</v>
      </c>
      <c r="P48" s="56" t="n">
        <f aca="false">SUMPRODUCT((Events!$B$6:$B$400&lt;=$A48)*(Events!$C$6:$C$400&gt;=$A48)*(Events!$E$6:$E$400="Debt assumed")*Events!$H$6:$H$400)</f>
        <v>0</v>
      </c>
      <c r="Q48" s="56" t="n">
        <f aca="false">IF($A48&lt;1887,0,MAX(0,debt_floor*Economy!O48-(R47+P48+H48-C48-K48)))</f>
        <v>22.2336935103935</v>
      </c>
      <c r="R48" s="56" t="n">
        <f aca="false">R47+P48+H48-C48-K48+Q48</f>
        <v>112.277576218372</v>
      </c>
      <c r="S48" s="56" t="n">
        <f aca="false">S47+L48-F48-J48+Q48*issue_price*(1-dev_bonds)</f>
        <v>70.538535849722</v>
      </c>
      <c r="T48" s="72" t="n">
        <f aca="false">Loans!X48</f>
        <v>25.0033568423916</v>
      </c>
      <c r="U48" s="56" t="n">
        <f aca="false">R48-M48-S48-T48</f>
        <v>-41.2551084534014</v>
      </c>
      <c r="V48" s="66" t="n">
        <f aca="false">R48/Economy!O48</f>
        <v>0.05</v>
      </c>
      <c r="W48" s="66" t="n">
        <f aca="false">Budget!X48/Budget!M48</f>
        <v>0.0224151500112684</v>
      </c>
      <c r="X48" s="66" t="n">
        <f aca="false">S48/Economy!O48</f>
        <v>0.0314125661710624</v>
      </c>
      <c r="Y48" s="56" t="n">
        <f aca="false">MAX(0,H48+Q48-'Gold &amp; money'!G48)</f>
        <v>22.2336935103935</v>
      </c>
    </row>
    <row r="49" customFormat="false" ht="14.25" hidden="false" customHeight="true" outlineLevel="0" collapsed="false">
      <c r="A49" s="61" t="n">
        <v>1889</v>
      </c>
      <c r="B49" s="56" t="n">
        <f aca="false">Loans!V49-Loans!W49</f>
        <v>1.99986364477725</v>
      </c>
      <c r="C49" s="56" t="n">
        <f aca="false">R48*debt_amort</f>
        <v>2.24555152436743</v>
      </c>
      <c r="D49" s="56" t="n">
        <f aca="false">M48+Budget!Z49-B49-C49</f>
        <v>86.1761440100198</v>
      </c>
      <c r="E49" s="56" t="n">
        <f aca="false">MAX(0.1,Budget!M49*cash_target)</f>
        <v>61.6361113357102</v>
      </c>
      <c r="F49" s="56" t="n">
        <f aca="false">IF(D49&lt;E49,MIN(E49-D49,S48),0)</f>
        <v>0</v>
      </c>
      <c r="G49" s="56" t="n">
        <f aca="false">MAX(0,E49-D49-F49)</f>
        <v>0</v>
      </c>
      <c r="H49" s="56" t="n">
        <f aca="false">G49/issue_price</f>
        <v>0</v>
      </c>
      <c r="I49" s="56" t="n">
        <f aca="false">IF(AND(D49&gt;E49,$A49&gt;=dev_start),(D49-E49)*dev_share,0)</f>
        <v>17.1780228720168</v>
      </c>
      <c r="J49" s="56" t="n">
        <f aca="false">IF($A49&gt;=dev_start,MAX(0,S48-F49-reserve_buffer*Economy!O49),0)</f>
        <v>0</v>
      </c>
      <c r="K49" s="56" t="n">
        <f aca="false">IF(D49&gt;E49,MIN((D49-E49-I49)*repay_share,R48-C49),0)</f>
        <v>5.88960784183433</v>
      </c>
      <c r="L49" s="56" t="n">
        <f aca="false">IF(D49&gt;E49,D49-E49-I49-K49,0)</f>
        <v>1.47240196045858</v>
      </c>
      <c r="M49" s="56" t="n">
        <f aca="false">D49+F49+G49-I49-K49-L49</f>
        <v>61.6361113357102</v>
      </c>
      <c r="N49" s="56" t="n">
        <f aca="false">I49+J49+Q49*issue_price*dev_bonds+SUMPRODUCT((Events!$B$6:$B$400&lt;=$A49)*(Events!$C$6:$C$400&gt;=$A49)*(Events!$E$6:$E$400="Investment")*Events!$H$6:$H$400)</f>
        <v>32.4027934802237</v>
      </c>
      <c r="O49" s="56" t="n">
        <f aca="false">O48*(1-dev_dep)+N49</f>
        <v>863.894916927153</v>
      </c>
      <c r="P49" s="56" t="n">
        <f aca="false">SUMPRODUCT((Events!$B$6:$B$400&lt;=$A49)*(Events!$C$6:$C$400&gt;=$A49)*(Events!$E$6:$E$400="Debt assumed")*Events!$H$6:$H$400)</f>
        <v>0</v>
      </c>
      <c r="Q49" s="56" t="n">
        <f aca="false">IF($A49&lt;1887,0,MAX(0,debt_floor*Economy!O49-(R48+P49+H49-C49-K49)))</f>
        <v>15.6956398022752</v>
      </c>
      <c r="R49" s="56" t="n">
        <f aca="false">R48+P49+H49-C49-K49+Q49</f>
        <v>119.838056654445</v>
      </c>
      <c r="S49" s="56" t="n">
        <f aca="false">S48+L49-F49-J49+Q49*issue_price*(1-dev_bonds)</f>
        <v>72.0109378101806</v>
      </c>
      <c r="T49" s="72" t="n">
        <f aca="false">Loans!X49</f>
        <v>27.0032204871689</v>
      </c>
      <c r="U49" s="56" t="n">
        <f aca="false">R49-M49-S49-T49</f>
        <v>-40.8122129786146</v>
      </c>
      <c r="V49" s="66" t="n">
        <f aca="false">R49/Economy!O49</f>
        <v>0.05</v>
      </c>
      <c r="W49" s="66" t="n">
        <f aca="false">Budget!X49/Budget!M49</f>
        <v>0.0222693051122833</v>
      </c>
      <c r="X49" s="66" t="n">
        <f aca="false">S49/Economy!O49</f>
        <v>0.0300451041265736</v>
      </c>
      <c r="Y49" s="56" t="n">
        <f aca="false">MAX(0,H49+Q49-'Gold &amp; money'!G49)</f>
        <v>15.6956398022752</v>
      </c>
    </row>
    <row r="50" customFormat="false" ht="14.25" hidden="false" customHeight="true" outlineLevel="0" collapsed="false">
      <c r="A50" s="61" t="n">
        <v>1890</v>
      </c>
      <c r="B50" s="56" t="n">
        <f aca="false">Loans!V50-Loans!W50</f>
        <v>0.419869161431975</v>
      </c>
      <c r="C50" s="56" t="n">
        <f aca="false">R49*debt_amort</f>
        <v>2.3967611330889</v>
      </c>
      <c r="D50" s="56" t="n">
        <f aca="false">M49+Budget!Z50-B50-C50</f>
        <v>115.518573916964</v>
      </c>
      <c r="E50" s="56" t="n">
        <f aca="false">MAX(0.1,Budget!M50*cash_target)</f>
        <v>69.0112359555944</v>
      </c>
      <c r="F50" s="56" t="n">
        <f aca="false">IF(D50&lt;E50,MIN(E50-D50,S49),0)</f>
        <v>0</v>
      </c>
      <c r="G50" s="56" t="n">
        <f aca="false">MAX(0,E50-D50-F50)</f>
        <v>0</v>
      </c>
      <c r="H50" s="56" t="n">
        <f aca="false">G50/issue_price</f>
        <v>0</v>
      </c>
      <c r="I50" s="56" t="n">
        <f aca="false">IF(AND(D50&gt;E50,$A50&gt;=dev_start),(D50-E50)*dev_share,0)</f>
        <v>32.5551365729587</v>
      </c>
      <c r="J50" s="56" t="n">
        <f aca="false">IF($A50&gt;=dev_start,MAX(0,S49-F50-reserve_buffer*Economy!O50),0)</f>
        <v>0</v>
      </c>
      <c r="K50" s="56" t="n">
        <f aca="false">IF(D50&gt;E50,MIN((D50-E50-I50)*repay_share,R49-C50),0)</f>
        <v>11.1617611107287</v>
      </c>
      <c r="L50" s="56" t="n">
        <f aca="false">IF(D50&gt;E50,D50-E50-I50-K50,0)</f>
        <v>2.79044027768218</v>
      </c>
      <c r="M50" s="56" t="n">
        <f aca="false">D50+F50+G50-I50-K50-L50</f>
        <v>69.0112359555944</v>
      </c>
      <c r="N50" s="56" t="n">
        <f aca="false">I50+J50+Q50*issue_price*dev_bonds+SUMPRODUCT((Events!$B$6:$B$400&lt;=$A50)*(Events!$C$6:$C$400&gt;=$A50)*(Events!$E$6:$E$400="Investment")*Events!$H$6:$H$400)</f>
        <v>55.7501041753543</v>
      </c>
      <c r="O50" s="56" t="n">
        <f aca="false">O49*(1-dev_dep)+N50</f>
        <v>893.728173594693</v>
      </c>
      <c r="P50" s="56" t="n">
        <f aca="false">SUMPRODUCT((Events!$B$6:$B$400&lt;=$A50)*(Events!$C$6:$C$400&gt;=$A50)*(Events!$E$6:$E$400="Debt assumed")*Events!$H$6:$H$400)</f>
        <v>0</v>
      </c>
      <c r="Q50" s="56" t="n">
        <f aca="false">IF($A50&lt;1887,0,MAX(0,debt_floor*Economy!O50-(R49+P50+H50-C50-K50)))</f>
        <v>23.9123377344285</v>
      </c>
      <c r="R50" s="56" t="n">
        <f aca="false">R49+P50+H50-C50-K50+Q50</f>
        <v>130.191872145056</v>
      </c>
      <c r="S50" s="56" t="n">
        <f aca="false">S49+L50-F50-J50+Q50*issue_price*(1-dev_bonds)</f>
        <v>74.8013780878628</v>
      </c>
      <c r="T50" s="72" t="n">
        <f aca="false">Loans!X50</f>
        <v>27.4230896486008</v>
      </c>
      <c r="U50" s="56" t="n">
        <f aca="false">R50-M50-S50-T50</f>
        <v>-41.0438315470021</v>
      </c>
      <c r="V50" s="66" t="n">
        <f aca="false">R50/Economy!O50</f>
        <v>0.05</v>
      </c>
      <c r="W50" s="66" t="n">
        <f aca="false">Budget!X50/Budget!M50</f>
        <v>0.0209682454467781</v>
      </c>
      <c r="X50" s="66" t="n">
        <f aca="false">S50/Economy!O50</f>
        <v>0.0287273609540392</v>
      </c>
      <c r="Y50" s="56" t="n">
        <f aca="false">MAX(0,H50+Q50-'Gold &amp; money'!G50)</f>
        <v>23.9123377344285</v>
      </c>
    </row>
    <row r="51" customFormat="false" ht="14.25" hidden="false" customHeight="true" outlineLevel="0" collapsed="false">
      <c r="A51" s="61" t="n">
        <v>1891</v>
      </c>
      <c r="B51" s="56" t="n">
        <f aca="false">Loans!V51-Loans!W51</f>
        <v>0.418074455547135</v>
      </c>
      <c r="C51" s="56" t="n">
        <f aca="false">R50*debt_amort</f>
        <v>2.60383744290112</v>
      </c>
      <c r="D51" s="56" t="n">
        <f aca="false">M50+Budget!Z51-B51-C51</f>
        <v>133.166278555883</v>
      </c>
      <c r="E51" s="56" t="n">
        <f aca="false">MAX(0.1,Budget!M51*cash_target)</f>
        <v>75.2588069894435</v>
      </c>
      <c r="F51" s="56" t="n">
        <f aca="false">IF(D51&lt;E51,MIN(E51-D51,S50),0)</f>
        <v>0</v>
      </c>
      <c r="G51" s="56" t="n">
        <f aca="false">MAX(0,E51-D51-F51)</f>
        <v>0</v>
      </c>
      <c r="H51" s="56" t="n">
        <f aca="false">G51/issue_price</f>
        <v>0</v>
      </c>
      <c r="I51" s="56" t="n">
        <f aca="false">IF(AND(D51&gt;E51,$A51&gt;=dev_start),(D51-E51)*dev_share,0)</f>
        <v>40.5352300965078</v>
      </c>
      <c r="J51" s="56" t="n">
        <f aca="false">IF($A51&gt;=dev_start,MAX(0,S50-F51-reserve_buffer*Economy!O51),0)</f>
        <v>0</v>
      </c>
      <c r="K51" s="56" t="n">
        <f aca="false">IF(D51&gt;E51,MIN((D51-E51-I51)*repay_share,R50-C51),0)</f>
        <v>13.8977931759455</v>
      </c>
      <c r="L51" s="56" t="n">
        <f aca="false">IF(D51&gt;E51,D51-E51-I51-K51,0)</f>
        <v>3.47444829398638</v>
      </c>
      <c r="M51" s="56" t="n">
        <f aca="false">D51+F51+G51-I51-K51-L51</f>
        <v>75.2588069894435</v>
      </c>
      <c r="N51" s="56" t="n">
        <f aca="false">I51+J51+Q51*issue_price*dev_bonds+SUMPRODUCT((Events!$B$6:$B$400&lt;=$A51)*(Events!$C$6:$C$400&gt;=$A51)*(Events!$E$6:$E$400="Investment")*Events!$H$6:$H$400)</f>
        <v>65.6775888046518</v>
      </c>
      <c r="O51" s="56" t="n">
        <f aca="false">O50*(1-dev_dep)+N51</f>
        <v>932.593917191504</v>
      </c>
      <c r="P51" s="56" t="n">
        <f aca="false">SUMPRODUCT((Events!$B$6:$B$400&lt;=$A51)*(Events!$C$6:$C$400&gt;=$A51)*(Events!$E$6:$E$400="Debt assumed")*Events!$H$6:$H$400)</f>
        <v>0</v>
      </c>
      <c r="Q51" s="56" t="n">
        <f aca="false">IF($A51&lt;1887,0,MAX(0,debt_floor*Economy!O51-(R50+P51+H51-C51-K51)))</f>
        <v>25.9199574310763</v>
      </c>
      <c r="R51" s="56" t="n">
        <f aca="false">R50+P51+H51-C51-K51+Q51</f>
        <v>139.610198957286</v>
      </c>
      <c r="S51" s="56" t="n">
        <f aca="false">S50+L51-F51-J51+Q51*issue_price*(1-dev_bonds)</f>
        <v>78.2758263818492</v>
      </c>
      <c r="T51" s="72" t="n">
        <f aca="false">Loans!X51</f>
        <v>27.841164104148</v>
      </c>
      <c r="U51" s="56" t="n">
        <f aca="false">R51-M51-S51-T51</f>
        <v>-41.7655985181551</v>
      </c>
      <c r="V51" s="66" t="n">
        <f aca="false">R51/Economy!O51</f>
        <v>0.05</v>
      </c>
      <c r="W51" s="66" t="n">
        <f aca="false">Budget!X51/Budget!M51</f>
        <v>0.0205860727867169</v>
      </c>
      <c r="X51" s="66" t="n">
        <f aca="false">S51/Economy!O51</f>
        <v>0.0280337063360959</v>
      </c>
      <c r="Y51" s="56" t="n">
        <f aca="false">MAX(0,H51+Q51-'Gold &amp; money'!G51)</f>
        <v>25.9199574310763</v>
      </c>
    </row>
    <row r="52" customFormat="false" ht="14.25" hidden="false" customHeight="true" outlineLevel="0" collapsed="false">
      <c r="A52" s="61" t="n">
        <v>1892</v>
      </c>
      <c r="B52" s="56" t="n">
        <f aca="false">Loans!V52-Loans!W52</f>
        <v>-1.08409846391949</v>
      </c>
      <c r="C52" s="56" t="n">
        <f aca="false">R51*debt_amort</f>
        <v>2.79220397914571</v>
      </c>
      <c r="D52" s="56" t="n">
        <f aca="false">M51+Budget!Z52-B52-C52</f>
        <v>149.534085525114</v>
      </c>
      <c r="E52" s="56" t="n">
        <f aca="false">MAX(0.1,Budget!M52*cash_target)</f>
        <v>81.1741977170298</v>
      </c>
      <c r="F52" s="56" t="n">
        <f aca="false">IF(D52&lt;E52,MIN(E52-D52,S51),0)</f>
        <v>0</v>
      </c>
      <c r="G52" s="56" t="n">
        <f aca="false">MAX(0,E52-D52-F52)</f>
        <v>0</v>
      </c>
      <c r="H52" s="56" t="n">
        <f aca="false">G52/issue_price</f>
        <v>0</v>
      </c>
      <c r="I52" s="56" t="n">
        <f aca="false">IF(AND(D52&gt;E52,$A52&gt;=dev_start),(D52-E52)*dev_share,0)</f>
        <v>47.8519214656593</v>
      </c>
      <c r="J52" s="56" t="n">
        <f aca="false">IF($A52&gt;=dev_start,MAX(0,S51-F52-reserve_buffer*Economy!O52),0)</f>
        <v>0</v>
      </c>
      <c r="K52" s="56" t="n">
        <f aca="false">IF(D52&gt;E52,MIN((D52-E52-I52)*repay_share,R51-C52),0)</f>
        <v>16.4063730739403</v>
      </c>
      <c r="L52" s="56" t="n">
        <f aca="false">IF(D52&gt;E52,D52-E52-I52-K52,0)</f>
        <v>4.10159326848508</v>
      </c>
      <c r="M52" s="56" t="n">
        <f aca="false">D52+F52+G52-I52-K52-L52</f>
        <v>81.1741977170298</v>
      </c>
      <c r="N52" s="56" t="n">
        <f aca="false">I52+J52+Q52*issue_price*dev_bonds+SUMPRODUCT((Events!$B$6:$B$400&lt;=$A52)*(Events!$C$6:$C$400&gt;=$A52)*(Events!$E$6:$E$400="Investment")*Events!$H$6:$H$400)</f>
        <v>75.8723354542662</v>
      </c>
      <c r="O52" s="56" t="n">
        <f aca="false">O51*(1-dev_dep)+N52</f>
        <v>980.488435130025</v>
      </c>
      <c r="P52" s="56" t="n">
        <f aca="false">SUMPRODUCT((Events!$B$6:$B$400&lt;=$A52)*(Events!$C$6:$C$400&gt;=$A52)*(Events!$E$6:$E$400="Debt assumed")*Events!$H$6:$H$400)</f>
        <v>0</v>
      </c>
      <c r="Q52" s="56" t="n">
        <f aca="false">IF($A52&lt;1887,0,MAX(0,debt_floor*Economy!O52-(R51+P52+H52-C52-K52)))</f>
        <v>28.8870247305226</v>
      </c>
      <c r="R52" s="56" t="n">
        <f aca="false">R51+P52+H52-C52-K52+Q52</f>
        <v>149.298646634722</v>
      </c>
      <c r="S52" s="56" t="n">
        <f aca="false">S51+L52-F52-J52+Q52*issue_price*(1-dev_bonds)</f>
        <v>82.3774196503342</v>
      </c>
      <c r="T52" s="72" t="n">
        <f aca="false">Loans!X52</f>
        <v>26.7570656402285</v>
      </c>
      <c r="U52" s="56" t="n">
        <f aca="false">R52-M52-S52-T52</f>
        <v>-41.0100363728704</v>
      </c>
      <c r="V52" s="66" t="n">
        <f aca="false">R52/Economy!O52</f>
        <v>0.05</v>
      </c>
      <c r="W52" s="66" t="n">
        <f aca="false">Budget!X52/Budget!M52</f>
        <v>0.0202086362894099</v>
      </c>
      <c r="X52" s="66" t="n">
        <f aca="false">S52/Economy!O52</f>
        <v>0.0275881334182087</v>
      </c>
      <c r="Y52" s="56" t="n">
        <f aca="false">MAX(0,H52+Q52-'Gold &amp; money'!G52)</f>
        <v>28.8870247305226</v>
      </c>
    </row>
    <row r="53" customFormat="false" ht="14.25" hidden="false" customHeight="true" outlineLevel="0" collapsed="false">
      <c r="A53" s="61" t="n">
        <v>1893</v>
      </c>
      <c r="B53" s="56" t="n">
        <f aca="false">Loans!V53-Loans!W53</f>
        <v>-1.0416209683701</v>
      </c>
      <c r="C53" s="56" t="n">
        <f aca="false">R52*debt_amort</f>
        <v>2.98597293269444</v>
      </c>
      <c r="D53" s="56" t="n">
        <f aca="false">M52+Budget!Z53-B53-C53</f>
        <v>153.352739633063</v>
      </c>
      <c r="E53" s="56" t="n">
        <f aca="false">MAX(0.1,Budget!M53*cash_target)</f>
        <v>82.4413660756938</v>
      </c>
      <c r="F53" s="56" t="n">
        <f aca="false">IF(D53&lt;E53,MIN(E53-D53,S52),0)</f>
        <v>0</v>
      </c>
      <c r="G53" s="56" t="n">
        <f aca="false">MAX(0,E53-D53-F53)</f>
        <v>0</v>
      </c>
      <c r="H53" s="56" t="n">
        <f aca="false">G53/issue_price</f>
        <v>0</v>
      </c>
      <c r="I53" s="56" t="n">
        <f aca="false">IF(AND(D53&gt;E53,$A53&gt;=dev_start),(D53-E53)*dev_share,0)</f>
        <v>49.6379614901586</v>
      </c>
      <c r="J53" s="56" t="n">
        <f aca="false">IF($A53&gt;=dev_start,MAX(0,S52-F53-reserve_buffer*Economy!O53),0)</f>
        <v>0</v>
      </c>
      <c r="K53" s="56" t="n">
        <f aca="false">IF(D53&gt;E53,MIN((D53-E53-I53)*repay_share,R52-C53),0)</f>
        <v>17.0187296537687</v>
      </c>
      <c r="L53" s="56" t="n">
        <f aca="false">IF(D53&gt;E53,D53-E53-I53-K53,0)</f>
        <v>4.25468241344217</v>
      </c>
      <c r="M53" s="56" t="n">
        <f aca="false">D53+F53+G53-I53-K53-L53</f>
        <v>82.4413660756937</v>
      </c>
      <c r="N53" s="56" t="n">
        <f aca="false">I53+J53+Q53*issue_price*dev_bonds+SUMPRODUCT((Events!$B$6:$B$400&lt;=$A53)*(Events!$C$6:$C$400&gt;=$A53)*(Events!$E$6:$E$400="Investment")*Events!$H$6:$H$400)</f>
        <v>70.9706833695098</v>
      </c>
      <c r="O53" s="56" t="n">
        <f aca="false">O52*(1-dev_dep)+N53</f>
        <v>1022.04446544563</v>
      </c>
      <c r="P53" s="56" t="n">
        <f aca="false">SUMPRODUCT((Events!$B$6:$B$400&lt;=$A53)*(Events!$C$6:$C$400&gt;=$A53)*(Events!$E$6:$E$400="Debt assumed")*Events!$H$6:$H$400)</f>
        <v>0</v>
      </c>
      <c r="Q53" s="56" t="n">
        <f aca="false">IF($A53&lt;1887,0,MAX(0,debt_floor*Economy!O53-(R52+P53+H53-C53-K53)))</f>
        <v>21.9924967828363</v>
      </c>
      <c r="R53" s="56" t="n">
        <f aca="false">R52+P53+H53-C53-K53+Q53</f>
        <v>151.286440831095</v>
      </c>
      <c r="S53" s="56" t="n">
        <f aca="false">S52+L53-F53-J53+Q53*issue_price*(1-dev_bonds)</f>
        <v>86.6321020637764</v>
      </c>
      <c r="T53" s="72" t="n">
        <f aca="false">Loans!X53</f>
        <v>25.7154446718584</v>
      </c>
      <c r="U53" s="56" t="n">
        <f aca="false">R53-M53-S53-T53</f>
        <v>-43.5024719802332</v>
      </c>
      <c r="V53" s="66" t="n">
        <f aca="false">R53/Economy!O53</f>
        <v>0.05</v>
      </c>
      <c r="W53" s="66" t="n">
        <f aca="false">Budget!X53/Budget!M53</f>
        <v>0.0209619504995856</v>
      </c>
      <c r="X53" s="66" t="n">
        <f aca="false">S53/Economy!O53</f>
        <v>0.0286318131313887</v>
      </c>
      <c r="Y53" s="56" t="n">
        <f aca="false">MAX(0,H53+Q53-'Gold &amp; money'!G53)</f>
        <v>21.9924967828363</v>
      </c>
    </row>
    <row r="54" customFormat="false" ht="14.25" hidden="false" customHeight="true" outlineLevel="0" collapsed="false">
      <c r="A54" s="61" t="n">
        <v>1894</v>
      </c>
      <c r="B54" s="56" t="n">
        <f aca="false">Loans!V54-Loans!W54</f>
        <v>8.99918402064753</v>
      </c>
      <c r="C54" s="56" t="n">
        <f aca="false">R53*debt_amort</f>
        <v>3.02572881662191</v>
      </c>
      <c r="D54" s="56" t="n">
        <f aca="false">M53+Budget!Z54-B54-C54</f>
        <v>145.690814304743</v>
      </c>
      <c r="E54" s="56" t="n">
        <f aca="false">MAX(0.1,Budget!M54*cash_target)</f>
        <v>86.6387258057339</v>
      </c>
      <c r="F54" s="56" t="n">
        <f aca="false">IF(D54&lt;E54,MIN(E54-D54,S53),0)</f>
        <v>0</v>
      </c>
      <c r="G54" s="56" t="n">
        <f aca="false">MAX(0,E54-D54-F54)</f>
        <v>0</v>
      </c>
      <c r="H54" s="56" t="n">
        <f aca="false">G54/issue_price</f>
        <v>0</v>
      </c>
      <c r="I54" s="56" t="n">
        <f aca="false">IF(AND(D54&gt;E54,$A54&gt;=dev_start),(D54-E54)*dev_share,0)</f>
        <v>41.3364619493062</v>
      </c>
      <c r="J54" s="56" t="n">
        <f aca="false">IF($A54&gt;=dev_start,MAX(0,S53-F54-reserve_buffer*Economy!O54),0)</f>
        <v>0</v>
      </c>
      <c r="K54" s="56" t="n">
        <f aca="false">IF(D54&gt;E54,MIN((D54-E54-I54)*repay_share,R53-C54),0)</f>
        <v>14.1725012397621</v>
      </c>
      <c r="L54" s="56" t="n">
        <f aca="false">IF(D54&gt;E54,D54-E54-I54-K54,0)</f>
        <v>3.54312530994053</v>
      </c>
      <c r="M54" s="56" t="n">
        <f aca="false">D54+F54+G54-I54-K54-L54</f>
        <v>86.6387258057339</v>
      </c>
      <c r="N54" s="56" t="n">
        <f aca="false">I54+J54+Q54*issue_price*dev_bonds+SUMPRODUCT((Events!$B$6:$B$400&lt;=$A54)*(Events!$C$6:$C$400&gt;=$A54)*(Events!$E$6:$E$400="Investment")*Events!$H$6:$H$400)</f>
        <v>68.5950586956643</v>
      </c>
      <c r="O54" s="56" t="n">
        <f aca="false">O53*(1-dev_dep)+N54</f>
        <v>1059.97819017793</v>
      </c>
      <c r="P54" s="56" t="n">
        <f aca="false">SUMPRODUCT((Events!$B$6:$B$400&lt;=$A54)*(Events!$C$6:$C$400&gt;=$A54)*(Events!$E$6:$E$400="Debt assumed")*Events!$H$6:$H$400)</f>
        <v>0</v>
      </c>
      <c r="Q54" s="56" t="n">
        <f aca="false">IF($A54&lt;1887,0,MAX(0,debt_floor*Economy!O54-(R53+P54+H54-C54-K54)))</f>
        <v>25.0088626251114</v>
      </c>
      <c r="R54" s="56" t="n">
        <f aca="false">R53+P54+H54-C54-K54+Q54</f>
        <v>159.097073399823</v>
      </c>
      <c r="S54" s="56" t="n">
        <f aca="false">S53+L54-F54-J54+Q54*issue_price*(1-dev_bonds)</f>
        <v>90.1752273737169</v>
      </c>
      <c r="T54" s="72" t="n">
        <f aca="false">Loans!X54</f>
        <v>34.7146286925059</v>
      </c>
      <c r="U54" s="56" t="n">
        <f aca="false">R54-M54-S54-T54</f>
        <v>-52.4315084721341</v>
      </c>
      <c r="V54" s="66" t="n">
        <f aca="false">R54/Economy!O54</f>
        <v>0.05</v>
      </c>
      <c r="W54" s="66" t="n">
        <f aca="false">Budget!X54/Budget!M54</f>
        <v>0.0199500577879098</v>
      </c>
      <c r="X54" s="66" t="n">
        <f aca="false">S54/Economy!O54</f>
        <v>0.0283396876657498</v>
      </c>
      <c r="Y54" s="56" t="n">
        <f aca="false">MAX(0,H54+Q54-'Gold &amp; money'!G54)</f>
        <v>25.0088626251114</v>
      </c>
    </row>
    <row r="55" customFormat="false" ht="14.25" hidden="false" customHeight="true" outlineLevel="0" collapsed="false">
      <c r="A55" s="61" t="n">
        <v>1895</v>
      </c>
      <c r="B55" s="56" t="n">
        <f aca="false">Loans!V55-Loans!W55</f>
        <v>78.638382605596</v>
      </c>
      <c r="C55" s="56" t="n">
        <f aca="false">R54*debt_amort</f>
        <v>3.18194146799645</v>
      </c>
      <c r="D55" s="56" t="n">
        <f aca="false">M54+Budget!Z55-B55-C55</f>
        <v>92.853657548782</v>
      </c>
      <c r="E55" s="56" t="n">
        <f aca="false">MAX(0.1,Budget!M55*cash_target)</f>
        <v>95.1639362932677</v>
      </c>
      <c r="F55" s="56" t="n">
        <f aca="false">IF(D55&lt;E55,MIN(E55-D55,S54),0)</f>
        <v>2.31027874448564</v>
      </c>
      <c r="G55" s="56" t="n">
        <f aca="false">MAX(0,E55-D55-F55)</f>
        <v>0</v>
      </c>
      <c r="H55" s="56" t="n">
        <f aca="false">G55/issue_price</f>
        <v>0</v>
      </c>
      <c r="I55" s="56" t="n">
        <f aca="false">IF(AND(D55&gt;E55,$A55&gt;=dev_start),(D55-E55)*dev_share,0)</f>
        <v>0</v>
      </c>
      <c r="J55" s="56" t="n">
        <f aca="false">IF($A55&gt;=dev_start,MAX(0,S54-F55-reserve_buffer*Economy!O55),0)</f>
        <v>0</v>
      </c>
      <c r="K55" s="56" t="n">
        <f aca="false">IF(D55&gt;E55,MIN((D55-E55-I55)*repay_share,R54-C55),0)</f>
        <v>0</v>
      </c>
      <c r="L55" s="56" t="n">
        <f aca="false">IF(D55&gt;E55,D55-E55-I55-K55,0)</f>
        <v>0</v>
      </c>
      <c r="M55" s="56" t="n">
        <f aca="false">D55+F55+G55-I55-K55-L55</f>
        <v>95.1639362932677</v>
      </c>
      <c r="N55" s="56" t="n">
        <f aca="false">I55+J55+Q55*issue_price*dev_bonds+SUMPRODUCT((Events!$B$6:$B$400&lt;=$A55)*(Events!$C$6:$C$400&gt;=$A55)*(Events!$E$6:$E$400="Investment")*Events!$H$6:$H$400)</f>
        <v>20.8177360732414</v>
      </c>
      <c r="O55" s="56" t="n">
        <f aca="false">O54*(1-dev_dep)+N55</f>
        <v>1048.99658054583</v>
      </c>
      <c r="P55" s="56" t="n">
        <f aca="false">SUMPRODUCT((Events!$B$6:$B$400&lt;=$A55)*(Events!$C$6:$C$400&gt;=$A55)*(Events!$E$6:$E$400="Debt assumed")*Events!$H$6:$H$400)</f>
        <v>0</v>
      </c>
      <c r="Q55" s="56" t="n">
        <f aca="false">IF($A55&lt;1887,0,MAX(0,debt_floor*Economy!O55-(R54+P55+H55-C55-K55)))</f>
        <v>18.3688000755066</v>
      </c>
      <c r="R55" s="56" t="n">
        <f aca="false">R54+P55+H55-C55-K55+Q55</f>
        <v>174.283932007333</v>
      </c>
      <c r="S55" s="56" t="n">
        <f aca="false">S54+L55-F55-J55+Q55*issue_price*(1-dev_bonds)</f>
        <v>87.8649486292313</v>
      </c>
      <c r="T55" s="72" t="n">
        <f aca="false">Loans!X55</f>
        <v>113.353011298102</v>
      </c>
      <c r="U55" s="56" t="n">
        <f aca="false">R55-M55-S55-T55</f>
        <v>-122.097964213268</v>
      </c>
      <c r="V55" s="66" t="n">
        <f aca="false">R55/Economy!O55</f>
        <v>0.05</v>
      </c>
      <c r="W55" s="66" t="n">
        <f aca="false">Budget!X55/Budget!M55</f>
        <v>0.0188079869902841</v>
      </c>
      <c r="X55" s="66" t="n">
        <f aca="false">S55/Economy!O55</f>
        <v>0.0252074151693842</v>
      </c>
      <c r="Y55" s="56" t="n">
        <f aca="false">MAX(0,H55+Q55-'Gold &amp; money'!G55)</f>
        <v>18.3688000755066</v>
      </c>
    </row>
    <row r="56" customFormat="false" ht="14.25" hidden="false" customHeight="true" outlineLevel="0" collapsed="false">
      <c r="A56" s="61" t="n">
        <v>1896</v>
      </c>
      <c r="B56" s="56" t="n">
        <f aca="false">Loans!V56-Loans!W56</f>
        <v>-1.50796173122675</v>
      </c>
      <c r="C56" s="56" t="n">
        <f aca="false">R55*debt_amort</f>
        <v>3.48567864014666</v>
      </c>
      <c r="D56" s="56" t="n">
        <f aca="false">M55+Budget!Z56-B56-C56</f>
        <v>158.78288023399</v>
      </c>
      <c r="E56" s="56" t="n">
        <f aca="false">MAX(0.1,Budget!M56*cash_target)</f>
        <v>93.9521638993751</v>
      </c>
      <c r="F56" s="56" t="n">
        <f aca="false">IF(D56&lt;E56,MIN(E56-D56,S55),0)</f>
        <v>0</v>
      </c>
      <c r="G56" s="56" t="n">
        <f aca="false">MAX(0,E56-D56-F56)</f>
        <v>0</v>
      </c>
      <c r="H56" s="56" t="n">
        <f aca="false">G56/issue_price</f>
        <v>0</v>
      </c>
      <c r="I56" s="56" t="n">
        <f aca="false">IF(AND(D56&gt;E56,$A56&gt;=dev_start),(D56-E56)*dev_share,0)</f>
        <v>45.3815014342302</v>
      </c>
      <c r="J56" s="56" t="n">
        <f aca="false">IF($A56&gt;=dev_start,MAX(0,S55-F56-reserve_buffer*Economy!O56),0)</f>
        <v>0</v>
      </c>
      <c r="K56" s="56" t="n">
        <f aca="false">IF(D56&gt;E56,MIN((D56-E56-I56)*repay_share,R55-C56),0)</f>
        <v>15.5593719203075</v>
      </c>
      <c r="L56" s="56" t="n">
        <f aca="false">IF(D56&gt;E56,D56-E56-I56-K56,0)</f>
        <v>3.88984298007688</v>
      </c>
      <c r="M56" s="56" t="n">
        <f aca="false">D56+F56+G56-I56-K56-L56</f>
        <v>93.9521638993751</v>
      </c>
      <c r="N56" s="56" t="n">
        <f aca="false">I56+J56+Q56*issue_price*dev_bonds+SUMPRODUCT((Events!$B$6:$B$400&lt;=$A56)*(Events!$C$6:$C$400&gt;=$A56)*(Events!$E$6:$E$400="Investment")*Events!$H$6:$H$400)</f>
        <v>78.0355190851472</v>
      </c>
      <c r="O56" s="56" t="n">
        <f aca="false">O55*(1-dev_dep)+N56</f>
        <v>1095.56220221461</v>
      </c>
      <c r="P56" s="56" t="n">
        <f aca="false">SUMPRODUCT((Events!$B$6:$B$400&lt;=$A56)*(Events!$C$6:$C$400&gt;=$A56)*(Events!$E$6:$E$400="Debt assumed")*Events!$H$6:$H$400)</f>
        <v>0</v>
      </c>
      <c r="Q56" s="56" t="n">
        <f aca="false">IF($A56&lt;1887,0,MAX(0,debt_floor*Economy!O56-(R55+P56+H56-C56-K56)))</f>
        <v>30.5711522174402</v>
      </c>
      <c r="R56" s="56" t="n">
        <f aca="false">R55+P56+H56-C56-K56+Q56</f>
        <v>185.810033664319</v>
      </c>
      <c r="S56" s="56" t="n">
        <f aca="false">S55+L56-F56-J56+Q56*issue_price*(1-dev_bonds)</f>
        <v>91.7547916093082</v>
      </c>
      <c r="T56" s="72" t="n">
        <f aca="false">Loans!X56</f>
        <v>111.845049566875</v>
      </c>
      <c r="U56" s="56" t="n">
        <f aca="false">R56-M56-S56-T56</f>
        <v>-111.74197141124</v>
      </c>
      <c r="V56" s="66" t="n">
        <f aca="false">R56/Economy!O56</f>
        <v>0.05</v>
      </c>
      <c r="W56" s="66" t="n">
        <f aca="false">Budget!X56/Budget!M56</f>
        <v>0.0206371909183294</v>
      </c>
      <c r="X56" s="66" t="n">
        <f aca="false">S56/Economy!O56</f>
        <v>0.0246904835545832</v>
      </c>
      <c r="Y56" s="56" t="n">
        <f aca="false">MAX(0,H56+Q56-'Gold &amp; money'!G56)</f>
        <v>30.5711522174402</v>
      </c>
    </row>
    <row r="57" customFormat="false" ht="14.25" hidden="false" customHeight="true" outlineLevel="0" collapsed="false">
      <c r="A57" s="61" t="n">
        <v>1897</v>
      </c>
      <c r="B57" s="56" t="n">
        <f aca="false">Loans!V57-Loans!W57</f>
        <v>18.5515719764014</v>
      </c>
      <c r="C57" s="56" t="n">
        <f aca="false">R56*debt_amort</f>
        <v>3.71620067328638</v>
      </c>
      <c r="D57" s="56" t="n">
        <f aca="false">M56+Budget!Z57-B57-C57</f>
        <v>150.817223970462</v>
      </c>
      <c r="E57" s="56" t="n">
        <f aca="false">MAX(0.1,Budget!M57*cash_target)</f>
        <v>105.440508077687</v>
      </c>
      <c r="F57" s="56" t="n">
        <f aca="false">IF(D57&lt;E57,MIN(E57-D57,S56),0)</f>
        <v>0</v>
      </c>
      <c r="G57" s="56" t="n">
        <f aca="false">MAX(0,E57-D57-F57)</f>
        <v>0</v>
      </c>
      <c r="H57" s="56" t="n">
        <f aca="false">G57/issue_price</f>
        <v>0</v>
      </c>
      <c r="I57" s="56" t="n">
        <f aca="false">IF(AND(D57&gt;E57,$A57&gt;=dev_start),(D57-E57)*dev_share,0)</f>
        <v>31.7637011249425</v>
      </c>
      <c r="J57" s="56" t="n">
        <f aca="false">IF($A57&gt;=dev_start,MAX(0,S56-F57-reserve_buffer*Economy!O57),0)</f>
        <v>0</v>
      </c>
      <c r="K57" s="56" t="n">
        <f aca="false">IF(D57&gt;E57,MIN((D57-E57-I57)*repay_share,R56-C57),0)</f>
        <v>10.890411814266</v>
      </c>
      <c r="L57" s="56" t="n">
        <f aca="false">IF(D57&gt;E57,D57-E57-I57-K57,0)</f>
        <v>2.7226029535665</v>
      </c>
      <c r="M57" s="56" t="n">
        <f aca="false">D57+F57+G57-I57-K57-L57</f>
        <v>105.440508077687</v>
      </c>
      <c r="N57" s="56" t="n">
        <f aca="false">I57+J57+Q57*issue_price*dev_bonds+SUMPRODUCT((Events!$B$6:$B$400&lt;=$A57)*(Events!$C$6:$C$400&gt;=$A57)*(Events!$E$6:$E$400="Investment")*Events!$H$6:$H$400)</f>
        <v>71.2597970510896</v>
      </c>
      <c r="O57" s="56" t="n">
        <f aca="false">O56*(1-dev_dep)+N57</f>
        <v>1133.95513319926</v>
      </c>
      <c r="P57" s="56" t="n">
        <f aca="false">SUMPRODUCT((Events!$B$6:$B$400&lt;=$A57)*(Events!$C$6:$C$400&gt;=$A57)*(Events!$E$6:$E$400="Debt assumed")*Events!$H$6:$H$400)</f>
        <v>0</v>
      </c>
      <c r="Q57" s="56" t="n">
        <f aca="false">IF($A57&lt;1887,0,MAX(0,debt_floor*Economy!O57-(R56+P57+H57-C57-K57)))</f>
        <v>37.6248411609763</v>
      </c>
      <c r="R57" s="56" t="n">
        <f aca="false">R56+P57+H57-C57-K57+Q57</f>
        <v>208.828262337743</v>
      </c>
      <c r="S57" s="56" t="n">
        <f aca="false">S56+L57-F57-J57+Q57*issue_price*(1-dev_bonds)</f>
        <v>94.4773945628747</v>
      </c>
      <c r="T57" s="72" t="n">
        <f aca="false">Loans!X57</f>
        <v>130.396621543277</v>
      </c>
      <c r="U57" s="56" t="n">
        <f aca="false">R57-M57-S57-T57</f>
        <v>-121.486261846096</v>
      </c>
      <c r="V57" s="66" t="n">
        <f aca="false">R57/Economy!O57</f>
        <v>0.05</v>
      </c>
      <c r="W57" s="66" t="n">
        <f aca="false">Budget!X57/Budget!M57</f>
        <v>0.01938448901253</v>
      </c>
      <c r="X57" s="66" t="n">
        <f aca="false">S57/Economy!O57</f>
        <v>0.0226208352991211</v>
      </c>
      <c r="Y57" s="56" t="n">
        <f aca="false">MAX(0,H57+Q57-'Gold &amp; money'!G57)</f>
        <v>37.6248411609763</v>
      </c>
    </row>
    <row r="58" customFormat="false" ht="14.25" hidden="false" customHeight="true" outlineLevel="0" collapsed="false">
      <c r="A58" s="61" t="n">
        <v>1898</v>
      </c>
      <c r="B58" s="56" t="n">
        <f aca="false">Loans!V58-Loans!W58</f>
        <v>18.8087478785731</v>
      </c>
      <c r="C58" s="56" t="n">
        <f aca="false">R57*debt_amort</f>
        <v>4.17656524675486</v>
      </c>
      <c r="D58" s="56" t="n">
        <f aca="false">M57+Budget!Z58-B58-C58</f>
        <v>159.521829891568</v>
      </c>
      <c r="E58" s="56" t="n">
        <f aca="false">MAX(0.1,Budget!M58*cash_target)</f>
        <v>115.756846204266</v>
      </c>
      <c r="F58" s="56" t="n">
        <f aca="false">IF(D58&lt;E58,MIN(E58-D58,S57),0)</f>
        <v>0</v>
      </c>
      <c r="G58" s="56" t="n">
        <f aca="false">MAX(0,E58-D58-F58)</f>
        <v>0</v>
      </c>
      <c r="H58" s="56" t="n">
        <f aca="false">G58/issue_price</f>
        <v>0</v>
      </c>
      <c r="I58" s="56" t="n">
        <f aca="false">IF(AND(D58&gt;E58,$A58&gt;=dev_start),(D58-E58)*dev_share,0)</f>
        <v>30.6354885811117</v>
      </c>
      <c r="J58" s="56" t="n">
        <f aca="false">IF($A58&gt;=dev_start,MAX(0,S57-F58-reserve_buffer*Economy!O58),0)</f>
        <v>0</v>
      </c>
      <c r="K58" s="56" t="n">
        <f aca="false">IF(D58&gt;E58,MIN((D58-E58-I58)*repay_share,R57-C58),0)</f>
        <v>10.5035960849526</v>
      </c>
      <c r="L58" s="56" t="n">
        <f aca="false">IF(D58&gt;E58,D58-E58-I58-K58,0)</f>
        <v>2.62589902123815</v>
      </c>
      <c r="M58" s="56" t="n">
        <f aca="false">D58+F58+G58-I58-K58-L58</f>
        <v>115.756846204266</v>
      </c>
      <c r="N58" s="56" t="n">
        <f aca="false">I58+J58+Q58*issue_price*dev_bonds+SUMPRODUCT((Events!$B$6:$B$400&lt;=$A58)*(Events!$C$6:$C$400&gt;=$A58)*(Events!$E$6:$E$400="Investment")*Events!$H$6:$H$400)</f>
        <v>67.5806418728876</v>
      </c>
      <c r="O58" s="56" t="n">
        <f aca="false">O57*(1-dev_dep)+N58</f>
        <v>1167.51712107617</v>
      </c>
      <c r="P58" s="56" t="n">
        <f aca="false">SUMPRODUCT((Events!$B$6:$B$400&lt;=$A58)*(Events!$C$6:$C$400&gt;=$A58)*(Events!$E$6:$E$400="Debt assumed")*Events!$H$6:$H$400)</f>
        <v>0</v>
      </c>
      <c r="Q58" s="56" t="n">
        <f aca="false">IF($A58&lt;1887,0,MAX(0,debt_floor*Economy!O58-(R57+P58+H58-C58-K58)))</f>
        <v>34.9950033935834</v>
      </c>
      <c r="R58" s="56" t="n">
        <f aca="false">R57+P58+H58-C58-K58+Q58</f>
        <v>229.143104399619</v>
      </c>
      <c r="S58" s="56" t="n">
        <f aca="false">S57+L58-F58-J58+Q58*issue_price*(1-dev_bonds)</f>
        <v>97.1032935841128</v>
      </c>
      <c r="T58" s="72" t="n">
        <f aca="false">Loans!X58</f>
        <v>149.20536942185</v>
      </c>
      <c r="U58" s="56" t="n">
        <f aca="false">R58-M58-S58-T58</f>
        <v>-132.92240481061</v>
      </c>
      <c r="V58" s="66" t="n">
        <f aca="false">R58/Economy!O58</f>
        <v>0.05</v>
      </c>
      <c r="W58" s="66" t="n">
        <f aca="false">Budget!X58/Budget!M58</f>
        <v>0.0196187735532766</v>
      </c>
      <c r="X58" s="66" t="n">
        <f aca="false">S58/Economy!O58</f>
        <v>0.0211883516718809</v>
      </c>
      <c r="Y58" s="56" t="n">
        <f aca="false">MAX(0,H58+Q58-'Gold &amp; money'!G58)</f>
        <v>34.9950033935834</v>
      </c>
    </row>
    <row r="59" customFormat="false" ht="14.25" hidden="false" customHeight="true" outlineLevel="0" collapsed="false">
      <c r="A59" s="61" t="n">
        <v>1899</v>
      </c>
      <c r="B59" s="56" t="n">
        <f aca="false">Loans!V59-Loans!W59</f>
        <v>18.055659581221</v>
      </c>
      <c r="C59" s="56" t="n">
        <f aca="false">R58*debt_amort</f>
        <v>4.58286208799238</v>
      </c>
      <c r="D59" s="56" t="n">
        <f aca="false">M58+Budget!Z59-B59-C59</f>
        <v>177.563368197228</v>
      </c>
      <c r="E59" s="56" t="n">
        <f aca="false">MAX(0.1,Budget!M59*cash_target)</f>
        <v>126.602818056533</v>
      </c>
      <c r="F59" s="56" t="n">
        <f aca="false">IF(D59&lt;E59,MIN(E59-D59,S58),0)</f>
        <v>0</v>
      </c>
      <c r="G59" s="56" t="n">
        <f aca="false">MAX(0,E59-D59-F59)</f>
        <v>0</v>
      </c>
      <c r="H59" s="56" t="n">
        <f aca="false">G59/issue_price</f>
        <v>0</v>
      </c>
      <c r="I59" s="56" t="n">
        <f aca="false">IF(AND(D59&gt;E59,$A59&gt;=dev_start),(D59-E59)*dev_share,0)</f>
        <v>35.6723850984868</v>
      </c>
      <c r="J59" s="56" t="n">
        <f aca="false">IF($A59&gt;=dev_start,MAX(0,S58-F59-reserve_buffer*Economy!O59),0)</f>
        <v>0</v>
      </c>
      <c r="K59" s="56" t="n">
        <f aca="false">IF(D59&gt;E59,MIN((D59-E59-I59)*repay_share,R58-C59),0)</f>
        <v>12.2305320337669</v>
      </c>
      <c r="L59" s="56" t="n">
        <f aca="false">IF(D59&gt;E59,D59-E59-I59-K59,0)</f>
        <v>3.05763300844173</v>
      </c>
      <c r="M59" s="56" t="n">
        <f aca="false">D59+F59+G59-I59-K59-L59</f>
        <v>126.602818056533</v>
      </c>
      <c r="N59" s="56" t="n">
        <f aca="false">I59+J59+Q59*issue_price*dev_bonds+SUMPRODUCT((Events!$B$6:$B$400&lt;=$A59)*(Events!$C$6:$C$400&gt;=$A59)*(Events!$E$6:$E$400="Investment")*Events!$H$6:$H$400)</f>
        <v>75.9957505859987</v>
      </c>
      <c r="O59" s="56" t="n">
        <f aca="false">O58*(1-dev_dep)+N59</f>
        <v>1208.48735802988</v>
      </c>
      <c r="P59" s="56" t="n">
        <f aca="false">SUMPRODUCT((Events!$B$6:$B$400&lt;=$A59)*(Events!$C$6:$C$400&gt;=$A59)*(Events!$E$6:$E$400="Debt assumed")*Events!$H$6:$H$400)</f>
        <v>0</v>
      </c>
      <c r="Q59" s="56" t="n">
        <f aca="false">IF($A59&lt;1887,0,MAX(0,debt_floor*Economy!O59-(R58+P59+H59-C59-K59)))</f>
        <v>38.4776963788782</v>
      </c>
      <c r="R59" s="56" t="n">
        <f aca="false">R58+P59+H59-C59-K59+Q59</f>
        <v>250.807406656738</v>
      </c>
      <c r="S59" s="56" t="n">
        <f aca="false">S58+L59-F59-J59+Q59*issue_price*(1-dev_bonds)</f>
        <v>100.160926592555</v>
      </c>
      <c r="T59" s="72" t="n">
        <f aca="false">Loans!X59</f>
        <v>167.261029003071</v>
      </c>
      <c r="U59" s="56" t="n">
        <f aca="false">R59-M59-S59-T59</f>
        <v>-143.21736699542</v>
      </c>
      <c r="V59" s="66" t="n">
        <f aca="false">R59/Economy!O59</f>
        <v>0.05</v>
      </c>
      <c r="W59" s="66" t="n">
        <f aca="false">Budget!X59/Budget!M59</f>
        <v>0.0194568210258634</v>
      </c>
      <c r="X59" s="66" t="n">
        <f aca="false">S59/Economy!O59</f>
        <v>0.0199676971122383</v>
      </c>
      <c r="Y59" s="56" t="n">
        <f aca="false">MAX(0,H59+Q59-'Gold &amp; money'!G59)</f>
        <v>38.4776963788782</v>
      </c>
    </row>
    <row r="60" customFormat="false" ht="14.25" hidden="false" customHeight="true" outlineLevel="0" collapsed="false">
      <c r="A60" s="61" t="n">
        <v>1900</v>
      </c>
      <c r="B60" s="56" t="n">
        <f aca="false">Loans!V60-Loans!W60</f>
        <v>-6.66728303277068</v>
      </c>
      <c r="C60" s="56" t="n">
        <f aca="false">R59*debt_amort</f>
        <v>5.01614813313475</v>
      </c>
      <c r="D60" s="56" t="n">
        <f aca="false">M59+Budget!Z60-B60-C60</f>
        <v>221.345478341747</v>
      </c>
      <c r="E60" s="56" t="n">
        <f aca="false">MAX(0.1,Budget!M60*cash_target)</f>
        <v>138.531342104913</v>
      </c>
      <c r="F60" s="56" t="n">
        <f aca="false">IF(D60&lt;E60,MIN(E60-D60,S59),0)</f>
        <v>0</v>
      </c>
      <c r="G60" s="56" t="n">
        <f aca="false">MAX(0,E60-D60-F60)</f>
        <v>0</v>
      </c>
      <c r="H60" s="56" t="n">
        <f aca="false">G60/issue_price</f>
        <v>0</v>
      </c>
      <c r="I60" s="56" t="n">
        <f aca="false">IF(AND(D60&gt;E60,$A60&gt;=dev_start),(D60-E60)*dev_share,0)</f>
        <v>57.9698953657834</v>
      </c>
      <c r="J60" s="56" t="n">
        <f aca="false">IF($A60&gt;=dev_start,MAX(0,S59-F60-reserve_buffer*Economy!O60),0)</f>
        <v>0</v>
      </c>
      <c r="K60" s="56" t="n">
        <f aca="false">IF(D60&gt;E60,MIN((D60-E60-I60)*repay_share,R59-C60),0)</f>
        <v>19.87539269684</v>
      </c>
      <c r="L60" s="56" t="n">
        <f aca="false">IF(D60&gt;E60,D60-E60-I60-K60,0)</f>
        <v>4.96884817421001</v>
      </c>
      <c r="M60" s="56" t="n">
        <f aca="false">D60+F60+G60-I60-K60-L60</f>
        <v>138.531342104913</v>
      </c>
      <c r="N60" s="56" t="n">
        <f aca="false">I60+J60+Q60*issue_price*dev_bonds+SUMPRODUCT((Events!$B$6:$B$400&lt;=$A60)*(Events!$C$6:$C$400&gt;=$A60)*(Events!$E$6:$E$400="Investment")*Events!$H$6:$H$400)</f>
        <v>108.404606379106</v>
      </c>
      <c r="O60" s="56" t="n">
        <f aca="false">O59*(1-dev_dep)+N60</f>
        <v>1280.63734366809</v>
      </c>
      <c r="P60" s="56" t="n">
        <f aca="false">SUMPRODUCT((Events!$B$6:$B$400&lt;=$A60)*(Events!$C$6:$C$400&gt;=$A60)*(Events!$E$6:$E$400="Debt assumed")*Events!$H$6:$H$400)</f>
        <v>0</v>
      </c>
      <c r="Q60" s="56" t="n">
        <f aca="false">IF($A60&lt;1887,0,MAX(0,debt_floor*Economy!O60-(R59+P60+H60-C60-K60)))</f>
        <v>48.9017639312607</v>
      </c>
      <c r="R60" s="56" t="n">
        <f aca="false">R59+P60+H60-C60-K60+Q60</f>
        <v>274.817629758024</v>
      </c>
      <c r="S60" s="56" t="n">
        <f aca="false">S59+L60-F60-J60+Q60*issue_price*(1-dev_bonds)</f>
        <v>105.129774766765</v>
      </c>
      <c r="T60" s="72" t="n">
        <f aca="false">Loans!X60</f>
        <v>160.5937459703</v>
      </c>
      <c r="U60" s="56" t="n">
        <f aca="false">R60-M60-S60-T60</f>
        <v>-129.437233083954</v>
      </c>
      <c r="V60" s="66" t="n">
        <f aca="false">R60/Economy!O60</f>
        <v>0.05</v>
      </c>
      <c r="W60" s="66" t="n">
        <f aca="false">Budget!X60/Budget!M60</f>
        <v>0.019236287292371</v>
      </c>
      <c r="X60" s="66" t="n">
        <f aca="false">S60/Economy!O60</f>
        <v>0.0191271889760732</v>
      </c>
      <c r="Y60" s="56" t="n">
        <f aca="false">MAX(0,H60+Q60-'Gold &amp; money'!G60)</f>
        <v>48.9017639312607</v>
      </c>
    </row>
    <row r="61" customFormat="false" ht="14.25" hidden="false" customHeight="true" outlineLevel="0" collapsed="false">
      <c r="A61" s="61" t="n">
        <v>1901</v>
      </c>
      <c r="B61" s="56" t="n">
        <f aca="false">Loans!V61-Loans!W61</f>
        <v>-6.40128645528042</v>
      </c>
      <c r="C61" s="56" t="n">
        <f aca="false">R60*debt_amort</f>
        <v>5.49635259516047</v>
      </c>
      <c r="D61" s="56" t="n">
        <f aca="false">M60+Budget!Z61-B61-C61</f>
        <v>267.184610198933</v>
      </c>
      <c r="E61" s="56" t="n">
        <f aca="false">MAX(0.1,Budget!M61*cash_target)</f>
        <v>152.251471910069</v>
      </c>
      <c r="F61" s="56" t="n">
        <f aca="false">IF(D61&lt;E61,MIN(E61-D61,S60),0)</f>
        <v>0</v>
      </c>
      <c r="G61" s="56" t="n">
        <f aca="false">MAX(0,E61-D61-F61)</f>
        <v>0</v>
      </c>
      <c r="H61" s="56" t="n">
        <f aca="false">G61/issue_price</f>
        <v>0</v>
      </c>
      <c r="I61" s="56" t="n">
        <f aca="false">IF(AND(D61&gt;E61,$A61&gt;=dev_start),(D61-E61)*dev_share,0)</f>
        <v>80.4531968022047</v>
      </c>
      <c r="J61" s="56" t="n">
        <f aca="false">IF($A61&gt;=dev_start,MAX(0,S60-F61-reserve_buffer*Economy!O61),0)</f>
        <v>0</v>
      </c>
      <c r="K61" s="56" t="n">
        <f aca="false">IF(D61&gt;E61,MIN((D61-E61-I61)*repay_share,R60-C61),0)</f>
        <v>27.5839531893273</v>
      </c>
      <c r="L61" s="56" t="n">
        <f aca="false">IF(D61&gt;E61,D61-E61-I61-K61,0)</f>
        <v>6.89598829733183</v>
      </c>
      <c r="M61" s="56" t="n">
        <f aca="false">D61+F61+G61-I61-K61-L61</f>
        <v>152.251471910069</v>
      </c>
      <c r="N61" s="56" t="n">
        <f aca="false">I61+J61+Q61*issue_price*dev_bonds+SUMPRODUCT((Events!$B$6:$B$400&lt;=$A61)*(Events!$C$6:$C$400&gt;=$A61)*(Events!$E$6:$E$400="Investment")*Events!$H$6:$H$400)</f>
        <v>136.240550319305</v>
      </c>
      <c r="O61" s="56" t="n">
        <f aca="false">O60*(1-dev_dep)+N61</f>
        <v>1378.45877367735</v>
      </c>
      <c r="P61" s="56" t="n">
        <f aca="false">SUMPRODUCT((Events!$B$6:$B$400&lt;=$A61)*(Events!$C$6:$C$400&gt;=$A61)*(Events!$E$6:$E$400="Debt assumed")*Events!$H$6:$H$400)</f>
        <v>0</v>
      </c>
      <c r="Q61" s="56" t="n">
        <f aca="false">IF($A61&lt;1887,0,MAX(0,debt_floor*Economy!O61-(R60+P61+H61-C61-K61)))</f>
        <v>57.5127355846397</v>
      </c>
      <c r="R61" s="56" t="n">
        <f aca="false">R60+P61+H61-C61-K61+Q61</f>
        <v>299.250059558175</v>
      </c>
      <c r="S61" s="56" t="n">
        <f aca="false">S60+L61-F61-J61+Q61*issue_price*(1-dev_bonds)</f>
        <v>112.025763064096</v>
      </c>
      <c r="T61" s="72" t="n">
        <f aca="false">Loans!X61</f>
        <v>154.19245951502</v>
      </c>
      <c r="U61" s="56" t="n">
        <f aca="false">R61-M61-S61-T61</f>
        <v>-119.219634931009</v>
      </c>
      <c r="V61" s="66" t="n">
        <f aca="false">R61/Economy!O61</f>
        <v>0.05</v>
      </c>
      <c r="W61" s="66" t="n">
        <f aca="false">Budget!X61/Budget!M61</f>
        <v>0.018952756753404</v>
      </c>
      <c r="X61" s="66" t="n">
        <f aca="false">S61/Economy!O61</f>
        <v>0.0187177511726306</v>
      </c>
      <c r="Y61" s="56" t="n">
        <f aca="false">MAX(0,H61+Q61-'Gold &amp; money'!G61)</f>
        <v>57.5127355846397</v>
      </c>
    </row>
    <row r="62" customFormat="false" ht="14.25" hidden="false" customHeight="true" outlineLevel="0" collapsed="false">
      <c r="A62" s="61" t="n">
        <v>1902</v>
      </c>
      <c r="B62" s="56" t="n">
        <f aca="false">Loans!V62-Loans!W62</f>
        <v>-6.14590889857515</v>
      </c>
      <c r="C62" s="56" t="n">
        <f aca="false">R61*debt_amort</f>
        <v>5.98500119116351</v>
      </c>
      <c r="D62" s="56" t="n">
        <f aca="false">M61+Budget!Z62-B62-C62</f>
        <v>311.98535275892</v>
      </c>
      <c r="E62" s="56" t="n">
        <f aca="false">MAX(0.1,Budget!M62*cash_target)</f>
        <v>165.737309305068</v>
      </c>
      <c r="F62" s="56" t="n">
        <f aca="false">IF(D62&lt;E62,MIN(E62-D62,S61),0)</f>
        <v>0</v>
      </c>
      <c r="G62" s="56" t="n">
        <f aca="false">MAX(0,E62-D62-F62)</f>
        <v>0</v>
      </c>
      <c r="H62" s="56" t="n">
        <f aca="false">G62/issue_price</f>
        <v>0</v>
      </c>
      <c r="I62" s="56" t="n">
        <f aca="false">IF(AND(D62&gt;E62,$A62&gt;=dev_start),(D62-E62)*dev_share,0)</f>
        <v>102.373630417696</v>
      </c>
      <c r="J62" s="56" t="n">
        <f aca="false">IF($A62&gt;=dev_start,MAX(0,S61-F62-reserve_buffer*Economy!O62),0)</f>
        <v>0</v>
      </c>
      <c r="K62" s="56" t="n">
        <f aca="false">IF(D62&gt;E62,MIN((D62-E62-I62)*repay_share,R61-C62),0)</f>
        <v>35.0995304289244</v>
      </c>
      <c r="L62" s="56" t="n">
        <f aca="false">IF(D62&gt;E62,D62-E62-I62-K62,0)</f>
        <v>8.77488260723109</v>
      </c>
      <c r="M62" s="56" t="n">
        <f aca="false">D62+F62+G62-I62-K62-L62</f>
        <v>165.737309305068</v>
      </c>
      <c r="N62" s="56" t="n">
        <f aca="false">I62+J62+Q62*issue_price*dev_bonds+SUMPRODUCT((Events!$B$6:$B$400&lt;=$A62)*(Events!$C$6:$C$400&gt;=$A62)*(Events!$E$6:$E$400="Investment")*Events!$H$6:$H$400)</f>
        <v>168.536631038652</v>
      </c>
      <c r="O62" s="56" t="n">
        <f aca="false">O61*(1-dev_dep)+N62</f>
        <v>1505.64164150568</v>
      </c>
      <c r="P62" s="56" t="n">
        <f aca="false">SUMPRODUCT((Events!$B$6:$B$400&lt;=$A62)*(Events!$C$6:$C$400&gt;=$A62)*(Events!$E$6:$E$400="Debt assumed")*Events!$H$6:$H$400)</f>
        <v>0</v>
      </c>
      <c r="Q62" s="56" t="n">
        <f aca="false">IF($A62&lt;1887,0,MAX(0,debt_floor*Economy!O62-(R61+P62+H62-C62-K62)))</f>
        <v>68.2092789906757</v>
      </c>
      <c r="R62" s="56" t="n">
        <f aca="false">R61+P62+H62-C62-K62+Q62</f>
        <v>326.374806928763</v>
      </c>
      <c r="S62" s="56" t="n">
        <f aca="false">S61+L62-F62-J62+Q62*issue_price*(1-dev_bonds)</f>
        <v>120.800645671327</v>
      </c>
      <c r="T62" s="72" t="n">
        <f aca="false">Loans!X62</f>
        <v>148.046550616444</v>
      </c>
      <c r="U62" s="56" t="n">
        <f aca="false">R62-M62-S62-T62</f>
        <v>-108.209698664076</v>
      </c>
      <c r="V62" s="66" t="n">
        <f aca="false">R62/Economy!O62</f>
        <v>0.05</v>
      </c>
      <c r="W62" s="66" t="n">
        <f aca="false">Budget!X62/Budget!M62</f>
        <v>0.018732772849602</v>
      </c>
      <c r="X62" s="66" t="n">
        <f aca="false">S62/Economy!O62</f>
        <v>0.0185064292811201</v>
      </c>
      <c r="Y62" s="56" t="n">
        <f aca="false">MAX(0,H62+Q62-'Gold &amp; money'!G62)</f>
        <v>68.2092789906757</v>
      </c>
    </row>
    <row r="63" customFormat="false" ht="14.25" hidden="false" customHeight="true" outlineLevel="0" collapsed="false">
      <c r="A63" s="61" t="n">
        <v>1903</v>
      </c>
      <c r="B63" s="56" t="n">
        <f aca="false">Loans!V63-Loans!W63</f>
        <v>-5.90072622709291</v>
      </c>
      <c r="C63" s="56" t="n">
        <f aca="false">R62*debt_amort</f>
        <v>6.52749613857527</v>
      </c>
      <c r="D63" s="56" t="n">
        <f aca="false">M62+Budget!Z63-B63-C63</f>
        <v>341.055638310928</v>
      </c>
      <c r="E63" s="56" t="n">
        <f aca="false">MAX(0.1,Budget!M63*cash_target)</f>
        <v>180.673623584371</v>
      </c>
      <c r="F63" s="56" t="n">
        <f aca="false">IF(D63&lt;E63,MIN(E63-D63,S62),0)</f>
        <v>0</v>
      </c>
      <c r="G63" s="56" t="n">
        <f aca="false">MAX(0,E63-D63-F63)</f>
        <v>0</v>
      </c>
      <c r="H63" s="56" t="n">
        <f aca="false">G63/issue_price</f>
        <v>0</v>
      </c>
      <c r="I63" s="56" t="n">
        <f aca="false">IF(AND(D63&gt;E63,$A63&gt;=dev_start),(D63-E63)*dev_share,0)</f>
        <v>112.26741030859</v>
      </c>
      <c r="J63" s="56" t="n">
        <f aca="false">IF($A63&gt;=dev_start,MAX(0,S62-F63-reserve_buffer*Economy!O63),0)</f>
        <v>0</v>
      </c>
      <c r="K63" s="56" t="n">
        <f aca="false">IF(D63&gt;E63,MIN((D63-E63-I63)*repay_share,R62-C63),0)</f>
        <v>38.4916835343736</v>
      </c>
      <c r="L63" s="56" t="n">
        <f aca="false">IF(D63&gt;E63,D63-E63-I63-K63,0)</f>
        <v>9.6229208835934</v>
      </c>
      <c r="M63" s="56" t="n">
        <f aca="false">D63+F63+G63-I63-K63-L63</f>
        <v>180.673623584371</v>
      </c>
      <c r="N63" s="56" t="n">
        <f aca="false">I63+J63+Q63*issue_price*dev_bonds+SUMPRODUCT((Events!$B$6:$B$400&lt;=$A63)*(Events!$C$6:$C$400&gt;=$A63)*(Events!$E$6:$E$400="Investment")*Events!$H$6:$H$400)</f>
        <v>185.108468417913</v>
      </c>
      <c r="O63" s="56" t="n">
        <f aca="false">O62*(1-dev_dep)+N63</f>
        <v>1645.58086067843</v>
      </c>
      <c r="P63" s="56" t="n">
        <f aca="false">SUMPRODUCT((Events!$B$6:$B$400&lt;=$A63)*(Events!$C$6:$C$400&gt;=$A63)*(Events!$E$6:$E$400="Debt assumed")*Events!$H$6:$H$400)</f>
        <v>0</v>
      </c>
      <c r="Q63" s="56" t="n">
        <f aca="false">IF($A63&lt;1887,0,MAX(0,debt_floor*Economy!O63-(R62+P63+H63-C63-K63)))</f>
        <v>75.0938743395085</v>
      </c>
      <c r="R63" s="56" t="n">
        <f aca="false">R62+P63+H63-C63-K63+Q63</f>
        <v>356.449501595323</v>
      </c>
      <c r="S63" s="56" t="n">
        <f aca="false">S62+L63-F63-J63+Q63*issue_price*(1-dev_bonds)</f>
        <v>130.423566554921</v>
      </c>
      <c r="T63" s="72" t="n">
        <f aca="false">Loans!X63</f>
        <v>142.145824389351</v>
      </c>
      <c r="U63" s="56" t="n">
        <f aca="false">R63-M63-S63-T63</f>
        <v>-96.7935129333207</v>
      </c>
      <c r="V63" s="66" t="n">
        <f aca="false">R63/Economy!O63</f>
        <v>0.05</v>
      </c>
      <c r="W63" s="66" t="n">
        <f aca="false">Budget!X63/Budget!M63</f>
        <v>0.0185159388772518</v>
      </c>
      <c r="X63" s="66" t="n">
        <f aca="false">S63/Economy!O63</f>
        <v>0.0182948167932902</v>
      </c>
      <c r="Y63" s="56" t="n">
        <f aca="false">MAX(0,H63+Q63-'Gold &amp; money'!G63)</f>
        <v>75.0938743395085</v>
      </c>
    </row>
    <row r="64" customFormat="false" ht="14.25" hidden="false" customHeight="true" outlineLevel="0" collapsed="false">
      <c r="A64" s="61" t="n">
        <v>1904</v>
      </c>
      <c r="B64" s="56" t="n">
        <f aca="false">Loans!V64-Loans!W64</f>
        <v>24.3346687480639</v>
      </c>
      <c r="C64" s="56" t="n">
        <f aca="false">R63*debt_amort</f>
        <v>7.12899003190646</v>
      </c>
      <c r="D64" s="56" t="n">
        <f aca="false">M63+Budget!Z64-B64-C64</f>
        <v>338.148615002266</v>
      </c>
      <c r="E64" s="56" t="n">
        <f aca="false">MAX(0.1,Budget!M64*cash_target)</f>
        <v>196.833687419526</v>
      </c>
      <c r="F64" s="56" t="n">
        <f aca="false">IF(D64&lt;E64,MIN(E64-D64,S63),0)</f>
        <v>0</v>
      </c>
      <c r="G64" s="56" t="n">
        <f aca="false">MAX(0,E64-D64-F64)</f>
        <v>0</v>
      </c>
      <c r="H64" s="56" t="n">
        <f aca="false">G64/issue_price</f>
        <v>0</v>
      </c>
      <c r="I64" s="56" t="n">
        <f aca="false">IF(AND(D64&gt;E64,$A64&gt;=dev_start),(D64-E64)*dev_share,0)</f>
        <v>98.9204493079179</v>
      </c>
      <c r="J64" s="56" t="n">
        <f aca="false">IF($A64&gt;=dev_start,MAX(0,S63-F64-reserve_buffer*Economy!O64),0)</f>
        <v>0</v>
      </c>
      <c r="K64" s="56" t="n">
        <f aca="false">IF(D64&gt;E64,MIN((D64-E64-I64)*repay_share,R63-C64),0)</f>
        <v>33.9155826198576</v>
      </c>
      <c r="L64" s="56" t="n">
        <f aca="false">IF(D64&gt;E64,D64-E64-I64-K64,0)</f>
        <v>8.47889565496439</v>
      </c>
      <c r="M64" s="56" t="n">
        <f aca="false">D64+F64+G64-I64-K64-L64</f>
        <v>196.833687419526</v>
      </c>
      <c r="N64" s="56" t="n">
        <f aca="false">I64+J64+Q64*issue_price*dev_bonds+SUMPRODUCT((Events!$B$6:$B$400&lt;=$A64)*(Events!$C$6:$C$400&gt;=$A64)*(Events!$E$6:$E$400="Investment")*Events!$H$6:$H$400)</f>
        <v>170.681000383693</v>
      </c>
      <c r="O64" s="56" t="n">
        <f aca="false">O63*(1-dev_dep)+N64</f>
        <v>1766.89443524177</v>
      </c>
      <c r="P64" s="56" t="n">
        <f aca="false">SUMPRODUCT((Events!$B$6:$B$400&lt;=$A64)*(Events!$C$6:$C$400&gt;=$A64)*(Events!$E$6:$E$400="Debt assumed")*Events!$H$6:$H$400)</f>
        <v>0</v>
      </c>
      <c r="Q64" s="56" t="n">
        <f aca="false">IF($A64&lt;1887,0,MAX(0,debt_floor*Economy!O64-(R63+P64+H64-C64-K64)))</f>
        <v>73.9799495626552</v>
      </c>
      <c r="R64" s="56" t="n">
        <f aca="false">R63+P64+H64-C64-K64+Q64</f>
        <v>389.384878506214</v>
      </c>
      <c r="S64" s="56" t="n">
        <f aca="false">S63+L64-F64-J64+Q64*issue_price*(1-dev_bonds)</f>
        <v>138.902462209885</v>
      </c>
      <c r="T64" s="72" t="n">
        <f aca="false">Loans!X64</f>
        <v>166.480493137415</v>
      </c>
      <c r="U64" s="56" t="n">
        <f aca="false">R64-M64-S64-T64</f>
        <v>-112.831764260612</v>
      </c>
      <c r="V64" s="66" t="n">
        <f aca="false">R64/Economy!O64</f>
        <v>0.05</v>
      </c>
      <c r="W64" s="66" t="n">
        <f aca="false">Budget!X64/Budget!M64</f>
        <v>0.0183355362131707</v>
      </c>
      <c r="X64" s="66" t="n">
        <f aca="false">S64/Economy!O64</f>
        <v>0.0178361397523644</v>
      </c>
      <c r="Y64" s="56" t="n">
        <f aca="false">MAX(0,H64+Q64-'Gold &amp; money'!G64)</f>
        <v>73.9799495626552</v>
      </c>
    </row>
    <row r="65" customFormat="false" ht="14.25" hidden="false" customHeight="true" outlineLevel="0" collapsed="false">
      <c r="A65" s="61" t="n">
        <v>1905</v>
      </c>
      <c r="B65" s="56" t="n">
        <f aca="false">Loans!V65-Loans!W65</f>
        <v>23.3606669464322</v>
      </c>
      <c r="C65" s="56" t="n">
        <f aca="false">R64*debt_amort</f>
        <v>7.78769757012428</v>
      </c>
      <c r="D65" s="56" t="n">
        <f aca="false">M64+Budget!Z65-B65-C65</f>
        <v>366.659213014202</v>
      </c>
      <c r="E65" s="56" t="n">
        <f aca="false">MAX(0.1,Budget!M65*cash_target)</f>
        <v>214.469167749127</v>
      </c>
      <c r="F65" s="56" t="n">
        <f aca="false">IF(D65&lt;E65,MIN(E65-D65,S64),0)</f>
        <v>0</v>
      </c>
      <c r="G65" s="56" t="n">
        <f aca="false">MAX(0,E65-D65-F65)</f>
        <v>0</v>
      </c>
      <c r="H65" s="56" t="n">
        <f aca="false">G65/issue_price</f>
        <v>0</v>
      </c>
      <c r="I65" s="56" t="n">
        <f aca="false">IF(AND(D65&gt;E65,$A65&gt;=dev_start),(D65-E65)*dev_share,0)</f>
        <v>106.533031685552</v>
      </c>
      <c r="J65" s="56" t="n">
        <f aca="false">IF($A65&gt;=dev_start,MAX(0,S64-F65-reserve_buffer*Economy!O65),0)</f>
        <v>0</v>
      </c>
      <c r="K65" s="56" t="n">
        <f aca="false">IF(D65&gt;E65,MIN((D65-E65-I65)*repay_share,R64-C65),0)</f>
        <v>36.5256108636179</v>
      </c>
      <c r="L65" s="56" t="n">
        <f aca="false">IF(D65&gt;E65,D65-E65-I65-K65,0)</f>
        <v>9.13140271590446</v>
      </c>
      <c r="M65" s="56" t="n">
        <f aca="false">D65+F65+G65-I65-K65-L65</f>
        <v>214.469167749127</v>
      </c>
      <c r="N65" s="56" t="n">
        <f aca="false">I65+J65+Q65*issue_price*dev_bonds+SUMPRODUCT((Events!$B$6:$B$400&lt;=$A65)*(Events!$C$6:$C$400&gt;=$A65)*(Events!$E$6:$E$400="Investment")*Events!$H$6:$H$400)</f>
        <v>183.684264964138</v>
      </c>
      <c r="O65" s="56" t="n">
        <f aca="false">O64*(1-dev_dep)+N65</f>
        <v>1897.57186714865</v>
      </c>
      <c r="P65" s="56" t="n">
        <f aca="false">SUMPRODUCT((Events!$B$6:$B$400&lt;=$A65)*(Events!$C$6:$C$400&gt;=$A65)*(Events!$E$6:$E$400="Debt assumed")*Events!$H$6:$H$400)</f>
        <v>0</v>
      </c>
      <c r="Q65" s="56" t="n">
        <f aca="false">IF($A65&lt;1887,0,MAX(0,debt_floor*Economy!O65-(R64+P65+H65-C65-K65)))</f>
        <v>79.5373538954495</v>
      </c>
      <c r="R65" s="56" t="n">
        <f aca="false">R64+P65+H65-C65-K65+Q65</f>
        <v>424.608923967921</v>
      </c>
      <c r="S65" s="56" t="n">
        <f aca="false">S64+L65-F65-J65+Q65*issue_price*(1-dev_bonds)</f>
        <v>148.03386492579</v>
      </c>
      <c r="T65" s="72" t="n">
        <f aca="false">Loans!X65</f>
        <v>189.841160083847</v>
      </c>
      <c r="U65" s="56" t="n">
        <f aca="false">R65-M65-S65-T65</f>
        <v>-127.735268790843</v>
      </c>
      <c r="V65" s="66" t="n">
        <f aca="false">R65/Economy!O65</f>
        <v>0.05</v>
      </c>
      <c r="W65" s="66" t="n">
        <f aca="false">Budget!X65/Budget!M65</f>
        <v>0.0181557508985018</v>
      </c>
      <c r="X65" s="66" t="n">
        <f aca="false">S65/Economy!O65</f>
        <v>0.0174317891793736</v>
      </c>
      <c r="Y65" s="56" t="n">
        <f aca="false">MAX(0,H65+Q65-'Gold &amp; money'!G65)</f>
        <v>79.5373538954495</v>
      </c>
    </row>
    <row r="66" customFormat="false" ht="14.25" hidden="false" customHeight="true" outlineLevel="0" collapsed="false">
      <c r="A66" s="61" t="n">
        <v>1906</v>
      </c>
      <c r="B66" s="56" t="n">
        <f aca="false">Loans!V66-Loans!W66</f>
        <v>-7.57435633158298</v>
      </c>
      <c r="C66" s="56" t="n">
        <f aca="false">R65*debt_amort</f>
        <v>8.49217847935843</v>
      </c>
      <c r="D66" s="56" t="n">
        <f aca="false">M65+Budget!Z66-B66-C66</f>
        <v>431.101221126729</v>
      </c>
      <c r="E66" s="56" t="n">
        <f aca="false">MAX(0.1,Budget!M66*cash_target)</f>
        <v>236.731659633793</v>
      </c>
      <c r="F66" s="56" t="n">
        <f aca="false">IF(D66&lt;E66,MIN(E66-D66,S65),0)</f>
        <v>0</v>
      </c>
      <c r="G66" s="56" t="n">
        <f aca="false">MAX(0,E66-D66-F66)</f>
        <v>0</v>
      </c>
      <c r="H66" s="56" t="n">
        <f aca="false">G66/issue_price</f>
        <v>0</v>
      </c>
      <c r="I66" s="56" t="n">
        <f aca="false">IF(AND(D66&gt;E66,$A66&gt;=dev_start),(D66-E66)*dev_share,0)</f>
        <v>136.058693045055</v>
      </c>
      <c r="J66" s="56" t="n">
        <f aca="false">IF($A66&gt;=dev_start,MAX(0,S65-F66-reserve_buffer*Economy!O66),0)</f>
        <v>0</v>
      </c>
      <c r="K66" s="56" t="n">
        <f aca="false">IF(D66&gt;E66,MIN((D66-E66-I66)*repay_share,R65-C66),0)</f>
        <v>46.6486947583047</v>
      </c>
      <c r="L66" s="56" t="n">
        <f aca="false">IF(D66&gt;E66,D66-E66-I66-K66,0)</f>
        <v>11.6621736895762</v>
      </c>
      <c r="M66" s="56" t="n">
        <f aca="false">D66+F66+G66-I66-K66-L66</f>
        <v>236.731659633793</v>
      </c>
      <c r="N66" s="56" t="n">
        <f aca="false">I66+J66+Q66*issue_price*dev_bonds+SUMPRODUCT((Events!$B$6:$B$400&lt;=$A66)*(Events!$C$6:$C$400&gt;=$A66)*(Events!$E$6:$E$400="Investment")*Events!$H$6:$H$400)</f>
        <v>234.243570404317</v>
      </c>
      <c r="O66" s="56" t="n">
        <f aca="false">O65*(1-dev_dep)+N66</f>
        <v>2074.88828153851</v>
      </c>
      <c r="P66" s="56" t="n">
        <f aca="false">SUMPRODUCT((Events!$B$6:$B$400&lt;=$A66)*(Events!$C$6:$C$400&gt;=$A66)*(Events!$E$6:$E$400="Debt assumed")*Events!$H$6:$H$400)</f>
        <v>0</v>
      </c>
      <c r="Q66" s="56" t="n">
        <f aca="false">IF($A66&lt;1887,0,MAX(0,debt_floor*Economy!O66-(R65+P66+H66-C66-K66)))</f>
        <v>99.9844096487238</v>
      </c>
      <c r="R66" s="56" t="n">
        <f aca="false">R65+P66+H66-C66-K66+Q66</f>
        <v>469.452460378982</v>
      </c>
      <c r="S66" s="56" t="n">
        <f aca="false">S65+L66-F66-J66+Q66*issue_price*(1-dev_bonds)</f>
        <v>159.696038615366</v>
      </c>
      <c r="T66" s="72" t="n">
        <f aca="false">Loans!X66</f>
        <v>182.266803752264</v>
      </c>
      <c r="U66" s="56" t="n">
        <f aca="false">R66-M66-S66-T66</f>
        <v>-109.242041622441</v>
      </c>
      <c r="V66" s="66" t="n">
        <f aca="false">R66/Economy!O66</f>
        <v>0.05</v>
      </c>
      <c r="W66" s="66" t="n">
        <f aca="false">Budget!X66/Budget!M66</f>
        <v>0.0184295446604794</v>
      </c>
      <c r="X66" s="66" t="n">
        <f aca="false">S66/Economy!O66</f>
        <v>0.0170087551023213</v>
      </c>
      <c r="Y66" s="56" t="n">
        <f aca="false">MAX(0,H66+Q66-'Gold &amp; money'!G66)</f>
        <v>99.9844096487238</v>
      </c>
    </row>
    <row r="67" customFormat="false" ht="14.25" hidden="false" customHeight="true" outlineLevel="0" collapsed="false">
      <c r="A67" s="61" t="n">
        <v>1907</v>
      </c>
      <c r="B67" s="56" t="n">
        <f aca="false">Loans!V67-Loans!W67</f>
        <v>-7.27196078047279</v>
      </c>
      <c r="C67" s="56" t="n">
        <f aca="false">R66*debt_amort</f>
        <v>9.38904920757964</v>
      </c>
      <c r="D67" s="56" t="n">
        <f aca="false">M66+Budget!Z67-B67-C67</f>
        <v>467.564422036452</v>
      </c>
      <c r="E67" s="56" t="n">
        <f aca="false">MAX(0.1,Budget!M67*cash_target)</f>
        <v>256.486939459926</v>
      </c>
      <c r="F67" s="56" t="n">
        <f aca="false">IF(D67&lt;E67,MIN(E67-D67,S66),0)</f>
        <v>0</v>
      </c>
      <c r="G67" s="56" t="n">
        <f aca="false">MAX(0,E67-D67-F67)</f>
        <v>0</v>
      </c>
      <c r="H67" s="56" t="n">
        <f aca="false">G67/issue_price</f>
        <v>0</v>
      </c>
      <c r="I67" s="56" t="n">
        <f aca="false">IF(AND(D67&gt;E67,$A67&gt;=dev_start),(D67-E67)*dev_share,0)</f>
        <v>147.754237803568</v>
      </c>
      <c r="J67" s="56" t="n">
        <f aca="false">IF($A67&gt;=dev_start,MAX(0,S66-F67-reserve_buffer*Economy!O67),0)</f>
        <v>0</v>
      </c>
      <c r="K67" s="56" t="n">
        <f aca="false">IF(D67&gt;E67,MIN((D67-E67-I67)*repay_share,R66-C67),0)</f>
        <v>50.6585958183663</v>
      </c>
      <c r="L67" s="56" t="n">
        <f aca="false">IF(D67&gt;E67,D67-E67-I67-K67,0)</f>
        <v>12.6646489545916</v>
      </c>
      <c r="M67" s="56" t="n">
        <f aca="false">D67+F67+G67-I67-K67-L67</f>
        <v>256.486939459926</v>
      </c>
      <c r="N67" s="56" t="n">
        <f aca="false">I67+J67+Q67*issue_price*dev_bonds+SUMPRODUCT((Events!$B$6:$B$400&lt;=$A67)*(Events!$C$6:$C$400&gt;=$A67)*(Events!$E$6:$E$400="Investment")*Events!$H$6:$H$400)</f>
        <v>247.361117160884</v>
      </c>
      <c r="O67" s="56" t="n">
        <f aca="false">O66*(1-dev_dep)+N67</f>
        <v>2260.00275025324</v>
      </c>
      <c r="P67" s="56" t="n">
        <f aca="false">SUMPRODUCT((Events!$B$6:$B$400&lt;=$A67)*(Events!$C$6:$C$400&gt;=$A67)*(Events!$E$6:$E$400="Debt assumed")*Events!$H$6:$H$400)</f>
        <v>0</v>
      </c>
      <c r="Q67" s="56" t="n">
        <f aca="false">IF($A67&lt;1887,0,MAX(0,debt_floor*Economy!O67-(R66+P67+H67-C67-K67)))</f>
        <v>101.450391090016</v>
      </c>
      <c r="R67" s="56" t="n">
        <f aca="false">R66+P67+H67-C67-K67+Q67</f>
        <v>510.855206443052</v>
      </c>
      <c r="S67" s="56" t="n">
        <f aca="false">S66+L67-F67-J67+Q67*issue_price*(1-dev_bonds)</f>
        <v>172.360687569958</v>
      </c>
      <c r="T67" s="72" t="n">
        <f aca="false">Loans!X67</f>
        <v>174.994842971792</v>
      </c>
      <c r="U67" s="56" t="n">
        <f aca="false">R67-M67-S67-T67</f>
        <v>-92.9872635586226</v>
      </c>
      <c r="V67" s="66" t="n">
        <f aca="false">R67/Economy!O67</f>
        <v>0.05</v>
      </c>
      <c r="W67" s="66" t="n">
        <f aca="false">Budget!X67/Budget!M67</f>
        <v>0.0193098466043808</v>
      </c>
      <c r="X67" s="66" t="n">
        <f aca="false">S67/Economy!O67</f>
        <v>0.0168698180419907</v>
      </c>
      <c r="Y67" s="56" t="n">
        <f aca="false">MAX(0,H67+Q67-'Gold &amp; money'!G67)</f>
        <v>101.450391090016</v>
      </c>
    </row>
    <row r="68" customFormat="false" ht="14.25" hidden="false" customHeight="true" outlineLevel="0" collapsed="false">
      <c r="A68" s="61" t="n">
        <v>1908</v>
      </c>
      <c r="B68" s="56" t="n">
        <f aca="false">Loans!V68-Loans!W68</f>
        <v>-6.98164369034241</v>
      </c>
      <c r="C68" s="56" t="n">
        <f aca="false">R67*debt_amort</f>
        <v>10.217104128861</v>
      </c>
      <c r="D68" s="56" t="n">
        <f aca="false">M67+Budget!Z68-B68-C68</f>
        <v>492.815051148457</v>
      </c>
      <c r="E68" s="56" t="n">
        <f aca="false">MAX(0.1,Budget!M68*cash_target)</f>
        <v>270.216234237503</v>
      </c>
      <c r="F68" s="56" t="n">
        <f aca="false">IF(D68&lt;E68,MIN(E68-D68,S67),0)</f>
        <v>0</v>
      </c>
      <c r="G68" s="56" t="n">
        <f aca="false">MAX(0,E68-D68-F68)</f>
        <v>0</v>
      </c>
      <c r="H68" s="56" t="n">
        <f aca="false">G68/issue_price</f>
        <v>0</v>
      </c>
      <c r="I68" s="56" t="n">
        <f aca="false">IF(AND(D68&gt;E68,$A68&gt;=dev_start),(D68-E68)*dev_share,0)</f>
        <v>155.819171837668</v>
      </c>
      <c r="J68" s="56" t="n">
        <f aca="false">IF($A68&gt;=dev_start,MAX(0,S67-F68-reserve_buffer*Economy!O68),0)</f>
        <v>0</v>
      </c>
      <c r="K68" s="56" t="n">
        <f aca="false">IF(D68&gt;E68,MIN((D68-E68-I68)*repay_share,R67-C68),0)</f>
        <v>53.423716058629</v>
      </c>
      <c r="L68" s="56" t="n">
        <f aca="false">IF(D68&gt;E68,D68-E68-I68-K68,0)</f>
        <v>13.3559290146573</v>
      </c>
      <c r="M68" s="56" t="n">
        <f aca="false">D68+F68+G68-I68-K68-L68</f>
        <v>270.216234237503</v>
      </c>
      <c r="N68" s="56" t="n">
        <f aca="false">I68+J68+Q68*issue_price*dev_bonds+SUMPRODUCT((Events!$B$6:$B$400&lt;=$A68)*(Events!$C$6:$C$400&gt;=$A68)*(Events!$E$6:$E$400="Investment")*Events!$H$6:$H$400)</f>
        <v>248.283049436689</v>
      </c>
      <c r="O68" s="56" t="n">
        <f aca="false">O67*(1-dev_dep)+N68</f>
        <v>2440.48571718233</v>
      </c>
      <c r="P68" s="56" t="n">
        <f aca="false">SUMPRODUCT((Events!$B$6:$B$400&lt;=$A68)*(Events!$C$6:$C$400&gt;=$A68)*(Events!$E$6:$E$400="Debt assumed")*Events!$H$6:$H$400)</f>
        <v>0</v>
      </c>
      <c r="Q68" s="56" t="n">
        <f aca="false">IF($A68&lt;1887,0,MAX(0,debt_floor*Economy!O68-(R67+P68+H68-C68-K68)))</f>
        <v>94.0864717515679</v>
      </c>
      <c r="R68" s="56" t="n">
        <f aca="false">R67+P68+H68-C68-K68+Q68</f>
        <v>541.30085800713</v>
      </c>
      <c r="S68" s="56" t="n">
        <f aca="false">S67+L68-F68-J68+Q68*issue_price*(1-dev_bonds)</f>
        <v>185.716616584615</v>
      </c>
      <c r="T68" s="72" t="n">
        <f aca="false">Loans!X68</f>
        <v>168.013199281449</v>
      </c>
      <c r="U68" s="56" t="n">
        <f aca="false">R68-M68-S68-T68</f>
        <v>-82.6451920964369</v>
      </c>
      <c r="V68" s="66" t="n">
        <f aca="false">R68/Economy!O68</f>
        <v>0.05</v>
      </c>
      <c r="W68" s="66" t="n">
        <f aca="false">Budget!X68/Budget!M68</f>
        <v>0.0204651198154346</v>
      </c>
      <c r="X68" s="66" t="n">
        <f aca="false">S68/Economy!O68</f>
        <v>0.0171546575104605</v>
      </c>
      <c r="Y68" s="56" t="n">
        <f aca="false">MAX(0,H68+Q68-'Gold &amp; money'!G68)</f>
        <v>94.0864717515679</v>
      </c>
    </row>
    <row r="69" customFormat="false" ht="14.25" hidden="false" customHeight="true" outlineLevel="0" collapsed="false">
      <c r="A69" s="61" t="n">
        <v>1909</v>
      </c>
      <c r="B69" s="56" t="n">
        <f aca="false">Loans!V69-Loans!W69</f>
        <v>-6.7029224435846</v>
      </c>
      <c r="C69" s="56" t="n">
        <f aca="false">R68*debt_amort</f>
        <v>10.8260171601426</v>
      </c>
      <c r="D69" s="56" t="n">
        <f aca="false">M68+Budget!Z69-B69-C69</f>
        <v>541.071673440105</v>
      </c>
      <c r="E69" s="56" t="n">
        <f aca="false">MAX(0.1,Budget!M69*cash_target)</f>
        <v>310.796197293509</v>
      </c>
      <c r="F69" s="56" t="n">
        <f aca="false">IF(D69&lt;E69,MIN(E69-D69,S68),0)</f>
        <v>0</v>
      </c>
      <c r="G69" s="56" t="n">
        <f aca="false">MAX(0,E69-D69-F69)</f>
        <v>0</v>
      </c>
      <c r="H69" s="56" t="n">
        <f aca="false">G69/issue_price</f>
        <v>0</v>
      </c>
      <c r="I69" s="56" t="n">
        <f aca="false">IF(AND(D69&gt;E69,$A69&gt;=dev_start),(D69-E69)*dev_share,0)</f>
        <v>161.192833302617</v>
      </c>
      <c r="J69" s="56" t="n">
        <f aca="false">IF($A69&gt;=dev_start,MAX(0,S68-F69-reserve_buffer*Economy!O69),0)</f>
        <v>0</v>
      </c>
      <c r="K69" s="56" t="n">
        <f aca="false">IF(D69&gt;E69,MIN((D69-E69-I69)*repay_share,R68-C69),0)</f>
        <v>55.2661142751831</v>
      </c>
      <c r="L69" s="56" t="n">
        <f aca="false">IF(D69&gt;E69,D69-E69-I69-K69,0)</f>
        <v>13.8165285687958</v>
      </c>
      <c r="M69" s="56" t="n">
        <f aca="false">D69+F69+G69-I69-K69-L69</f>
        <v>310.796197293509</v>
      </c>
      <c r="N69" s="56" t="n">
        <f aca="false">I69+J69+Q69*issue_price*dev_bonds+SUMPRODUCT((Events!$B$6:$B$400&lt;=$A69)*(Events!$C$6:$C$400&gt;=$A69)*(Events!$E$6:$E$400="Investment")*Events!$H$6:$H$400)</f>
        <v>307.270362645735</v>
      </c>
      <c r="O69" s="56" t="n">
        <f aca="false">O68*(1-dev_dep)+N69</f>
        <v>2674.54150831259</v>
      </c>
      <c r="P69" s="56" t="n">
        <f aca="false">SUMPRODUCT((Events!$B$6:$B$400&lt;=$A69)*(Events!$C$6:$C$400&gt;=$A69)*(Events!$E$6:$E$400="Debt assumed")*Events!$H$6:$H$400)</f>
        <v>0</v>
      </c>
      <c r="Q69" s="56" t="n">
        <f aca="false">IF($A69&lt;1887,0,MAX(0,debt_floor*Economy!O69-(R68+P69+H69-C69-K69)))</f>
        <v>149.358277673317</v>
      </c>
      <c r="R69" s="56" t="n">
        <f aca="false">R68+P69+H69-C69-K69+Q69</f>
        <v>624.567004245121</v>
      </c>
      <c r="S69" s="56" t="n">
        <f aca="false">S68+L69-F69-J69+Q69*issue_price*(1-dev_bonds)</f>
        <v>199.533145153411</v>
      </c>
      <c r="T69" s="72" t="n">
        <f aca="false">Loans!X69</f>
        <v>161.310276837865</v>
      </c>
      <c r="U69" s="56" t="n">
        <f aca="false">R69-M69-S69-T69</f>
        <v>-47.0726150396627</v>
      </c>
      <c r="V69" s="66" t="n">
        <f aca="false">R69/Economy!O69</f>
        <v>0.05</v>
      </c>
      <c r="W69" s="66" t="n">
        <f aca="false">Budget!X69/Budget!M69</f>
        <v>0.0193324100365517</v>
      </c>
      <c r="X69" s="66" t="n">
        <f aca="false">S69/Economy!O69</f>
        <v>0.0159737180956729</v>
      </c>
      <c r="Y69" s="56" t="n">
        <f aca="false">MAX(0,H69+Q69-'Gold &amp; money'!G69)</f>
        <v>149.358277673317</v>
      </c>
    </row>
    <row r="70" customFormat="false" ht="14.25" hidden="false" customHeight="true" outlineLevel="0" collapsed="false">
      <c r="A70" s="61" t="n">
        <v>1910</v>
      </c>
      <c r="B70" s="56" t="n">
        <f aca="false">Loans!V70-Loans!W70</f>
        <v>-6.43533371167141</v>
      </c>
      <c r="C70" s="56" t="n">
        <f aca="false">R69*debt_amort</f>
        <v>12.4913400849024</v>
      </c>
      <c r="D70" s="56" t="n">
        <f aca="false">M69+Budget!Z70-B70-C70</f>
        <v>599.762607113332</v>
      </c>
      <c r="E70" s="56" t="n">
        <f aca="false">MAX(0.1,Budget!M70*cash_target)</f>
        <v>340.048165334276</v>
      </c>
      <c r="F70" s="56" t="n">
        <f aca="false">IF(D70&lt;E70,MIN(E70-D70,S69),0)</f>
        <v>0</v>
      </c>
      <c r="G70" s="56" t="n">
        <f aca="false">MAX(0,E70-D70-F70)</f>
        <v>0</v>
      </c>
      <c r="H70" s="56" t="n">
        <f aca="false">G70/issue_price</f>
        <v>0</v>
      </c>
      <c r="I70" s="56" t="n">
        <f aca="false">IF(AND(D70&gt;E70,$A70&gt;=dev_start),(D70-E70)*dev_share,0)</f>
        <v>181.800109245339</v>
      </c>
      <c r="J70" s="56" t="n">
        <f aca="false">IF($A70&gt;=dev_start,MAX(0,S69-F70-reserve_buffer*Economy!O70),0)</f>
        <v>0</v>
      </c>
      <c r="K70" s="56" t="n">
        <f aca="false">IF(D70&gt;E70,MIN((D70-E70-I70)*repay_share,R69-C70),0)</f>
        <v>62.3314660269733</v>
      </c>
      <c r="L70" s="56" t="n">
        <f aca="false">IF(D70&gt;E70,D70-E70-I70-K70,0)</f>
        <v>15.5828665067433</v>
      </c>
      <c r="M70" s="56" t="n">
        <f aca="false">D70+F70+G70-I70-K70-L70</f>
        <v>340.048165334276</v>
      </c>
      <c r="N70" s="56" t="n">
        <f aca="false">I70+J70+Q70*issue_price*dev_bonds+SUMPRODUCT((Events!$B$6:$B$400&lt;=$A70)*(Events!$C$6:$C$400&gt;=$A70)*(Events!$E$6:$E$400="Investment")*Events!$H$6:$H$400)</f>
        <v>313.893151749444</v>
      </c>
      <c r="O70" s="56" t="n">
        <f aca="false">O69*(1-dev_dep)+N70</f>
        <v>2908.19841481266</v>
      </c>
      <c r="P70" s="56" t="n">
        <f aca="false">SUMPRODUCT((Events!$B$6:$B$400&lt;=$A70)*(Events!$C$6:$C$400&gt;=$A70)*(Events!$E$6:$E$400="Debt assumed")*Events!$H$6:$H$400)</f>
        <v>0</v>
      </c>
      <c r="Q70" s="56" t="n">
        <f aca="false">IF($A70&lt;1887,0,MAX(0,debt_floor*Economy!O70-(R69+P70+H70-C70-K70)))</f>
        <v>134.941280932067</v>
      </c>
      <c r="R70" s="56" t="n">
        <f aca="false">R69+P70+H70-C70-K70+Q70</f>
        <v>684.685479065313</v>
      </c>
      <c r="S70" s="56" t="n">
        <f aca="false">S69+L70-F70-J70+Q70*issue_price*(1-dev_bonds)</f>
        <v>215.116011660154</v>
      </c>
      <c r="T70" s="72" t="n">
        <f aca="false">Loans!X70</f>
        <v>154.874943126193</v>
      </c>
      <c r="U70" s="56" t="n">
        <f aca="false">R70-M70-S70-T70</f>
        <v>-25.3536410553104</v>
      </c>
      <c r="V70" s="66" t="n">
        <f aca="false">R70/Economy!O70</f>
        <v>0.05</v>
      </c>
      <c r="W70" s="66" t="n">
        <f aca="false">Budget!X70/Budget!M70</f>
        <v>0.020938398068977</v>
      </c>
      <c r="X70" s="66" t="n">
        <f aca="false">S70/Economy!O70</f>
        <v>0.0157091115729383</v>
      </c>
      <c r="Y70" s="56" t="n">
        <f aca="false">MAX(0,H70+Q70-'Gold &amp; money'!G70)</f>
        <v>134.941280932067</v>
      </c>
    </row>
    <row r="71" customFormat="false" ht="14.25" hidden="false" customHeight="true" outlineLevel="0" collapsed="false">
      <c r="A71" s="61" t="n">
        <v>1911</v>
      </c>
      <c r="B71" s="56" t="n">
        <f aca="false">Loans!V71-Loans!W71</f>
        <v>-6.17843268405985</v>
      </c>
      <c r="C71" s="56" t="n">
        <f aca="false">R70*debt_amort</f>
        <v>13.6937095813063</v>
      </c>
      <c r="D71" s="56" t="n">
        <f aca="false">M70+Budget!Z71-B71-C71</f>
        <v>642.510187881123</v>
      </c>
      <c r="E71" s="56" t="n">
        <f aca="false">MAX(0.1,Budget!M71*cash_target)</f>
        <v>370.201285170719</v>
      </c>
      <c r="F71" s="56" t="n">
        <f aca="false">IF(D71&lt;E71,MIN(E71-D71,S70),0)</f>
        <v>0</v>
      </c>
      <c r="G71" s="56" t="n">
        <f aca="false">MAX(0,E71-D71-F71)</f>
        <v>0</v>
      </c>
      <c r="H71" s="56" t="n">
        <f aca="false">G71/issue_price</f>
        <v>0</v>
      </c>
      <c r="I71" s="56" t="n">
        <f aca="false">IF(AND(D71&gt;E71,$A71&gt;=dev_start),(D71-E71)*dev_share,0)</f>
        <v>190.616231897283</v>
      </c>
      <c r="J71" s="56" t="n">
        <f aca="false">IF($A71&gt;=dev_start,MAX(0,S70-F71-reserve_buffer*Economy!O71),0)</f>
        <v>0</v>
      </c>
      <c r="K71" s="56" t="n">
        <f aca="false">IF(D71&gt;E71,MIN((D71-E71-I71)*repay_share,R70-C71),0)</f>
        <v>65.354136650497</v>
      </c>
      <c r="L71" s="56" t="n">
        <f aca="false">IF(D71&gt;E71,D71-E71-I71-K71,0)</f>
        <v>16.3385341626242</v>
      </c>
      <c r="M71" s="56" t="n">
        <f aca="false">D71+F71+G71-I71-K71-L71</f>
        <v>370.201285170719</v>
      </c>
      <c r="N71" s="56" t="n">
        <f aca="false">I71+J71+Q71*issue_price*dev_bonds+SUMPRODUCT((Events!$B$6:$B$400&lt;=$A71)*(Events!$C$6:$C$400&gt;=$A71)*(Events!$E$6:$E$400="Investment")*Events!$H$6:$H$400)</f>
        <v>328.948773144708</v>
      </c>
      <c r="O71" s="56" t="n">
        <f aca="false">O70*(1-dev_dep)+N71</f>
        <v>3149.90123551299</v>
      </c>
      <c r="P71" s="56" t="n">
        <f aca="false">SUMPRODUCT((Events!$B$6:$B$400&lt;=$A71)*(Events!$C$6:$C$400&gt;=$A71)*(Events!$E$6:$E$400="Debt assumed")*Events!$H$6:$H$400)</f>
        <v>0</v>
      </c>
      <c r="Q71" s="56" t="n">
        <f aca="false">IF($A71&lt;1887,0,MAX(0,debt_floor*Economy!O71-(R70+P71+H71-C71-K71)))</f>
        <v>141.373753863325</v>
      </c>
      <c r="R71" s="56" t="n">
        <f aca="false">R70+P71+H71-C71-K71+Q71</f>
        <v>747.011386696834</v>
      </c>
      <c r="S71" s="56" t="n">
        <f aca="false">S70+L71-F71-J71+Q71*issue_price*(1-dev_bonds)</f>
        <v>231.454545822778</v>
      </c>
      <c r="T71" s="72" t="n">
        <f aca="false">Loans!X71</f>
        <v>148.696510442133</v>
      </c>
      <c r="U71" s="56" t="n">
        <f aca="false">R71-M71-S71-T71</f>
        <v>-3.34095473879626</v>
      </c>
      <c r="V71" s="66" t="n">
        <f aca="false">R71/Economy!O71</f>
        <v>0.05</v>
      </c>
      <c r="W71" s="66" t="n">
        <f aca="false">Budget!X71/Budget!M71</f>
        <v>0.0215928558011386</v>
      </c>
      <c r="X71" s="66" t="n">
        <f aca="false">S71/Economy!O71</f>
        <v>0.0154920359946743</v>
      </c>
      <c r="Y71" s="56" t="n">
        <f aca="false">MAX(0,H71+Q71-'Gold &amp; money'!G71)</f>
        <v>141.373753863325</v>
      </c>
    </row>
    <row r="72" customFormat="false" ht="14.25" hidden="false" customHeight="true" outlineLevel="0" collapsed="false">
      <c r="A72" s="61" t="n">
        <v>1912</v>
      </c>
      <c r="B72" s="56" t="n">
        <f aca="false">Loans!V72-Loans!W72</f>
        <v>-5.93179232792709</v>
      </c>
      <c r="C72" s="56" t="n">
        <f aca="false">R71*debt_amort</f>
        <v>14.9402277339367</v>
      </c>
      <c r="D72" s="56" t="n">
        <f aca="false">M71+Budget!Z72-B72-C72</f>
        <v>695.06719680845</v>
      </c>
      <c r="E72" s="56" t="n">
        <f aca="false">MAX(0.1,Budget!M72*cash_target)</f>
        <v>403.01026753975</v>
      </c>
      <c r="F72" s="56" t="n">
        <f aca="false">IF(D72&lt;E72,MIN(E72-D72,S71),0)</f>
        <v>0</v>
      </c>
      <c r="G72" s="56" t="n">
        <f aca="false">MAX(0,E72-D72-F72)</f>
        <v>0</v>
      </c>
      <c r="H72" s="56" t="n">
        <f aca="false">G72/issue_price</f>
        <v>0</v>
      </c>
      <c r="I72" s="56" t="n">
        <f aca="false">IF(AND(D72&gt;E72,$A72&gt;=dev_start),(D72-E72)*dev_share,0)</f>
        <v>204.43985048809</v>
      </c>
      <c r="J72" s="56" t="n">
        <f aca="false">IF($A72&gt;=dev_start,MAX(0,S71-F72-reserve_buffer*Economy!O72),0)</f>
        <v>0</v>
      </c>
      <c r="K72" s="56" t="n">
        <f aca="false">IF(D72&gt;E72,MIN((D72-E72-I72)*repay_share,R71-C72),0)</f>
        <v>70.093663024488</v>
      </c>
      <c r="L72" s="56" t="n">
        <f aca="false">IF(D72&gt;E72,D72-E72-I72-K72,0)</f>
        <v>17.523415756122</v>
      </c>
      <c r="M72" s="56" t="n">
        <f aca="false">D72+F72+G72-I72-K72-L72</f>
        <v>403.01026753975</v>
      </c>
      <c r="N72" s="56" t="n">
        <f aca="false">I72+J72+Q72*issue_price*dev_bonds+SUMPRODUCT((Events!$B$6:$B$400&lt;=$A72)*(Events!$C$6:$C$400&gt;=$A72)*(Events!$E$6:$E$400="Investment")*Events!$H$6:$H$400)</f>
        <v>354.46383015301</v>
      </c>
      <c r="O72" s="56" t="n">
        <f aca="false">O71*(1-dev_dep)+N72</f>
        <v>3409.86802860061</v>
      </c>
      <c r="P72" s="56" t="n">
        <f aca="false">SUMPRODUCT((Events!$B$6:$B$400&lt;=$A72)*(Events!$C$6:$C$400&gt;=$A72)*(Events!$E$6:$E$400="Debt assumed")*Events!$H$6:$H$400)</f>
        <v>0</v>
      </c>
      <c r="Q72" s="56" t="n">
        <f aca="false">IF($A72&lt;1887,0,MAX(0,debt_floor*Economy!O72-(R71+P72+H72-C72-K72)))</f>
        <v>153.426783159712</v>
      </c>
      <c r="R72" s="56" t="n">
        <f aca="false">R71+P72+H72-C72-K72+Q72</f>
        <v>815.404279098121</v>
      </c>
      <c r="S72" s="56" t="n">
        <f aca="false">S71+L72-F72-J72+Q72*issue_price*(1-dev_bonds)</f>
        <v>248.9779615789</v>
      </c>
      <c r="T72" s="72" t="n">
        <f aca="false">Loans!X72</f>
        <v>142.764718114206</v>
      </c>
      <c r="U72" s="56" t="n">
        <f aca="false">R72-M72-S72-T72</f>
        <v>20.6513318652647</v>
      </c>
      <c r="V72" s="66" t="n">
        <f aca="false">R72/Economy!O72</f>
        <v>0.05</v>
      </c>
      <c r="W72" s="66" t="n">
        <f aca="false">Budget!X72/Budget!M72</f>
        <v>0.0221502695837562</v>
      </c>
      <c r="X72" s="66" t="n">
        <f aca="false">S72/Economy!O72</f>
        <v>0.0152671483312721</v>
      </c>
      <c r="Y72" s="56" t="n">
        <f aca="false">MAX(0,H72+Q72-'Gold &amp; money'!G72)</f>
        <v>153.426783159712</v>
      </c>
    </row>
    <row r="73" customFormat="false" ht="14.25" hidden="false" customHeight="true" outlineLevel="0" collapsed="false">
      <c r="A73" s="61" t="n">
        <v>1913</v>
      </c>
      <c r="B73" s="56" t="n">
        <f aca="false">Loans!V73-Loans!W73</f>
        <v>-5.69500267750276</v>
      </c>
      <c r="C73" s="56" t="n">
        <f aca="false">R72*debt_amort</f>
        <v>16.3080855819624</v>
      </c>
      <c r="D73" s="56" t="n">
        <f aca="false">M72+Budget!Z73-B73-C73</f>
        <v>747.492939427011</v>
      </c>
      <c r="E73" s="56" t="n">
        <f aca="false">MAX(0.1,Budget!M73*cash_target)</f>
        <v>438.451185307199</v>
      </c>
      <c r="F73" s="56" t="n">
        <f aca="false">IF(D73&lt;E73,MIN(E73-D73,S72),0)</f>
        <v>0</v>
      </c>
      <c r="G73" s="56" t="n">
        <f aca="false">MAX(0,E73-D73-F73)</f>
        <v>0</v>
      </c>
      <c r="H73" s="56" t="n">
        <f aca="false">G73/issue_price</f>
        <v>0</v>
      </c>
      <c r="I73" s="56" t="n">
        <f aca="false">IF(AND(D73&gt;E73,$A73&gt;=dev_start),(D73-E73)*dev_share,0)</f>
        <v>216.329227883868</v>
      </c>
      <c r="J73" s="56" t="n">
        <f aca="false">IF($A73&gt;=dev_start,MAX(0,S72-F73-reserve_buffer*Economy!O73),0)</f>
        <v>0</v>
      </c>
      <c r="K73" s="56" t="n">
        <f aca="false">IF(D73&gt;E73,MIN((D73-E73-I73)*repay_share,R72-C73),0)</f>
        <v>74.1700209887548</v>
      </c>
      <c r="L73" s="56" t="n">
        <f aca="false">IF(D73&gt;E73,D73-E73-I73-K73,0)</f>
        <v>18.5425052471887</v>
      </c>
      <c r="M73" s="56" t="n">
        <f aca="false">D73+F73+G73-I73-K73-L73</f>
        <v>438.451185307199</v>
      </c>
      <c r="N73" s="56" t="n">
        <f aca="false">I73+J73+Q73*issue_price*dev_bonds+SUMPRODUCT((Events!$B$6:$B$400&lt;=$A73)*(Events!$C$6:$C$400&gt;=$A73)*(Events!$E$6:$E$400="Investment")*Events!$H$6:$H$400)</f>
        <v>376.915172663682</v>
      </c>
      <c r="O73" s="56" t="n">
        <f aca="false">O72*(1-dev_dep)+N73</f>
        <v>3684.48716040627</v>
      </c>
      <c r="P73" s="56" t="n">
        <f aca="false">SUMPRODUCT((Events!$B$6:$B$400&lt;=$A73)*(Events!$C$6:$C$400&gt;=$A73)*(Events!$E$6:$E$400="Debt assumed")*Events!$H$6:$H$400)</f>
        <v>0</v>
      </c>
      <c r="Q73" s="56" t="n">
        <f aca="false">IF($A73&lt;1887,0,MAX(0,debt_floor*Economy!O73-(R72+P73+H73-C73-K73)))</f>
        <v>164.315406989499</v>
      </c>
      <c r="R73" s="56" t="n">
        <f aca="false">R72+P73+H73-C73-K73+Q73</f>
        <v>889.241579516903</v>
      </c>
      <c r="S73" s="56" t="n">
        <f aca="false">S72+L73-F73-J73+Q73*issue_price*(1-dev_bonds)</f>
        <v>267.520466826089</v>
      </c>
      <c r="T73" s="72" t="n">
        <f aca="false">Loans!X73</f>
        <v>137.069715436704</v>
      </c>
      <c r="U73" s="56" t="n">
        <f aca="false">R73-M73-S73-T73</f>
        <v>46.2002119469116</v>
      </c>
      <c r="V73" s="66" t="n">
        <f aca="false">R73/Economy!O73</f>
        <v>0.05</v>
      </c>
      <c r="W73" s="66" t="n">
        <f aca="false">Budget!X73/Budget!M73</f>
        <v>0.0227352956178925</v>
      </c>
      <c r="X73" s="66" t="n">
        <f aca="false">S73/Economy!O73</f>
        <v>0.0150420579170074</v>
      </c>
      <c r="Y73" s="56" t="n">
        <f aca="false">MAX(0,H73+Q73-'Gold &amp; money'!G73)</f>
        <v>164.315406989499</v>
      </c>
    </row>
    <row r="74" customFormat="false" ht="14.25" hidden="false" customHeight="true" outlineLevel="0" collapsed="false">
      <c r="A74" s="64" t="n">
        <v>1914</v>
      </c>
      <c r="B74" s="56" t="n">
        <f aca="false">Loans!V74-Loans!W74</f>
        <v>79.577685245146</v>
      </c>
      <c r="C74" s="56" t="n">
        <f aca="false">R73*debt_amort</f>
        <v>17.7848315903381</v>
      </c>
      <c r="D74" s="56" t="n">
        <f aca="false">M73+Budget!Z74-B74-C74</f>
        <v>668.96148863539</v>
      </c>
      <c r="E74" s="56" t="n">
        <f aca="false">MAX(0.1,Budget!M74*cash_target)</f>
        <v>456.142627015839</v>
      </c>
      <c r="F74" s="56" t="n">
        <f aca="false">IF(D74&lt;E74,MIN(E74-D74,S73),0)</f>
        <v>0</v>
      </c>
      <c r="G74" s="56" t="n">
        <f aca="false">MAX(0,E74-D74-F74)</f>
        <v>0</v>
      </c>
      <c r="H74" s="56" t="n">
        <f aca="false">G74/issue_price</f>
        <v>0</v>
      </c>
      <c r="I74" s="56" t="n">
        <f aca="false">IF(AND(D74&gt;E74,$A74&gt;=dev_start),(D74-E74)*dev_share,0)</f>
        <v>148.973203133686</v>
      </c>
      <c r="J74" s="56" t="n">
        <f aca="false">IF($A74&gt;=dev_start,MAX(0,S73-F74-reserve_buffer*Economy!O74),0)</f>
        <v>0</v>
      </c>
      <c r="K74" s="56" t="n">
        <f aca="false">IF(D74&gt;E74,MIN((D74-E74-I74)*repay_share,R73-C74),0)</f>
        <v>51.0765267886922</v>
      </c>
      <c r="L74" s="56" t="n">
        <f aca="false">IF(D74&gt;E74,D74-E74-I74-K74,0)</f>
        <v>12.769131697173</v>
      </c>
      <c r="M74" s="56" t="n">
        <f aca="false">D74+F74+G74-I74-K74-L74</f>
        <v>456.142627015839</v>
      </c>
      <c r="N74" s="56" t="n">
        <f aca="false">I74+J74+Q74*issue_price*dev_bonds+SUMPRODUCT((Events!$B$6:$B$400&lt;=$A74)*(Events!$C$6:$C$400&gt;=$A74)*(Events!$E$6:$E$400="Investment")*Events!$H$6:$H$400)</f>
        <v>244.669246661984</v>
      </c>
      <c r="O74" s="56" t="n">
        <f aca="false">O73*(1-dev_dep)+N74</f>
        <v>3818.62179225607</v>
      </c>
      <c r="P74" s="56" t="n">
        <f aca="false">SUMPRODUCT((Events!$B$6:$B$400&lt;=$A74)*(Events!$C$6:$C$400&gt;=$A74)*(Events!$E$6:$E$400="Debt assumed")*Events!$H$6:$H$400)</f>
        <v>9.5</v>
      </c>
      <c r="Q74" s="56" t="n">
        <f aca="false">IF($A74&lt;1887,0,MAX(0,debt_floor*Economy!O74-(R73+P74+H74-C74-K74)))</f>
        <v>97.4186015755658</v>
      </c>
      <c r="R74" s="56" t="n">
        <f aca="false">R73+P74+H74-C74-K74+Q74</f>
        <v>927.298822713439</v>
      </c>
      <c r="S74" s="56" t="n">
        <f aca="false">S73+L74-F74-J74+Q74*issue_price*(1-dev_bonds)</f>
        <v>280.289598523262</v>
      </c>
      <c r="T74" s="72" t="n">
        <f aca="false">Loans!X74</f>
        <v>216.64740068185</v>
      </c>
      <c r="U74" s="56" t="n">
        <f aca="false">R74-M74-S74-T74</f>
        <v>-25.7808035075114</v>
      </c>
      <c r="V74" s="66" t="n">
        <f aca="false">R74/Economy!O74</f>
        <v>0.05</v>
      </c>
      <c r="W74" s="66" t="n">
        <f aca="false">Budget!X74/Budget!M74</f>
        <v>0.0243685178398714</v>
      </c>
      <c r="X74" s="66" t="n">
        <f aca="false">S74/Economy!O74</f>
        <v>0.0151132295036828</v>
      </c>
      <c r="Y74" s="56" t="n">
        <f aca="false">MAX(0,H74+Q74-'Gold &amp; money'!G74)</f>
        <v>97.4186015755658</v>
      </c>
    </row>
    <row r="75" customFormat="false" ht="14.25" hidden="false" customHeight="true" outlineLevel="0" collapsed="false">
      <c r="A75" s="64" t="n">
        <v>1915</v>
      </c>
      <c r="B75" s="56" t="n">
        <f aca="false">Loans!V75-Loans!W75</f>
        <v>221.40457783534</v>
      </c>
      <c r="C75" s="56" t="n">
        <f aca="false">R74*debt_amort</f>
        <v>18.5459764542688</v>
      </c>
      <c r="D75" s="56" t="n">
        <f aca="false">M74+Budget!Z75-B75-C75</f>
        <v>906.401720932926</v>
      </c>
      <c r="E75" s="56" t="n">
        <f aca="false">MAX(0.1,Budget!M75*cash_target)</f>
        <v>605.516105293727</v>
      </c>
      <c r="F75" s="56" t="n">
        <f aca="false">IF(D75&lt;E75,MIN(E75-D75,S74),0)</f>
        <v>0</v>
      </c>
      <c r="G75" s="56" t="n">
        <f aca="false">MAX(0,E75-D75-F75)</f>
        <v>0</v>
      </c>
      <c r="H75" s="56" t="n">
        <f aca="false">G75/issue_price</f>
        <v>0</v>
      </c>
      <c r="I75" s="56" t="n">
        <f aca="false">IF(AND(D75&gt;E75,$A75&gt;=dev_start),(D75-E75)*dev_share,0)</f>
        <v>210.619930947439</v>
      </c>
      <c r="J75" s="56" t="n">
        <f aca="false">IF($A75&gt;=dev_start,MAX(0,S74-F75-reserve_buffer*Economy!O75),0)</f>
        <v>0</v>
      </c>
      <c r="K75" s="56" t="n">
        <f aca="false">IF(D75&gt;E75,MIN((D75-E75-I75)*repay_share,R74-C75),0)</f>
        <v>72.2125477534078</v>
      </c>
      <c r="L75" s="56" t="n">
        <f aca="false">IF(D75&gt;E75,D75-E75-I75-K75,0)</f>
        <v>18.053136938352</v>
      </c>
      <c r="M75" s="56" t="n">
        <f aca="false">D75+F75+G75-I75-K75-L75</f>
        <v>605.516105293727</v>
      </c>
      <c r="N75" s="56" t="n">
        <f aca="false">I75+J75+Q75*issue_price*dev_bonds+SUMPRODUCT((Events!$B$6:$B$400&lt;=$A75)*(Events!$C$6:$C$400&gt;=$A75)*(Events!$E$6:$E$400="Investment")*Events!$H$6:$H$400)</f>
        <v>408.644670045001</v>
      </c>
      <c r="O75" s="56" t="n">
        <f aca="false">O74*(1-dev_dep)+N75</f>
        <v>4112.70780853339</v>
      </c>
      <c r="P75" s="56" t="n">
        <f aca="false">SUMPRODUCT((Events!$B$6:$B$400&lt;=$A75)*(Events!$C$6:$C$400&gt;=$A75)*(Events!$E$6:$E$400="Debt assumed")*Events!$H$6:$H$400)</f>
        <v>0</v>
      </c>
      <c r="Q75" s="56" t="n">
        <f aca="false">IF($A75&lt;1887,0,MAX(0,debt_floor*Economy!O75-(R74+P75+H75-C75-K75)))</f>
        <v>202.912102162435</v>
      </c>
      <c r="R75" s="56" t="n">
        <f aca="false">R74+P75+H75-C75-K75+Q75</f>
        <v>1039.4524006682</v>
      </c>
      <c r="S75" s="56" t="n">
        <f aca="false">S74+L75-F75-J75+Q75*issue_price*(1-dev_bonds)</f>
        <v>298.342735461614</v>
      </c>
      <c r="T75" s="72" t="n">
        <f aca="false">Loans!X75</f>
        <v>438.05197851719</v>
      </c>
      <c r="U75" s="56" t="n">
        <f aca="false">R75-M75-S75-T75</f>
        <v>-302.458418604334</v>
      </c>
      <c r="V75" s="66" t="n">
        <f aca="false">R75/Economy!O75</f>
        <v>0.05</v>
      </c>
      <c r="W75" s="66" t="n">
        <f aca="false">Budget!X75/Budget!M75</f>
        <v>0.019066165609554</v>
      </c>
      <c r="X75" s="66" t="n">
        <f aca="false">S75/Economy!O75</f>
        <v>0.014350957064981</v>
      </c>
      <c r="Y75" s="56" t="n">
        <f aca="false">MAX(0,H75+Q75-'Gold &amp; money'!G75)</f>
        <v>202.912102162435</v>
      </c>
    </row>
    <row r="76" customFormat="false" ht="14.25" hidden="false" customHeight="true" outlineLevel="0" collapsed="false">
      <c r="A76" s="64" t="n">
        <v>1916</v>
      </c>
      <c r="B76" s="56" t="n">
        <f aca="false">Loans!V76-Loans!W76</f>
        <v>391.612794721927</v>
      </c>
      <c r="C76" s="56" t="n">
        <f aca="false">R75*debt_amort</f>
        <v>20.7890480133639</v>
      </c>
      <c r="D76" s="56" t="n">
        <f aca="false">M75+Budget!Z76-B76-C76</f>
        <v>1026.91677080331</v>
      </c>
      <c r="E76" s="56" t="n">
        <f aca="false">MAX(0.1,Budget!M76*cash_target)</f>
        <v>720.087583121369</v>
      </c>
      <c r="F76" s="56" t="n">
        <f aca="false">IF(D76&lt;E76,MIN(E76-D76,S75),0)</f>
        <v>0</v>
      </c>
      <c r="G76" s="56" t="n">
        <f aca="false">MAX(0,E76-D76-F76)</f>
        <v>0</v>
      </c>
      <c r="H76" s="56" t="n">
        <f aca="false">G76/issue_price</f>
        <v>0</v>
      </c>
      <c r="I76" s="56" t="n">
        <f aca="false">IF(AND(D76&gt;E76,$A76&gt;=dev_start),(D76-E76)*dev_share,0)</f>
        <v>214.780431377362</v>
      </c>
      <c r="J76" s="56" t="n">
        <f aca="false">IF($A76&gt;=dev_start,MAX(0,S75-F76-reserve_buffer*Economy!O76),0)</f>
        <v>0</v>
      </c>
      <c r="K76" s="56" t="n">
        <f aca="false">IF(D76&gt;E76,MIN((D76-E76-I76)*repay_share,R75-C76),0)</f>
        <v>73.6390050436669</v>
      </c>
      <c r="L76" s="56" t="n">
        <f aca="false">IF(D76&gt;E76,D76-E76-I76-K76,0)</f>
        <v>18.4097512609167</v>
      </c>
      <c r="M76" s="56" t="n">
        <f aca="false">D76+F76+G76-I76-K76-L76</f>
        <v>720.087583121369</v>
      </c>
      <c r="N76" s="56" t="n">
        <f aca="false">I76+J76+Q76*issue_price*dev_bonds+SUMPRODUCT((Events!$B$6:$B$400&lt;=$A76)*(Events!$C$6:$C$400&gt;=$A76)*(Events!$E$6:$E$400="Investment")*Events!$H$6:$H$400)</f>
        <v>497.594894312936</v>
      </c>
      <c r="O76" s="56" t="n">
        <f aca="false">O75*(1-dev_dep)+N76</f>
        <v>4486.92146859032</v>
      </c>
      <c r="P76" s="56" t="n">
        <f aca="false">SUMPRODUCT((Events!$B$6:$B$400&lt;=$A76)*(Events!$C$6:$C$400&gt;=$A76)*(Events!$E$6:$E$400="Debt assumed")*Events!$H$6:$H$400)</f>
        <v>0</v>
      </c>
      <c r="Q76" s="56" t="n">
        <f aca="false">IF($A76&lt;1887,0,MAX(0,debt_floor*Economy!O76-(R75+P76+H76-C76-K76)))</f>
        <v>290.324188593376</v>
      </c>
      <c r="R76" s="56" t="n">
        <f aca="false">R75+P76+H76-C76-K76+Q76</f>
        <v>1235.34853620454</v>
      </c>
      <c r="S76" s="56" t="n">
        <f aca="false">S75+L76-F76-J76+Q76*issue_price*(1-dev_bonds)</f>
        <v>316.752486722531</v>
      </c>
      <c r="T76" s="72" t="n">
        <f aca="false">Loans!X76</f>
        <v>829.664773239116</v>
      </c>
      <c r="U76" s="56" t="n">
        <f aca="false">R76-M76-S76-T76</f>
        <v>-631.156306878474</v>
      </c>
      <c r="V76" s="66" t="n">
        <f aca="false">R76/Economy!O76</f>
        <v>0.05</v>
      </c>
      <c r="W76" s="66" t="n">
        <f aca="false">Budget!X76/Budget!M76</f>
        <v>0.0178995028804895</v>
      </c>
      <c r="X76" s="66" t="n">
        <f aca="false">S76/Economy!O76</f>
        <v>0.012820369209151</v>
      </c>
      <c r="Y76" s="56" t="n">
        <f aca="false">MAX(0,H76+Q76-'Gold &amp; money'!G76)</f>
        <v>290.324188593376</v>
      </c>
    </row>
    <row r="77" customFormat="false" ht="14.25" hidden="false" customHeight="true" outlineLevel="0" collapsed="false">
      <c r="A77" s="64" t="n">
        <v>1917</v>
      </c>
      <c r="B77" s="56" t="n">
        <f aca="false">Loans!V77-Loans!W77</f>
        <v>505.202682933049</v>
      </c>
      <c r="C77" s="56" t="n">
        <f aca="false">R76*debt_amort</f>
        <v>24.7069707240908</v>
      </c>
      <c r="D77" s="56" t="n">
        <f aca="false">M76+Budget!Z77-B77-C77</f>
        <v>1276.17302659602</v>
      </c>
      <c r="E77" s="56" t="n">
        <f aca="false">MAX(0.1,Budget!M77*cash_target)</f>
        <v>910.68716546098</v>
      </c>
      <c r="F77" s="56" t="n">
        <f aca="false">IF(D77&lt;E77,MIN(E77-D77,S76),0)</f>
        <v>0</v>
      </c>
      <c r="G77" s="56" t="n">
        <f aca="false">MAX(0,E77-D77-F77)</f>
        <v>0</v>
      </c>
      <c r="H77" s="56" t="n">
        <f aca="false">G77/issue_price</f>
        <v>0</v>
      </c>
      <c r="I77" s="56" t="n">
        <f aca="false">IF(AND(D77&gt;E77,$A77&gt;=dev_start),(D77-E77)*dev_share,0)</f>
        <v>255.840102794527</v>
      </c>
      <c r="J77" s="56" t="n">
        <f aca="false">IF($A77&gt;=dev_start,MAX(0,S76-F77-reserve_buffer*Economy!O77),0)</f>
        <v>0</v>
      </c>
      <c r="K77" s="56" t="n">
        <f aca="false">IF(D77&gt;E77,MIN((D77-E77-I77)*repay_share,R76-C77),0)</f>
        <v>87.7166066724093</v>
      </c>
      <c r="L77" s="56" t="n">
        <f aca="false">IF(D77&gt;E77,D77-E77-I77-K77,0)</f>
        <v>21.9291516681023</v>
      </c>
      <c r="M77" s="56" t="n">
        <f aca="false">D77+F77+G77-I77-K77-L77</f>
        <v>910.68716546098</v>
      </c>
      <c r="N77" s="56" t="n">
        <f aca="false">I77+J77+Q77*issue_price*dev_bonds+SUMPRODUCT((Events!$B$6:$B$400&lt;=$A77)*(Events!$C$6:$C$400&gt;=$A77)*(Events!$E$6:$E$400="Investment")*Events!$H$6:$H$400)</f>
        <v>684.665946906361</v>
      </c>
      <c r="O77" s="56" t="n">
        <f aca="false">O76*(1-dev_dep)+N77</f>
        <v>5036.97977143897</v>
      </c>
      <c r="P77" s="56" t="n">
        <f aca="false">SUMPRODUCT((Events!$B$6:$B$400&lt;=$A77)*(Events!$C$6:$C$400&gt;=$A77)*(Events!$E$6:$E$400="Debt assumed")*Events!$H$6:$H$400)</f>
        <v>0</v>
      </c>
      <c r="Q77" s="56" t="n">
        <f aca="false">IF($A77&lt;1887,0,MAX(0,debt_floor*Economy!O77-(R76+P77+H77-C77-K77)))</f>
        <v>440.851385682303</v>
      </c>
      <c r="R77" s="56" t="n">
        <f aca="false">R76+P77+H77-C77-K77+Q77</f>
        <v>1563.77634449035</v>
      </c>
      <c r="S77" s="56" t="n">
        <f aca="false">S76+L77-F77-J77+Q77*issue_price*(1-dev_bonds)</f>
        <v>338.681638390633</v>
      </c>
      <c r="T77" s="72" t="n">
        <f aca="false">Loans!X77</f>
        <v>1334.86745617217</v>
      </c>
      <c r="U77" s="56" t="n">
        <f aca="false">R77-M77-S77-T77</f>
        <v>-1020.45991553343</v>
      </c>
      <c r="V77" s="66" t="n">
        <f aca="false">R77/Economy!O77</f>
        <v>0.05</v>
      </c>
      <c r="W77" s="66" t="n">
        <f aca="false">Budget!X77/Budget!M77</f>
        <v>0.0167188813965704</v>
      </c>
      <c r="X77" s="66" t="n">
        <f aca="false">S77/Economy!O77</f>
        <v>0.0108289666736522</v>
      </c>
      <c r="Y77" s="56" t="n">
        <f aca="false">MAX(0,H77+Q77-'Gold &amp; money'!G77)</f>
        <v>440.851385682303</v>
      </c>
    </row>
    <row r="78" customFormat="false" ht="14.25" hidden="false" customHeight="true" outlineLevel="0" collapsed="false">
      <c r="A78" s="64" t="n">
        <v>1918</v>
      </c>
      <c r="B78" s="56" t="n">
        <f aca="false">Loans!V78-Loans!W78</f>
        <v>524.174575615728</v>
      </c>
      <c r="C78" s="56" t="n">
        <f aca="false">R77*debt_amort</f>
        <v>31.2755268898069</v>
      </c>
      <c r="D78" s="56" t="n">
        <f aca="false">M77+Budget!Z78-B78-C78</f>
        <v>1495.50557228429</v>
      </c>
      <c r="E78" s="56" t="n">
        <f aca="false">MAX(0.1,Budget!M78*cash_target)</f>
        <v>1108.76057594245</v>
      </c>
      <c r="F78" s="56" t="n">
        <f aca="false">IF(D78&lt;E78,MIN(E78-D78,S77),0)</f>
        <v>0</v>
      </c>
      <c r="G78" s="56" t="n">
        <f aca="false">MAX(0,E78-D78-F78)</f>
        <v>0</v>
      </c>
      <c r="H78" s="56" t="n">
        <f aca="false">G78/issue_price</f>
        <v>0</v>
      </c>
      <c r="I78" s="56" t="n">
        <f aca="false">IF(AND(D78&gt;E78,$A78&gt;=dev_start),(D78-E78)*dev_share,0)</f>
        <v>270.721497439284</v>
      </c>
      <c r="J78" s="56" t="n">
        <f aca="false">IF($A78&gt;=dev_start,MAX(0,S77-F78-reserve_buffer*Economy!O78),0)</f>
        <v>0</v>
      </c>
      <c r="K78" s="56" t="n">
        <f aca="false">IF(D78&gt;E78,MIN((D78-E78-I78)*repay_share,R77-C78),0)</f>
        <v>92.8187991220402</v>
      </c>
      <c r="L78" s="56" t="n">
        <f aca="false">IF(D78&gt;E78,D78-E78-I78-K78,0)</f>
        <v>23.20469978051</v>
      </c>
      <c r="M78" s="56" t="n">
        <f aca="false">D78+F78+G78-I78-K78-L78</f>
        <v>1108.76057594245</v>
      </c>
      <c r="N78" s="56" t="n">
        <f aca="false">I78+J78+Q78*issue_price*dev_bonds+SUMPRODUCT((Events!$B$6:$B$400&lt;=$A78)*(Events!$C$6:$C$400&gt;=$A78)*(Events!$E$6:$E$400="Investment")*Events!$H$6:$H$400)</f>
        <v>721.075136679798</v>
      </c>
      <c r="O78" s="56" t="n">
        <f aca="false">O77*(1-dev_dep)+N78</f>
        <v>5606.9455149756</v>
      </c>
      <c r="P78" s="56" t="n">
        <f aca="false">SUMPRODUCT((Events!$B$6:$B$400&lt;=$A78)*(Events!$C$6:$C$400&gt;=$A78)*(Events!$E$6:$E$400="Debt assumed")*Events!$H$6:$H$400)</f>
        <v>0</v>
      </c>
      <c r="Q78" s="56" t="n">
        <f aca="false">IF($A78&lt;1887,0,MAX(0,debt_floor*Economy!O78-(R77+P78+H78-C78-K78)))</f>
        <v>463.044988907747</v>
      </c>
      <c r="R78" s="56" t="n">
        <f aca="false">R77+P78+H78-C78-K78+Q78</f>
        <v>1902.72700738624</v>
      </c>
      <c r="S78" s="56" t="n">
        <f aca="false">S77+L78-F78-J78+Q78*issue_price*(1-dev_bonds)</f>
        <v>361.886338171143</v>
      </c>
      <c r="T78" s="72" t="n">
        <f aca="false">Loans!X78</f>
        <v>1654.86061020005</v>
      </c>
      <c r="U78" s="56" t="n">
        <f aca="false">R78-M78-S78-T78</f>
        <v>-1222.7805169274</v>
      </c>
      <c r="V78" s="66" t="n">
        <f aca="false">R78/Economy!O78</f>
        <v>0.05</v>
      </c>
      <c r="W78" s="66" t="n">
        <f aca="false">Budget!X78/Budget!M78</f>
        <v>0.0173124433219524</v>
      </c>
      <c r="X78" s="66" t="n">
        <f aca="false">S78/Economy!O78</f>
        <v>0.00950967576447717</v>
      </c>
      <c r="Y78" s="56" t="n">
        <f aca="false">MAX(0,H78+Q78-'Gold &amp; money'!G78)</f>
        <v>463.044988907747</v>
      </c>
    </row>
    <row r="79" customFormat="false" ht="14.25" hidden="false" customHeight="true" outlineLevel="0" collapsed="false">
      <c r="A79" s="64" t="n">
        <v>1919</v>
      </c>
      <c r="B79" s="56" t="n">
        <f aca="false">Loans!V79-Loans!W79</f>
        <v>148.483892591098</v>
      </c>
      <c r="C79" s="56" t="n">
        <f aca="false">R78*debt_amort</f>
        <v>38.0545401477249</v>
      </c>
      <c r="D79" s="56" t="n">
        <f aca="false">M78+Budget!Z79-B79-C79</f>
        <v>2197.5050616004</v>
      </c>
      <c r="E79" s="56" t="n">
        <f aca="false">MAX(0.1,Budget!M79*cash_target)</f>
        <v>1301.01537346338</v>
      </c>
      <c r="F79" s="56" t="n">
        <f aca="false">IF(D79&lt;E79,MIN(E79-D79,S78),0)</f>
        <v>0</v>
      </c>
      <c r="G79" s="56" t="n">
        <f aca="false">MAX(0,E79-D79-F79)</f>
        <v>0</v>
      </c>
      <c r="H79" s="56" t="n">
        <f aca="false">G79/issue_price</f>
        <v>0</v>
      </c>
      <c r="I79" s="56" t="n">
        <f aca="false">IF(AND(D79&gt;E79,$A79&gt;=dev_start),(D79-E79)*dev_share,0)</f>
        <v>627.542781695913</v>
      </c>
      <c r="J79" s="56" t="n">
        <f aca="false">IF($A79&gt;=dev_start,MAX(0,S78-F79-reserve_buffer*Economy!O79),0)</f>
        <v>0</v>
      </c>
      <c r="K79" s="56" t="n">
        <f aca="false">IF(D79&gt;E79,MIN((D79-E79-I79)*repay_share,R78-C79),0)</f>
        <v>215.157525152885</v>
      </c>
      <c r="L79" s="56" t="n">
        <f aca="false">IF(D79&gt;E79,D79-E79-I79-K79,0)</f>
        <v>53.7893812882211</v>
      </c>
      <c r="M79" s="56" t="n">
        <f aca="false">D79+F79+G79-I79-K79-L79</f>
        <v>1301.01537346338</v>
      </c>
      <c r="N79" s="56" t="n">
        <f aca="false">I79+J79+Q79*issue_price*dev_bonds+SUMPRODUCT((Events!$B$6:$B$400&lt;=$A79)*(Events!$C$6:$C$400&gt;=$A79)*(Events!$E$6:$E$400="Investment")*Events!$H$6:$H$400)</f>
        <v>1145.70538296745</v>
      </c>
      <c r="O79" s="56" t="n">
        <f aca="false">O78*(1-dev_dep)+N79</f>
        <v>6584.44253249378</v>
      </c>
      <c r="P79" s="56" t="n">
        <f aca="false">SUMPRODUCT((Events!$B$6:$B$400&lt;=$A79)*(Events!$C$6:$C$400&gt;=$A79)*(Events!$E$6:$E$400="Debt assumed")*Events!$H$6:$H$400)</f>
        <v>0</v>
      </c>
      <c r="Q79" s="56" t="n">
        <f aca="false">IF($A79&lt;1887,0,MAX(0,debt_floor*Economy!O79-(R78+P79+H79-C79-K79)))</f>
        <v>532.951135331482</v>
      </c>
      <c r="R79" s="56" t="n">
        <f aca="false">R78+P79+H79-C79-K79+Q79</f>
        <v>2182.46607741712</v>
      </c>
      <c r="S79" s="56" t="n">
        <f aca="false">S78+L79-F79-J79+Q79*issue_price*(1-dev_bonds)</f>
        <v>415.675719459364</v>
      </c>
      <c r="T79" s="72" t="n">
        <f aca="false">Loans!X79</f>
        <v>1803.34450279115</v>
      </c>
      <c r="U79" s="56" t="n">
        <f aca="false">R79-M79-S79-T79</f>
        <v>-1337.56951829678</v>
      </c>
      <c r="V79" s="66" t="n">
        <f aca="false">R79/Economy!O79</f>
        <v>0.05</v>
      </c>
      <c r="W79" s="66" t="n">
        <f aca="false">Budget!X79/Budget!M79</f>
        <v>0.0178789875506045</v>
      </c>
      <c r="X79" s="66" t="n">
        <f aca="false">S79/Economy!O79</f>
        <v>0.00952307400698076</v>
      </c>
      <c r="Y79" s="56" t="n">
        <f aca="false">MAX(0,H79+Q79-'Gold &amp; money'!G79)</f>
        <v>532.951135331482</v>
      </c>
    </row>
    <row r="80" customFormat="false" ht="14.25" hidden="false" customHeight="true" outlineLevel="0" collapsed="false">
      <c r="A80" s="64" t="n">
        <v>1920</v>
      </c>
      <c r="B80" s="56" t="n">
        <f aca="false">Loans!V80-Loans!W80</f>
        <v>248.047840887454</v>
      </c>
      <c r="C80" s="56" t="n">
        <f aca="false">R79*debt_amort</f>
        <v>43.6493215483423</v>
      </c>
      <c r="D80" s="56" t="n">
        <f aca="false">M79+Budget!Z80-B80-C80</f>
        <v>2733.69894084669</v>
      </c>
      <c r="E80" s="56" t="n">
        <f aca="false">MAX(0.1,Budget!M80*cash_target)</f>
        <v>1507.07418679786</v>
      </c>
      <c r="F80" s="56" t="n">
        <f aca="false">IF(D80&lt;E80,MIN(E80-D80,S79),0)</f>
        <v>0</v>
      </c>
      <c r="G80" s="56" t="n">
        <f aca="false">MAX(0,E80-D80-F80)</f>
        <v>0</v>
      </c>
      <c r="H80" s="56" t="n">
        <f aca="false">G80/issue_price</f>
        <v>0</v>
      </c>
      <c r="I80" s="56" t="n">
        <f aca="false">IF(AND(D80&gt;E80,$A80&gt;=dev_start),(D80-E80)*dev_share,0)</f>
        <v>858.637327834182</v>
      </c>
      <c r="J80" s="56" t="n">
        <f aca="false">IF($A80&gt;=dev_start,MAX(0,S79-F80-reserve_buffer*Economy!O80),0)</f>
        <v>0</v>
      </c>
      <c r="K80" s="56" t="n">
        <f aca="false">IF(D80&gt;E80,MIN((D80-E80-I80)*repay_share,R79-C80),0)</f>
        <v>294.38994097172</v>
      </c>
      <c r="L80" s="56" t="n">
        <f aca="false">IF(D80&gt;E80,D80-E80-I80-K80,0)</f>
        <v>73.5974852429299</v>
      </c>
      <c r="M80" s="56" t="n">
        <f aca="false">D80+F80+G80-I80-K80-L80</f>
        <v>1507.07418679786</v>
      </c>
      <c r="N80" s="56" t="n">
        <f aca="false">I80+J80+Q80*issue_price*dev_bonds+SUMPRODUCT((Events!$B$6:$B$400&lt;=$A80)*(Events!$C$6:$C$400&gt;=$A80)*(Events!$E$6:$E$400="Investment")*Events!$H$6:$H$400)</f>
        <v>1557.33090695497</v>
      </c>
      <c r="O80" s="56" t="n">
        <f aca="false">O79*(1-dev_dep)+N80</f>
        <v>7944.24016347394</v>
      </c>
      <c r="P80" s="56" t="n">
        <f aca="false">SUMPRODUCT((Events!$B$6:$B$400&lt;=$A80)*(Events!$C$6:$C$400&gt;=$A80)*(Events!$E$6:$E$400="Debt assumed")*Events!$H$6:$H$400)</f>
        <v>0</v>
      </c>
      <c r="Q80" s="56" t="n">
        <f aca="false">IF($A80&lt;1887,0,MAX(0,debt_floor*Economy!O80-(R79+P80+H80-C80-K80)))</f>
        <v>719.065545485351</v>
      </c>
      <c r="R80" s="56" t="n">
        <f aca="false">R79+P80+H80-C80-K80+Q80</f>
        <v>2563.49236038241</v>
      </c>
      <c r="S80" s="56" t="n">
        <f aca="false">S79+L80-F80-J80+Q80*issue_price*(1-dev_bonds)</f>
        <v>489.273204702294</v>
      </c>
      <c r="T80" s="72" t="n">
        <f aca="false">Loans!X80</f>
        <v>2051.3923436786</v>
      </c>
      <c r="U80" s="56" t="n">
        <f aca="false">R80-M80-S80-T80</f>
        <v>-1484.24737479635</v>
      </c>
      <c r="V80" s="66" t="n">
        <f aca="false">R80/Economy!O80</f>
        <v>0.05</v>
      </c>
      <c r="W80" s="66" t="n">
        <f aca="false">Budget!X80/Budget!M80</f>
        <v>0.0176311987328315</v>
      </c>
      <c r="X80" s="66" t="n">
        <f aca="false">S80/Economy!O80</f>
        <v>0.0095430985530479</v>
      </c>
      <c r="Y80" s="56" t="n">
        <f aca="false">MAX(0,H80+Q80-'Gold &amp; money'!G80)</f>
        <v>719.065545485351</v>
      </c>
    </row>
    <row r="81" customFormat="false" ht="14.25" hidden="false" customHeight="true" outlineLevel="0" collapsed="false">
      <c r="A81" s="64" t="n">
        <v>1921</v>
      </c>
      <c r="B81" s="56" t="n">
        <f aca="false">Loans!V81-Loans!W81</f>
        <v>87.9400072519563</v>
      </c>
      <c r="C81" s="56" t="n">
        <f aca="false">R80*debt_amort</f>
        <v>51.2698472076481</v>
      </c>
      <c r="D81" s="56" t="n">
        <f aca="false">M80+Budget!Z81-B81-C81</f>
        <v>2256.80892980409</v>
      </c>
      <c r="E81" s="56" t="n">
        <f aca="false">MAX(0.1,Budget!M81*cash_target)</f>
        <v>1093.8473018489</v>
      </c>
      <c r="F81" s="56" t="n">
        <f aca="false">IF(D81&lt;E81,MIN(E81-D81,S80),0)</f>
        <v>0</v>
      </c>
      <c r="G81" s="56" t="n">
        <f aca="false">MAX(0,E81-D81-F81)</f>
        <v>0</v>
      </c>
      <c r="H81" s="56" t="n">
        <f aca="false">G81/issue_price</f>
        <v>0</v>
      </c>
      <c r="I81" s="56" t="n">
        <f aca="false">IF(AND(D81&gt;E81,$A81&gt;=dev_start),(D81-E81)*dev_share,0)</f>
        <v>814.073139568639</v>
      </c>
      <c r="J81" s="56" t="n">
        <f aca="false">IF($A81&gt;=dev_start,MAX(0,S80-F81-reserve_buffer*Economy!O81),0)</f>
        <v>0</v>
      </c>
      <c r="K81" s="56" t="n">
        <f aca="false">IF(D81&gt;E81,MIN((D81-E81-I81)*repay_share,R80-C81),0)</f>
        <v>279.110790709248</v>
      </c>
      <c r="L81" s="56" t="n">
        <f aca="false">IF(D81&gt;E81,D81-E81-I81-K81,0)</f>
        <v>69.7776976773119</v>
      </c>
      <c r="M81" s="56" t="n">
        <f aca="false">D81+F81+G81-I81-K81-L81</f>
        <v>1093.8473018489</v>
      </c>
      <c r="N81" s="56" t="n">
        <f aca="false">I81+J81+Q81*issue_price*dev_bonds+SUMPRODUCT((Events!$B$6:$B$400&lt;=$A81)*(Events!$C$6:$C$400&gt;=$A81)*(Events!$E$6:$E$400="Investment")*Events!$H$6:$H$400)</f>
        <v>815.273139568639</v>
      </c>
      <c r="O81" s="56" t="n">
        <f aca="false">O80*(1-dev_dep)+N81</f>
        <v>8521.18609813836</v>
      </c>
      <c r="P81" s="56" t="n">
        <f aca="false">SUMPRODUCT((Events!$B$6:$B$400&lt;=$A81)*(Events!$C$6:$C$400&gt;=$A81)*(Events!$E$6:$E$400="Debt assumed")*Events!$H$6:$H$400)</f>
        <v>0</v>
      </c>
      <c r="Q81" s="56" t="n">
        <f aca="false">IF($A81&lt;1887,0,MAX(0,debt_floor*Economy!O81-(R80+P81+H81-C81-K81)))</f>
        <v>0</v>
      </c>
      <c r="R81" s="56" t="n">
        <f aca="false">R80+P81+H81-C81-K81+Q81</f>
        <v>2233.11172246551</v>
      </c>
      <c r="S81" s="56" t="n">
        <f aca="false">S80+L81-F81-J81+Q81*issue_price*(1-dev_bonds)</f>
        <v>559.050902379606</v>
      </c>
      <c r="T81" s="72" t="n">
        <f aca="false">Loans!X81</f>
        <v>2139.33235093056</v>
      </c>
      <c r="U81" s="56" t="n">
        <f aca="false">R81-M81-S81-T81</f>
        <v>-1559.11883269355</v>
      </c>
      <c r="V81" s="66" t="n">
        <f aca="false">R81/Economy!O81</f>
        <v>0.0532770139512322</v>
      </c>
      <c r="W81" s="66" t="n">
        <f aca="false">Budget!X81/Budget!M81</f>
        <v>0.0283570270806519</v>
      </c>
      <c r="X81" s="66" t="n">
        <f aca="false">S81/Economy!O81</f>
        <v>0.0133376948523843</v>
      </c>
      <c r="Y81" s="56" t="n">
        <f aca="false">MAX(0,H81+Q81-'Gold &amp; money'!G81)</f>
        <v>0</v>
      </c>
    </row>
    <row r="82" customFormat="false" ht="14.25" hidden="false" customHeight="true" outlineLevel="0" collapsed="false">
      <c r="A82" s="64" t="n">
        <v>1922</v>
      </c>
      <c r="B82" s="56" t="n">
        <f aca="false">Loans!V82-Loans!W82</f>
        <v>87.622406961878</v>
      </c>
      <c r="C82" s="56" t="n">
        <f aca="false">R81*debt_amort</f>
        <v>44.6622344493102</v>
      </c>
      <c r="D82" s="56" t="n">
        <f aca="false">M81+Budget!Z82-B82-C82</f>
        <v>1998.93726877125</v>
      </c>
      <c r="E82" s="56" t="n">
        <f aca="false">MAX(0.1,Budget!M82*cash_target)</f>
        <v>1136.1014383375</v>
      </c>
      <c r="F82" s="56" t="n">
        <f aca="false">IF(D82&lt;E82,MIN(E82-D82,S81),0)</f>
        <v>0</v>
      </c>
      <c r="G82" s="56" t="n">
        <f aca="false">MAX(0,E82-D82-F82)</f>
        <v>0</v>
      </c>
      <c r="H82" s="56" t="n">
        <f aca="false">G82/issue_price</f>
        <v>0</v>
      </c>
      <c r="I82" s="56" t="n">
        <f aca="false">IF(AND(D82&gt;E82,$A82&gt;=dev_start),(D82-E82)*dev_share,0)</f>
        <v>603.985081303626</v>
      </c>
      <c r="J82" s="56" t="n">
        <f aca="false">IF($A82&gt;=dev_start,MAX(0,S81-F82-reserve_buffer*Economy!O82),0)</f>
        <v>0</v>
      </c>
      <c r="K82" s="56" t="n">
        <f aca="false">IF(D82&gt;E82,MIN((D82-E82-I82)*repay_share,R81-C82),0)</f>
        <v>207.0805993041</v>
      </c>
      <c r="L82" s="56" t="n">
        <f aca="false">IF(D82&gt;E82,D82-E82-I82-K82,0)</f>
        <v>51.7701498260251</v>
      </c>
      <c r="M82" s="56" t="n">
        <f aca="false">D82+F82+G82-I82-K82-L82</f>
        <v>1136.1014383375</v>
      </c>
      <c r="N82" s="56" t="n">
        <f aca="false">I82+J82+Q82*issue_price*dev_bonds+SUMPRODUCT((Events!$B$6:$B$400&lt;=$A82)*(Events!$C$6:$C$400&gt;=$A82)*(Events!$E$6:$E$400="Investment")*Events!$H$6:$H$400)</f>
        <v>787.447960159232</v>
      </c>
      <c r="O82" s="56" t="n">
        <f aca="false">O81*(1-dev_dep)+N82</f>
        <v>9052.99847535345</v>
      </c>
      <c r="P82" s="56" t="n">
        <f aca="false">SUMPRODUCT((Events!$B$6:$B$400&lt;=$A82)*(Events!$C$6:$C$400&gt;=$A82)*(Events!$E$6:$E$400="Debt assumed")*Events!$H$6:$H$400)</f>
        <v>0</v>
      </c>
      <c r="Q82" s="56" t="n">
        <f aca="false">IF($A82&lt;1887,0,MAX(0,debt_floor*Economy!O82-(R81+P82+H82-C82-K82)))</f>
        <v>187.899875108873</v>
      </c>
      <c r="R82" s="56" t="n">
        <f aca="false">R81+P82+H82-C82-K82+Q82</f>
        <v>2169.26876382097</v>
      </c>
      <c r="S82" s="56" t="n">
        <f aca="false">S81+L82-F82-J82+Q82*issue_price*(1-dev_bonds)</f>
        <v>610.821052205631</v>
      </c>
      <c r="T82" s="72" t="n">
        <f aca="false">Loans!X82</f>
        <v>2380.09082408332</v>
      </c>
      <c r="U82" s="56" t="n">
        <f aca="false">R82-M82-S82-T82</f>
        <v>-1957.74455080547</v>
      </c>
      <c r="V82" s="66" t="n">
        <f aca="false">R82/Economy!O82</f>
        <v>0.05</v>
      </c>
      <c r="W82" s="66" t="n">
        <f aca="false">Budget!X82/Budget!M82</f>
        <v>0.0236853817341226</v>
      </c>
      <c r="X82" s="66" t="n">
        <f aca="false">S82/Economy!O82</f>
        <v>0.0140789620537781</v>
      </c>
      <c r="Y82" s="56" t="n">
        <f aca="false">MAX(0,H82+Q82-'Gold &amp; money'!G82)</f>
        <v>187.899875108873</v>
      </c>
    </row>
    <row r="83" customFormat="false" ht="14.25" hidden="false" customHeight="true" outlineLevel="0" collapsed="false">
      <c r="A83" s="61" t="n">
        <v>1923</v>
      </c>
      <c r="B83" s="56" t="n">
        <f aca="false">Loans!V83-Loans!W83</f>
        <v>86.1090532247086</v>
      </c>
      <c r="C83" s="56" t="n">
        <f aca="false">R82*debt_amort</f>
        <v>43.3853752764194</v>
      </c>
      <c r="D83" s="56" t="n">
        <f aca="false">M82+Budget!Z83-B83-C83</f>
        <v>2232.78309029739</v>
      </c>
      <c r="E83" s="56" t="n">
        <f aca="false">MAX(0.1,Budget!M83*cash_target)</f>
        <v>1274.17316143859</v>
      </c>
      <c r="F83" s="56" t="n">
        <f aca="false">IF(D83&lt;E83,MIN(E83-D83,S82),0)</f>
        <v>0</v>
      </c>
      <c r="G83" s="56" t="n">
        <f aca="false">MAX(0,E83-D83-F83)</f>
        <v>0</v>
      </c>
      <c r="H83" s="56" t="n">
        <f aca="false">G83/issue_price</f>
        <v>0</v>
      </c>
      <c r="I83" s="56" t="n">
        <f aca="false">IF(AND(D83&gt;E83,$A83&gt;=dev_start),(D83-E83)*dev_share,0)</f>
        <v>671.026950201156</v>
      </c>
      <c r="J83" s="56" t="n">
        <f aca="false">IF($A83&gt;=dev_start,MAX(0,S82-F83-reserve_buffer*Economy!O83),0)</f>
        <v>0</v>
      </c>
      <c r="K83" s="56" t="n">
        <f aca="false">IF(D83&gt;E83,MIN((D83-E83-I83)*repay_share,R82-C83),0)</f>
        <v>230.066382926111</v>
      </c>
      <c r="L83" s="56" t="n">
        <f aca="false">IF(D83&gt;E83,D83-E83-I83-K83,0)</f>
        <v>57.5165957315277</v>
      </c>
      <c r="M83" s="56" t="n">
        <f aca="false">D83+F83+G83-I83-K83-L83</f>
        <v>1274.17316143859</v>
      </c>
      <c r="N83" s="56" t="n">
        <f aca="false">I83+J83+Q83*issue_price*dev_bonds+SUMPRODUCT((Events!$B$6:$B$400&lt;=$A83)*(Events!$C$6:$C$400&gt;=$A83)*(Events!$E$6:$E$400="Investment")*Events!$H$6:$H$400)</f>
        <v>1208.36235862512</v>
      </c>
      <c r="O83" s="56" t="n">
        <f aca="false">O82*(1-dev_dep)+N83</f>
        <v>9989.77087971796</v>
      </c>
      <c r="P83" s="56" t="n">
        <f aca="false">SUMPRODUCT((Events!$B$6:$B$400&lt;=$A83)*(Events!$C$6:$C$400&gt;=$A83)*(Events!$E$6:$E$400="Debt assumed")*Events!$H$6:$H$400)</f>
        <v>0</v>
      </c>
      <c r="Q83" s="56" t="n">
        <f aca="false">IF($A83&lt;1887,0,MAX(0,debt_floor*Economy!O83-(R82+P83+H83-C83-K83)))</f>
        <v>552.716915900994</v>
      </c>
      <c r="R83" s="56" t="n">
        <f aca="false">R82+P83+H83-C83-K83+Q83</f>
        <v>2448.53392151944</v>
      </c>
      <c r="S83" s="56" t="n">
        <f aca="false">S82+L83-F83-J83+Q83*issue_price*(1-dev_bonds)</f>
        <v>668.337647937158</v>
      </c>
      <c r="T83" s="72" t="n">
        <f aca="false">Loans!X83</f>
        <v>2466.19987730803</v>
      </c>
      <c r="U83" s="56" t="n">
        <f aca="false">R83-M83-S83-T83</f>
        <v>-1960.17676516434</v>
      </c>
      <c r="V83" s="66" t="n">
        <f aca="false">R83/Economy!O83</f>
        <v>0.05</v>
      </c>
      <c r="W83" s="66" t="n">
        <f aca="false">Budget!X83/Budget!M83</f>
        <v>0.0204298959934625</v>
      </c>
      <c r="X83" s="66" t="n">
        <f aca="false">S83/Economy!O83</f>
        <v>0.0136477106170214</v>
      </c>
      <c r="Y83" s="56" t="n">
        <f aca="false">MAX(0,H83+Q83-'Gold &amp; money'!G83)</f>
        <v>552.716915900994</v>
      </c>
    </row>
    <row r="84" customFormat="false" ht="14.25" hidden="false" customHeight="true" outlineLevel="0" collapsed="false">
      <c r="A84" s="61" t="n">
        <v>1924</v>
      </c>
      <c r="B84" s="56" t="n">
        <f aca="false">Loans!V84-Loans!W84</f>
        <v>33.7636881167116</v>
      </c>
      <c r="C84" s="56" t="n">
        <f aca="false">R83*debt_amort</f>
        <v>48.9706784303887</v>
      </c>
      <c r="D84" s="56" t="n">
        <f aca="false">M83+Budget!Z84-B84-C84</f>
        <v>2485.97853541617</v>
      </c>
      <c r="E84" s="56" t="n">
        <f aca="false">MAX(0.1,Budget!M84*cash_target)</f>
        <v>1362.96339532483</v>
      </c>
      <c r="F84" s="56" t="n">
        <f aca="false">IF(D84&lt;E84,MIN(E84-D84,S83),0)</f>
        <v>0</v>
      </c>
      <c r="G84" s="56" t="n">
        <f aca="false">MAX(0,E84-D84-F84)</f>
        <v>0</v>
      </c>
      <c r="H84" s="56" t="n">
        <f aca="false">G84/issue_price</f>
        <v>0</v>
      </c>
      <c r="I84" s="56" t="n">
        <f aca="false">IF(AND(D84&gt;E84,$A84&gt;=dev_start),(D84-E84)*dev_share,0)</f>
        <v>786.110598063936</v>
      </c>
      <c r="J84" s="56" t="n">
        <f aca="false">IF($A84&gt;=dev_start,MAX(0,S83-F84-reserve_buffer*Economy!O84),0)</f>
        <v>0</v>
      </c>
      <c r="K84" s="56" t="n">
        <f aca="false">IF(D84&gt;E84,MIN((D84-E84-I84)*repay_share,R83-C84),0)</f>
        <v>269.523633621921</v>
      </c>
      <c r="L84" s="56" t="n">
        <f aca="false">IF(D84&gt;E84,D84-E84-I84-K84,0)</f>
        <v>67.3809084054802</v>
      </c>
      <c r="M84" s="56" t="n">
        <f aca="false">D84+F84+G84-I84-K84-L84</f>
        <v>1362.96339532483</v>
      </c>
      <c r="N84" s="56" t="n">
        <f aca="false">I84+J84+Q84*issue_price*dev_bonds+SUMPRODUCT((Events!$B$6:$B$400&lt;=$A84)*(Events!$C$6:$C$400&gt;=$A84)*(Events!$E$6:$E$400="Investment")*Events!$H$6:$H$400)</f>
        <v>1255.78610768221</v>
      </c>
      <c r="O84" s="56" t="n">
        <f aca="false">O83*(1-dev_dep)+N84</f>
        <v>10945.8638610086</v>
      </c>
      <c r="P84" s="56" t="n">
        <f aca="false">SUMPRODUCT((Events!$B$6:$B$400&lt;=$A84)*(Events!$C$6:$C$400&gt;=$A84)*(Events!$E$6:$E$400="Debt assumed")*Events!$H$6:$H$400)</f>
        <v>0</v>
      </c>
      <c r="Q84" s="56" t="n">
        <f aca="false">IF($A84&lt;1887,0,MAX(0,debt_floor*Economy!O84-(R83+P84+H84-C84-K84)))</f>
        <v>482.964442905438</v>
      </c>
      <c r="R84" s="56" t="n">
        <f aca="false">R83+P84+H84-C84-K84+Q84</f>
        <v>2613.00405237256</v>
      </c>
      <c r="S84" s="56" t="n">
        <f aca="false">S83+L84-F84-J84+Q84*issue_price*(1-dev_bonds)</f>
        <v>735.718556342639</v>
      </c>
      <c r="T84" s="72" t="n">
        <f aca="false">Loans!X84</f>
        <v>2499.96356542474</v>
      </c>
      <c r="U84" s="56" t="n">
        <f aca="false">R84-M84-S84-T84</f>
        <v>-1985.64146471964</v>
      </c>
      <c r="V84" s="66" t="n">
        <f aca="false">R84/Economy!O84</f>
        <v>0.05</v>
      </c>
      <c r="W84" s="66" t="n">
        <f aca="false">Budget!X84/Budget!M84</f>
        <v>0.0216475613765676</v>
      </c>
      <c r="X84" s="66" t="n">
        <f aca="false">S84/Economy!O84</f>
        <v>0.0140780217251217</v>
      </c>
      <c r="Y84" s="56" t="n">
        <f aca="false">MAX(0,H84+Q84-'Gold &amp; money'!G84)</f>
        <v>482.964442905438</v>
      </c>
    </row>
    <row r="85" customFormat="false" ht="14.25" hidden="false" customHeight="true" outlineLevel="0" collapsed="false">
      <c r="A85" s="61" t="n">
        <v>1925</v>
      </c>
      <c r="B85" s="56" t="n">
        <f aca="false">Loans!V85-Loans!W85</f>
        <v>-46.5054463393014</v>
      </c>
      <c r="C85" s="56" t="n">
        <f aca="false">R84*debt_amort</f>
        <v>52.2600810474513</v>
      </c>
      <c r="D85" s="56" t="n">
        <f aca="false">M84+Budget!Z85-B85-C85</f>
        <v>2744.11887961647</v>
      </c>
      <c r="E85" s="56" t="n">
        <f aca="false">MAX(0.1,Budget!M85*cash_target)</f>
        <v>1472.6849420471</v>
      </c>
      <c r="F85" s="56" t="n">
        <f aca="false">IF(D85&lt;E85,MIN(E85-D85,S84),0)</f>
        <v>0</v>
      </c>
      <c r="G85" s="56" t="n">
        <f aca="false">MAX(0,E85-D85-F85)</f>
        <v>0</v>
      </c>
      <c r="H85" s="56" t="n">
        <f aca="false">G85/issue_price</f>
        <v>0</v>
      </c>
      <c r="I85" s="56" t="n">
        <f aca="false">IF(AND(D85&gt;E85,$A85&gt;=dev_start),(D85-E85)*dev_share,0)</f>
        <v>890.003756298562</v>
      </c>
      <c r="J85" s="56" t="n">
        <f aca="false">IF($A85&gt;=dev_start,MAX(0,S84-F85-reserve_buffer*Economy!O85),0)</f>
        <v>0</v>
      </c>
      <c r="K85" s="56" t="n">
        <f aca="false">IF(D85&gt;E85,MIN((D85-E85-I85)*repay_share,R84-C85),0)</f>
        <v>305.14414501665</v>
      </c>
      <c r="L85" s="56" t="n">
        <f aca="false">IF(D85&gt;E85,D85-E85-I85-K85,0)</f>
        <v>76.2860362541625</v>
      </c>
      <c r="M85" s="56" t="n">
        <f aca="false">D85+F85+G85-I85-K85-L85</f>
        <v>1472.6849420471</v>
      </c>
      <c r="N85" s="56" t="n">
        <f aca="false">I85+J85+Q85*issue_price*dev_bonds+SUMPRODUCT((Events!$B$6:$B$400&lt;=$A85)*(Events!$C$6:$C$400&gt;=$A85)*(Events!$E$6:$E$400="Investment")*Events!$H$6:$H$400)</f>
        <v>1443.23300240257</v>
      </c>
      <c r="O85" s="56" t="n">
        <f aca="false">O84*(1-dev_dep)+N85</f>
        <v>12060.7209475809</v>
      </c>
      <c r="P85" s="56" t="n">
        <f aca="false">SUMPRODUCT((Events!$B$6:$B$400&lt;=$A85)*(Events!$C$6:$C$400&gt;=$A85)*(Events!$E$6:$E$400="Debt assumed")*Events!$H$6:$H$400)</f>
        <v>0</v>
      </c>
      <c r="Q85" s="56" t="n">
        <f aca="false">IF($A85&lt;1887,0,MAX(0,debt_floor*Economy!O85-(R84+P85+H85-C85-K85)))</f>
        <v>569.102315571144</v>
      </c>
      <c r="R85" s="56" t="n">
        <f aca="false">R84+P85+H85-C85-K85+Q85</f>
        <v>2824.70214187961</v>
      </c>
      <c r="S85" s="56" t="n">
        <f aca="false">S84+L85-F85-J85+Q85*issue_price*(1-dev_bonds)</f>
        <v>812.004592596801</v>
      </c>
      <c r="T85" s="72" t="n">
        <f aca="false">Loans!X85</f>
        <v>2453.45811908544</v>
      </c>
      <c r="U85" s="56" t="n">
        <f aca="false">R85-M85-S85-T85</f>
        <v>-1913.44551184973</v>
      </c>
      <c r="V85" s="66" t="n">
        <f aca="false">R85/Economy!O85</f>
        <v>0.05</v>
      </c>
      <c r="W85" s="66" t="n">
        <f aca="false">Budget!X85/Budget!M85</f>
        <v>0.021469187421553</v>
      </c>
      <c r="X85" s="66" t="n">
        <f aca="false">S85/Economy!O85</f>
        <v>0.0143732781690122</v>
      </c>
      <c r="Y85" s="56" t="n">
        <f aca="false">MAX(0,H85+Q85-'Gold &amp; money'!G85)</f>
        <v>569.102315571144</v>
      </c>
    </row>
    <row r="86" customFormat="false" ht="14.25" hidden="false" customHeight="true" outlineLevel="0" collapsed="false">
      <c r="A86" s="61" t="n">
        <v>1926</v>
      </c>
      <c r="B86" s="56" t="n">
        <f aca="false">Loans!V86-Loans!W86</f>
        <v>-45.5011180261723</v>
      </c>
      <c r="C86" s="56" t="n">
        <f aca="false">R85*debt_amort</f>
        <v>56.4940428375922</v>
      </c>
      <c r="D86" s="56" t="n">
        <f aca="false">M85+Budget!Z86-B86-C86</f>
        <v>2917.65590113871</v>
      </c>
      <c r="E86" s="56" t="n">
        <f aca="false">MAX(0.1,Budget!M86*cash_target)</f>
        <v>1537.67319651401</v>
      </c>
      <c r="F86" s="56" t="n">
        <f aca="false">IF(D86&lt;E86,MIN(E86-D86,S85),0)</f>
        <v>0</v>
      </c>
      <c r="G86" s="56" t="n">
        <f aca="false">MAX(0,E86-D86-F86)</f>
        <v>0</v>
      </c>
      <c r="H86" s="56" t="n">
        <f aca="false">G86/issue_price</f>
        <v>0</v>
      </c>
      <c r="I86" s="56" t="n">
        <f aca="false">IF(AND(D86&gt;E86,$A86&gt;=dev_start),(D86-E86)*dev_share,0)</f>
        <v>965.987893237289</v>
      </c>
      <c r="J86" s="56" t="n">
        <f aca="false">IF($A86&gt;=dev_start,MAX(0,S85-F86-reserve_buffer*Economy!O86),0)</f>
        <v>0</v>
      </c>
      <c r="K86" s="56" t="n">
        <f aca="false">IF(D86&gt;E86,MIN((D86-E86-I86)*repay_share,R85-C86),0)</f>
        <v>331.195849109928</v>
      </c>
      <c r="L86" s="56" t="n">
        <f aca="false">IF(D86&gt;E86,D86-E86-I86-K86,0)</f>
        <v>82.798962277482</v>
      </c>
      <c r="M86" s="56" t="n">
        <f aca="false">D86+F86+G86-I86-K86-L86</f>
        <v>1537.67319651401</v>
      </c>
      <c r="N86" s="56" t="n">
        <f aca="false">I86+J86+Q86*issue_price*dev_bonds+SUMPRODUCT((Events!$B$6:$B$400&lt;=$A86)*(Events!$C$6:$C$400&gt;=$A86)*(Events!$E$6:$E$400="Investment")*Events!$H$6:$H$400)</f>
        <v>1461.38561655791</v>
      </c>
      <c r="O86" s="56" t="n">
        <f aca="false">O85*(1-dev_dep)+N86</f>
        <v>13160.2849357114</v>
      </c>
      <c r="P86" s="56" t="n">
        <f aca="false">SUMPRODUCT((Events!$B$6:$B$400&lt;=$A86)*(Events!$C$6:$C$400&gt;=$A86)*(Events!$E$6:$E$400="Debt assumed")*Events!$H$6:$H$400)</f>
        <v>0</v>
      </c>
      <c r="Q86" s="56" t="n">
        <f aca="false">IF($A86&lt;1887,0,MAX(0,debt_floor*Economy!O86-(R85+P86+H86-C86-K86)))</f>
        <v>509.482188990328</v>
      </c>
      <c r="R86" s="56" t="n">
        <f aca="false">R85+P86+H86-C86-K86+Q86</f>
        <v>2946.49443892242</v>
      </c>
      <c r="S86" s="56" t="n">
        <f aca="false">S85+L86-F86-J86+Q86*issue_price*(1-dev_bonds)</f>
        <v>894.803554874283</v>
      </c>
      <c r="T86" s="72" t="n">
        <f aca="false">Loans!X86</f>
        <v>2407.95700105927</v>
      </c>
      <c r="U86" s="56" t="n">
        <f aca="false">R86-M86-S86-T86</f>
        <v>-1893.93931352514</v>
      </c>
      <c r="V86" s="66" t="n">
        <f aca="false">R86/Economy!O86</f>
        <v>0.05</v>
      </c>
      <c r="W86" s="66" t="n">
        <f aca="false">Budget!X86/Budget!M86</f>
        <v>0.022365447128395</v>
      </c>
      <c r="X86" s="66" t="n">
        <f aca="false">S86/Economy!O86</f>
        <v>0.0151842057302767</v>
      </c>
      <c r="Y86" s="56" t="n">
        <f aca="false">MAX(0,H86+Q86-'Gold &amp; money'!G86)</f>
        <v>509.482188990328</v>
      </c>
    </row>
    <row r="87" customFormat="false" ht="14.25" hidden="false" customHeight="true" outlineLevel="0" collapsed="false">
      <c r="A87" s="61" t="n">
        <v>1927</v>
      </c>
      <c r="B87" s="56" t="n">
        <f aca="false">Loans!V87-Loans!W87</f>
        <v>121.176509702951</v>
      </c>
      <c r="C87" s="56" t="n">
        <f aca="false">R86*debt_amort</f>
        <v>58.9298887784483</v>
      </c>
      <c r="D87" s="56" t="n">
        <f aca="false">M86+Budget!Z87-B87-C87</f>
        <v>3096.2235643819</v>
      </c>
      <c r="E87" s="56" t="n">
        <f aca="false">MAX(0.1,Budget!M87*cash_target)</f>
        <v>1663.78002370019</v>
      </c>
      <c r="F87" s="56" t="n">
        <f aca="false">IF(D87&lt;E87,MIN(E87-D87,S86),0)</f>
        <v>0</v>
      </c>
      <c r="G87" s="56" t="n">
        <f aca="false">MAX(0,E87-D87-F87)</f>
        <v>0</v>
      </c>
      <c r="H87" s="56" t="n">
        <f aca="false">G87/issue_price</f>
        <v>0</v>
      </c>
      <c r="I87" s="56" t="n">
        <f aca="false">IF(AND(D87&gt;E87,$A87&gt;=dev_start),(D87-E87)*dev_share,0)</f>
        <v>1002.7104784772</v>
      </c>
      <c r="J87" s="56" t="n">
        <f aca="false">IF($A87&gt;=dev_start,MAX(0,S86-F87-reserve_buffer*Economy!O87),0)</f>
        <v>0</v>
      </c>
      <c r="K87" s="56" t="n">
        <f aca="false">IF(D87&gt;E87,MIN((D87-E87-I87)*repay_share,R86-C87),0)</f>
        <v>343.78644976361</v>
      </c>
      <c r="L87" s="56" t="n">
        <f aca="false">IF(D87&gt;E87,D87-E87-I87-K87,0)</f>
        <v>85.9466124409024</v>
      </c>
      <c r="M87" s="56" t="n">
        <f aca="false">D87+F87+G87-I87-K87-L87</f>
        <v>1663.78002370019</v>
      </c>
      <c r="N87" s="56" t="n">
        <f aca="false">I87+J87+Q87*issue_price*dev_bonds+SUMPRODUCT((Events!$B$6:$B$400&lt;=$A87)*(Events!$C$6:$C$400&gt;=$A87)*(Events!$E$6:$E$400="Investment")*Events!$H$6:$H$400)</f>
        <v>1498.16488647122</v>
      </c>
      <c r="O87" s="56" t="n">
        <f aca="false">O86*(1-dev_dep)+N87</f>
        <v>14263.6412741113</v>
      </c>
      <c r="P87" s="56" t="n">
        <f aca="false">SUMPRODUCT((Events!$B$6:$B$400&lt;=$A87)*(Events!$C$6:$C$400&gt;=$A87)*(Events!$E$6:$E$400="Debt assumed")*Events!$H$6:$H$400)</f>
        <v>0</v>
      </c>
      <c r="Q87" s="56" t="n">
        <f aca="false">IF($A87&lt;1887,0,MAX(0,debt_floor*Economy!O87-(R86+P87+H87-C87-K87)))</f>
        <v>509.540626797961</v>
      </c>
      <c r="R87" s="56" t="n">
        <f aca="false">R86+P87+H87-C87-K87+Q87</f>
        <v>3053.31872717832</v>
      </c>
      <c r="S87" s="56" t="n">
        <f aca="false">S86+L87-F87-J87+Q87*issue_price*(1-dev_bonds)</f>
        <v>980.750167315185</v>
      </c>
      <c r="T87" s="72" t="n">
        <f aca="false">Loans!X87</f>
        <v>2529.13351076222</v>
      </c>
      <c r="U87" s="56" t="n">
        <f aca="false">R87-M87-S87-T87</f>
        <v>-2120.34497459928</v>
      </c>
      <c r="V87" s="66" t="n">
        <f aca="false">R87/Economy!O87</f>
        <v>0.05</v>
      </c>
      <c r="W87" s="66" t="n">
        <f aca="false">Budget!X87/Budget!M87</f>
        <v>0.0216500342609699</v>
      </c>
      <c r="X87" s="66" t="n">
        <f aca="false">S87/Economy!O87</f>
        <v>0.0160603961614832</v>
      </c>
      <c r="Y87" s="56" t="n">
        <f aca="false">MAX(0,H87+Q87-'Gold &amp; money'!G87)</f>
        <v>509.540626797961</v>
      </c>
    </row>
    <row r="88" customFormat="false" ht="14.25" hidden="false" customHeight="true" outlineLevel="0" collapsed="false">
      <c r="A88" s="61" t="n">
        <v>1928</v>
      </c>
      <c r="B88" s="56" t="n">
        <f aca="false">Loans!V88-Loans!W88</f>
        <v>-43.5710580512757</v>
      </c>
      <c r="C88" s="56" t="n">
        <f aca="false">R87*debt_amort</f>
        <v>61.0663745435664</v>
      </c>
      <c r="D88" s="56" t="n">
        <f aca="false">M87+Budget!Z88-B88-C88</f>
        <v>3495.52701758517</v>
      </c>
      <c r="E88" s="56" t="n">
        <f aca="false">MAX(0.1,Budget!M88*cash_target)</f>
        <v>1786.56075393454</v>
      </c>
      <c r="F88" s="56" t="n">
        <f aca="false">IF(D88&lt;E88,MIN(E88-D88,S87),0)</f>
        <v>0</v>
      </c>
      <c r="G88" s="56" t="n">
        <f aca="false">MAX(0,E88-D88-F88)</f>
        <v>0</v>
      </c>
      <c r="H88" s="56" t="n">
        <f aca="false">G88/issue_price</f>
        <v>0</v>
      </c>
      <c r="I88" s="56" t="n">
        <f aca="false">IF(AND(D88&gt;E88,$A88&gt;=dev_start),(D88-E88)*dev_share,0)</f>
        <v>1196.27638455545</v>
      </c>
      <c r="J88" s="56" t="n">
        <f aca="false">IF($A88&gt;=dev_start,MAX(0,S87-F88-reserve_buffer*Economy!O88),0)</f>
        <v>0</v>
      </c>
      <c r="K88" s="56" t="n">
        <f aca="false">IF(D88&gt;E88,MIN((D88-E88-I88)*repay_share,R87-C88),0)</f>
        <v>410.151903276153</v>
      </c>
      <c r="L88" s="56" t="n">
        <f aca="false">IF(D88&gt;E88,D88-E88-I88-K88,0)</f>
        <v>102.537975819038</v>
      </c>
      <c r="M88" s="56" t="n">
        <f aca="false">D88+F88+G88-I88-K88-L88</f>
        <v>1786.56075393454</v>
      </c>
      <c r="N88" s="56" t="n">
        <f aca="false">I88+J88+Q88*issue_price*dev_bonds+SUMPRODUCT((Events!$B$6:$B$400&lt;=$A88)*(Events!$C$6:$C$400&gt;=$A88)*(Events!$E$6:$E$400="Investment")*Events!$H$6:$H$400)</f>
        <v>1870.48682716644</v>
      </c>
      <c r="O88" s="56" t="n">
        <f aca="false">O87*(1-dev_dep)+N88</f>
        <v>15706.2188630544</v>
      </c>
      <c r="P88" s="56" t="n">
        <f aca="false">SUMPRODUCT((Events!$B$6:$B$400&lt;=$A88)*(Events!$C$6:$C$400&gt;=$A88)*(Events!$E$6:$E$400="Debt assumed")*Events!$H$6:$H$400)</f>
        <v>0</v>
      </c>
      <c r="Q88" s="56" t="n">
        <f aca="false">IF($A88&lt;1887,0,MAX(0,debt_floor*Economy!O88-(R87+P88+H88-C88-K88)))</f>
        <v>693.825198568039</v>
      </c>
      <c r="R88" s="56" t="n">
        <f aca="false">R87+P88+H88-C88-K88+Q88</f>
        <v>3275.92564792664</v>
      </c>
      <c r="S88" s="56" t="n">
        <f aca="false">S87+L88-F88-J88+Q88*issue_price*(1-dev_bonds)</f>
        <v>1083.28814313422</v>
      </c>
      <c r="T88" s="72" t="n">
        <f aca="false">Loans!X88</f>
        <v>2485.56245271094</v>
      </c>
      <c r="U88" s="56" t="n">
        <f aca="false">R88-M88-S88-T88</f>
        <v>-2079.48570185306</v>
      </c>
      <c r="V88" s="66" t="n">
        <f aca="false">R88/Economy!O88</f>
        <v>0.05</v>
      </c>
      <c r="W88" s="66" t="n">
        <f aca="false">Budget!X88/Budget!M88</f>
        <v>0.020978568623302</v>
      </c>
      <c r="X88" s="66" t="n">
        <f aca="false">S88/Economy!O88</f>
        <v>0.016534077075587</v>
      </c>
      <c r="Y88" s="56" t="n">
        <f aca="false">MAX(0,H88+Q88-'Gold &amp; money'!G88)</f>
        <v>693.825198568039</v>
      </c>
    </row>
    <row r="89" customFormat="false" ht="14.25" hidden="false" customHeight="true" outlineLevel="0" collapsed="false">
      <c r="A89" s="61" t="n">
        <v>1929</v>
      </c>
      <c r="B89" s="56" t="n">
        <f aca="false">Loans!V89-Loans!W89</f>
        <v>-75.7836320523444</v>
      </c>
      <c r="C89" s="56" t="n">
        <f aca="false">R88*debt_amort</f>
        <v>65.5185129585327</v>
      </c>
      <c r="D89" s="56" t="n">
        <f aca="false">M88+Budget!Z89-B89-C89</f>
        <v>3756.47346787299</v>
      </c>
      <c r="E89" s="56" t="n">
        <f aca="false">MAX(0.1,Budget!M89*cash_target)</f>
        <v>1894.35472548333</v>
      </c>
      <c r="F89" s="56" t="n">
        <f aca="false">IF(D89&lt;E89,MIN(E89-D89,S88),0)</f>
        <v>0</v>
      </c>
      <c r="G89" s="56" t="n">
        <f aca="false">MAX(0,E89-D89-F89)</f>
        <v>0</v>
      </c>
      <c r="H89" s="56" t="n">
        <f aca="false">G89/issue_price</f>
        <v>0</v>
      </c>
      <c r="I89" s="56" t="n">
        <f aca="false">IF(AND(D89&gt;E89,$A89&gt;=dev_start),(D89-E89)*dev_share,0)</f>
        <v>1303.48311967276</v>
      </c>
      <c r="J89" s="56" t="n">
        <f aca="false">IF($A89&gt;=dev_start,MAX(0,S88-F89-reserve_buffer*Economy!O89),0)</f>
        <v>0</v>
      </c>
      <c r="K89" s="56" t="n">
        <f aca="false">IF(D89&gt;E89,MIN((D89-E89-I89)*repay_share,R88-C89),0)</f>
        <v>446.908498173517</v>
      </c>
      <c r="L89" s="56" t="n">
        <f aca="false">IF(D89&gt;E89,D89-E89-I89-K89,0)</f>
        <v>111.727124543379</v>
      </c>
      <c r="M89" s="56" t="n">
        <f aca="false">D89+F89+G89-I89-K89-L89</f>
        <v>1894.35472548333</v>
      </c>
      <c r="N89" s="56" t="n">
        <f aca="false">I89+J89+Q89*issue_price*dev_bonds+SUMPRODUCT((Events!$B$6:$B$400&lt;=$A89)*(Events!$C$6:$C$400&gt;=$A89)*(Events!$E$6:$E$400="Investment")*Events!$H$6:$H$400)</f>
        <v>1993.49802021082</v>
      </c>
      <c r="O89" s="56" t="n">
        <f aca="false">O88*(1-dev_dep)+N89</f>
        <v>17228.5303173736</v>
      </c>
      <c r="P89" s="56" t="n">
        <f aca="false">SUMPRODUCT((Events!$B$6:$B$400&lt;=$A89)*(Events!$C$6:$C$400&gt;=$A89)*(Events!$E$6:$E$400="Debt assumed")*Events!$H$6:$H$400)</f>
        <v>0</v>
      </c>
      <c r="Q89" s="56" t="n">
        <f aca="false">IF($A89&lt;1887,0,MAX(0,debt_floor*Economy!O89-(R88+P89+H89-C89-K89)))</f>
        <v>710.118454162946</v>
      </c>
      <c r="R89" s="56" t="n">
        <f aca="false">R88+P89+H89-C89-K89+Q89</f>
        <v>3473.61709095753</v>
      </c>
      <c r="S89" s="56" t="n">
        <f aca="false">S88+L89-F89-J89+Q89*issue_price*(1-dev_bonds)</f>
        <v>1195.0152676776</v>
      </c>
      <c r="T89" s="72" t="n">
        <f aca="false">Loans!X89</f>
        <v>2409.7788206586</v>
      </c>
      <c r="U89" s="56" t="n">
        <f aca="false">R89-M89-S89-T89</f>
        <v>-2025.531722862</v>
      </c>
      <c r="V89" s="66" t="n">
        <f aca="false">R89/Economy!O89</f>
        <v>0.05</v>
      </c>
      <c r="W89" s="66" t="n">
        <f aca="false">Budget!X89/Budget!M89</f>
        <v>0.0213137397487127</v>
      </c>
      <c r="X89" s="66" t="n">
        <f aca="false">S89/Economy!O89</f>
        <v>0.017201309706652</v>
      </c>
      <c r="Y89" s="56" t="n">
        <f aca="false">MAX(0,H89+Q89-'Gold &amp; money'!G89)</f>
        <v>710.118454162946</v>
      </c>
    </row>
    <row r="90" customFormat="false" ht="14.25" hidden="false" customHeight="true" outlineLevel="0" collapsed="false">
      <c r="A90" s="61" t="n">
        <v>1930</v>
      </c>
      <c r="B90" s="56" t="n">
        <f aca="false">Loans!V90-Loans!W90</f>
        <v>-74.8802982861638</v>
      </c>
      <c r="C90" s="56" t="n">
        <f aca="false">R89*debt_amort</f>
        <v>69.4723418191507</v>
      </c>
      <c r="D90" s="56" t="n">
        <f aca="false">M89+Budget!Z90-B90-C90</f>
        <v>3316.05360714313</v>
      </c>
      <c r="E90" s="56" t="n">
        <f aca="false">MAX(0.1,Budget!M90*cash_target)</f>
        <v>1758.60773903486</v>
      </c>
      <c r="F90" s="56" t="n">
        <f aca="false">IF(D90&lt;E90,MIN(E90-D90,S89),0)</f>
        <v>0</v>
      </c>
      <c r="G90" s="56" t="n">
        <f aca="false">MAX(0,E90-D90-F90)</f>
        <v>0</v>
      </c>
      <c r="H90" s="56" t="n">
        <f aca="false">G90/issue_price</f>
        <v>0</v>
      </c>
      <c r="I90" s="56" t="n">
        <f aca="false">IF(AND(D90&gt;E90,$A90&gt;=dev_start),(D90-E90)*dev_share,0)</f>
        <v>1090.21210767579</v>
      </c>
      <c r="J90" s="56" t="n">
        <f aca="false">IF($A90&gt;=dev_start,MAX(0,S89-F90-reserve_buffer*Economy!O90),0)</f>
        <v>0</v>
      </c>
      <c r="K90" s="56" t="n">
        <f aca="false">IF(D90&gt;E90,MIN((D90-E90-I90)*repay_share,R89-C90),0)</f>
        <v>373.787008345986</v>
      </c>
      <c r="L90" s="56" t="n">
        <f aca="false">IF(D90&gt;E90,D90-E90-I90-K90,0)</f>
        <v>93.4467520864964</v>
      </c>
      <c r="M90" s="56" t="n">
        <f aca="false">D90+F90+G90-I90-K90-L90</f>
        <v>1758.60773903486</v>
      </c>
      <c r="N90" s="56" t="n">
        <f aca="false">I90+J90+Q90*issue_price*dev_bonds+SUMPRODUCT((Events!$B$6:$B$400&lt;=$A90)*(Events!$C$6:$C$400&gt;=$A90)*(Events!$E$6:$E$400="Investment")*Events!$H$6:$H$400)</f>
        <v>1323.35474111153</v>
      </c>
      <c r="O90" s="56" t="n">
        <f aca="false">O89*(1-dev_dep)+N90</f>
        <v>18035.0291489639</v>
      </c>
      <c r="P90" s="56" t="n">
        <f aca="false">SUMPRODUCT((Events!$B$6:$B$400&lt;=$A90)*(Events!$C$6:$C$400&gt;=$A90)*(Events!$E$6:$E$400="Debt assumed")*Events!$H$6:$H$400)</f>
        <v>0</v>
      </c>
      <c r="Q90" s="56" t="n">
        <f aca="false">IF($A90&lt;1887,0,MAX(0,debt_floor*Economy!O90-(R89+P90+H90-C90-K90)))</f>
        <v>239.116116944059</v>
      </c>
      <c r="R90" s="56" t="n">
        <f aca="false">R89+P90+H90-C90-K90+Q90</f>
        <v>3269.47385773646</v>
      </c>
      <c r="S90" s="56" t="n">
        <f aca="false">S89+L90-F90-J90+Q90*issue_price*(1-dev_bonds)</f>
        <v>1288.4620197641</v>
      </c>
      <c r="T90" s="72" t="n">
        <f aca="false">Loans!X90</f>
        <v>2334.89852237243</v>
      </c>
      <c r="U90" s="56" t="n">
        <f aca="false">R90-M90-S90-T90</f>
        <v>-2112.49442343494</v>
      </c>
      <c r="V90" s="66" t="n">
        <f aca="false">R90/Economy!O90</f>
        <v>0.05</v>
      </c>
      <c r="W90" s="66" t="n">
        <f aca="false">Budget!X90/Budget!M90</f>
        <v>0.0244925863635242</v>
      </c>
      <c r="X90" s="66" t="n">
        <f aca="false">S90/Economy!O90</f>
        <v>0.0197044245623077</v>
      </c>
      <c r="Y90" s="56" t="n">
        <f aca="false">MAX(0,H90+Q90-'Gold &amp; money'!G90)</f>
        <v>239.116116944059</v>
      </c>
    </row>
    <row r="91" customFormat="false" ht="14.25" hidden="false" customHeight="true" outlineLevel="0" collapsed="false">
      <c r="A91" s="61" t="n">
        <v>1931</v>
      </c>
      <c r="B91" s="56" t="n">
        <f aca="false">Loans!V91-Loans!W91</f>
        <v>198.372302488994</v>
      </c>
      <c r="C91" s="56" t="n">
        <f aca="false">R90*debt_amort</f>
        <v>65.3894771547291</v>
      </c>
      <c r="D91" s="56" t="n">
        <f aca="false">M90+Budget!Z91-B91-C91</f>
        <v>2110.64182369642</v>
      </c>
      <c r="E91" s="56" t="n">
        <f aca="false">MAX(0.1,Budget!M91*cash_target)</f>
        <v>1494.26907539999</v>
      </c>
      <c r="F91" s="56" t="n">
        <f aca="false">IF(D91&lt;E91,MIN(E91-D91,S90),0)</f>
        <v>0</v>
      </c>
      <c r="G91" s="56" t="n">
        <f aca="false">MAX(0,E91-D91-F91)</f>
        <v>0</v>
      </c>
      <c r="H91" s="56" t="n">
        <f aca="false">G91/issue_price</f>
        <v>0</v>
      </c>
      <c r="I91" s="56" t="n">
        <f aca="false">IF(AND(D91&gt;E91,$A91&gt;=dev_start),(D91-E91)*dev_share,0)</f>
        <v>431.460923807499</v>
      </c>
      <c r="J91" s="56" t="n">
        <f aca="false">IF($A91&gt;=dev_start,MAX(0,S90-F91-reserve_buffer*Economy!O91),0)</f>
        <v>0</v>
      </c>
      <c r="K91" s="56" t="n">
        <f aca="false">IF(D91&gt;E91,MIN((D91-E91-I91)*repay_share,R90-C91),0)</f>
        <v>147.929459591143</v>
      </c>
      <c r="L91" s="56" t="n">
        <f aca="false">IF(D91&gt;E91,D91-E91-I91-K91,0)</f>
        <v>36.9823648977856</v>
      </c>
      <c r="M91" s="56" t="n">
        <f aca="false">D91+F91+G91-I91-K91-L91</f>
        <v>1494.26907539999</v>
      </c>
      <c r="N91" s="56" t="n">
        <f aca="false">I91+J91+Q91*issue_price*dev_bonds+SUMPRODUCT((Events!$B$6:$B$400&lt;=$A91)*(Events!$C$6:$C$400&gt;=$A91)*(Events!$E$6:$E$400="Investment")*Events!$H$6:$H$400)</f>
        <v>432.660923807499</v>
      </c>
      <c r="O91" s="56" t="n">
        <f aca="false">O90*(1-dev_dep)+N91</f>
        <v>17926.6391983025</v>
      </c>
      <c r="P91" s="56" t="n">
        <f aca="false">SUMPRODUCT((Events!$B$6:$B$400&lt;=$A91)*(Events!$C$6:$C$400&gt;=$A91)*(Events!$E$6:$E$400="Debt assumed")*Events!$H$6:$H$400)</f>
        <v>0</v>
      </c>
      <c r="Q91" s="56" t="n">
        <f aca="false">IF($A91&lt;1887,0,MAX(0,debt_floor*Economy!O91-(R90+P91+H91-C91-K91)))</f>
        <v>0</v>
      </c>
      <c r="R91" s="56" t="n">
        <f aca="false">R90+P91+H91-C91-K91+Q91</f>
        <v>3056.15492099058</v>
      </c>
      <c r="S91" s="56" t="n">
        <f aca="false">S90+L91-F91-J91+Q91*issue_price*(1-dev_bonds)</f>
        <v>1325.44438466189</v>
      </c>
      <c r="T91" s="72" t="n">
        <f aca="false">Loans!X91</f>
        <v>2533.27082486143</v>
      </c>
      <c r="U91" s="56" t="n">
        <f aca="false">R91-M91-S91-T91</f>
        <v>-2296.82936393272</v>
      </c>
      <c r="V91" s="66" t="n">
        <f aca="false">R91/Economy!O91</f>
        <v>0.051510876775213</v>
      </c>
      <c r="W91" s="66" t="n">
        <f aca="false">Budget!X91/Budget!M91</f>
        <v>0.0272407093199883</v>
      </c>
      <c r="X91" s="66" t="n">
        <f aca="false">S91/Economy!O91</f>
        <v>0.0223400986323647</v>
      </c>
      <c r="Y91" s="56" t="n">
        <f aca="false">MAX(0,H91+Q91-'Gold &amp; money'!G91)</f>
        <v>0</v>
      </c>
    </row>
    <row r="92" customFormat="false" ht="14.25" hidden="false" customHeight="true" outlineLevel="0" collapsed="false">
      <c r="A92" s="61" t="n">
        <v>1932</v>
      </c>
      <c r="B92" s="56" t="n">
        <f aca="false">Loans!V92-Loans!W92</f>
        <v>118.711812162907</v>
      </c>
      <c r="C92" s="56" t="n">
        <f aca="false">R91*debt_amort</f>
        <v>61.1230984198117</v>
      </c>
      <c r="D92" s="56" t="n">
        <f aca="false">M91+Budget!Z92-B92-C92</f>
        <v>1643.0994375726</v>
      </c>
      <c r="E92" s="56" t="n">
        <f aca="false">MAX(0.1,Budget!M92*cash_target)</f>
        <v>1332.51036258881</v>
      </c>
      <c r="F92" s="56" t="n">
        <f aca="false">IF(D92&lt;E92,MIN(E92-D92,S91),0)</f>
        <v>0</v>
      </c>
      <c r="G92" s="56" t="n">
        <f aca="false">MAX(0,E92-D92-F92)</f>
        <v>0</v>
      </c>
      <c r="H92" s="56" t="n">
        <f aca="false">G92/issue_price</f>
        <v>0</v>
      </c>
      <c r="I92" s="56" t="n">
        <f aca="false">IF(AND(D92&gt;E92,$A92&gt;=dev_start),(D92-E92)*dev_share,0)</f>
        <v>217.412352488653</v>
      </c>
      <c r="J92" s="56" t="n">
        <f aca="false">IF($A92&gt;=dev_start,MAX(0,S91-F92-reserve_buffer*Economy!O92),0)</f>
        <v>0</v>
      </c>
      <c r="K92" s="56" t="n">
        <f aca="false">IF(D92&gt;E92,MIN((D92-E92-I92)*repay_share,R91-C92),0)</f>
        <v>74.5413779961095</v>
      </c>
      <c r="L92" s="56" t="n">
        <f aca="false">IF(D92&gt;E92,D92-E92-I92-K92,0)</f>
        <v>18.6353444990274</v>
      </c>
      <c r="M92" s="56" t="n">
        <f aca="false">D92+F92+G92-I92-K92-L92</f>
        <v>1332.51036258881</v>
      </c>
      <c r="N92" s="56" t="n">
        <f aca="false">I92+J92+Q92*issue_price*dev_bonds+SUMPRODUCT((Events!$B$6:$B$400&lt;=$A92)*(Events!$C$6:$C$400&gt;=$A92)*(Events!$E$6:$E$400="Investment")*Events!$H$6:$H$400)</f>
        <v>218.612352488653</v>
      </c>
      <c r="O92" s="56" t="n">
        <f aca="false">O91*(1-dev_dep)+N92</f>
        <v>17607.4523748421</v>
      </c>
      <c r="P92" s="56" t="n">
        <f aca="false">SUMPRODUCT((Events!$B$6:$B$400&lt;=$A92)*(Events!$C$6:$C$400&gt;=$A92)*(Events!$E$6:$E$400="Debt assumed")*Events!$H$6:$H$400)</f>
        <v>0</v>
      </c>
      <c r="Q92" s="56" t="n">
        <f aca="false">IF($A92&lt;1887,0,MAX(0,debt_floor*Economy!O92-(R91+P92+H92-C92-K92)))</f>
        <v>0</v>
      </c>
      <c r="R92" s="56" t="n">
        <f aca="false">R91+P92+H92-C92-K92+Q92</f>
        <v>2920.49044457466</v>
      </c>
      <c r="S92" s="56" t="n">
        <f aca="false">S91+L92-F92-J92+Q92*issue_price*(1-dev_bonds)</f>
        <v>1344.07972916091</v>
      </c>
      <c r="T92" s="72" t="n">
        <f aca="false">Loans!X92</f>
        <v>2651.98263702433</v>
      </c>
      <c r="U92" s="56" t="n">
        <f aca="false">R92-M92-S92-T92</f>
        <v>-2408.0822841994</v>
      </c>
      <c r="V92" s="66" t="n">
        <f aca="false">R92/Economy!O92</f>
        <v>0.0532488077042495</v>
      </c>
      <c r="W92" s="66" t="n">
        <f aca="false">Budget!X92/Budget!M92</f>
        <v>0.0286691477867109</v>
      </c>
      <c r="X92" s="66" t="n">
        <f aca="false">S92/Economy!O92</f>
        <v>0.024506378088045</v>
      </c>
      <c r="Y92" s="56" t="n">
        <f aca="false">MAX(0,H92+Q92-'Gold &amp; money'!G92)</f>
        <v>0</v>
      </c>
    </row>
  </sheetData>
  <mergeCells count="4">
    <mergeCell ref="B4:E4"/>
    <mergeCell ref="F4:O4"/>
    <mergeCell ref="P4:U4"/>
    <mergeCell ref="V4:Y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Y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5" min="2" style="1" width="12.44"/>
  </cols>
  <sheetData>
    <row r="1" customFormat="false" ht="18" hidden="false" customHeight="true" outlineLevel="0" collapsed="false">
      <c r="A1" s="19" t="s">
        <v>1522</v>
      </c>
    </row>
    <row r="2" customFormat="false" ht="14.25" hidden="false" customHeight="true" outlineLevel="0" collapsed="false">
      <c r="A2" s="3" t="s">
        <v>1523</v>
      </c>
    </row>
    <row r="3" customFormat="false" ht="14.25" hidden="false" customHeight="true" outlineLevel="0" collapsed="false">
      <c r="A3" s="20" t="s">
        <v>1315</v>
      </c>
    </row>
    <row r="4" customFormat="false" ht="14.25" hidden="false" customHeight="true" outlineLevel="0" collapsed="false">
      <c r="B4" s="58" t="s">
        <v>766</v>
      </c>
      <c r="C4" s="58"/>
      <c r="D4" s="58"/>
      <c r="E4" s="58"/>
      <c r="F4" s="58"/>
      <c r="G4" s="58" t="s">
        <v>777</v>
      </c>
      <c r="H4" s="58"/>
      <c r="I4" s="58"/>
      <c r="J4" s="58"/>
      <c r="K4" s="58"/>
      <c r="L4" s="58" t="s">
        <v>800</v>
      </c>
      <c r="M4" s="58"/>
      <c r="N4" s="58"/>
      <c r="O4" s="58"/>
      <c r="P4" s="58"/>
      <c r="Q4" s="58" t="s">
        <v>1001</v>
      </c>
      <c r="R4" s="58"/>
      <c r="S4" s="58"/>
      <c r="T4" s="58"/>
      <c r="U4" s="58"/>
      <c r="V4" s="58" t="s">
        <v>1524</v>
      </c>
      <c r="W4" s="58"/>
      <c r="X4" s="58"/>
      <c r="Y4" s="58"/>
    </row>
    <row r="5" customFormat="false" ht="54" hidden="false" customHeight="true" outlineLevel="0" collapsed="false">
      <c r="A5" s="60" t="s">
        <v>103</v>
      </c>
      <c r="B5" s="7" t="s">
        <v>1525</v>
      </c>
      <c r="C5" s="7" t="s">
        <v>1526</v>
      </c>
      <c r="D5" s="7" t="s">
        <v>1527</v>
      </c>
      <c r="E5" s="7" t="s">
        <v>1528</v>
      </c>
      <c r="F5" s="7" t="s">
        <v>1529</v>
      </c>
      <c r="G5" s="7" t="s">
        <v>1530</v>
      </c>
      <c r="H5" s="7" t="s">
        <v>1531</v>
      </c>
      <c r="I5" s="7" t="s">
        <v>1532</v>
      </c>
      <c r="J5" s="7" t="s">
        <v>1533</v>
      </c>
      <c r="K5" s="7" t="s">
        <v>1534</v>
      </c>
      <c r="L5" s="7" t="s">
        <v>1535</v>
      </c>
      <c r="M5" s="7" t="s">
        <v>1536</v>
      </c>
      <c r="N5" s="7" t="s">
        <v>1537</v>
      </c>
      <c r="O5" s="7" t="s">
        <v>1538</v>
      </c>
      <c r="P5" s="7" t="s">
        <v>1539</v>
      </c>
      <c r="Q5" s="7" t="s">
        <v>1540</v>
      </c>
      <c r="R5" s="7" t="s">
        <v>1541</v>
      </c>
      <c r="S5" s="7" t="s">
        <v>1542</v>
      </c>
      <c r="T5" s="7" t="s">
        <v>1543</v>
      </c>
      <c r="U5" s="7" t="s">
        <v>1544</v>
      </c>
      <c r="V5" s="7" t="s">
        <v>1545</v>
      </c>
      <c r="W5" s="7" t="s">
        <v>1546</v>
      </c>
      <c r="X5" s="7" t="s">
        <v>1547</v>
      </c>
      <c r="Y5" s="7" t="s">
        <v>1548</v>
      </c>
    </row>
    <row r="6" customFormat="false" ht="14.25" hidden="false" customHeight="true" outlineLevel="0" collapsed="false">
      <c r="A6" s="61" t="n">
        <v>1846</v>
      </c>
      <c r="B6" s="56" t="n">
        <f aca="false">SUMPRODUCT((Events!$B$6:$B$400&lt;=$A6)*(Events!$C$6:$C$400&gt;=$A6)*(Events!$E$6:$E$400="Loan")*(Events!$F$6:$F$400="Continental")*Events!$H$6:$H$400)</f>
        <v>0</v>
      </c>
      <c r="C6" s="56" t="n">
        <f aca="false">0</f>
        <v>0</v>
      </c>
      <c r="D6" s="56" t="n">
        <f aca="false">0</f>
        <v>0</v>
      </c>
      <c r="E6" s="56" t="n">
        <f aca="false">B6</f>
        <v>0</v>
      </c>
      <c r="F6" s="56" t="n">
        <f aca="false">0</f>
        <v>0</v>
      </c>
      <c r="G6" s="56" t="n">
        <f aca="false">SUMPRODUCT((Events!$B$6:$B$400&lt;=$A6)*(Events!$C$6:$C$400&gt;=$A6)*(Events!$E$6:$E$400="Loan")*(Events!$F$6:$F$400="Asia")*Events!$H$6:$H$400)</f>
        <v>0</v>
      </c>
      <c r="H6" s="56" t="n">
        <f aca="false">0</f>
        <v>0</v>
      </c>
      <c r="I6" s="56" t="n">
        <f aca="false">0</f>
        <v>0</v>
      </c>
      <c r="J6" s="56" t="n">
        <f aca="false">G6</f>
        <v>0</v>
      </c>
      <c r="K6" s="56" t="n">
        <f aca="false">0</f>
        <v>0</v>
      </c>
      <c r="L6" s="56" t="n">
        <f aca="false">SUMPRODUCT((Events!$B$6:$B$400&lt;=$A6)*(Events!$C$6:$C$400&gt;=$A6)*(Events!$E$6:$E$400="Loan")*(Events!$F$6:$F$400="Europe")*Events!$H$6:$H$400)</f>
        <v>0</v>
      </c>
      <c r="M6" s="56" t="n">
        <f aca="false">0</f>
        <v>0</v>
      </c>
      <c r="N6" s="56" t="n">
        <f aca="false">0</f>
        <v>0</v>
      </c>
      <c r="O6" s="56" t="n">
        <f aca="false">L6</f>
        <v>0</v>
      </c>
      <c r="P6" s="56" t="n">
        <f aca="false">0</f>
        <v>0</v>
      </c>
      <c r="Q6" s="56" t="n">
        <f aca="false">SUMPRODUCT((Events!$B$6:$B$400&lt;=$A6)*(Events!$C$6:$C$400&gt;=$A6)*(Events!$E$6:$E$400="Loan")*(Events!$F$6:$F$400="Rescue")*Events!$H$6:$H$400)</f>
        <v>0</v>
      </c>
      <c r="R6" s="56" t="n">
        <f aca="false">0</f>
        <v>0</v>
      </c>
      <c r="S6" s="56" t="n">
        <f aca="false">0</f>
        <v>0</v>
      </c>
      <c r="T6" s="56" t="n">
        <f aca="false">Q6</f>
        <v>0</v>
      </c>
      <c r="U6" s="56" t="n">
        <f aca="false">0</f>
        <v>0</v>
      </c>
      <c r="V6" s="56" t="n">
        <f aca="false">B6+G6+L6+Q6</f>
        <v>0</v>
      </c>
      <c r="W6" s="56" t="n">
        <f aca="false">C6+H6+M6+R6</f>
        <v>0</v>
      </c>
      <c r="X6" s="56" t="n">
        <f aca="false">E6+J6+O6+T6</f>
        <v>0</v>
      </c>
      <c r="Y6" s="56" t="n">
        <f aca="false">F6+K6+P6+U6</f>
        <v>0</v>
      </c>
    </row>
    <row r="7" customFormat="false" ht="14.25" hidden="false" customHeight="true" outlineLevel="0" collapsed="false">
      <c r="A7" s="61" t="n">
        <v>1847</v>
      </c>
      <c r="B7" s="56" t="n">
        <f aca="false">SUMPRODUCT((Events!$B$6:$B$400&lt;=$A7)*(Events!$C$6:$C$400&gt;=$A7)*(Events!$E$6:$E$400="Loan")*(Events!$F$6:$F$400="Continental")*Events!$H$6:$H$400)</f>
        <v>0</v>
      </c>
      <c r="C7" s="56" t="n">
        <f aca="false">E6*cont_repay</f>
        <v>0</v>
      </c>
      <c r="D7" s="56" t="n">
        <f aca="false">0</f>
        <v>0</v>
      </c>
      <c r="E7" s="56" t="n">
        <f aca="false">E6+B7-C7-D7</f>
        <v>0</v>
      </c>
      <c r="F7" s="56" t="n">
        <f aca="false">E6*cont_coupon</f>
        <v>0</v>
      </c>
      <c r="G7" s="56" t="n">
        <f aca="false">SUMPRODUCT((Events!$B$6:$B$400&lt;=$A7)*(Events!$C$6:$C$400&gt;=$A7)*(Events!$E$6:$E$400="Loan")*(Events!$F$6:$F$400="Asia")*Events!$H$6:$H$400)</f>
        <v>0</v>
      </c>
      <c r="H7" s="56" t="n">
        <f aca="false">J6*asia_repay</f>
        <v>0</v>
      </c>
      <c r="I7" s="56" t="n">
        <f aca="false">0</f>
        <v>0</v>
      </c>
      <c r="J7" s="56" t="n">
        <f aca="false">J6+G7-H7-I7</f>
        <v>0</v>
      </c>
      <c r="K7" s="56" t="n">
        <f aca="false">J6*asia_coupon</f>
        <v>0</v>
      </c>
      <c r="L7" s="56" t="n">
        <f aca="false">SUMPRODUCT((Events!$B$6:$B$400&lt;=$A7)*(Events!$C$6:$C$400&gt;=$A7)*(Events!$E$6:$E$400="Loan")*(Events!$F$6:$F$400="Europe")*Events!$H$6:$H$400)</f>
        <v>0</v>
      </c>
      <c r="M7" s="56" t="n">
        <f aca="false">O6*Paths!AA7</f>
        <v>0</v>
      </c>
      <c r="N7" s="56" t="n">
        <f aca="false">IF($A7=1918,russia_writeoff*(O6+L7),0)-IF($A7=russia_recog_yr,russia_recog*$N$78,0)</f>
        <v>0</v>
      </c>
      <c r="O7" s="56" t="n">
        <f aca="false">O6+L7-M7-N7</f>
        <v>0</v>
      </c>
      <c r="P7" s="56" t="n">
        <f aca="false">O6*Paths!Z7*Paths!AB7</f>
        <v>0</v>
      </c>
      <c r="Q7" s="56" t="n">
        <f aca="false">SUMPRODUCT((Events!$B$6:$B$400&lt;=$A7)*(Events!$C$6:$C$400&gt;=$A7)*(Events!$E$6:$E$400="Loan")*(Events!$F$6:$F$400="Rescue")*Events!$H$6:$H$400)</f>
        <v>0</v>
      </c>
      <c r="R7" s="56" t="n">
        <f aca="false">0</f>
        <v>0</v>
      </c>
      <c r="S7" s="56" t="n">
        <f aca="false">0</f>
        <v>0</v>
      </c>
      <c r="T7" s="56" t="n">
        <f aca="false">T6+Q7-R7-S7</f>
        <v>0</v>
      </c>
      <c r="U7" s="56" t="n">
        <f aca="false">T6*rescue_coupon</f>
        <v>0</v>
      </c>
      <c r="V7" s="56" t="n">
        <f aca="false">B7+G7+L7+Q7</f>
        <v>0</v>
      </c>
      <c r="W7" s="56" t="n">
        <f aca="false">C7+H7+M7+R7</f>
        <v>0</v>
      </c>
      <c r="X7" s="56" t="n">
        <f aca="false">E7+J7+O7+T7</f>
        <v>0</v>
      </c>
      <c r="Y7" s="56" t="n">
        <f aca="false">F7+K7+P7+U7</f>
        <v>0</v>
      </c>
    </row>
    <row r="8" customFormat="false" ht="14.25" hidden="false" customHeight="true" outlineLevel="0" collapsed="false">
      <c r="A8" s="61" t="n">
        <v>1848</v>
      </c>
      <c r="B8" s="56" t="n">
        <f aca="false">SUMPRODUCT((Events!$B$6:$B$400&lt;=$A8)*(Events!$C$6:$C$400&gt;=$A8)*(Events!$E$6:$E$400="Loan")*(Events!$F$6:$F$400="Continental")*Events!$H$6:$H$400)</f>
        <v>0</v>
      </c>
      <c r="C8" s="56" t="n">
        <f aca="false">E7*cont_repay</f>
        <v>0</v>
      </c>
      <c r="D8" s="56" t="n">
        <f aca="false">0</f>
        <v>0</v>
      </c>
      <c r="E8" s="56" t="n">
        <f aca="false">E7+B8-C8-D8</f>
        <v>0</v>
      </c>
      <c r="F8" s="56" t="n">
        <f aca="false">E7*cont_coupon</f>
        <v>0</v>
      </c>
      <c r="G8" s="56" t="n">
        <f aca="false">SUMPRODUCT((Events!$B$6:$B$400&lt;=$A8)*(Events!$C$6:$C$400&gt;=$A8)*(Events!$E$6:$E$400="Loan")*(Events!$F$6:$F$400="Asia")*Events!$H$6:$H$400)</f>
        <v>0</v>
      </c>
      <c r="H8" s="56" t="n">
        <f aca="false">J7*asia_repay</f>
        <v>0</v>
      </c>
      <c r="I8" s="56" t="n">
        <f aca="false">0</f>
        <v>0</v>
      </c>
      <c r="J8" s="56" t="n">
        <f aca="false">J7+G8-H8-I8</f>
        <v>0</v>
      </c>
      <c r="K8" s="56" t="n">
        <f aca="false">J7*asia_coupon</f>
        <v>0</v>
      </c>
      <c r="L8" s="56" t="n">
        <f aca="false">SUMPRODUCT((Events!$B$6:$B$400&lt;=$A8)*(Events!$C$6:$C$400&gt;=$A8)*(Events!$E$6:$E$400="Loan")*(Events!$F$6:$F$400="Europe")*Events!$H$6:$H$400)</f>
        <v>0</v>
      </c>
      <c r="M8" s="56" t="n">
        <f aca="false">O7*Paths!AA8</f>
        <v>0</v>
      </c>
      <c r="N8" s="56" t="n">
        <f aca="false">IF($A8=1918,russia_writeoff*(O7+L8),0)-IF($A8=russia_recog_yr,russia_recog*$N$78,0)</f>
        <v>0</v>
      </c>
      <c r="O8" s="56" t="n">
        <f aca="false">O7+L8-M8-N8</f>
        <v>0</v>
      </c>
      <c r="P8" s="56" t="n">
        <f aca="false">O7*Paths!Z8*Paths!AB8</f>
        <v>0</v>
      </c>
      <c r="Q8" s="56" t="n">
        <f aca="false">SUMPRODUCT((Events!$B$6:$B$400&lt;=$A8)*(Events!$C$6:$C$400&gt;=$A8)*(Events!$E$6:$E$400="Loan")*(Events!$F$6:$F$400="Rescue")*Events!$H$6:$H$400)</f>
        <v>0</v>
      </c>
      <c r="R8" s="56" t="n">
        <f aca="false">0</f>
        <v>0</v>
      </c>
      <c r="S8" s="56" t="n">
        <f aca="false">0</f>
        <v>0</v>
      </c>
      <c r="T8" s="56" t="n">
        <f aca="false">T7+Q8-R8-S8</f>
        <v>0</v>
      </c>
      <c r="U8" s="56" t="n">
        <f aca="false">T7*rescue_coupon</f>
        <v>0</v>
      </c>
      <c r="V8" s="56" t="n">
        <f aca="false">B8+G8+L8+Q8</f>
        <v>0</v>
      </c>
      <c r="W8" s="56" t="n">
        <f aca="false">C8+H8+M8+R8</f>
        <v>0</v>
      </c>
      <c r="X8" s="56" t="n">
        <f aca="false">E8+J8+O8+T8</f>
        <v>0</v>
      </c>
      <c r="Y8" s="56" t="n">
        <f aca="false">F8+K8+P8+U8</f>
        <v>0</v>
      </c>
    </row>
    <row r="9" customFormat="false" ht="14.25" hidden="false" customHeight="true" outlineLevel="0" collapsed="false">
      <c r="A9" s="61" t="n">
        <v>1849</v>
      </c>
      <c r="B9" s="56" t="n">
        <f aca="false">SUMPRODUCT((Events!$B$6:$B$400&lt;=$A9)*(Events!$C$6:$C$400&gt;=$A9)*(Events!$E$6:$E$400="Loan")*(Events!$F$6:$F$400="Continental")*Events!$H$6:$H$400)</f>
        <v>0</v>
      </c>
      <c r="C9" s="56" t="n">
        <f aca="false">E8*cont_repay</f>
        <v>0</v>
      </c>
      <c r="D9" s="56" t="n">
        <f aca="false">0</f>
        <v>0</v>
      </c>
      <c r="E9" s="56" t="n">
        <f aca="false">E8+B9-C9-D9</f>
        <v>0</v>
      </c>
      <c r="F9" s="56" t="n">
        <f aca="false">E8*cont_coupon</f>
        <v>0</v>
      </c>
      <c r="G9" s="56" t="n">
        <f aca="false">SUMPRODUCT((Events!$B$6:$B$400&lt;=$A9)*(Events!$C$6:$C$400&gt;=$A9)*(Events!$E$6:$E$400="Loan")*(Events!$F$6:$F$400="Asia")*Events!$H$6:$H$400)</f>
        <v>0</v>
      </c>
      <c r="H9" s="56" t="n">
        <f aca="false">J8*asia_repay</f>
        <v>0</v>
      </c>
      <c r="I9" s="56" t="n">
        <f aca="false">0</f>
        <v>0</v>
      </c>
      <c r="J9" s="56" t="n">
        <f aca="false">J8+G9-H9-I9</f>
        <v>0</v>
      </c>
      <c r="K9" s="56" t="n">
        <f aca="false">J8*asia_coupon</f>
        <v>0</v>
      </c>
      <c r="L9" s="56" t="n">
        <f aca="false">SUMPRODUCT((Events!$B$6:$B$400&lt;=$A9)*(Events!$C$6:$C$400&gt;=$A9)*(Events!$E$6:$E$400="Loan")*(Events!$F$6:$F$400="Europe")*Events!$H$6:$H$400)</f>
        <v>0</v>
      </c>
      <c r="M9" s="56" t="n">
        <f aca="false">O8*Paths!AA9</f>
        <v>0</v>
      </c>
      <c r="N9" s="56" t="n">
        <f aca="false">IF($A9=1918,russia_writeoff*(O8+L9),0)-IF($A9=russia_recog_yr,russia_recog*$N$78,0)</f>
        <v>0</v>
      </c>
      <c r="O9" s="56" t="n">
        <f aca="false">O8+L9-M9-N9</f>
        <v>0</v>
      </c>
      <c r="P9" s="56" t="n">
        <f aca="false">O8*Paths!Z9*Paths!AB9</f>
        <v>0</v>
      </c>
      <c r="Q9" s="56" t="n">
        <f aca="false">SUMPRODUCT((Events!$B$6:$B$400&lt;=$A9)*(Events!$C$6:$C$400&gt;=$A9)*(Events!$E$6:$E$400="Loan")*(Events!$F$6:$F$400="Rescue")*Events!$H$6:$H$400)</f>
        <v>0</v>
      </c>
      <c r="R9" s="56" t="n">
        <f aca="false">0</f>
        <v>0</v>
      </c>
      <c r="S9" s="56" t="n">
        <f aca="false">0</f>
        <v>0</v>
      </c>
      <c r="T9" s="56" t="n">
        <f aca="false">T8+Q9-R9-S9</f>
        <v>0</v>
      </c>
      <c r="U9" s="56" t="n">
        <f aca="false">T8*rescue_coupon</f>
        <v>0</v>
      </c>
      <c r="V9" s="56" t="n">
        <f aca="false">B9+G9+L9+Q9</f>
        <v>0</v>
      </c>
      <c r="W9" s="56" t="n">
        <f aca="false">C9+H9+M9+R9</f>
        <v>0</v>
      </c>
      <c r="X9" s="56" t="n">
        <f aca="false">E9+J9+O9+T9</f>
        <v>0</v>
      </c>
      <c r="Y9" s="56" t="n">
        <f aca="false">F9+K9+P9+U9</f>
        <v>0</v>
      </c>
    </row>
    <row r="10" customFormat="false" ht="14.25" hidden="false" customHeight="true" outlineLevel="0" collapsed="false">
      <c r="A10" s="61" t="n">
        <v>1850</v>
      </c>
      <c r="B10" s="56" t="n">
        <f aca="false">SUMPRODUCT((Events!$B$6:$B$400&lt;=$A10)*(Events!$C$6:$C$400&gt;=$A10)*(Events!$E$6:$E$400="Loan")*(Events!$F$6:$F$400="Continental")*Events!$H$6:$H$400)</f>
        <v>0</v>
      </c>
      <c r="C10" s="56" t="n">
        <f aca="false">E9*cont_repay</f>
        <v>0</v>
      </c>
      <c r="D10" s="56" t="n">
        <f aca="false">0</f>
        <v>0</v>
      </c>
      <c r="E10" s="56" t="n">
        <f aca="false">E9+B10-C10-D10</f>
        <v>0</v>
      </c>
      <c r="F10" s="56" t="n">
        <f aca="false">E9*cont_coupon</f>
        <v>0</v>
      </c>
      <c r="G10" s="56" t="n">
        <f aca="false">SUMPRODUCT((Events!$B$6:$B$400&lt;=$A10)*(Events!$C$6:$C$400&gt;=$A10)*(Events!$E$6:$E$400="Loan")*(Events!$F$6:$F$400="Asia")*Events!$H$6:$H$400)</f>
        <v>0</v>
      </c>
      <c r="H10" s="56" t="n">
        <f aca="false">J9*asia_repay</f>
        <v>0</v>
      </c>
      <c r="I10" s="56" t="n">
        <f aca="false">0</f>
        <v>0</v>
      </c>
      <c r="J10" s="56" t="n">
        <f aca="false">J9+G10-H10-I10</f>
        <v>0</v>
      </c>
      <c r="K10" s="56" t="n">
        <f aca="false">J9*asia_coupon</f>
        <v>0</v>
      </c>
      <c r="L10" s="56" t="n">
        <f aca="false">SUMPRODUCT((Events!$B$6:$B$400&lt;=$A10)*(Events!$C$6:$C$400&gt;=$A10)*(Events!$E$6:$E$400="Loan")*(Events!$F$6:$F$400="Europe")*Events!$H$6:$H$400)</f>
        <v>0</v>
      </c>
      <c r="M10" s="56" t="n">
        <f aca="false">O9*Paths!AA10</f>
        <v>0</v>
      </c>
      <c r="N10" s="56" t="n">
        <f aca="false">IF($A10=1918,russia_writeoff*(O9+L10),0)-IF($A10=russia_recog_yr,russia_recog*$N$78,0)</f>
        <v>0</v>
      </c>
      <c r="O10" s="56" t="n">
        <f aca="false">O9+L10-M10-N10</f>
        <v>0</v>
      </c>
      <c r="P10" s="56" t="n">
        <f aca="false">O9*Paths!Z10*Paths!AB10</f>
        <v>0</v>
      </c>
      <c r="Q10" s="56" t="n">
        <f aca="false">SUMPRODUCT((Events!$B$6:$B$400&lt;=$A10)*(Events!$C$6:$C$400&gt;=$A10)*(Events!$E$6:$E$400="Loan")*(Events!$F$6:$F$400="Rescue")*Events!$H$6:$H$400)</f>
        <v>0</v>
      </c>
      <c r="R10" s="56" t="n">
        <f aca="false">0</f>
        <v>0</v>
      </c>
      <c r="S10" s="56" t="n">
        <f aca="false">0</f>
        <v>0</v>
      </c>
      <c r="T10" s="56" t="n">
        <f aca="false">T9+Q10-R10-S10</f>
        <v>0</v>
      </c>
      <c r="U10" s="56" t="n">
        <f aca="false">T9*rescue_coupon</f>
        <v>0</v>
      </c>
      <c r="V10" s="56" t="n">
        <f aca="false">B10+G10+L10+Q10</f>
        <v>0</v>
      </c>
      <c r="W10" s="56" t="n">
        <f aca="false">C10+H10+M10+R10</f>
        <v>0</v>
      </c>
      <c r="X10" s="56" t="n">
        <f aca="false">E10+J10+O10+T10</f>
        <v>0</v>
      </c>
      <c r="Y10" s="56" t="n">
        <f aca="false">F10+K10+P10+U10</f>
        <v>0</v>
      </c>
    </row>
    <row r="11" customFormat="false" ht="14.25" hidden="false" customHeight="true" outlineLevel="0" collapsed="false">
      <c r="A11" s="61" t="n">
        <v>1851</v>
      </c>
      <c r="B11" s="56" t="n">
        <f aca="false">SUMPRODUCT((Events!$B$6:$B$400&lt;=$A11)*(Events!$C$6:$C$400&gt;=$A11)*(Events!$E$6:$E$400="Loan")*(Events!$F$6:$F$400="Continental")*Events!$H$6:$H$400)</f>
        <v>0</v>
      </c>
      <c r="C11" s="56" t="n">
        <f aca="false">E10*cont_repay</f>
        <v>0</v>
      </c>
      <c r="D11" s="56" t="n">
        <f aca="false">0</f>
        <v>0</v>
      </c>
      <c r="E11" s="56" t="n">
        <f aca="false">E10+B11-C11-D11</f>
        <v>0</v>
      </c>
      <c r="F11" s="56" t="n">
        <f aca="false">E10*cont_coupon</f>
        <v>0</v>
      </c>
      <c r="G11" s="56" t="n">
        <f aca="false">SUMPRODUCT((Events!$B$6:$B$400&lt;=$A11)*(Events!$C$6:$C$400&gt;=$A11)*(Events!$E$6:$E$400="Loan")*(Events!$F$6:$F$400="Asia")*Events!$H$6:$H$400)</f>
        <v>0</v>
      </c>
      <c r="H11" s="56" t="n">
        <f aca="false">J10*asia_repay</f>
        <v>0</v>
      </c>
      <c r="I11" s="56" t="n">
        <f aca="false">0</f>
        <v>0</v>
      </c>
      <c r="J11" s="56" t="n">
        <f aca="false">J10+G11-H11-I11</f>
        <v>0</v>
      </c>
      <c r="K11" s="56" t="n">
        <f aca="false">J10*asia_coupon</f>
        <v>0</v>
      </c>
      <c r="L11" s="56" t="n">
        <f aca="false">SUMPRODUCT((Events!$B$6:$B$400&lt;=$A11)*(Events!$C$6:$C$400&gt;=$A11)*(Events!$E$6:$E$400="Loan")*(Events!$F$6:$F$400="Europe")*Events!$H$6:$H$400)</f>
        <v>0</v>
      </c>
      <c r="M11" s="56" t="n">
        <f aca="false">O10*Paths!AA11</f>
        <v>0</v>
      </c>
      <c r="N11" s="56" t="n">
        <f aca="false">IF($A11=1918,russia_writeoff*(O10+L11),0)-IF($A11=russia_recog_yr,russia_recog*$N$78,0)</f>
        <v>0</v>
      </c>
      <c r="O11" s="56" t="n">
        <f aca="false">O10+L11-M11-N11</f>
        <v>0</v>
      </c>
      <c r="P11" s="56" t="n">
        <f aca="false">O10*Paths!Z11*Paths!AB11</f>
        <v>0</v>
      </c>
      <c r="Q11" s="56" t="n">
        <f aca="false">SUMPRODUCT((Events!$B$6:$B$400&lt;=$A11)*(Events!$C$6:$C$400&gt;=$A11)*(Events!$E$6:$E$400="Loan")*(Events!$F$6:$F$400="Rescue")*Events!$H$6:$H$400)</f>
        <v>0</v>
      </c>
      <c r="R11" s="56" t="n">
        <f aca="false">0</f>
        <v>0</v>
      </c>
      <c r="S11" s="56" t="n">
        <f aca="false">0</f>
        <v>0</v>
      </c>
      <c r="T11" s="56" t="n">
        <f aca="false">T10+Q11-R11-S11</f>
        <v>0</v>
      </c>
      <c r="U11" s="56" t="n">
        <f aca="false">T10*rescue_coupon</f>
        <v>0</v>
      </c>
      <c r="V11" s="56" t="n">
        <f aca="false">B11+G11+L11+Q11</f>
        <v>0</v>
      </c>
      <c r="W11" s="56" t="n">
        <f aca="false">C11+H11+M11+R11</f>
        <v>0</v>
      </c>
      <c r="X11" s="56" t="n">
        <f aca="false">E11+J11+O11+T11</f>
        <v>0</v>
      </c>
      <c r="Y11" s="56" t="n">
        <f aca="false">F11+K11+P11+U11</f>
        <v>0</v>
      </c>
    </row>
    <row r="12" customFormat="false" ht="14.25" hidden="false" customHeight="true" outlineLevel="0" collapsed="false">
      <c r="A12" s="61" t="n">
        <v>1852</v>
      </c>
      <c r="B12" s="56" t="n">
        <f aca="false">SUMPRODUCT((Events!$B$6:$B$400&lt;=$A12)*(Events!$C$6:$C$400&gt;=$A12)*(Events!$E$6:$E$400="Loan")*(Events!$F$6:$F$400="Continental")*Events!$H$6:$H$400)</f>
        <v>0</v>
      </c>
      <c r="C12" s="56" t="n">
        <f aca="false">E11*cont_repay</f>
        <v>0</v>
      </c>
      <c r="D12" s="56" t="n">
        <f aca="false">0</f>
        <v>0</v>
      </c>
      <c r="E12" s="56" t="n">
        <f aca="false">E11+B12-C12-D12</f>
        <v>0</v>
      </c>
      <c r="F12" s="56" t="n">
        <f aca="false">E11*cont_coupon</f>
        <v>0</v>
      </c>
      <c r="G12" s="56" t="n">
        <f aca="false">SUMPRODUCT((Events!$B$6:$B$400&lt;=$A12)*(Events!$C$6:$C$400&gt;=$A12)*(Events!$E$6:$E$400="Loan")*(Events!$F$6:$F$400="Asia")*Events!$H$6:$H$400)</f>
        <v>0</v>
      </c>
      <c r="H12" s="56" t="n">
        <f aca="false">J11*asia_repay</f>
        <v>0</v>
      </c>
      <c r="I12" s="56" t="n">
        <f aca="false">0</f>
        <v>0</v>
      </c>
      <c r="J12" s="56" t="n">
        <f aca="false">J11+G12-H12-I12</f>
        <v>0</v>
      </c>
      <c r="K12" s="56" t="n">
        <f aca="false">J11*asia_coupon</f>
        <v>0</v>
      </c>
      <c r="L12" s="56" t="n">
        <f aca="false">SUMPRODUCT((Events!$B$6:$B$400&lt;=$A12)*(Events!$C$6:$C$400&gt;=$A12)*(Events!$E$6:$E$400="Loan")*(Events!$F$6:$F$400="Europe")*Events!$H$6:$H$400)</f>
        <v>0</v>
      </c>
      <c r="M12" s="56" t="n">
        <f aca="false">O11*Paths!AA12</f>
        <v>0</v>
      </c>
      <c r="N12" s="56" t="n">
        <f aca="false">IF($A12=1918,russia_writeoff*(O11+L12),0)-IF($A12=russia_recog_yr,russia_recog*$N$78,0)</f>
        <v>0</v>
      </c>
      <c r="O12" s="56" t="n">
        <f aca="false">O11+L12-M12-N12</f>
        <v>0</v>
      </c>
      <c r="P12" s="56" t="n">
        <f aca="false">O11*Paths!Z12*Paths!AB12</f>
        <v>0</v>
      </c>
      <c r="Q12" s="56" t="n">
        <f aca="false">SUMPRODUCT((Events!$B$6:$B$400&lt;=$A12)*(Events!$C$6:$C$400&gt;=$A12)*(Events!$E$6:$E$400="Loan")*(Events!$F$6:$F$400="Rescue")*Events!$H$6:$H$400)</f>
        <v>0</v>
      </c>
      <c r="R12" s="56" t="n">
        <f aca="false">0</f>
        <v>0</v>
      </c>
      <c r="S12" s="56" t="n">
        <f aca="false">0</f>
        <v>0</v>
      </c>
      <c r="T12" s="56" t="n">
        <f aca="false">T11+Q12-R12-S12</f>
        <v>0</v>
      </c>
      <c r="U12" s="56" t="n">
        <f aca="false">T11*rescue_coupon</f>
        <v>0</v>
      </c>
      <c r="V12" s="56" t="n">
        <f aca="false">B12+G12+L12+Q12</f>
        <v>0</v>
      </c>
      <c r="W12" s="56" t="n">
        <f aca="false">C12+H12+M12+R12</f>
        <v>0</v>
      </c>
      <c r="X12" s="56" t="n">
        <f aca="false">E12+J12+O12+T12</f>
        <v>0</v>
      </c>
      <c r="Y12" s="56" t="n">
        <f aca="false">F12+K12+P12+U12</f>
        <v>0</v>
      </c>
    </row>
    <row r="13" customFormat="false" ht="14.25" hidden="false" customHeight="true" outlineLevel="0" collapsed="false">
      <c r="A13" s="61" t="n">
        <v>1853</v>
      </c>
      <c r="B13" s="56" t="n">
        <f aca="false">SUMPRODUCT((Events!$B$6:$B$400&lt;=$A13)*(Events!$C$6:$C$400&gt;=$A13)*(Events!$E$6:$E$400="Loan")*(Events!$F$6:$F$400="Continental")*Events!$H$6:$H$400)</f>
        <v>0</v>
      </c>
      <c r="C13" s="56" t="n">
        <f aca="false">E12*cont_repay</f>
        <v>0</v>
      </c>
      <c r="D13" s="56" t="n">
        <f aca="false">0</f>
        <v>0</v>
      </c>
      <c r="E13" s="56" t="n">
        <f aca="false">E12+B13-C13-D13</f>
        <v>0</v>
      </c>
      <c r="F13" s="56" t="n">
        <f aca="false">E12*cont_coupon</f>
        <v>0</v>
      </c>
      <c r="G13" s="56" t="n">
        <f aca="false">SUMPRODUCT((Events!$B$6:$B$400&lt;=$A13)*(Events!$C$6:$C$400&gt;=$A13)*(Events!$E$6:$E$400="Loan")*(Events!$F$6:$F$400="Asia")*Events!$H$6:$H$400)</f>
        <v>0</v>
      </c>
      <c r="H13" s="56" t="n">
        <f aca="false">J12*asia_repay</f>
        <v>0</v>
      </c>
      <c r="I13" s="56" t="n">
        <f aca="false">0</f>
        <v>0</v>
      </c>
      <c r="J13" s="56" t="n">
        <f aca="false">J12+G13-H13-I13</f>
        <v>0</v>
      </c>
      <c r="K13" s="56" t="n">
        <f aca="false">J12*asia_coupon</f>
        <v>0</v>
      </c>
      <c r="L13" s="56" t="n">
        <f aca="false">SUMPRODUCT((Events!$B$6:$B$400&lt;=$A13)*(Events!$C$6:$C$400&gt;=$A13)*(Events!$E$6:$E$400="Loan")*(Events!$F$6:$F$400="Europe")*Events!$H$6:$H$400)</f>
        <v>0</v>
      </c>
      <c r="M13" s="56" t="n">
        <f aca="false">O12*Paths!AA13</f>
        <v>0</v>
      </c>
      <c r="N13" s="56" t="n">
        <f aca="false">IF($A13=1918,russia_writeoff*(O12+L13),0)-IF($A13=russia_recog_yr,russia_recog*$N$78,0)</f>
        <v>0</v>
      </c>
      <c r="O13" s="56" t="n">
        <f aca="false">O12+L13-M13-N13</f>
        <v>0</v>
      </c>
      <c r="P13" s="56" t="n">
        <f aca="false">O12*Paths!Z13*Paths!AB13</f>
        <v>0</v>
      </c>
      <c r="Q13" s="56" t="n">
        <f aca="false">SUMPRODUCT((Events!$B$6:$B$400&lt;=$A13)*(Events!$C$6:$C$400&gt;=$A13)*(Events!$E$6:$E$400="Loan")*(Events!$F$6:$F$400="Rescue")*Events!$H$6:$H$400)</f>
        <v>0</v>
      </c>
      <c r="R13" s="56" t="n">
        <f aca="false">0</f>
        <v>0</v>
      </c>
      <c r="S13" s="56" t="n">
        <f aca="false">0</f>
        <v>0</v>
      </c>
      <c r="T13" s="56" t="n">
        <f aca="false">T12+Q13-R13-S13</f>
        <v>0</v>
      </c>
      <c r="U13" s="56" t="n">
        <f aca="false">T12*rescue_coupon</f>
        <v>0</v>
      </c>
      <c r="V13" s="56" t="n">
        <f aca="false">B13+G13+L13+Q13</f>
        <v>0</v>
      </c>
      <c r="W13" s="56" t="n">
        <f aca="false">C13+H13+M13+R13</f>
        <v>0</v>
      </c>
      <c r="X13" s="56" t="n">
        <f aca="false">E13+J13+O13+T13</f>
        <v>0</v>
      </c>
      <c r="Y13" s="56" t="n">
        <f aca="false">F13+K13+P13+U13</f>
        <v>0</v>
      </c>
    </row>
    <row r="14" customFormat="false" ht="14.25" hidden="false" customHeight="true" outlineLevel="0" collapsed="false">
      <c r="A14" s="61" t="n">
        <v>1854</v>
      </c>
      <c r="B14" s="56" t="n">
        <f aca="false">SUMPRODUCT((Events!$B$6:$B$400&lt;=$A14)*(Events!$C$6:$C$400&gt;=$A14)*(Events!$E$6:$E$400="Loan")*(Events!$F$6:$F$400="Continental")*Events!$H$6:$H$400)</f>
        <v>0</v>
      </c>
      <c r="C14" s="56" t="n">
        <f aca="false">E13*cont_repay</f>
        <v>0</v>
      </c>
      <c r="D14" s="56" t="n">
        <f aca="false">0</f>
        <v>0</v>
      </c>
      <c r="E14" s="56" t="n">
        <f aca="false">E13+B14-C14-D14</f>
        <v>0</v>
      </c>
      <c r="F14" s="56" t="n">
        <f aca="false">E13*cont_coupon</f>
        <v>0</v>
      </c>
      <c r="G14" s="56" t="n">
        <f aca="false">SUMPRODUCT((Events!$B$6:$B$400&lt;=$A14)*(Events!$C$6:$C$400&gt;=$A14)*(Events!$E$6:$E$400="Loan")*(Events!$F$6:$F$400="Asia")*Events!$H$6:$H$400)</f>
        <v>0</v>
      </c>
      <c r="H14" s="56" t="n">
        <f aca="false">J13*asia_repay</f>
        <v>0</v>
      </c>
      <c r="I14" s="56" t="n">
        <f aca="false">0</f>
        <v>0</v>
      </c>
      <c r="J14" s="56" t="n">
        <f aca="false">J13+G14-H14-I14</f>
        <v>0</v>
      </c>
      <c r="K14" s="56" t="n">
        <f aca="false">J13*asia_coupon</f>
        <v>0</v>
      </c>
      <c r="L14" s="56" t="n">
        <f aca="false">SUMPRODUCT((Events!$B$6:$B$400&lt;=$A14)*(Events!$C$6:$C$400&gt;=$A14)*(Events!$E$6:$E$400="Loan")*(Events!$F$6:$F$400="Europe")*Events!$H$6:$H$400)</f>
        <v>0</v>
      </c>
      <c r="M14" s="56" t="n">
        <f aca="false">O13*Paths!AA14</f>
        <v>0</v>
      </c>
      <c r="N14" s="56" t="n">
        <f aca="false">IF($A14=1918,russia_writeoff*(O13+L14),0)-IF($A14=russia_recog_yr,russia_recog*$N$78,0)</f>
        <v>0</v>
      </c>
      <c r="O14" s="56" t="n">
        <f aca="false">O13+L14-M14-N14</f>
        <v>0</v>
      </c>
      <c r="P14" s="56" t="n">
        <f aca="false">O13*Paths!Z14*Paths!AB14</f>
        <v>0</v>
      </c>
      <c r="Q14" s="56" t="n">
        <f aca="false">SUMPRODUCT((Events!$B$6:$B$400&lt;=$A14)*(Events!$C$6:$C$400&gt;=$A14)*(Events!$E$6:$E$400="Loan")*(Events!$F$6:$F$400="Rescue")*Events!$H$6:$H$400)</f>
        <v>0</v>
      </c>
      <c r="R14" s="56" t="n">
        <f aca="false">0</f>
        <v>0</v>
      </c>
      <c r="S14" s="56" t="n">
        <f aca="false">0</f>
        <v>0</v>
      </c>
      <c r="T14" s="56" t="n">
        <f aca="false">T13+Q14-R14-S14</f>
        <v>0</v>
      </c>
      <c r="U14" s="56" t="n">
        <f aca="false">T13*rescue_coupon</f>
        <v>0</v>
      </c>
      <c r="V14" s="56" t="n">
        <f aca="false">B14+G14+L14+Q14</f>
        <v>0</v>
      </c>
      <c r="W14" s="56" t="n">
        <f aca="false">C14+H14+M14+R14</f>
        <v>0</v>
      </c>
      <c r="X14" s="56" t="n">
        <f aca="false">E14+J14+O14+T14</f>
        <v>0</v>
      </c>
      <c r="Y14" s="56" t="n">
        <f aca="false">F14+K14+P14+U14</f>
        <v>0</v>
      </c>
    </row>
    <row r="15" customFormat="false" ht="14.25" hidden="false" customHeight="true" outlineLevel="0" collapsed="false">
      <c r="A15" s="61" t="n">
        <v>1855</v>
      </c>
      <c r="B15" s="56" t="n">
        <f aca="false">SUMPRODUCT((Events!$B$6:$B$400&lt;=$A15)*(Events!$C$6:$C$400&gt;=$A15)*(Events!$E$6:$E$400="Loan")*(Events!$F$6:$F$400="Continental")*Events!$H$6:$H$400)</f>
        <v>0</v>
      </c>
      <c r="C15" s="56" t="n">
        <f aca="false">E14*cont_repay</f>
        <v>0</v>
      </c>
      <c r="D15" s="56" t="n">
        <f aca="false">0</f>
        <v>0</v>
      </c>
      <c r="E15" s="56" t="n">
        <f aca="false">E14+B15-C15-D15</f>
        <v>0</v>
      </c>
      <c r="F15" s="56" t="n">
        <f aca="false">E14*cont_coupon</f>
        <v>0</v>
      </c>
      <c r="G15" s="56" t="n">
        <f aca="false">SUMPRODUCT((Events!$B$6:$B$400&lt;=$A15)*(Events!$C$6:$C$400&gt;=$A15)*(Events!$E$6:$E$400="Loan")*(Events!$F$6:$F$400="Asia")*Events!$H$6:$H$400)</f>
        <v>0</v>
      </c>
      <c r="H15" s="56" t="n">
        <f aca="false">J14*asia_repay</f>
        <v>0</v>
      </c>
      <c r="I15" s="56" t="n">
        <f aca="false">0</f>
        <v>0</v>
      </c>
      <c r="J15" s="56" t="n">
        <f aca="false">J14+G15-H15-I15</f>
        <v>0</v>
      </c>
      <c r="K15" s="56" t="n">
        <f aca="false">J14*asia_coupon</f>
        <v>0</v>
      </c>
      <c r="L15" s="56" t="n">
        <f aca="false">SUMPRODUCT((Events!$B$6:$B$400&lt;=$A15)*(Events!$C$6:$C$400&gt;=$A15)*(Events!$E$6:$E$400="Loan")*(Events!$F$6:$F$400="Europe")*Events!$H$6:$H$400)</f>
        <v>0</v>
      </c>
      <c r="M15" s="56" t="n">
        <f aca="false">O14*Paths!AA15</f>
        <v>0</v>
      </c>
      <c r="N15" s="56" t="n">
        <f aca="false">IF($A15=1918,russia_writeoff*(O14+L15),0)-IF($A15=russia_recog_yr,russia_recog*$N$78,0)</f>
        <v>0</v>
      </c>
      <c r="O15" s="56" t="n">
        <f aca="false">O14+L15-M15-N15</f>
        <v>0</v>
      </c>
      <c r="P15" s="56" t="n">
        <f aca="false">O14*Paths!Z15*Paths!AB15</f>
        <v>0</v>
      </c>
      <c r="Q15" s="56" t="n">
        <f aca="false">SUMPRODUCT((Events!$B$6:$B$400&lt;=$A15)*(Events!$C$6:$C$400&gt;=$A15)*(Events!$E$6:$E$400="Loan")*(Events!$F$6:$F$400="Rescue")*Events!$H$6:$H$400)</f>
        <v>0</v>
      </c>
      <c r="R15" s="56" t="n">
        <f aca="false">0</f>
        <v>0</v>
      </c>
      <c r="S15" s="56" t="n">
        <f aca="false">0</f>
        <v>0</v>
      </c>
      <c r="T15" s="56" t="n">
        <f aca="false">T14+Q15-R15-S15</f>
        <v>0</v>
      </c>
      <c r="U15" s="56" t="n">
        <f aca="false">T14*rescue_coupon</f>
        <v>0</v>
      </c>
      <c r="V15" s="56" t="n">
        <f aca="false">B15+G15+L15+Q15</f>
        <v>0</v>
      </c>
      <c r="W15" s="56" t="n">
        <f aca="false">C15+H15+M15+R15</f>
        <v>0</v>
      </c>
      <c r="X15" s="56" t="n">
        <f aca="false">E15+J15+O15+T15</f>
        <v>0</v>
      </c>
      <c r="Y15" s="56" t="n">
        <f aca="false">F15+K15+P15+U15</f>
        <v>0</v>
      </c>
    </row>
    <row r="16" customFormat="false" ht="14.25" hidden="false" customHeight="true" outlineLevel="0" collapsed="false">
      <c r="A16" s="61" t="n">
        <v>1856</v>
      </c>
      <c r="B16" s="56" t="n">
        <f aca="false">SUMPRODUCT((Events!$B$6:$B$400&lt;=$A16)*(Events!$C$6:$C$400&gt;=$A16)*(Events!$E$6:$E$400="Loan")*(Events!$F$6:$F$400="Continental")*Events!$H$6:$H$400)</f>
        <v>0</v>
      </c>
      <c r="C16" s="56" t="n">
        <f aca="false">E15*cont_repay</f>
        <v>0</v>
      </c>
      <c r="D16" s="56" t="n">
        <f aca="false">0</f>
        <v>0</v>
      </c>
      <c r="E16" s="56" t="n">
        <f aca="false">E15+B16-C16-D16</f>
        <v>0</v>
      </c>
      <c r="F16" s="56" t="n">
        <f aca="false">E15*cont_coupon</f>
        <v>0</v>
      </c>
      <c r="G16" s="56" t="n">
        <f aca="false">SUMPRODUCT((Events!$B$6:$B$400&lt;=$A16)*(Events!$C$6:$C$400&gt;=$A16)*(Events!$E$6:$E$400="Loan")*(Events!$F$6:$F$400="Asia")*Events!$H$6:$H$400)</f>
        <v>0</v>
      </c>
      <c r="H16" s="56" t="n">
        <f aca="false">J15*asia_repay</f>
        <v>0</v>
      </c>
      <c r="I16" s="56" t="n">
        <f aca="false">0</f>
        <v>0</v>
      </c>
      <c r="J16" s="56" t="n">
        <f aca="false">J15+G16-H16-I16</f>
        <v>0</v>
      </c>
      <c r="K16" s="56" t="n">
        <f aca="false">J15*asia_coupon</f>
        <v>0</v>
      </c>
      <c r="L16" s="56" t="n">
        <f aca="false">SUMPRODUCT((Events!$B$6:$B$400&lt;=$A16)*(Events!$C$6:$C$400&gt;=$A16)*(Events!$E$6:$E$400="Loan")*(Events!$F$6:$F$400="Europe")*Events!$H$6:$H$400)</f>
        <v>0</v>
      </c>
      <c r="M16" s="56" t="n">
        <f aca="false">O15*Paths!AA16</f>
        <v>0</v>
      </c>
      <c r="N16" s="56" t="n">
        <f aca="false">IF($A16=1918,russia_writeoff*(O15+L16),0)-IF($A16=russia_recog_yr,russia_recog*$N$78,0)</f>
        <v>0</v>
      </c>
      <c r="O16" s="56" t="n">
        <f aca="false">O15+L16-M16-N16</f>
        <v>0</v>
      </c>
      <c r="P16" s="56" t="n">
        <f aca="false">O15*Paths!Z16*Paths!AB16</f>
        <v>0</v>
      </c>
      <c r="Q16" s="56" t="n">
        <f aca="false">SUMPRODUCT((Events!$B$6:$B$400&lt;=$A16)*(Events!$C$6:$C$400&gt;=$A16)*(Events!$E$6:$E$400="Loan")*(Events!$F$6:$F$400="Rescue")*Events!$H$6:$H$400)</f>
        <v>0</v>
      </c>
      <c r="R16" s="56" t="n">
        <f aca="false">0</f>
        <v>0</v>
      </c>
      <c r="S16" s="56" t="n">
        <f aca="false">0</f>
        <v>0</v>
      </c>
      <c r="T16" s="56" t="n">
        <f aca="false">T15+Q16-R16-S16</f>
        <v>0</v>
      </c>
      <c r="U16" s="56" t="n">
        <f aca="false">T15*rescue_coupon</f>
        <v>0</v>
      </c>
      <c r="V16" s="56" t="n">
        <f aca="false">B16+G16+L16+Q16</f>
        <v>0</v>
      </c>
      <c r="W16" s="56" t="n">
        <f aca="false">C16+H16+M16+R16</f>
        <v>0</v>
      </c>
      <c r="X16" s="56" t="n">
        <f aca="false">E16+J16+O16+T16</f>
        <v>0</v>
      </c>
      <c r="Y16" s="56" t="n">
        <f aca="false">F16+K16+P16+U16</f>
        <v>0</v>
      </c>
    </row>
    <row r="17" customFormat="false" ht="14.25" hidden="false" customHeight="true" outlineLevel="0" collapsed="false">
      <c r="A17" s="61" t="n">
        <v>1857</v>
      </c>
      <c r="B17" s="56" t="n">
        <f aca="false">SUMPRODUCT((Events!$B$6:$B$400&lt;=$A17)*(Events!$C$6:$C$400&gt;=$A17)*(Events!$E$6:$E$400="Loan")*(Events!$F$6:$F$400="Continental")*Events!$H$6:$H$400)</f>
        <v>0</v>
      </c>
      <c r="C17" s="56" t="n">
        <f aca="false">E16*cont_repay</f>
        <v>0</v>
      </c>
      <c r="D17" s="56" t="n">
        <f aca="false">0</f>
        <v>0</v>
      </c>
      <c r="E17" s="56" t="n">
        <f aca="false">E16+B17-C17-D17</f>
        <v>0</v>
      </c>
      <c r="F17" s="56" t="n">
        <f aca="false">E16*cont_coupon</f>
        <v>0</v>
      </c>
      <c r="G17" s="56" t="n">
        <f aca="false">SUMPRODUCT((Events!$B$6:$B$400&lt;=$A17)*(Events!$C$6:$C$400&gt;=$A17)*(Events!$E$6:$E$400="Loan")*(Events!$F$6:$F$400="Asia")*Events!$H$6:$H$400)</f>
        <v>0</v>
      </c>
      <c r="H17" s="56" t="n">
        <f aca="false">J16*asia_repay</f>
        <v>0</v>
      </c>
      <c r="I17" s="56" t="n">
        <f aca="false">0</f>
        <v>0</v>
      </c>
      <c r="J17" s="56" t="n">
        <f aca="false">J16+G17-H17-I17</f>
        <v>0</v>
      </c>
      <c r="K17" s="56" t="n">
        <f aca="false">J16*asia_coupon</f>
        <v>0</v>
      </c>
      <c r="L17" s="56" t="n">
        <f aca="false">SUMPRODUCT((Events!$B$6:$B$400&lt;=$A17)*(Events!$C$6:$C$400&gt;=$A17)*(Events!$E$6:$E$400="Loan")*(Events!$F$6:$F$400="Europe")*Events!$H$6:$H$400)</f>
        <v>0</v>
      </c>
      <c r="M17" s="56" t="n">
        <f aca="false">O16*Paths!AA17</f>
        <v>0</v>
      </c>
      <c r="N17" s="56" t="n">
        <f aca="false">IF($A17=1918,russia_writeoff*(O16+L17),0)-IF($A17=russia_recog_yr,russia_recog*$N$78,0)</f>
        <v>0</v>
      </c>
      <c r="O17" s="56" t="n">
        <f aca="false">O16+L17-M17-N17</f>
        <v>0</v>
      </c>
      <c r="P17" s="56" t="n">
        <f aca="false">O16*Paths!Z17*Paths!AB17</f>
        <v>0</v>
      </c>
      <c r="Q17" s="56" t="n">
        <f aca="false">SUMPRODUCT((Events!$B$6:$B$400&lt;=$A17)*(Events!$C$6:$C$400&gt;=$A17)*(Events!$E$6:$E$400="Loan")*(Events!$F$6:$F$400="Rescue")*Events!$H$6:$H$400)</f>
        <v>0</v>
      </c>
      <c r="R17" s="56" t="n">
        <f aca="false">0</f>
        <v>0</v>
      </c>
      <c r="S17" s="56" t="n">
        <f aca="false">0</f>
        <v>0</v>
      </c>
      <c r="T17" s="56" t="n">
        <f aca="false">T16+Q17-R17-S17</f>
        <v>0</v>
      </c>
      <c r="U17" s="56" t="n">
        <f aca="false">T16*rescue_coupon</f>
        <v>0</v>
      </c>
      <c r="V17" s="56" t="n">
        <f aca="false">B17+G17+L17+Q17</f>
        <v>0</v>
      </c>
      <c r="W17" s="56" t="n">
        <f aca="false">C17+H17+M17+R17</f>
        <v>0</v>
      </c>
      <c r="X17" s="56" t="n">
        <f aca="false">E17+J17+O17+T17</f>
        <v>0</v>
      </c>
      <c r="Y17" s="56" t="n">
        <f aca="false">F17+K17+P17+U17</f>
        <v>0</v>
      </c>
    </row>
    <row r="18" customFormat="false" ht="14.25" hidden="false" customHeight="true" outlineLevel="0" collapsed="false">
      <c r="A18" s="61" t="n">
        <v>1858</v>
      </c>
      <c r="B18" s="56" t="n">
        <f aca="false">SUMPRODUCT((Events!$B$6:$B$400&lt;=$A18)*(Events!$C$6:$C$400&gt;=$A18)*(Events!$E$6:$E$400="Loan")*(Events!$F$6:$F$400="Continental")*Events!$H$6:$H$400)</f>
        <v>0</v>
      </c>
      <c r="C18" s="56" t="n">
        <f aca="false">E17*cont_repay</f>
        <v>0</v>
      </c>
      <c r="D18" s="56" t="n">
        <f aca="false">0</f>
        <v>0</v>
      </c>
      <c r="E18" s="56" t="n">
        <f aca="false">E17+B18-C18-D18</f>
        <v>0</v>
      </c>
      <c r="F18" s="56" t="n">
        <f aca="false">E17*cont_coupon</f>
        <v>0</v>
      </c>
      <c r="G18" s="56" t="n">
        <f aca="false">SUMPRODUCT((Events!$B$6:$B$400&lt;=$A18)*(Events!$C$6:$C$400&gt;=$A18)*(Events!$E$6:$E$400="Loan")*(Events!$F$6:$F$400="Asia")*Events!$H$6:$H$400)</f>
        <v>0</v>
      </c>
      <c r="H18" s="56" t="n">
        <f aca="false">J17*asia_repay</f>
        <v>0</v>
      </c>
      <c r="I18" s="56" t="n">
        <f aca="false">0</f>
        <v>0</v>
      </c>
      <c r="J18" s="56" t="n">
        <f aca="false">J17+G18-H18-I18</f>
        <v>0</v>
      </c>
      <c r="K18" s="56" t="n">
        <f aca="false">J17*asia_coupon</f>
        <v>0</v>
      </c>
      <c r="L18" s="56" t="n">
        <f aca="false">SUMPRODUCT((Events!$B$6:$B$400&lt;=$A18)*(Events!$C$6:$C$400&gt;=$A18)*(Events!$E$6:$E$400="Loan")*(Events!$F$6:$F$400="Europe")*Events!$H$6:$H$400)</f>
        <v>0</v>
      </c>
      <c r="M18" s="56" t="n">
        <f aca="false">O17*Paths!AA18</f>
        <v>0</v>
      </c>
      <c r="N18" s="56" t="n">
        <f aca="false">IF($A18=1918,russia_writeoff*(O17+L18),0)-IF($A18=russia_recog_yr,russia_recog*$N$78,0)</f>
        <v>0</v>
      </c>
      <c r="O18" s="56" t="n">
        <f aca="false">O17+L18-M18-N18</f>
        <v>0</v>
      </c>
      <c r="P18" s="56" t="n">
        <f aca="false">O17*Paths!Z18*Paths!AB18</f>
        <v>0</v>
      </c>
      <c r="Q18" s="56" t="n">
        <f aca="false">SUMPRODUCT((Events!$B$6:$B$400&lt;=$A18)*(Events!$C$6:$C$400&gt;=$A18)*(Events!$E$6:$E$400="Loan")*(Events!$F$6:$F$400="Rescue")*Events!$H$6:$H$400)</f>
        <v>0</v>
      </c>
      <c r="R18" s="56" t="n">
        <f aca="false">0</f>
        <v>0</v>
      </c>
      <c r="S18" s="56" t="n">
        <f aca="false">0</f>
        <v>0</v>
      </c>
      <c r="T18" s="56" t="n">
        <f aca="false">T17+Q18-R18-S18</f>
        <v>0</v>
      </c>
      <c r="U18" s="56" t="n">
        <f aca="false">T17*rescue_coupon</f>
        <v>0</v>
      </c>
      <c r="V18" s="56" t="n">
        <f aca="false">B18+G18+L18+Q18</f>
        <v>0</v>
      </c>
      <c r="W18" s="56" t="n">
        <f aca="false">C18+H18+M18+R18</f>
        <v>0</v>
      </c>
      <c r="X18" s="56" t="n">
        <f aca="false">E18+J18+O18+T18</f>
        <v>0</v>
      </c>
      <c r="Y18" s="56" t="n">
        <f aca="false">F18+K18+P18+U18</f>
        <v>0</v>
      </c>
    </row>
    <row r="19" customFormat="false" ht="14.25" hidden="false" customHeight="true" outlineLevel="0" collapsed="false">
      <c r="A19" s="61" t="n">
        <v>1859</v>
      </c>
      <c r="B19" s="56" t="n">
        <f aca="false">SUMPRODUCT((Events!$B$6:$B$400&lt;=$A19)*(Events!$C$6:$C$400&gt;=$A19)*(Events!$E$6:$E$400="Loan")*(Events!$F$6:$F$400="Continental")*Events!$H$6:$H$400)</f>
        <v>0</v>
      </c>
      <c r="C19" s="56" t="n">
        <f aca="false">E18*cont_repay</f>
        <v>0</v>
      </c>
      <c r="D19" s="56" t="n">
        <f aca="false">0</f>
        <v>0</v>
      </c>
      <c r="E19" s="56" t="n">
        <f aca="false">E18+B19-C19-D19</f>
        <v>0</v>
      </c>
      <c r="F19" s="56" t="n">
        <f aca="false">E18*cont_coupon</f>
        <v>0</v>
      </c>
      <c r="G19" s="56" t="n">
        <f aca="false">SUMPRODUCT((Events!$B$6:$B$400&lt;=$A19)*(Events!$C$6:$C$400&gt;=$A19)*(Events!$E$6:$E$400="Loan")*(Events!$F$6:$F$400="Asia")*Events!$H$6:$H$400)</f>
        <v>0</v>
      </c>
      <c r="H19" s="56" t="n">
        <f aca="false">J18*asia_repay</f>
        <v>0</v>
      </c>
      <c r="I19" s="56" t="n">
        <f aca="false">0</f>
        <v>0</v>
      </c>
      <c r="J19" s="56" t="n">
        <f aca="false">J18+G19-H19-I19</f>
        <v>0</v>
      </c>
      <c r="K19" s="56" t="n">
        <f aca="false">J18*asia_coupon</f>
        <v>0</v>
      </c>
      <c r="L19" s="56" t="n">
        <f aca="false">SUMPRODUCT((Events!$B$6:$B$400&lt;=$A19)*(Events!$C$6:$C$400&gt;=$A19)*(Events!$E$6:$E$400="Loan")*(Events!$F$6:$F$400="Europe")*Events!$H$6:$H$400)</f>
        <v>0</v>
      </c>
      <c r="M19" s="56" t="n">
        <f aca="false">O18*Paths!AA19</f>
        <v>0</v>
      </c>
      <c r="N19" s="56" t="n">
        <f aca="false">IF($A19=1918,russia_writeoff*(O18+L19),0)-IF($A19=russia_recog_yr,russia_recog*$N$78,0)</f>
        <v>0</v>
      </c>
      <c r="O19" s="56" t="n">
        <f aca="false">O18+L19-M19-N19</f>
        <v>0</v>
      </c>
      <c r="P19" s="56" t="n">
        <f aca="false">O18*Paths!Z19*Paths!AB19</f>
        <v>0</v>
      </c>
      <c r="Q19" s="56" t="n">
        <f aca="false">SUMPRODUCT((Events!$B$6:$B$400&lt;=$A19)*(Events!$C$6:$C$400&gt;=$A19)*(Events!$E$6:$E$400="Loan")*(Events!$F$6:$F$400="Rescue")*Events!$H$6:$H$400)</f>
        <v>0</v>
      </c>
      <c r="R19" s="56" t="n">
        <f aca="false">0</f>
        <v>0</v>
      </c>
      <c r="S19" s="56" t="n">
        <f aca="false">0</f>
        <v>0</v>
      </c>
      <c r="T19" s="56" t="n">
        <f aca="false">T18+Q19-R19-S19</f>
        <v>0</v>
      </c>
      <c r="U19" s="56" t="n">
        <f aca="false">T18*rescue_coupon</f>
        <v>0</v>
      </c>
      <c r="V19" s="56" t="n">
        <f aca="false">B19+G19+L19+Q19</f>
        <v>0</v>
      </c>
      <c r="W19" s="56" t="n">
        <f aca="false">C19+H19+M19+R19</f>
        <v>0</v>
      </c>
      <c r="X19" s="56" t="n">
        <f aca="false">E19+J19+O19+T19</f>
        <v>0</v>
      </c>
      <c r="Y19" s="56" t="n">
        <f aca="false">F19+K19+P19+U19</f>
        <v>0</v>
      </c>
    </row>
    <row r="20" customFormat="false" ht="14.25" hidden="false" customHeight="true" outlineLevel="0" collapsed="false">
      <c r="A20" s="61" t="n">
        <v>1860</v>
      </c>
      <c r="B20" s="56" t="n">
        <f aca="false">SUMPRODUCT((Events!$B$6:$B$400&lt;=$A20)*(Events!$C$6:$C$400&gt;=$A20)*(Events!$E$6:$E$400="Loan")*(Events!$F$6:$F$400="Continental")*Events!$H$6:$H$400)</f>
        <v>0</v>
      </c>
      <c r="C20" s="56" t="n">
        <f aca="false">E19*cont_repay</f>
        <v>0</v>
      </c>
      <c r="D20" s="56" t="n">
        <f aca="false">0</f>
        <v>0</v>
      </c>
      <c r="E20" s="56" t="n">
        <f aca="false">E19+B20-C20-D20</f>
        <v>0</v>
      </c>
      <c r="F20" s="56" t="n">
        <f aca="false">E19*cont_coupon</f>
        <v>0</v>
      </c>
      <c r="G20" s="56" t="n">
        <f aca="false">SUMPRODUCT((Events!$B$6:$B$400&lt;=$A20)*(Events!$C$6:$C$400&gt;=$A20)*(Events!$E$6:$E$400="Loan")*(Events!$F$6:$F$400="Asia")*Events!$H$6:$H$400)</f>
        <v>0</v>
      </c>
      <c r="H20" s="56" t="n">
        <f aca="false">J19*asia_repay</f>
        <v>0</v>
      </c>
      <c r="I20" s="56" t="n">
        <f aca="false">0</f>
        <v>0</v>
      </c>
      <c r="J20" s="56" t="n">
        <f aca="false">J19+G20-H20-I20</f>
        <v>0</v>
      </c>
      <c r="K20" s="56" t="n">
        <f aca="false">J19*asia_coupon</f>
        <v>0</v>
      </c>
      <c r="L20" s="56" t="n">
        <f aca="false">SUMPRODUCT((Events!$B$6:$B$400&lt;=$A20)*(Events!$C$6:$C$400&gt;=$A20)*(Events!$E$6:$E$400="Loan")*(Events!$F$6:$F$400="Europe")*Events!$H$6:$H$400)</f>
        <v>0</v>
      </c>
      <c r="M20" s="56" t="n">
        <f aca="false">O19*Paths!AA20</f>
        <v>0</v>
      </c>
      <c r="N20" s="56" t="n">
        <f aca="false">IF($A20=1918,russia_writeoff*(O19+L20),0)-IF($A20=russia_recog_yr,russia_recog*$N$78,0)</f>
        <v>0</v>
      </c>
      <c r="O20" s="56" t="n">
        <f aca="false">O19+L20-M20-N20</f>
        <v>0</v>
      </c>
      <c r="P20" s="56" t="n">
        <f aca="false">O19*Paths!Z20*Paths!AB20</f>
        <v>0</v>
      </c>
      <c r="Q20" s="56" t="n">
        <f aca="false">SUMPRODUCT((Events!$B$6:$B$400&lt;=$A20)*(Events!$C$6:$C$400&gt;=$A20)*(Events!$E$6:$E$400="Loan")*(Events!$F$6:$F$400="Rescue")*Events!$H$6:$H$400)</f>
        <v>0</v>
      </c>
      <c r="R20" s="56" t="n">
        <f aca="false">0</f>
        <v>0</v>
      </c>
      <c r="S20" s="56" t="n">
        <f aca="false">0</f>
        <v>0</v>
      </c>
      <c r="T20" s="56" t="n">
        <f aca="false">T19+Q20-R20-S20</f>
        <v>0</v>
      </c>
      <c r="U20" s="56" t="n">
        <f aca="false">T19*rescue_coupon</f>
        <v>0</v>
      </c>
      <c r="V20" s="56" t="n">
        <f aca="false">B20+G20+L20+Q20</f>
        <v>0</v>
      </c>
      <c r="W20" s="56" t="n">
        <f aca="false">C20+H20+M20+R20</f>
        <v>0</v>
      </c>
      <c r="X20" s="56" t="n">
        <f aca="false">E20+J20+O20+T20</f>
        <v>0</v>
      </c>
      <c r="Y20" s="56" t="n">
        <f aca="false">F20+K20+P20+U20</f>
        <v>0</v>
      </c>
    </row>
    <row r="21" customFormat="false" ht="14.25" hidden="false" customHeight="true" outlineLevel="0" collapsed="false">
      <c r="A21" s="64" t="n">
        <v>1861</v>
      </c>
      <c r="B21" s="56" t="n">
        <f aca="false">SUMPRODUCT((Events!$B$6:$B$400&lt;=$A21)*(Events!$C$6:$C$400&gt;=$A21)*(Events!$E$6:$E$400="Loan")*(Events!$F$6:$F$400="Continental")*Events!$H$6:$H$400)</f>
        <v>0</v>
      </c>
      <c r="C21" s="56" t="n">
        <f aca="false">E20*cont_repay</f>
        <v>0</v>
      </c>
      <c r="D21" s="56" t="n">
        <f aca="false">0</f>
        <v>0</v>
      </c>
      <c r="E21" s="56" t="n">
        <f aca="false">E20+B21-C21-D21</f>
        <v>0</v>
      </c>
      <c r="F21" s="56" t="n">
        <f aca="false">E20*cont_coupon</f>
        <v>0</v>
      </c>
      <c r="G21" s="56" t="n">
        <f aca="false">SUMPRODUCT((Events!$B$6:$B$400&lt;=$A21)*(Events!$C$6:$C$400&gt;=$A21)*(Events!$E$6:$E$400="Loan")*(Events!$F$6:$F$400="Asia")*Events!$H$6:$H$400)</f>
        <v>0</v>
      </c>
      <c r="H21" s="56" t="n">
        <f aca="false">J20*asia_repay</f>
        <v>0</v>
      </c>
      <c r="I21" s="56" t="n">
        <f aca="false">0</f>
        <v>0</v>
      </c>
      <c r="J21" s="56" t="n">
        <f aca="false">J20+G21-H21-I21</f>
        <v>0</v>
      </c>
      <c r="K21" s="56" t="n">
        <f aca="false">J20*asia_coupon</f>
        <v>0</v>
      </c>
      <c r="L21" s="56" t="n">
        <f aca="false">SUMPRODUCT((Events!$B$6:$B$400&lt;=$A21)*(Events!$C$6:$C$400&gt;=$A21)*(Events!$E$6:$E$400="Loan")*(Events!$F$6:$F$400="Europe")*Events!$H$6:$H$400)</f>
        <v>0</v>
      </c>
      <c r="M21" s="56" t="n">
        <f aca="false">O20*Paths!AA21</f>
        <v>0</v>
      </c>
      <c r="N21" s="56" t="n">
        <f aca="false">IF($A21=1918,russia_writeoff*(O20+L21),0)-IF($A21=russia_recog_yr,russia_recog*$N$78,0)</f>
        <v>0</v>
      </c>
      <c r="O21" s="56" t="n">
        <f aca="false">O20+L21-M21-N21</f>
        <v>0</v>
      </c>
      <c r="P21" s="56" t="n">
        <f aca="false">O20*Paths!Z21*Paths!AB21</f>
        <v>0</v>
      </c>
      <c r="Q21" s="56" t="n">
        <f aca="false">SUMPRODUCT((Events!$B$6:$B$400&lt;=$A21)*(Events!$C$6:$C$400&gt;=$A21)*(Events!$E$6:$E$400="Loan")*(Events!$F$6:$F$400="Rescue")*Events!$H$6:$H$400)</f>
        <v>0</v>
      </c>
      <c r="R21" s="56" t="n">
        <f aca="false">0</f>
        <v>0</v>
      </c>
      <c r="S21" s="56" t="n">
        <f aca="false">0</f>
        <v>0</v>
      </c>
      <c r="T21" s="56" t="n">
        <f aca="false">T20+Q21-R21-S21</f>
        <v>0</v>
      </c>
      <c r="U21" s="56" t="n">
        <f aca="false">T20*rescue_coupon</f>
        <v>0</v>
      </c>
      <c r="V21" s="56" t="n">
        <f aca="false">B21+G21+L21+Q21</f>
        <v>0</v>
      </c>
      <c r="W21" s="56" t="n">
        <f aca="false">C21+H21+M21+R21</f>
        <v>0</v>
      </c>
      <c r="X21" s="56" t="n">
        <f aca="false">E21+J21+O21+T21</f>
        <v>0</v>
      </c>
      <c r="Y21" s="56" t="n">
        <f aca="false">F21+K21+P21+U21</f>
        <v>0</v>
      </c>
    </row>
    <row r="22" customFormat="false" ht="14.25" hidden="false" customHeight="true" outlineLevel="0" collapsed="false">
      <c r="A22" s="64" t="n">
        <v>1862</v>
      </c>
      <c r="B22" s="56" t="n">
        <f aca="false">SUMPRODUCT((Events!$B$6:$B$400&lt;=$A22)*(Events!$C$6:$C$400&gt;=$A22)*(Events!$E$6:$E$400="Loan")*(Events!$F$6:$F$400="Continental")*Events!$H$6:$H$400)</f>
        <v>0</v>
      </c>
      <c r="C22" s="56" t="n">
        <f aca="false">E21*cont_repay</f>
        <v>0</v>
      </c>
      <c r="D22" s="56" t="n">
        <f aca="false">0</f>
        <v>0</v>
      </c>
      <c r="E22" s="56" t="n">
        <f aca="false">E21+B22-C22-D22</f>
        <v>0</v>
      </c>
      <c r="F22" s="56" t="n">
        <f aca="false">E21*cont_coupon</f>
        <v>0</v>
      </c>
      <c r="G22" s="56" t="n">
        <f aca="false">SUMPRODUCT((Events!$B$6:$B$400&lt;=$A22)*(Events!$C$6:$C$400&gt;=$A22)*(Events!$E$6:$E$400="Loan")*(Events!$F$6:$F$400="Asia")*Events!$H$6:$H$400)</f>
        <v>0</v>
      </c>
      <c r="H22" s="56" t="n">
        <f aca="false">J21*asia_repay</f>
        <v>0</v>
      </c>
      <c r="I22" s="56" t="n">
        <f aca="false">0</f>
        <v>0</v>
      </c>
      <c r="J22" s="56" t="n">
        <f aca="false">J21+G22-H22-I22</f>
        <v>0</v>
      </c>
      <c r="K22" s="56" t="n">
        <f aca="false">J21*asia_coupon</f>
        <v>0</v>
      </c>
      <c r="L22" s="56" t="n">
        <f aca="false">SUMPRODUCT((Events!$B$6:$B$400&lt;=$A22)*(Events!$C$6:$C$400&gt;=$A22)*(Events!$E$6:$E$400="Loan")*(Events!$F$6:$F$400="Europe")*Events!$H$6:$H$400)</f>
        <v>0</v>
      </c>
      <c r="M22" s="56" t="n">
        <f aca="false">O21*Paths!AA22</f>
        <v>0</v>
      </c>
      <c r="N22" s="56" t="n">
        <f aca="false">IF($A22=1918,russia_writeoff*(O21+L22),0)-IF($A22=russia_recog_yr,russia_recog*$N$78,0)</f>
        <v>0</v>
      </c>
      <c r="O22" s="56" t="n">
        <f aca="false">O21+L22-M22-N22</f>
        <v>0</v>
      </c>
      <c r="P22" s="56" t="n">
        <f aca="false">O21*Paths!Z22*Paths!AB22</f>
        <v>0</v>
      </c>
      <c r="Q22" s="56" t="n">
        <f aca="false">SUMPRODUCT((Events!$B$6:$B$400&lt;=$A22)*(Events!$C$6:$C$400&gt;=$A22)*(Events!$E$6:$E$400="Loan")*(Events!$F$6:$F$400="Rescue")*Events!$H$6:$H$400)</f>
        <v>0</v>
      </c>
      <c r="R22" s="56" t="n">
        <f aca="false">0</f>
        <v>0</v>
      </c>
      <c r="S22" s="56" t="n">
        <f aca="false">0</f>
        <v>0</v>
      </c>
      <c r="T22" s="56" t="n">
        <f aca="false">T21+Q22-R22-S22</f>
        <v>0</v>
      </c>
      <c r="U22" s="56" t="n">
        <f aca="false">T21*rescue_coupon</f>
        <v>0</v>
      </c>
      <c r="V22" s="56" t="n">
        <f aca="false">B22+G22+L22+Q22</f>
        <v>0</v>
      </c>
      <c r="W22" s="56" t="n">
        <f aca="false">C22+H22+M22+R22</f>
        <v>0</v>
      </c>
      <c r="X22" s="56" t="n">
        <f aca="false">E22+J22+O22+T22</f>
        <v>0</v>
      </c>
      <c r="Y22" s="56" t="n">
        <f aca="false">F22+K22+P22+U22</f>
        <v>0</v>
      </c>
    </row>
    <row r="23" customFormat="false" ht="14.25" hidden="false" customHeight="true" outlineLevel="0" collapsed="false">
      <c r="A23" s="64" t="n">
        <v>1863</v>
      </c>
      <c r="B23" s="56" t="n">
        <f aca="false">SUMPRODUCT((Events!$B$6:$B$400&lt;=$A23)*(Events!$C$6:$C$400&gt;=$A23)*(Events!$E$6:$E$400="Loan")*(Events!$F$6:$F$400="Continental")*Events!$H$6:$H$400)</f>
        <v>0</v>
      </c>
      <c r="C23" s="56" t="n">
        <f aca="false">E22*cont_repay</f>
        <v>0</v>
      </c>
      <c r="D23" s="56" t="n">
        <f aca="false">0</f>
        <v>0</v>
      </c>
      <c r="E23" s="56" t="n">
        <f aca="false">E22+B23-C23-D23</f>
        <v>0</v>
      </c>
      <c r="F23" s="56" t="n">
        <f aca="false">E22*cont_coupon</f>
        <v>0</v>
      </c>
      <c r="G23" s="56" t="n">
        <f aca="false">SUMPRODUCT((Events!$B$6:$B$400&lt;=$A23)*(Events!$C$6:$C$400&gt;=$A23)*(Events!$E$6:$E$400="Loan")*(Events!$F$6:$F$400="Asia")*Events!$H$6:$H$400)</f>
        <v>0</v>
      </c>
      <c r="H23" s="56" t="n">
        <f aca="false">J22*asia_repay</f>
        <v>0</v>
      </c>
      <c r="I23" s="56" t="n">
        <f aca="false">0</f>
        <v>0</v>
      </c>
      <c r="J23" s="56" t="n">
        <f aca="false">J22+G23-H23-I23</f>
        <v>0</v>
      </c>
      <c r="K23" s="56" t="n">
        <f aca="false">J22*asia_coupon</f>
        <v>0</v>
      </c>
      <c r="L23" s="56" t="n">
        <f aca="false">SUMPRODUCT((Events!$B$6:$B$400&lt;=$A23)*(Events!$C$6:$C$400&gt;=$A23)*(Events!$E$6:$E$400="Loan")*(Events!$F$6:$F$400="Europe")*Events!$H$6:$H$400)</f>
        <v>0</v>
      </c>
      <c r="M23" s="56" t="n">
        <f aca="false">O22*Paths!AA23</f>
        <v>0</v>
      </c>
      <c r="N23" s="56" t="n">
        <f aca="false">IF($A23=1918,russia_writeoff*(O22+L23),0)-IF($A23=russia_recog_yr,russia_recog*$N$78,0)</f>
        <v>0</v>
      </c>
      <c r="O23" s="56" t="n">
        <f aca="false">O22+L23-M23-N23</f>
        <v>0</v>
      </c>
      <c r="P23" s="56" t="n">
        <f aca="false">O22*Paths!Z23*Paths!AB23</f>
        <v>0</v>
      </c>
      <c r="Q23" s="56" t="n">
        <f aca="false">SUMPRODUCT((Events!$B$6:$B$400&lt;=$A23)*(Events!$C$6:$C$400&gt;=$A23)*(Events!$E$6:$E$400="Loan")*(Events!$F$6:$F$400="Rescue")*Events!$H$6:$H$400)</f>
        <v>0</v>
      </c>
      <c r="R23" s="56" t="n">
        <f aca="false">0</f>
        <v>0</v>
      </c>
      <c r="S23" s="56" t="n">
        <f aca="false">0</f>
        <v>0</v>
      </c>
      <c r="T23" s="56" t="n">
        <f aca="false">T22+Q23-R23-S23</f>
        <v>0</v>
      </c>
      <c r="U23" s="56" t="n">
        <f aca="false">T22*rescue_coupon</f>
        <v>0</v>
      </c>
      <c r="V23" s="56" t="n">
        <f aca="false">B23+G23+L23+Q23</f>
        <v>0</v>
      </c>
      <c r="W23" s="56" t="n">
        <f aca="false">C23+H23+M23+R23</f>
        <v>0</v>
      </c>
      <c r="X23" s="56" t="n">
        <f aca="false">E23+J23+O23+T23</f>
        <v>0</v>
      </c>
      <c r="Y23" s="56" t="n">
        <f aca="false">F23+K23+P23+U23</f>
        <v>0</v>
      </c>
    </row>
    <row r="24" customFormat="false" ht="14.25" hidden="false" customHeight="true" outlineLevel="0" collapsed="false">
      <c r="A24" s="64" t="n">
        <v>1864</v>
      </c>
      <c r="B24" s="56" t="n">
        <f aca="false">SUMPRODUCT((Events!$B$6:$B$400&lt;=$A24)*(Events!$C$6:$C$400&gt;=$A24)*(Events!$E$6:$E$400="Loan")*(Events!$F$6:$F$400="Continental")*Events!$H$6:$H$400)</f>
        <v>0</v>
      </c>
      <c r="C24" s="56" t="n">
        <f aca="false">E23*cont_repay</f>
        <v>0</v>
      </c>
      <c r="D24" s="56" t="n">
        <f aca="false">0</f>
        <v>0</v>
      </c>
      <c r="E24" s="56" t="n">
        <f aca="false">E23+B24-C24-D24</f>
        <v>0</v>
      </c>
      <c r="F24" s="56" t="n">
        <f aca="false">E23*cont_coupon</f>
        <v>0</v>
      </c>
      <c r="G24" s="56" t="n">
        <f aca="false">SUMPRODUCT((Events!$B$6:$B$400&lt;=$A24)*(Events!$C$6:$C$400&gt;=$A24)*(Events!$E$6:$E$400="Loan")*(Events!$F$6:$F$400="Asia")*Events!$H$6:$H$400)</f>
        <v>0</v>
      </c>
      <c r="H24" s="56" t="n">
        <f aca="false">J23*asia_repay</f>
        <v>0</v>
      </c>
      <c r="I24" s="56" t="n">
        <f aca="false">0</f>
        <v>0</v>
      </c>
      <c r="J24" s="56" t="n">
        <f aca="false">J23+G24-H24-I24</f>
        <v>0</v>
      </c>
      <c r="K24" s="56" t="n">
        <f aca="false">J23*asia_coupon</f>
        <v>0</v>
      </c>
      <c r="L24" s="56" t="n">
        <f aca="false">SUMPRODUCT((Events!$B$6:$B$400&lt;=$A24)*(Events!$C$6:$C$400&gt;=$A24)*(Events!$E$6:$E$400="Loan")*(Events!$F$6:$F$400="Europe")*Events!$H$6:$H$400)</f>
        <v>0</v>
      </c>
      <c r="M24" s="56" t="n">
        <f aca="false">O23*Paths!AA24</f>
        <v>0</v>
      </c>
      <c r="N24" s="56" t="n">
        <f aca="false">IF($A24=1918,russia_writeoff*(O23+L24),0)-IF($A24=russia_recog_yr,russia_recog*$N$78,0)</f>
        <v>0</v>
      </c>
      <c r="O24" s="56" t="n">
        <f aca="false">O23+L24-M24-N24</f>
        <v>0</v>
      </c>
      <c r="P24" s="56" t="n">
        <f aca="false">O23*Paths!Z24*Paths!AB24</f>
        <v>0</v>
      </c>
      <c r="Q24" s="56" t="n">
        <f aca="false">SUMPRODUCT((Events!$B$6:$B$400&lt;=$A24)*(Events!$C$6:$C$400&gt;=$A24)*(Events!$E$6:$E$400="Loan")*(Events!$F$6:$F$400="Rescue")*Events!$H$6:$H$400)</f>
        <v>0</v>
      </c>
      <c r="R24" s="56" t="n">
        <f aca="false">0</f>
        <v>0</v>
      </c>
      <c r="S24" s="56" t="n">
        <f aca="false">0</f>
        <v>0</v>
      </c>
      <c r="T24" s="56" t="n">
        <f aca="false">T23+Q24-R24-S24</f>
        <v>0</v>
      </c>
      <c r="U24" s="56" t="n">
        <f aca="false">T23*rescue_coupon</f>
        <v>0</v>
      </c>
      <c r="V24" s="56" t="n">
        <f aca="false">B24+G24+L24+Q24</f>
        <v>0</v>
      </c>
      <c r="W24" s="56" t="n">
        <f aca="false">C24+H24+M24+R24</f>
        <v>0</v>
      </c>
      <c r="X24" s="56" t="n">
        <f aca="false">E24+J24+O24+T24</f>
        <v>0</v>
      </c>
      <c r="Y24" s="56" t="n">
        <f aca="false">F24+K24+P24+U24</f>
        <v>0</v>
      </c>
    </row>
    <row r="25" customFormat="false" ht="14.25" hidden="false" customHeight="true" outlineLevel="0" collapsed="false">
      <c r="A25" s="64" t="n">
        <v>1865</v>
      </c>
      <c r="B25" s="56" t="n">
        <f aca="false">SUMPRODUCT((Events!$B$6:$B$400&lt;=$A25)*(Events!$C$6:$C$400&gt;=$A25)*(Events!$E$6:$E$400="Loan")*(Events!$F$6:$F$400="Continental")*Events!$H$6:$H$400)</f>
        <v>0</v>
      </c>
      <c r="C25" s="56" t="n">
        <f aca="false">E24*cont_repay</f>
        <v>0</v>
      </c>
      <c r="D25" s="56" t="n">
        <f aca="false">0</f>
        <v>0</v>
      </c>
      <c r="E25" s="56" t="n">
        <f aca="false">E24+B25-C25-D25</f>
        <v>0</v>
      </c>
      <c r="F25" s="56" t="n">
        <f aca="false">E24*cont_coupon</f>
        <v>0</v>
      </c>
      <c r="G25" s="56" t="n">
        <f aca="false">SUMPRODUCT((Events!$B$6:$B$400&lt;=$A25)*(Events!$C$6:$C$400&gt;=$A25)*(Events!$E$6:$E$400="Loan")*(Events!$F$6:$F$400="Asia")*Events!$H$6:$H$400)</f>
        <v>0</v>
      </c>
      <c r="H25" s="56" t="n">
        <f aca="false">J24*asia_repay</f>
        <v>0</v>
      </c>
      <c r="I25" s="56" t="n">
        <f aca="false">0</f>
        <v>0</v>
      </c>
      <c r="J25" s="56" t="n">
        <f aca="false">J24+G25-H25-I25</f>
        <v>0</v>
      </c>
      <c r="K25" s="56" t="n">
        <f aca="false">J24*asia_coupon</f>
        <v>0</v>
      </c>
      <c r="L25" s="56" t="n">
        <f aca="false">SUMPRODUCT((Events!$B$6:$B$400&lt;=$A25)*(Events!$C$6:$C$400&gt;=$A25)*(Events!$E$6:$E$400="Loan")*(Events!$F$6:$F$400="Europe")*Events!$H$6:$H$400)</f>
        <v>0</v>
      </c>
      <c r="M25" s="56" t="n">
        <f aca="false">O24*Paths!AA25</f>
        <v>0</v>
      </c>
      <c r="N25" s="56" t="n">
        <f aca="false">IF($A25=1918,russia_writeoff*(O24+L25),0)-IF($A25=russia_recog_yr,russia_recog*$N$78,0)</f>
        <v>0</v>
      </c>
      <c r="O25" s="56" t="n">
        <f aca="false">O24+L25-M25-N25</f>
        <v>0</v>
      </c>
      <c r="P25" s="56" t="n">
        <f aca="false">O24*Paths!Z25*Paths!AB25</f>
        <v>0</v>
      </c>
      <c r="Q25" s="56" t="n">
        <f aca="false">SUMPRODUCT((Events!$B$6:$B$400&lt;=$A25)*(Events!$C$6:$C$400&gt;=$A25)*(Events!$E$6:$E$400="Loan")*(Events!$F$6:$F$400="Rescue")*Events!$H$6:$H$400)</f>
        <v>0</v>
      </c>
      <c r="R25" s="56" t="n">
        <f aca="false">0</f>
        <v>0</v>
      </c>
      <c r="S25" s="56" t="n">
        <f aca="false">0</f>
        <v>0</v>
      </c>
      <c r="T25" s="56" t="n">
        <f aca="false">T24+Q25-R25-S25</f>
        <v>0</v>
      </c>
      <c r="U25" s="56" t="n">
        <f aca="false">T24*rescue_coupon</f>
        <v>0</v>
      </c>
      <c r="V25" s="56" t="n">
        <f aca="false">B25+G25+L25+Q25</f>
        <v>0</v>
      </c>
      <c r="W25" s="56" t="n">
        <f aca="false">C25+H25+M25+R25</f>
        <v>0</v>
      </c>
      <c r="X25" s="56" t="n">
        <f aca="false">E25+J25+O25+T25</f>
        <v>0</v>
      </c>
      <c r="Y25" s="56" t="n">
        <f aca="false">F25+K25+P25+U25</f>
        <v>0</v>
      </c>
    </row>
    <row r="26" customFormat="false" ht="14.25" hidden="false" customHeight="true" outlineLevel="0" collapsed="false">
      <c r="A26" s="61" t="n">
        <v>1866</v>
      </c>
      <c r="B26" s="56" t="n">
        <f aca="false">SUMPRODUCT((Events!$B$6:$B$400&lt;=$A26)*(Events!$C$6:$C$400&gt;=$A26)*(Events!$E$6:$E$400="Loan")*(Events!$F$6:$F$400="Continental")*Events!$H$6:$H$400)</f>
        <v>0</v>
      </c>
      <c r="C26" s="56" t="n">
        <f aca="false">E25*cont_repay</f>
        <v>0</v>
      </c>
      <c r="D26" s="56" t="n">
        <f aca="false">0</f>
        <v>0</v>
      </c>
      <c r="E26" s="56" t="n">
        <f aca="false">E25+B26-C26-D26</f>
        <v>0</v>
      </c>
      <c r="F26" s="56" t="n">
        <f aca="false">E25*cont_coupon</f>
        <v>0</v>
      </c>
      <c r="G26" s="56" t="n">
        <f aca="false">SUMPRODUCT((Events!$B$6:$B$400&lt;=$A26)*(Events!$C$6:$C$400&gt;=$A26)*(Events!$E$6:$E$400="Loan")*(Events!$F$6:$F$400="Asia")*Events!$H$6:$H$400)</f>
        <v>0</v>
      </c>
      <c r="H26" s="56" t="n">
        <f aca="false">J25*asia_repay</f>
        <v>0</v>
      </c>
      <c r="I26" s="56" t="n">
        <f aca="false">0</f>
        <v>0</v>
      </c>
      <c r="J26" s="56" t="n">
        <f aca="false">J25+G26-H26-I26</f>
        <v>0</v>
      </c>
      <c r="K26" s="56" t="n">
        <f aca="false">J25*asia_coupon</f>
        <v>0</v>
      </c>
      <c r="L26" s="56" t="n">
        <f aca="false">SUMPRODUCT((Events!$B$6:$B$400&lt;=$A26)*(Events!$C$6:$C$400&gt;=$A26)*(Events!$E$6:$E$400="Loan")*(Events!$F$6:$F$400="Europe")*Events!$H$6:$H$400)</f>
        <v>0</v>
      </c>
      <c r="M26" s="56" t="n">
        <f aca="false">O25*Paths!AA26</f>
        <v>0</v>
      </c>
      <c r="N26" s="56" t="n">
        <f aca="false">IF($A26=1918,russia_writeoff*(O25+L26),0)-IF($A26=russia_recog_yr,russia_recog*$N$78,0)</f>
        <v>0</v>
      </c>
      <c r="O26" s="56" t="n">
        <f aca="false">O25+L26-M26-N26</f>
        <v>0</v>
      </c>
      <c r="P26" s="56" t="n">
        <f aca="false">O25*Paths!Z26*Paths!AB26</f>
        <v>0</v>
      </c>
      <c r="Q26" s="56" t="n">
        <f aca="false">SUMPRODUCT((Events!$B$6:$B$400&lt;=$A26)*(Events!$C$6:$C$400&gt;=$A26)*(Events!$E$6:$E$400="Loan")*(Events!$F$6:$F$400="Rescue")*Events!$H$6:$H$400)</f>
        <v>0</v>
      </c>
      <c r="R26" s="56" t="n">
        <f aca="false">0</f>
        <v>0</v>
      </c>
      <c r="S26" s="56" t="n">
        <f aca="false">0</f>
        <v>0</v>
      </c>
      <c r="T26" s="56" t="n">
        <f aca="false">T25+Q26-R26-S26</f>
        <v>0</v>
      </c>
      <c r="U26" s="56" t="n">
        <f aca="false">T25*rescue_coupon</f>
        <v>0</v>
      </c>
      <c r="V26" s="56" t="n">
        <f aca="false">B26+G26+L26+Q26</f>
        <v>0</v>
      </c>
      <c r="W26" s="56" t="n">
        <f aca="false">C26+H26+M26+R26</f>
        <v>0</v>
      </c>
      <c r="X26" s="56" t="n">
        <f aca="false">E26+J26+O26+T26</f>
        <v>0</v>
      </c>
      <c r="Y26" s="56" t="n">
        <f aca="false">F26+K26+P26+U26</f>
        <v>0</v>
      </c>
    </row>
    <row r="27" customFormat="false" ht="14.25" hidden="false" customHeight="true" outlineLevel="0" collapsed="false">
      <c r="A27" s="61" t="n">
        <v>1867</v>
      </c>
      <c r="B27" s="56" t="n">
        <f aca="false">SUMPRODUCT((Events!$B$6:$B$400&lt;=$A27)*(Events!$C$6:$C$400&gt;=$A27)*(Events!$E$6:$E$400="Loan")*(Events!$F$6:$F$400="Continental")*Events!$H$6:$H$400)</f>
        <v>10</v>
      </c>
      <c r="C27" s="56" t="n">
        <f aca="false">E26*cont_repay</f>
        <v>0</v>
      </c>
      <c r="D27" s="56" t="n">
        <f aca="false">0</f>
        <v>0</v>
      </c>
      <c r="E27" s="56" t="n">
        <f aca="false">E26+B27-C27-D27</f>
        <v>10</v>
      </c>
      <c r="F27" s="56" t="n">
        <f aca="false">E26*cont_coupon</f>
        <v>0</v>
      </c>
      <c r="G27" s="56" t="n">
        <f aca="false">SUMPRODUCT((Events!$B$6:$B$400&lt;=$A27)*(Events!$C$6:$C$400&gt;=$A27)*(Events!$E$6:$E$400="Loan")*(Events!$F$6:$F$400="Asia")*Events!$H$6:$H$400)</f>
        <v>0</v>
      </c>
      <c r="H27" s="56" t="n">
        <f aca="false">J26*asia_repay</f>
        <v>0</v>
      </c>
      <c r="I27" s="56" t="n">
        <f aca="false">0</f>
        <v>0</v>
      </c>
      <c r="J27" s="56" t="n">
        <f aca="false">J26+G27-H27-I27</f>
        <v>0</v>
      </c>
      <c r="K27" s="56" t="n">
        <f aca="false">J26*asia_coupon</f>
        <v>0</v>
      </c>
      <c r="L27" s="56" t="n">
        <f aca="false">SUMPRODUCT((Events!$B$6:$B$400&lt;=$A27)*(Events!$C$6:$C$400&gt;=$A27)*(Events!$E$6:$E$400="Loan")*(Events!$F$6:$F$400="Europe")*Events!$H$6:$H$400)</f>
        <v>0</v>
      </c>
      <c r="M27" s="56" t="n">
        <f aca="false">O26*Paths!AA27</f>
        <v>0</v>
      </c>
      <c r="N27" s="56" t="n">
        <f aca="false">IF($A27=1918,russia_writeoff*(O26+L27),0)-IF($A27=russia_recog_yr,russia_recog*$N$78,0)</f>
        <v>0</v>
      </c>
      <c r="O27" s="56" t="n">
        <f aca="false">O26+L27-M27-N27</f>
        <v>0</v>
      </c>
      <c r="P27" s="56" t="n">
        <f aca="false">O26*Paths!Z27*Paths!AB27</f>
        <v>0</v>
      </c>
      <c r="Q27" s="56" t="n">
        <f aca="false">SUMPRODUCT((Events!$B$6:$B$400&lt;=$A27)*(Events!$C$6:$C$400&gt;=$A27)*(Events!$E$6:$E$400="Loan")*(Events!$F$6:$F$400="Rescue")*Events!$H$6:$H$400)</f>
        <v>0</v>
      </c>
      <c r="R27" s="56" t="n">
        <f aca="false">0</f>
        <v>0</v>
      </c>
      <c r="S27" s="56" t="n">
        <f aca="false">0</f>
        <v>0</v>
      </c>
      <c r="T27" s="56" t="n">
        <f aca="false">T26+Q27-R27-S27</f>
        <v>0</v>
      </c>
      <c r="U27" s="56" t="n">
        <f aca="false">T26*rescue_coupon</f>
        <v>0</v>
      </c>
      <c r="V27" s="56" t="n">
        <f aca="false">B27+G27+L27+Q27</f>
        <v>10</v>
      </c>
      <c r="W27" s="56" t="n">
        <f aca="false">C27+H27+M27+R27</f>
        <v>0</v>
      </c>
      <c r="X27" s="56" t="n">
        <f aca="false">E27+J27+O27+T27</f>
        <v>10</v>
      </c>
      <c r="Y27" s="56" t="n">
        <f aca="false">F27+K27+P27+U27</f>
        <v>0</v>
      </c>
    </row>
    <row r="28" customFormat="false" ht="14.25" hidden="false" customHeight="true" outlineLevel="0" collapsed="false">
      <c r="A28" s="61" t="n">
        <v>1868</v>
      </c>
      <c r="B28" s="56" t="n">
        <f aca="false">SUMPRODUCT((Events!$B$6:$B$400&lt;=$A28)*(Events!$C$6:$C$400&gt;=$A28)*(Events!$E$6:$E$400="Loan")*(Events!$F$6:$F$400="Continental")*Events!$H$6:$H$400)</f>
        <v>0</v>
      </c>
      <c r="C28" s="56" t="n">
        <f aca="false">E27*cont_repay</f>
        <v>0.4</v>
      </c>
      <c r="D28" s="56" t="n">
        <f aca="false">0</f>
        <v>0</v>
      </c>
      <c r="E28" s="56" t="n">
        <f aca="false">E27+B28-C28-D28</f>
        <v>9.6</v>
      </c>
      <c r="F28" s="56" t="n">
        <f aca="false">E27*cont_coupon</f>
        <v>0.5</v>
      </c>
      <c r="G28" s="56" t="n">
        <f aca="false">SUMPRODUCT((Events!$B$6:$B$400&lt;=$A28)*(Events!$C$6:$C$400&gt;=$A28)*(Events!$E$6:$E$400="Loan")*(Events!$F$6:$F$400="Asia")*Events!$H$6:$H$400)</f>
        <v>0</v>
      </c>
      <c r="H28" s="56" t="n">
        <f aca="false">J27*asia_repay</f>
        <v>0</v>
      </c>
      <c r="I28" s="56" t="n">
        <f aca="false">0</f>
        <v>0</v>
      </c>
      <c r="J28" s="56" t="n">
        <f aca="false">J27+G28-H28-I28</f>
        <v>0</v>
      </c>
      <c r="K28" s="56" t="n">
        <f aca="false">J27*asia_coupon</f>
        <v>0</v>
      </c>
      <c r="L28" s="56" t="n">
        <f aca="false">SUMPRODUCT((Events!$B$6:$B$400&lt;=$A28)*(Events!$C$6:$C$400&gt;=$A28)*(Events!$E$6:$E$400="Loan")*(Events!$F$6:$F$400="Europe")*Events!$H$6:$H$400)</f>
        <v>0</v>
      </c>
      <c r="M28" s="56" t="n">
        <f aca="false">O27*Paths!AA28</f>
        <v>0</v>
      </c>
      <c r="N28" s="56" t="n">
        <f aca="false">IF($A28=1918,russia_writeoff*(O27+L28),0)-IF($A28=russia_recog_yr,russia_recog*$N$78,0)</f>
        <v>0</v>
      </c>
      <c r="O28" s="56" t="n">
        <f aca="false">O27+L28-M28-N28</f>
        <v>0</v>
      </c>
      <c r="P28" s="56" t="n">
        <f aca="false">O27*Paths!Z28*Paths!AB28</f>
        <v>0</v>
      </c>
      <c r="Q28" s="56" t="n">
        <f aca="false">SUMPRODUCT((Events!$B$6:$B$400&lt;=$A28)*(Events!$C$6:$C$400&gt;=$A28)*(Events!$E$6:$E$400="Loan")*(Events!$F$6:$F$400="Rescue")*Events!$H$6:$H$400)</f>
        <v>0</v>
      </c>
      <c r="R28" s="56" t="n">
        <f aca="false">0</f>
        <v>0</v>
      </c>
      <c r="S28" s="56" t="n">
        <f aca="false">0</f>
        <v>0</v>
      </c>
      <c r="T28" s="56" t="n">
        <f aca="false">T27+Q28-R28-S28</f>
        <v>0</v>
      </c>
      <c r="U28" s="56" t="n">
        <f aca="false">T27*rescue_coupon</f>
        <v>0</v>
      </c>
      <c r="V28" s="56" t="n">
        <f aca="false">B28+G28+L28+Q28</f>
        <v>0</v>
      </c>
      <c r="W28" s="56" t="n">
        <f aca="false">C28+H28+M28+R28</f>
        <v>0.4</v>
      </c>
      <c r="X28" s="56" t="n">
        <f aca="false">E28+J28+O28+T28</f>
        <v>9.6</v>
      </c>
      <c r="Y28" s="56" t="n">
        <f aca="false">F28+K28+P28+U28</f>
        <v>0.5</v>
      </c>
    </row>
    <row r="29" customFormat="false" ht="14.25" hidden="false" customHeight="true" outlineLevel="0" collapsed="false">
      <c r="A29" s="61" t="n">
        <v>1869</v>
      </c>
      <c r="B29" s="56" t="n">
        <f aca="false">SUMPRODUCT((Events!$B$6:$B$400&lt;=$A29)*(Events!$C$6:$C$400&gt;=$A29)*(Events!$E$6:$E$400="Loan")*(Events!$F$6:$F$400="Continental")*Events!$H$6:$H$400)</f>
        <v>0</v>
      </c>
      <c r="C29" s="56" t="n">
        <f aca="false">E28*cont_repay</f>
        <v>0.384</v>
      </c>
      <c r="D29" s="56" t="n">
        <f aca="false">0</f>
        <v>0</v>
      </c>
      <c r="E29" s="56" t="n">
        <f aca="false">E28+B29-C29-D29</f>
        <v>9.216</v>
      </c>
      <c r="F29" s="56" t="n">
        <f aca="false">E28*cont_coupon</f>
        <v>0.48</v>
      </c>
      <c r="G29" s="56" t="n">
        <f aca="false">SUMPRODUCT((Events!$B$6:$B$400&lt;=$A29)*(Events!$C$6:$C$400&gt;=$A29)*(Events!$E$6:$E$400="Loan")*(Events!$F$6:$F$400="Asia")*Events!$H$6:$H$400)</f>
        <v>0</v>
      </c>
      <c r="H29" s="56" t="n">
        <f aca="false">J28*asia_repay</f>
        <v>0</v>
      </c>
      <c r="I29" s="56" t="n">
        <f aca="false">0</f>
        <v>0</v>
      </c>
      <c r="J29" s="56" t="n">
        <f aca="false">J28+G29-H29-I29</f>
        <v>0</v>
      </c>
      <c r="K29" s="56" t="n">
        <f aca="false">J28*asia_coupon</f>
        <v>0</v>
      </c>
      <c r="L29" s="56" t="n">
        <f aca="false">SUMPRODUCT((Events!$B$6:$B$400&lt;=$A29)*(Events!$C$6:$C$400&gt;=$A29)*(Events!$E$6:$E$400="Loan")*(Events!$F$6:$F$400="Europe")*Events!$H$6:$H$400)</f>
        <v>0</v>
      </c>
      <c r="M29" s="56" t="n">
        <f aca="false">O28*Paths!AA29</f>
        <v>0</v>
      </c>
      <c r="N29" s="56" t="n">
        <f aca="false">IF($A29=1918,russia_writeoff*(O28+L29),0)-IF($A29=russia_recog_yr,russia_recog*$N$78,0)</f>
        <v>0</v>
      </c>
      <c r="O29" s="56" t="n">
        <f aca="false">O28+L29-M29-N29</f>
        <v>0</v>
      </c>
      <c r="P29" s="56" t="n">
        <f aca="false">O28*Paths!Z29*Paths!AB29</f>
        <v>0</v>
      </c>
      <c r="Q29" s="56" t="n">
        <f aca="false">SUMPRODUCT((Events!$B$6:$B$400&lt;=$A29)*(Events!$C$6:$C$400&gt;=$A29)*(Events!$E$6:$E$400="Loan")*(Events!$F$6:$F$400="Rescue")*Events!$H$6:$H$400)</f>
        <v>0</v>
      </c>
      <c r="R29" s="56" t="n">
        <f aca="false">0</f>
        <v>0</v>
      </c>
      <c r="S29" s="56" t="n">
        <f aca="false">0</f>
        <v>0</v>
      </c>
      <c r="T29" s="56" t="n">
        <f aca="false">T28+Q29-R29-S29</f>
        <v>0</v>
      </c>
      <c r="U29" s="56" t="n">
        <f aca="false">T28*rescue_coupon</f>
        <v>0</v>
      </c>
      <c r="V29" s="56" t="n">
        <f aca="false">B29+G29+L29+Q29</f>
        <v>0</v>
      </c>
      <c r="W29" s="56" t="n">
        <f aca="false">C29+H29+M29+R29</f>
        <v>0.384</v>
      </c>
      <c r="X29" s="56" t="n">
        <f aca="false">E29+J29+O29+T29</f>
        <v>9.216</v>
      </c>
      <c r="Y29" s="56" t="n">
        <f aca="false">F29+K29+P29+U29</f>
        <v>0.48</v>
      </c>
    </row>
    <row r="30" customFormat="false" ht="14.25" hidden="false" customHeight="true" outlineLevel="0" collapsed="false">
      <c r="A30" s="64" t="n">
        <v>1870</v>
      </c>
      <c r="B30" s="56" t="n">
        <f aca="false">SUMPRODUCT((Events!$B$6:$B$400&lt;=$A30)*(Events!$C$6:$C$400&gt;=$A30)*(Events!$E$6:$E$400="Loan")*(Events!$F$6:$F$400="Continental")*Events!$H$6:$H$400)</f>
        <v>0</v>
      </c>
      <c r="C30" s="56" t="n">
        <f aca="false">E29*cont_repay</f>
        <v>0.36864</v>
      </c>
      <c r="D30" s="56" t="n">
        <f aca="false">0</f>
        <v>0</v>
      </c>
      <c r="E30" s="56" t="n">
        <f aca="false">E29+B30-C30-D30</f>
        <v>8.84736</v>
      </c>
      <c r="F30" s="56" t="n">
        <f aca="false">E29*cont_coupon</f>
        <v>0.4608</v>
      </c>
      <c r="G30" s="56" t="n">
        <f aca="false">SUMPRODUCT((Events!$B$6:$B$400&lt;=$A30)*(Events!$C$6:$C$400&gt;=$A30)*(Events!$E$6:$E$400="Loan")*(Events!$F$6:$F$400="Asia")*Events!$H$6:$H$400)</f>
        <v>5</v>
      </c>
      <c r="H30" s="56" t="n">
        <f aca="false">J29*asia_repay</f>
        <v>0</v>
      </c>
      <c r="I30" s="56" t="n">
        <f aca="false">0</f>
        <v>0</v>
      </c>
      <c r="J30" s="56" t="n">
        <f aca="false">J29+G30-H30-I30</f>
        <v>5</v>
      </c>
      <c r="K30" s="56" t="n">
        <f aca="false">J29*asia_coupon</f>
        <v>0</v>
      </c>
      <c r="L30" s="56" t="n">
        <f aca="false">SUMPRODUCT((Events!$B$6:$B$400&lt;=$A30)*(Events!$C$6:$C$400&gt;=$A30)*(Events!$E$6:$E$400="Loan")*(Events!$F$6:$F$400="Europe")*Events!$H$6:$H$400)</f>
        <v>0</v>
      </c>
      <c r="M30" s="56" t="n">
        <f aca="false">O29*Paths!AA30</f>
        <v>0</v>
      </c>
      <c r="N30" s="56" t="n">
        <f aca="false">IF($A30=1918,russia_writeoff*(O29+L30),0)-IF($A30=russia_recog_yr,russia_recog*$N$78,0)</f>
        <v>0</v>
      </c>
      <c r="O30" s="56" t="n">
        <f aca="false">O29+L30-M30-N30</f>
        <v>0</v>
      </c>
      <c r="P30" s="56" t="n">
        <f aca="false">O29*Paths!Z30*Paths!AB30</f>
        <v>0</v>
      </c>
      <c r="Q30" s="56" t="n">
        <f aca="false">SUMPRODUCT((Events!$B$6:$B$400&lt;=$A30)*(Events!$C$6:$C$400&gt;=$A30)*(Events!$E$6:$E$400="Loan")*(Events!$F$6:$F$400="Rescue")*Events!$H$6:$H$400)</f>
        <v>0</v>
      </c>
      <c r="R30" s="56" t="n">
        <f aca="false">0</f>
        <v>0</v>
      </c>
      <c r="S30" s="56" t="n">
        <f aca="false">0</f>
        <v>0</v>
      </c>
      <c r="T30" s="56" t="n">
        <f aca="false">T29+Q30-R30-S30</f>
        <v>0</v>
      </c>
      <c r="U30" s="56" t="n">
        <f aca="false">T29*rescue_coupon</f>
        <v>0</v>
      </c>
      <c r="V30" s="56" t="n">
        <f aca="false">B30+G30+L30+Q30</f>
        <v>5</v>
      </c>
      <c r="W30" s="56" t="n">
        <f aca="false">C30+H30+M30+R30</f>
        <v>0.36864</v>
      </c>
      <c r="X30" s="56" t="n">
        <f aca="false">E30+J30+O30+T30</f>
        <v>13.84736</v>
      </c>
      <c r="Y30" s="56" t="n">
        <f aca="false">F30+K30+P30+U30</f>
        <v>0.4608</v>
      </c>
    </row>
    <row r="31" customFormat="false" ht="14.25" hidden="false" customHeight="true" outlineLevel="0" collapsed="false">
      <c r="A31" s="64" t="n">
        <v>1871</v>
      </c>
      <c r="B31" s="56" t="n">
        <f aca="false">SUMPRODUCT((Events!$B$6:$B$400&lt;=$A31)*(Events!$C$6:$C$400&gt;=$A31)*(Events!$E$6:$E$400="Loan")*(Events!$F$6:$F$400="Continental")*Events!$H$6:$H$400)</f>
        <v>12.5</v>
      </c>
      <c r="C31" s="56" t="n">
        <f aca="false">E30*cont_repay</f>
        <v>0.3538944</v>
      </c>
      <c r="D31" s="56" t="n">
        <f aca="false">0</f>
        <v>0</v>
      </c>
      <c r="E31" s="56" t="n">
        <f aca="false">E30+B31-C31-D31</f>
        <v>20.9934656</v>
      </c>
      <c r="F31" s="56" t="n">
        <f aca="false">E30*cont_coupon</f>
        <v>0.442368</v>
      </c>
      <c r="G31" s="56" t="n">
        <f aca="false">SUMPRODUCT((Events!$B$6:$B$400&lt;=$A31)*(Events!$C$6:$C$400&gt;=$A31)*(Events!$E$6:$E$400="Loan")*(Events!$F$6:$F$400="Asia")*Events!$H$6:$H$400)</f>
        <v>0</v>
      </c>
      <c r="H31" s="56" t="n">
        <f aca="false">J30*asia_repay</f>
        <v>0.2</v>
      </c>
      <c r="I31" s="56" t="n">
        <f aca="false">0</f>
        <v>0</v>
      </c>
      <c r="J31" s="56" t="n">
        <f aca="false">J30+G31-H31-I31</f>
        <v>4.8</v>
      </c>
      <c r="K31" s="56" t="n">
        <f aca="false">J30*asia_coupon</f>
        <v>0.275</v>
      </c>
      <c r="L31" s="56" t="n">
        <f aca="false">SUMPRODUCT((Events!$B$6:$B$400&lt;=$A31)*(Events!$C$6:$C$400&gt;=$A31)*(Events!$E$6:$E$400="Loan")*(Events!$F$6:$F$400="Europe")*Events!$H$6:$H$400)</f>
        <v>0</v>
      </c>
      <c r="M31" s="56" t="n">
        <f aca="false">O30*Paths!AA31</f>
        <v>0</v>
      </c>
      <c r="N31" s="56" t="n">
        <f aca="false">IF($A31=1918,russia_writeoff*(O30+L31),0)-IF($A31=russia_recog_yr,russia_recog*$N$78,0)</f>
        <v>0</v>
      </c>
      <c r="O31" s="56" t="n">
        <f aca="false">O30+L31-M31-N31</f>
        <v>0</v>
      </c>
      <c r="P31" s="56" t="n">
        <f aca="false">O30*Paths!Z31*Paths!AB31</f>
        <v>0</v>
      </c>
      <c r="Q31" s="56" t="n">
        <f aca="false">SUMPRODUCT((Events!$B$6:$B$400&lt;=$A31)*(Events!$C$6:$C$400&gt;=$A31)*(Events!$E$6:$E$400="Loan")*(Events!$F$6:$F$400="Rescue")*Events!$H$6:$H$400)</f>
        <v>0</v>
      </c>
      <c r="R31" s="56" t="n">
        <f aca="false">0</f>
        <v>0</v>
      </c>
      <c r="S31" s="56" t="n">
        <f aca="false">0</f>
        <v>0</v>
      </c>
      <c r="T31" s="56" t="n">
        <f aca="false">T30+Q31-R31-S31</f>
        <v>0</v>
      </c>
      <c r="U31" s="56" t="n">
        <f aca="false">T30*rescue_coupon</f>
        <v>0</v>
      </c>
      <c r="V31" s="56" t="n">
        <f aca="false">B31+G31+L31+Q31</f>
        <v>12.5</v>
      </c>
      <c r="W31" s="56" t="n">
        <f aca="false">C31+H31+M31+R31</f>
        <v>0.5538944</v>
      </c>
      <c r="X31" s="56" t="n">
        <f aca="false">E31+J31+O31+T31</f>
        <v>25.7934656</v>
      </c>
      <c r="Y31" s="56" t="n">
        <f aca="false">F31+K31+P31+U31</f>
        <v>0.717368</v>
      </c>
    </row>
    <row r="32" customFormat="false" ht="14.25" hidden="false" customHeight="true" outlineLevel="0" collapsed="false">
      <c r="A32" s="61" t="n">
        <v>1872</v>
      </c>
      <c r="B32" s="56" t="n">
        <f aca="false">SUMPRODUCT((Events!$B$6:$B$400&lt;=$A32)*(Events!$C$6:$C$400&gt;=$A32)*(Events!$E$6:$E$400="Loan")*(Events!$F$6:$F$400="Continental")*Events!$H$6:$H$400)</f>
        <v>12.5</v>
      </c>
      <c r="C32" s="56" t="n">
        <f aca="false">E31*cont_repay</f>
        <v>0.839738624</v>
      </c>
      <c r="D32" s="56" t="n">
        <f aca="false">0</f>
        <v>0</v>
      </c>
      <c r="E32" s="56" t="n">
        <f aca="false">E31+B32-C32-D32</f>
        <v>32.653726976</v>
      </c>
      <c r="F32" s="56" t="n">
        <f aca="false">E31*cont_coupon</f>
        <v>1.04967328</v>
      </c>
      <c r="G32" s="56" t="n">
        <f aca="false">SUMPRODUCT((Events!$B$6:$B$400&lt;=$A32)*(Events!$C$6:$C$400&gt;=$A32)*(Events!$E$6:$E$400="Loan")*(Events!$F$6:$F$400="Asia")*Events!$H$6:$H$400)</f>
        <v>4</v>
      </c>
      <c r="H32" s="56" t="n">
        <f aca="false">J31*asia_repay</f>
        <v>0.192</v>
      </c>
      <c r="I32" s="56" t="n">
        <f aca="false">0</f>
        <v>0</v>
      </c>
      <c r="J32" s="56" t="n">
        <f aca="false">J31+G32-H32-I32</f>
        <v>8.608</v>
      </c>
      <c r="K32" s="56" t="n">
        <f aca="false">J31*asia_coupon</f>
        <v>0.264</v>
      </c>
      <c r="L32" s="56" t="n">
        <f aca="false">SUMPRODUCT((Events!$B$6:$B$400&lt;=$A32)*(Events!$C$6:$C$400&gt;=$A32)*(Events!$E$6:$E$400="Loan")*(Events!$F$6:$F$400="Europe")*Events!$H$6:$H$400)</f>
        <v>0</v>
      </c>
      <c r="M32" s="56" t="n">
        <f aca="false">O31*Paths!AA32</f>
        <v>0</v>
      </c>
      <c r="N32" s="56" t="n">
        <f aca="false">IF($A32=1918,russia_writeoff*(O31+L32),0)-IF($A32=russia_recog_yr,russia_recog*$N$78,0)</f>
        <v>0</v>
      </c>
      <c r="O32" s="56" t="n">
        <f aca="false">O31+L32-M32-N32</f>
        <v>0</v>
      </c>
      <c r="P32" s="56" t="n">
        <f aca="false">O31*Paths!Z32*Paths!AB32</f>
        <v>0</v>
      </c>
      <c r="Q32" s="56" t="n">
        <f aca="false">SUMPRODUCT((Events!$B$6:$B$400&lt;=$A32)*(Events!$C$6:$C$400&gt;=$A32)*(Events!$E$6:$E$400="Loan")*(Events!$F$6:$F$400="Rescue")*Events!$H$6:$H$400)</f>
        <v>0</v>
      </c>
      <c r="R32" s="56" t="n">
        <f aca="false">0</f>
        <v>0</v>
      </c>
      <c r="S32" s="56" t="n">
        <f aca="false">0</f>
        <v>0</v>
      </c>
      <c r="T32" s="56" t="n">
        <f aca="false">T31+Q32-R32-S32</f>
        <v>0</v>
      </c>
      <c r="U32" s="56" t="n">
        <f aca="false">T31*rescue_coupon</f>
        <v>0</v>
      </c>
      <c r="V32" s="56" t="n">
        <f aca="false">B32+G32+L32+Q32</f>
        <v>16.5</v>
      </c>
      <c r="W32" s="56" t="n">
        <f aca="false">C32+H32+M32+R32</f>
        <v>1.031738624</v>
      </c>
      <c r="X32" s="56" t="n">
        <f aca="false">E32+J32+O32+T32</f>
        <v>41.261726976</v>
      </c>
      <c r="Y32" s="56" t="n">
        <f aca="false">F32+K32+P32+U32</f>
        <v>1.31367328</v>
      </c>
    </row>
    <row r="33" customFormat="false" ht="14.25" hidden="false" customHeight="true" outlineLevel="0" collapsed="false">
      <c r="A33" s="61" t="n">
        <v>1873</v>
      </c>
      <c r="B33" s="56" t="n">
        <f aca="false">SUMPRODUCT((Events!$B$6:$B$400&lt;=$A33)*(Events!$C$6:$C$400&gt;=$A33)*(Events!$E$6:$E$400="Loan")*(Events!$F$6:$F$400="Continental")*Events!$H$6:$H$400)</f>
        <v>0</v>
      </c>
      <c r="C33" s="56" t="n">
        <f aca="false">E32*cont_repay</f>
        <v>1.30614907904</v>
      </c>
      <c r="D33" s="56" t="n">
        <f aca="false">0</f>
        <v>0</v>
      </c>
      <c r="E33" s="56" t="n">
        <f aca="false">E32+B33-C33-D33</f>
        <v>31.34757789696</v>
      </c>
      <c r="F33" s="56" t="n">
        <f aca="false">E32*cont_coupon</f>
        <v>1.6326863488</v>
      </c>
      <c r="G33" s="56" t="n">
        <f aca="false">SUMPRODUCT((Events!$B$6:$B$400&lt;=$A33)*(Events!$C$6:$C$400&gt;=$A33)*(Events!$E$6:$E$400="Loan")*(Events!$F$6:$F$400="Asia")*Events!$H$6:$H$400)</f>
        <v>0</v>
      </c>
      <c r="H33" s="56" t="n">
        <f aca="false">J32*asia_repay</f>
        <v>0.34432</v>
      </c>
      <c r="I33" s="56" t="n">
        <f aca="false">0</f>
        <v>0</v>
      </c>
      <c r="J33" s="56" t="n">
        <f aca="false">J32+G33-H33-I33</f>
        <v>8.26368</v>
      </c>
      <c r="K33" s="56" t="n">
        <f aca="false">J32*asia_coupon</f>
        <v>0.47344</v>
      </c>
      <c r="L33" s="56" t="n">
        <f aca="false">SUMPRODUCT((Events!$B$6:$B$400&lt;=$A33)*(Events!$C$6:$C$400&gt;=$A33)*(Events!$E$6:$E$400="Loan")*(Events!$F$6:$F$400="Europe")*Events!$H$6:$H$400)</f>
        <v>0</v>
      </c>
      <c r="M33" s="56" t="n">
        <f aca="false">O32*Paths!AA33</f>
        <v>0</v>
      </c>
      <c r="N33" s="56" t="n">
        <f aca="false">IF($A33=1918,russia_writeoff*(O32+L33),0)-IF($A33=russia_recog_yr,russia_recog*$N$78,0)</f>
        <v>0</v>
      </c>
      <c r="O33" s="56" t="n">
        <f aca="false">O32+L33-M33-N33</f>
        <v>0</v>
      </c>
      <c r="P33" s="56" t="n">
        <f aca="false">O32*Paths!Z33*Paths!AB33</f>
        <v>0</v>
      </c>
      <c r="Q33" s="56" t="n">
        <f aca="false">SUMPRODUCT((Events!$B$6:$B$400&lt;=$A33)*(Events!$C$6:$C$400&gt;=$A33)*(Events!$E$6:$E$400="Loan")*(Events!$F$6:$F$400="Rescue")*Events!$H$6:$H$400)</f>
        <v>0</v>
      </c>
      <c r="R33" s="56" t="n">
        <f aca="false">0</f>
        <v>0</v>
      </c>
      <c r="S33" s="56" t="n">
        <f aca="false">0</f>
        <v>0</v>
      </c>
      <c r="T33" s="56" t="n">
        <f aca="false">T32+Q33-R33-S33</f>
        <v>0</v>
      </c>
      <c r="U33" s="56" t="n">
        <f aca="false">T32*rescue_coupon</f>
        <v>0</v>
      </c>
      <c r="V33" s="56" t="n">
        <f aca="false">B33+G33+L33+Q33</f>
        <v>0</v>
      </c>
      <c r="W33" s="56" t="n">
        <f aca="false">C33+H33+M33+R33</f>
        <v>1.65046907904</v>
      </c>
      <c r="X33" s="56" t="n">
        <f aca="false">E33+J33+O33+T33</f>
        <v>39.61125789696</v>
      </c>
      <c r="Y33" s="56" t="n">
        <f aca="false">F33+K33+P33+U33</f>
        <v>2.1061263488</v>
      </c>
    </row>
    <row r="34" customFormat="false" ht="14.25" hidden="false" customHeight="true" outlineLevel="0" collapsed="false">
      <c r="A34" s="61" t="n">
        <v>1874</v>
      </c>
      <c r="B34" s="56" t="n">
        <f aca="false">SUMPRODUCT((Events!$B$6:$B$400&lt;=$A34)*(Events!$C$6:$C$400&gt;=$A34)*(Events!$E$6:$E$400="Loan")*(Events!$F$6:$F$400="Continental")*Events!$H$6:$H$400)</f>
        <v>0</v>
      </c>
      <c r="C34" s="56" t="n">
        <f aca="false">E33*cont_repay</f>
        <v>1.2539031158784</v>
      </c>
      <c r="D34" s="56" t="n">
        <f aca="false">0</f>
        <v>0</v>
      </c>
      <c r="E34" s="56" t="n">
        <f aca="false">E33+B34-C34-D34</f>
        <v>30.0936747810816</v>
      </c>
      <c r="F34" s="56" t="n">
        <f aca="false">E33*cont_coupon</f>
        <v>1.567378894848</v>
      </c>
      <c r="G34" s="56" t="n">
        <f aca="false">SUMPRODUCT((Events!$B$6:$B$400&lt;=$A34)*(Events!$C$6:$C$400&gt;=$A34)*(Events!$E$6:$E$400="Loan")*(Events!$F$6:$F$400="Asia")*Events!$H$6:$H$400)</f>
        <v>0</v>
      </c>
      <c r="H34" s="56" t="n">
        <f aca="false">J33*asia_repay</f>
        <v>0.3305472</v>
      </c>
      <c r="I34" s="56" t="n">
        <f aca="false">0</f>
        <v>0</v>
      </c>
      <c r="J34" s="56" t="n">
        <f aca="false">J33+G34-H34-I34</f>
        <v>7.9331328</v>
      </c>
      <c r="K34" s="56" t="n">
        <f aca="false">J33*asia_coupon</f>
        <v>0.4545024</v>
      </c>
      <c r="L34" s="56" t="n">
        <f aca="false">SUMPRODUCT((Events!$B$6:$B$400&lt;=$A34)*(Events!$C$6:$C$400&gt;=$A34)*(Events!$E$6:$E$400="Loan")*(Events!$F$6:$F$400="Europe")*Events!$H$6:$H$400)</f>
        <v>3</v>
      </c>
      <c r="M34" s="56" t="n">
        <f aca="false">O33*Paths!AA34</f>
        <v>0</v>
      </c>
      <c r="N34" s="56" t="n">
        <f aca="false">IF($A34=1918,russia_writeoff*(O33+L34),0)-IF($A34=russia_recog_yr,russia_recog*$N$78,0)</f>
        <v>0</v>
      </c>
      <c r="O34" s="56" t="n">
        <f aca="false">O33+L34-M34-N34</f>
        <v>3</v>
      </c>
      <c r="P34" s="56" t="n">
        <f aca="false">O33*Paths!Z34*Paths!AB34</f>
        <v>0</v>
      </c>
      <c r="Q34" s="56" t="n">
        <f aca="false">SUMPRODUCT((Events!$B$6:$B$400&lt;=$A34)*(Events!$C$6:$C$400&gt;=$A34)*(Events!$E$6:$E$400="Loan")*(Events!$F$6:$F$400="Rescue")*Events!$H$6:$H$400)</f>
        <v>0</v>
      </c>
      <c r="R34" s="56" t="n">
        <f aca="false">0</f>
        <v>0</v>
      </c>
      <c r="S34" s="56" t="n">
        <f aca="false">0</f>
        <v>0</v>
      </c>
      <c r="T34" s="56" t="n">
        <f aca="false">T33+Q34-R34-S34</f>
        <v>0</v>
      </c>
      <c r="U34" s="56" t="n">
        <f aca="false">T33*rescue_coupon</f>
        <v>0</v>
      </c>
      <c r="V34" s="56" t="n">
        <f aca="false">B34+G34+L34+Q34</f>
        <v>3</v>
      </c>
      <c r="W34" s="56" t="n">
        <f aca="false">C34+H34+M34+R34</f>
        <v>1.5844503158784</v>
      </c>
      <c r="X34" s="56" t="n">
        <f aca="false">E34+J34+O34+T34</f>
        <v>41.0268075810816</v>
      </c>
      <c r="Y34" s="56" t="n">
        <f aca="false">F34+K34+P34+U34</f>
        <v>2.021881294848</v>
      </c>
    </row>
    <row r="35" customFormat="false" ht="14.25" hidden="false" customHeight="true" outlineLevel="0" collapsed="false">
      <c r="A35" s="61" t="n">
        <v>1875</v>
      </c>
      <c r="B35" s="56" t="n">
        <f aca="false">SUMPRODUCT((Events!$B$6:$B$400&lt;=$A35)*(Events!$C$6:$C$400&gt;=$A35)*(Events!$E$6:$E$400="Loan")*(Events!$F$6:$F$400="Continental")*Events!$H$6:$H$400)</f>
        <v>0</v>
      </c>
      <c r="C35" s="56" t="n">
        <f aca="false">E34*cont_repay</f>
        <v>1.20374699124326</v>
      </c>
      <c r="D35" s="56" t="n">
        <f aca="false">0</f>
        <v>0</v>
      </c>
      <c r="E35" s="56" t="n">
        <f aca="false">E34+B35-C35-D35</f>
        <v>28.8899277898383</v>
      </c>
      <c r="F35" s="56" t="n">
        <f aca="false">E34*cont_coupon</f>
        <v>1.50468373905408</v>
      </c>
      <c r="G35" s="56" t="n">
        <f aca="false">SUMPRODUCT((Events!$B$6:$B$400&lt;=$A35)*(Events!$C$6:$C$400&gt;=$A35)*(Events!$E$6:$E$400="Loan")*(Events!$F$6:$F$400="Asia")*Events!$H$6:$H$400)</f>
        <v>0</v>
      </c>
      <c r="H35" s="56" t="n">
        <f aca="false">J34*asia_repay</f>
        <v>0.317325312</v>
      </c>
      <c r="I35" s="56" t="n">
        <f aca="false">0</f>
        <v>0</v>
      </c>
      <c r="J35" s="56" t="n">
        <f aca="false">J34+G35-H35-I35</f>
        <v>7.615807488</v>
      </c>
      <c r="K35" s="56" t="n">
        <f aca="false">J34*asia_coupon</f>
        <v>0.436322304</v>
      </c>
      <c r="L35" s="56" t="n">
        <f aca="false">SUMPRODUCT((Events!$B$6:$B$400&lt;=$A35)*(Events!$C$6:$C$400&gt;=$A35)*(Events!$E$6:$E$400="Loan")*(Events!$F$6:$F$400="Europe")*Events!$H$6:$H$400)</f>
        <v>3</v>
      </c>
      <c r="M35" s="56" t="n">
        <f aca="false">O34*Paths!AA35</f>
        <v>0.09</v>
      </c>
      <c r="N35" s="56" t="n">
        <f aca="false">IF($A35=1918,russia_writeoff*(O34+L35),0)-IF($A35=russia_recog_yr,russia_recog*$N$78,0)</f>
        <v>0</v>
      </c>
      <c r="O35" s="56" t="n">
        <f aca="false">O34+L35-M35-N35</f>
        <v>5.91</v>
      </c>
      <c r="P35" s="56" t="n">
        <f aca="false">O34*Paths!Z35*Paths!AB35</f>
        <v>0.15</v>
      </c>
      <c r="Q35" s="56" t="n">
        <f aca="false">SUMPRODUCT((Events!$B$6:$B$400&lt;=$A35)*(Events!$C$6:$C$400&gt;=$A35)*(Events!$E$6:$E$400="Loan")*(Events!$F$6:$F$400="Rescue")*Events!$H$6:$H$400)</f>
        <v>0</v>
      </c>
      <c r="R35" s="56" t="n">
        <f aca="false">0</f>
        <v>0</v>
      </c>
      <c r="S35" s="56" t="n">
        <f aca="false">0</f>
        <v>0</v>
      </c>
      <c r="T35" s="56" t="n">
        <f aca="false">T34+Q35-R35-S35</f>
        <v>0</v>
      </c>
      <c r="U35" s="56" t="n">
        <f aca="false">T34*rescue_coupon</f>
        <v>0</v>
      </c>
      <c r="V35" s="56" t="n">
        <f aca="false">B35+G35+L35+Q35</f>
        <v>3</v>
      </c>
      <c r="W35" s="56" t="n">
        <f aca="false">C35+H35+M35+R35</f>
        <v>1.61107230324326</v>
      </c>
      <c r="X35" s="56" t="n">
        <f aca="false">E35+J35+O35+T35</f>
        <v>42.4157352778383</v>
      </c>
      <c r="Y35" s="56" t="n">
        <f aca="false">F35+K35+P35+U35</f>
        <v>2.09100604305408</v>
      </c>
    </row>
    <row r="36" customFormat="false" ht="14.25" hidden="false" customHeight="true" outlineLevel="0" collapsed="false">
      <c r="A36" s="61" t="n">
        <v>1876</v>
      </c>
      <c r="B36" s="56" t="n">
        <f aca="false">SUMPRODUCT((Events!$B$6:$B$400&lt;=$A36)*(Events!$C$6:$C$400&gt;=$A36)*(Events!$E$6:$E$400="Loan")*(Events!$F$6:$F$400="Continental")*Events!$H$6:$H$400)</f>
        <v>0</v>
      </c>
      <c r="C36" s="56" t="n">
        <f aca="false">E35*cont_repay</f>
        <v>1.15559711159353</v>
      </c>
      <c r="D36" s="56" t="n">
        <f aca="false">0</f>
        <v>0</v>
      </c>
      <c r="E36" s="56" t="n">
        <f aca="false">E35+B36-C36-D36</f>
        <v>27.7343306782448</v>
      </c>
      <c r="F36" s="56" t="n">
        <f aca="false">E35*cont_coupon</f>
        <v>1.44449638949192</v>
      </c>
      <c r="G36" s="56" t="n">
        <f aca="false">SUMPRODUCT((Events!$B$6:$B$400&lt;=$A36)*(Events!$C$6:$C$400&gt;=$A36)*(Events!$E$6:$E$400="Loan")*(Events!$F$6:$F$400="Asia")*Events!$H$6:$H$400)</f>
        <v>0</v>
      </c>
      <c r="H36" s="56" t="n">
        <f aca="false">J35*asia_repay</f>
        <v>0.30463229952</v>
      </c>
      <c r="I36" s="56" t="n">
        <f aca="false">0</f>
        <v>0</v>
      </c>
      <c r="J36" s="56" t="n">
        <f aca="false">J35+G36-H36-I36</f>
        <v>7.31117518848</v>
      </c>
      <c r="K36" s="56" t="n">
        <f aca="false">J35*asia_coupon</f>
        <v>0.41886941184</v>
      </c>
      <c r="L36" s="56" t="n">
        <f aca="false">SUMPRODUCT((Events!$B$6:$B$400&lt;=$A36)*(Events!$C$6:$C$400&gt;=$A36)*(Events!$E$6:$E$400="Loan")*(Events!$F$6:$F$400="Europe")*Events!$H$6:$H$400)</f>
        <v>-5.733</v>
      </c>
      <c r="M36" s="56" t="n">
        <f aca="false">O35*Paths!AA36</f>
        <v>0.1773</v>
      </c>
      <c r="N36" s="56" t="n">
        <f aca="false">IF($A36=1918,russia_writeoff*(O35+L36),0)-IF($A36=russia_recog_yr,russia_recog*$N$78,0)</f>
        <v>0</v>
      </c>
      <c r="O36" s="56" t="n">
        <f aca="false">O35+L36-M36-N36</f>
        <v>-0.000299999999999495</v>
      </c>
      <c r="P36" s="56" t="n">
        <f aca="false">O35*Paths!Z36*Paths!AB36</f>
        <v>0.2955</v>
      </c>
      <c r="Q36" s="56" t="n">
        <f aca="false">SUMPRODUCT((Events!$B$6:$B$400&lt;=$A36)*(Events!$C$6:$C$400&gt;=$A36)*(Events!$E$6:$E$400="Loan")*(Events!$F$6:$F$400="Rescue")*Events!$H$6:$H$400)</f>
        <v>0</v>
      </c>
      <c r="R36" s="56" t="n">
        <f aca="false">0</f>
        <v>0</v>
      </c>
      <c r="S36" s="56" t="n">
        <f aca="false">0</f>
        <v>0</v>
      </c>
      <c r="T36" s="56" t="n">
        <f aca="false">T35+Q36-R36-S36</f>
        <v>0</v>
      </c>
      <c r="U36" s="56" t="n">
        <f aca="false">T35*rescue_coupon</f>
        <v>0</v>
      </c>
      <c r="V36" s="56" t="n">
        <f aca="false">B36+G36+L36+Q36</f>
        <v>-5.733</v>
      </c>
      <c r="W36" s="56" t="n">
        <f aca="false">C36+H36+M36+R36</f>
        <v>1.63752941111353</v>
      </c>
      <c r="X36" s="56" t="n">
        <f aca="false">E36+J36+O36+T36</f>
        <v>35.0452058667248</v>
      </c>
      <c r="Y36" s="56" t="n">
        <f aca="false">F36+K36+P36+U36</f>
        <v>2.15886580133192</v>
      </c>
    </row>
    <row r="37" customFormat="false" ht="14.25" hidden="false" customHeight="true" outlineLevel="0" collapsed="false">
      <c r="A37" s="61" t="n">
        <v>1877</v>
      </c>
      <c r="B37" s="56" t="n">
        <f aca="false">SUMPRODUCT((Events!$B$6:$B$400&lt;=$A37)*(Events!$C$6:$C$400&gt;=$A37)*(Events!$E$6:$E$400="Loan")*(Events!$F$6:$F$400="Continental")*Events!$H$6:$H$400)</f>
        <v>0</v>
      </c>
      <c r="C37" s="56" t="n">
        <f aca="false">E36*cont_repay</f>
        <v>1.10937322712979</v>
      </c>
      <c r="D37" s="56" t="n">
        <f aca="false">0</f>
        <v>0</v>
      </c>
      <c r="E37" s="56" t="n">
        <f aca="false">E36+B37-C37-D37</f>
        <v>26.624957451115</v>
      </c>
      <c r="F37" s="56" t="n">
        <f aca="false">E36*cont_coupon</f>
        <v>1.38671653391224</v>
      </c>
      <c r="G37" s="56" t="n">
        <f aca="false">SUMPRODUCT((Events!$B$6:$B$400&lt;=$A37)*(Events!$C$6:$C$400&gt;=$A37)*(Events!$E$6:$E$400="Loan")*(Events!$F$6:$F$400="Asia")*Events!$H$6:$H$400)</f>
        <v>0</v>
      </c>
      <c r="H37" s="56" t="n">
        <f aca="false">J36*asia_repay</f>
        <v>0.2924470075392</v>
      </c>
      <c r="I37" s="56" t="n">
        <f aca="false">0</f>
        <v>0</v>
      </c>
      <c r="J37" s="56" t="n">
        <f aca="false">J36+G37-H37-I37</f>
        <v>7.0187281809408</v>
      </c>
      <c r="K37" s="56" t="n">
        <f aca="false">J36*asia_coupon</f>
        <v>0.4021146353664</v>
      </c>
      <c r="L37" s="56" t="n">
        <f aca="false">SUMPRODUCT((Events!$B$6:$B$400&lt;=$A37)*(Events!$C$6:$C$400&gt;=$A37)*(Events!$E$6:$E$400="Loan")*(Events!$F$6:$F$400="Europe")*Events!$H$6:$H$400)</f>
        <v>0</v>
      </c>
      <c r="M37" s="56" t="n">
        <f aca="false">O36*Paths!AA37</f>
        <v>-8.99999999998485E-006</v>
      </c>
      <c r="N37" s="56" t="n">
        <f aca="false">IF($A37=1918,russia_writeoff*(O36+L37),0)-IF($A37=russia_recog_yr,russia_recog*$N$78,0)</f>
        <v>0</v>
      </c>
      <c r="O37" s="56" t="n">
        <f aca="false">O36+L37-M37-N37</f>
        <v>-0.00029099999999951</v>
      </c>
      <c r="P37" s="56" t="n">
        <f aca="false">O36*Paths!Z37*Paths!AB37</f>
        <v>-1.49999999999748E-005</v>
      </c>
      <c r="Q37" s="56" t="n">
        <f aca="false">SUMPRODUCT((Events!$B$6:$B$400&lt;=$A37)*(Events!$C$6:$C$400&gt;=$A37)*(Events!$E$6:$E$400="Loan")*(Events!$F$6:$F$400="Rescue")*Events!$H$6:$H$400)</f>
        <v>0</v>
      </c>
      <c r="R37" s="56" t="n">
        <f aca="false">0</f>
        <v>0</v>
      </c>
      <c r="S37" s="56" t="n">
        <f aca="false">0</f>
        <v>0</v>
      </c>
      <c r="T37" s="56" t="n">
        <f aca="false">T36+Q37-R37-S37</f>
        <v>0</v>
      </c>
      <c r="U37" s="56" t="n">
        <f aca="false">T36*rescue_coupon</f>
        <v>0</v>
      </c>
      <c r="V37" s="56" t="n">
        <f aca="false">B37+G37+L37+Q37</f>
        <v>0</v>
      </c>
      <c r="W37" s="56" t="n">
        <f aca="false">C37+H37+M37+R37</f>
        <v>1.40181123466899</v>
      </c>
      <c r="X37" s="56" t="n">
        <f aca="false">E37+J37+O37+T37</f>
        <v>33.6433946320558</v>
      </c>
      <c r="Y37" s="56" t="n">
        <f aca="false">F37+K37+P37+U37</f>
        <v>1.78881616927864</v>
      </c>
    </row>
    <row r="38" customFormat="false" ht="14.25" hidden="false" customHeight="true" outlineLevel="0" collapsed="false">
      <c r="A38" s="61" t="n">
        <v>1878</v>
      </c>
      <c r="B38" s="56" t="n">
        <f aca="false">SUMPRODUCT((Events!$B$6:$B$400&lt;=$A38)*(Events!$C$6:$C$400&gt;=$A38)*(Events!$E$6:$E$400="Loan")*(Events!$F$6:$F$400="Continental")*Events!$H$6:$H$400)</f>
        <v>0</v>
      </c>
      <c r="C38" s="56" t="n">
        <f aca="false">E37*cont_repay</f>
        <v>1.0649982980446</v>
      </c>
      <c r="D38" s="56" t="n">
        <f aca="false">0</f>
        <v>0</v>
      </c>
      <c r="E38" s="56" t="n">
        <f aca="false">E37+B38-C38-D38</f>
        <v>25.5599591530704</v>
      </c>
      <c r="F38" s="56" t="n">
        <f aca="false">E37*cont_coupon</f>
        <v>1.33124787255575</v>
      </c>
      <c r="G38" s="56" t="n">
        <f aca="false">SUMPRODUCT((Events!$B$6:$B$400&lt;=$A38)*(Events!$C$6:$C$400&gt;=$A38)*(Events!$E$6:$E$400="Loan")*(Events!$F$6:$F$400="Asia")*Events!$H$6:$H$400)</f>
        <v>0</v>
      </c>
      <c r="H38" s="56" t="n">
        <f aca="false">J37*asia_repay</f>
        <v>0.280749127237632</v>
      </c>
      <c r="I38" s="56" t="n">
        <f aca="false">0</f>
        <v>0</v>
      </c>
      <c r="J38" s="56" t="n">
        <f aca="false">J37+G38-H38-I38</f>
        <v>6.73797905370317</v>
      </c>
      <c r="K38" s="56" t="n">
        <f aca="false">J37*asia_coupon</f>
        <v>0.386030049951744</v>
      </c>
      <c r="L38" s="56" t="n">
        <f aca="false">SUMPRODUCT((Events!$B$6:$B$400&lt;=$A38)*(Events!$C$6:$C$400&gt;=$A38)*(Events!$E$6:$E$400="Loan")*(Events!$F$6:$F$400="Europe")*Events!$H$6:$H$400)</f>
        <v>0</v>
      </c>
      <c r="M38" s="56" t="n">
        <f aca="false">O37*Paths!AA38</f>
        <v>-8.72999999998531E-006</v>
      </c>
      <c r="N38" s="56" t="n">
        <f aca="false">IF($A38=1918,russia_writeoff*(O37+L38),0)-IF($A38=russia_recog_yr,russia_recog*$N$78,0)</f>
        <v>0</v>
      </c>
      <c r="O38" s="56" t="n">
        <f aca="false">O37+L38-M38-N38</f>
        <v>-0.000282269999999525</v>
      </c>
      <c r="P38" s="56" t="n">
        <f aca="false">O37*Paths!Z38*Paths!AB38</f>
        <v>-1.45499999999755E-005</v>
      </c>
      <c r="Q38" s="56" t="n">
        <f aca="false">SUMPRODUCT((Events!$B$6:$B$400&lt;=$A38)*(Events!$C$6:$C$400&gt;=$A38)*(Events!$E$6:$E$400="Loan")*(Events!$F$6:$F$400="Rescue")*Events!$H$6:$H$400)</f>
        <v>0</v>
      </c>
      <c r="R38" s="56" t="n">
        <f aca="false">0</f>
        <v>0</v>
      </c>
      <c r="S38" s="56" t="n">
        <f aca="false">0</f>
        <v>0</v>
      </c>
      <c r="T38" s="56" t="n">
        <f aca="false">T37+Q38-R38-S38</f>
        <v>0</v>
      </c>
      <c r="U38" s="56" t="n">
        <f aca="false">T37*rescue_coupon</f>
        <v>0</v>
      </c>
      <c r="V38" s="56" t="n">
        <f aca="false">B38+G38+L38+Q38</f>
        <v>0</v>
      </c>
      <c r="W38" s="56" t="n">
        <f aca="false">C38+H38+M38+R38</f>
        <v>1.34573869528223</v>
      </c>
      <c r="X38" s="56" t="n">
        <f aca="false">E38+J38+O38+T38</f>
        <v>32.2976559367736</v>
      </c>
      <c r="Y38" s="56" t="n">
        <f aca="false">F38+K38+P38+U38</f>
        <v>1.71726337250749</v>
      </c>
    </row>
    <row r="39" customFormat="false" ht="14.25" hidden="false" customHeight="true" outlineLevel="0" collapsed="false">
      <c r="A39" s="61" t="n">
        <v>1879</v>
      </c>
      <c r="B39" s="56" t="n">
        <f aca="false">SUMPRODUCT((Events!$B$6:$B$400&lt;=$A39)*(Events!$C$6:$C$400&gt;=$A39)*(Events!$E$6:$E$400="Loan")*(Events!$F$6:$F$400="Continental")*Events!$H$6:$H$400)</f>
        <v>0</v>
      </c>
      <c r="C39" s="56" t="n">
        <f aca="false">E38*cont_repay</f>
        <v>1.02239836612282</v>
      </c>
      <c r="D39" s="56" t="n">
        <f aca="false">0</f>
        <v>0</v>
      </c>
      <c r="E39" s="56" t="n">
        <f aca="false">E38+B39-C39-D39</f>
        <v>24.5375607869476</v>
      </c>
      <c r="F39" s="56" t="n">
        <f aca="false">E38*cont_coupon</f>
        <v>1.27799795765352</v>
      </c>
      <c r="G39" s="56" t="n">
        <f aca="false">SUMPRODUCT((Events!$B$6:$B$400&lt;=$A39)*(Events!$C$6:$C$400&gt;=$A39)*(Events!$E$6:$E$400="Loan")*(Events!$F$6:$F$400="Asia")*Events!$H$6:$H$400)</f>
        <v>0</v>
      </c>
      <c r="H39" s="56" t="n">
        <f aca="false">J38*asia_repay</f>
        <v>0.269519162148127</v>
      </c>
      <c r="I39" s="56" t="n">
        <f aca="false">0</f>
        <v>0</v>
      </c>
      <c r="J39" s="56" t="n">
        <f aca="false">J38+G39-H39-I39</f>
        <v>6.46845989155504</v>
      </c>
      <c r="K39" s="56" t="n">
        <f aca="false">J38*asia_coupon</f>
        <v>0.370588847953674</v>
      </c>
      <c r="L39" s="56" t="n">
        <f aca="false">SUMPRODUCT((Events!$B$6:$B$400&lt;=$A39)*(Events!$C$6:$C$400&gt;=$A39)*(Events!$E$6:$E$400="Loan")*(Events!$F$6:$F$400="Europe")*Events!$H$6:$H$400)</f>
        <v>0</v>
      </c>
      <c r="M39" s="56" t="n">
        <f aca="false">O38*Paths!AA39</f>
        <v>-8.46809999998575E-006</v>
      </c>
      <c r="N39" s="56" t="n">
        <f aca="false">IF($A39=1918,russia_writeoff*(O38+L39),0)-IF($A39=russia_recog_yr,russia_recog*$N$78,0)</f>
        <v>0</v>
      </c>
      <c r="O39" s="56" t="n">
        <f aca="false">O38+L39-M39-N39</f>
        <v>-0.000273801899999539</v>
      </c>
      <c r="P39" s="56" t="n">
        <f aca="false">O38*Paths!Z39*Paths!AB39</f>
        <v>-1.41134999999762E-005</v>
      </c>
      <c r="Q39" s="56" t="n">
        <f aca="false">SUMPRODUCT((Events!$B$6:$B$400&lt;=$A39)*(Events!$C$6:$C$400&gt;=$A39)*(Events!$E$6:$E$400="Loan")*(Events!$F$6:$F$400="Rescue")*Events!$H$6:$H$400)</f>
        <v>0</v>
      </c>
      <c r="R39" s="56" t="n">
        <f aca="false">0</f>
        <v>0</v>
      </c>
      <c r="S39" s="56" t="n">
        <f aca="false">0</f>
        <v>0</v>
      </c>
      <c r="T39" s="56" t="n">
        <f aca="false">T38+Q39-R39-S39</f>
        <v>0</v>
      </c>
      <c r="U39" s="56" t="n">
        <f aca="false">T38*rescue_coupon</f>
        <v>0</v>
      </c>
      <c r="V39" s="56" t="n">
        <f aca="false">B39+G39+L39+Q39</f>
        <v>0</v>
      </c>
      <c r="W39" s="56" t="n">
        <f aca="false">C39+H39+M39+R39</f>
        <v>1.29190906017094</v>
      </c>
      <c r="X39" s="56" t="n">
        <f aca="false">E39+J39+O39+T39</f>
        <v>31.0057468766026</v>
      </c>
      <c r="Y39" s="56" t="n">
        <f aca="false">F39+K39+P39+U39</f>
        <v>1.64857269210719</v>
      </c>
    </row>
    <row r="40" customFormat="false" ht="14.25" hidden="false" customHeight="true" outlineLevel="0" collapsed="false">
      <c r="A40" s="61" t="n">
        <v>1880</v>
      </c>
      <c r="B40" s="56" t="n">
        <f aca="false">SUMPRODUCT((Events!$B$6:$B$400&lt;=$A40)*(Events!$C$6:$C$400&gt;=$A40)*(Events!$E$6:$E$400="Loan")*(Events!$F$6:$F$400="Continental")*Events!$H$6:$H$400)</f>
        <v>0</v>
      </c>
      <c r="C40" s="56" t="n">
        <f aca="false">E39*cont_repay</f>
        <v>0.981502431477904</v>
      </c>
      <c r="D40" s="56" t="n">
        <f aca="false">0</f>
        <v>0</v>
      </c>
      <c r="E40" s="56" t="n">
        <f aca="false">E39+B40-C40-D40</f>
        <v>23.5560583554697</v>
      </c>
      <c r="F40" s="56" t="n">
        <f aca="false">E39*cont_coupon</f>
        <v>1.22687803934738</v>
      </c>
      <c r="G40" s="56" t="n">
        <f aca="false">SUMPRODUCT((Events!$B$6:$B$400&lt;=$A40)*(Events!$C$6:$C$400&gt;=$A40)*(Events!$E$6:$E$400="Loan")*(Events!$F$6:$F$400="Asia")*Events!$H$6:$H$400)</f>
        <v>0</v>
      </c>
      <c r="H40" s="56" t="n">
        <f aca="false">J39*asia_repay</f>
        <v>0.258738395662202</v>
      </c>
      <c r="I40" s="56" t="n">
        <f aca="false">0</f>
        <v>0</v>
      </c>
      <c r="J40" s="56" t="n">
        <f aca="false">J39+G40-H40-I40</f>
        <v>6.20972149589284</v>
      </c>
      <c r="K40" s="56" t="n">
        <f aca="false">J39*asia_coupon</f>
        <v>0.355765294035527</v>
      </c>
      <c r="L40" s="56" t="n">
        <f aca="false">SUMPRODUCT((Events!$B$6:$B$400&lt;=$A40)*(Events!$C$6:$C$400&gt;=$A40)*(Events!$E$6:$E$400="Loan")*(Events!$F$6:$F$400="Europe")*Events!$H$6:$H$400)</f>
        <v>0</v>
      </c>
      <c r="M40" s="56" t="n">
        <f aca="false">O39*Paths!AA40</f>
        <v>-8.21405699998618E-006</v>
      </c>
      <c r="N40" s="56" t="n">
        <f aca="false">IF($A40=1918,russia_writeoff*(O39+L40),0)-IF($A40=russia_recog_yr,russia_recog*$N$78,0)</f>
        <v>0</v>
      </c>
      <c r="O40" s="56" t="n">
        <f aca="false">O39+L40-M40-N40</f>
        <v>-0.000265587842999553</v>
      </c>
      <c r="P40" s="56" t="n">
        <f aca="false">O39*Paths!Z40*Paths!AB40</f>
        <v>-1.3690094999977E-005</v>
      </c>
      <c r="Q40" s="56" t="n">
        <f aca="false">SUMPRODUCT((Events!$B$6:$B$400&lt;=$A40)*(Events!$C$6:$C$400&gt;=$A40)*(Events!$E$6:$E$400="Loan")*(Events!$F$6:$F$400="Rescue")*Events!$H$6:$H$400)</f>
        <v>0</v>
      </c>
      <c r="R40" s="56" t="n">
        <f aca="false">0</f>
        <v>0</v>
      </c>
      <c r="S40" s="56" t="n">
        <f aca="false">0</f>
        <v>0</v>
      </c>
      <c r="T40" s="56" t="n">
        <f aca="false">T39+Q40-R40-S40</f>
        <v>0</v>
      </c>
      <c r="U40" s="56" t="n">
        <f aca="false">T39*rescue_coupon</f>
        <v>0</v>
      </c>
      <c r="V40" s="56" t="n">
        <f aca="false">B40+G40+L40+Q40</f>
        <v>0</v>
      </c>
      <c r="W40" s="56" t="n">
        <f aca="false">C40+H40+M40+R40</f>
        <v>1.24023261308311</v>
      </c>
      <c r="X40" s="56" t="n">
        <f aca="false">E40+J40+O40+T40</f>
        <v>29.7655142635195</v>
      </c>
      <c r="Y40" s="56" t="n">
        <f aca="false">F40+K40+P40+U40</f>
        <v>1.58262964328791</v>
      </c>
    </row>
    <row r="41" customFormat="false" ht="14.25" hidden="false" customHeight="true" outlineLevel="0" collapsed="false">
      <c r="A41" s="61" t="n">
        <v>1881</v>
      </c>
      <c r="B41" s="56" t="n">
        <f aca="false">SUMPRODUCT((Events!$B$6:$B$400&lt;=$A41)*(Events!$C$6:$C$400&gt;=$A41)*(Events!$E$6:$E$400="Loan")*(Events!$F$6:$F$400="Continental")*Events!$H$6:$H$400)</f>
        <v>0</v>
      </c>
      <c r="C41" s="56" t="n">
        <f aca="false">E40*cont_repay</f>
        <v>0.942242334218788</v>
      </c>
      <c r="D41" s="56" t="n">
        <f aca="false">0</f>
        <v>0</v>
      </c>
      <c r="E41" s="56" t="n">
        <f aca="false">E40+B41-C41-D41</f>
        <v>22.6138160212509</v>
      </c>
      <c r="F41" s="56" t="n">
        <f aca="false">E40*cont_coupon</f>
        <v>1.17780291777348</v>
      </c>
      <c r="G41" s="56" t="n">
        <f aca="false">SUMPRODUCT((Events!$B$6:$B$400&lt;=$A41)*(Events!$C$6:$C$400&gt;=$A41)*(Events!$E$6:$E$400="Loan")*(Events!$F$6:$F$400="Asia")*Events!$H$6:$H$400)</f>
        <v>0</v>
      </c>
      <c r="H41" s="56" t="n">
        <f aca="false">J40*asia_repay</f>
        <v>0.248388859835714</v>
      </c>
      <c r="I41" s="56" t="n">
        <f aca="false">0</f>
        <v>0</v>
      </c>
      <c r="J41" s="56" t="n">
        <f aca="false">J40+G41-H41-I41</f>
        <v>5.96133263605713</v>
      </c>
      <c r="K41" s="56" t="n">
        <f aca="false">J40*asia_coupon</f>
        <v>0.341534682274106</v>
      </c>
      <c r="L41" s="56" t="n">
        <f aca="false">SUMPRODUCT((Events!$B$6:$B$400&lt;=$A41)*(Events!$C$6:$C$400&gt;=$A41)*(Events!$E$6:$E$400="Loan")*(Events!$F$6:$F$400="Europe")*Events!$H$6:$H$400)</f>
        <v>0</v>
      </c>
      <c r="M41" s="56" t="n">
        <f aca="false">O40*Paths!AA41</f>
        <v>-7.96763528998659E-006</v>
      </c>
      <c r="N41" s="56" t="n">
        <f aca="false">IF($A41=1918,russia_writeoff*(O40+L41),0)-IF($A41=russia_recog_yr,russia_recog*$N$78,0)</f>
        <v>0</v>
      </c>
      <c r="O41" s="56" t="n">
        <f aca="false">O40+L41-M41-N41</f>
        <v>-0.000257620207709566</v>
      </c>
      <c r="P41" s="56" t="n">
        <f aca="false">O40*Paths!Z41*Paths!AB41</f>
        <v>-1.32793921499777E-005</v>
      </c>
      <c r="Q41" s="56" t="n">
        <f aca="false">SUMPRODUCT((Events!$B$6:$B$400&lt;=$A41)*(Events!$C$6:$C$400&gt;=$A41)*(Events!$E$6:$E$400="Loan")*(Events!$F$6:$F$400="Rescue")*Events!$H$6:$H$400)</f>
        <v>0</v>
      </c>
      <c r="R41" s="56" t="n">
        <f aca="false">0</f>
        <v>0</v>
      </c>
      <c r="S41" s="56" t="n">
        <f aca="false">0</f>
        <v>0</v>
      </c>
      <c r="T41" s="56" t="n">
        <f aca="false">T40+Q41-R41-S41</f>
        <v>0</v>
      </c>
      <c r="U41" s="56" t="n">
        <f aca="false">T40*rescue_coupon</f>
        <v>0</v>
      </c>
      <c r="V41" s="56" t="n">
        <f aca="false">B41+G41+L41+Q41</f>
        <v>0</v>
      </c>
      <c r="W41" s="56" t="n">
        <f aca="false">C41+H41+M41+R41</f>
        <v>1.19062322641921</v>
      </c>
      <c r="X41" s="56" t="n">
        <f aca="false">E41+J41+O41+T41</f>
        <v>28.5748910371003</v>
      </c>
      <c r="Y41" s="56" t="n">
        <f aca="false">F41+K41+P41+U41</f>
        <v>1.51932432065544</v>
      </c>
    </row>
    <row r="42" customFormat="false" ht="14.25" hidden="false" customHeight="true" outlineLevel="0" collapsed="false">
      <c r="A42" s="61" t="n">
        <v>1882</v>
      </c>
      <c r="B42" s="56" t="n">
        <f aca="false">SUMPRODUCT((Events!$B$6:$B$400&lt;=$A42)*(Events!$C$6:$C$400&gt;=$A42)*(Events!$E$6:$E$400="Loan")*(Events!$F$6:$F$400="Continental")*Events!$H$6:$H$400)</f>
        <v>0</v>
      </c>
      <c r="C42" s="56" t="n">
        <f aca="false">E41*cont_repay</f>
        <v>0.904552640850036</v>
      </c>
      <c r="D42" s="56" t="n">
        <f aca="false">0</f>
        <v>0</v>
      </c>
      <c r="E42" s="56" t="n">
        <f aca="false">E41+B42-C42-D42</f>
        <v>21.7092633804009</v>
      </c>
      <c r="F42" s="56" t="n">
        <f aca="false">E41*cont_coupon</f>
        <v>1.13069080106255</v>
      </c>
      <c r="G42" s="56" t="n">
        <f aca="false">SUMPRODUCT((Events!$B$6:$B$400&lt;=$A42)*(Events!$C$6:$C$400&gt;=$A42)*(Events!$E$6:$E$400="Loan")*(Events!$F$6:$F$400="Asia")*Events!$H$6:$H$400)</f>
        <v>0</v>
      </c>
      <c r="H42" s="56" t="n">
        <f aca="false">J41*asia_repay</f>
        <v>0.238453305442285</v>
      </c>
      <c r="I42" s="56" t="n">
        <f aca="false">0</f>
        <v>0</v>
      </c>
      <c r="J42" s="56" t="n">
        <f aca="false">J41+G42-H42-I42</f>
        <v>5.72287933061484</v>
      </c>
      <c r="K42" s="56" t="n">
        <f aca="false">J41*asia_coupon</f>
        <v>0.327873294983142</v>
      </c>
      <c r="L42" s="56" t="n">
        <f aca="false">SUMPRODUCT((Events!$B$6:$B$400&lt;=$A42)*(Events!$C$6:$C$400&gt;=$A42)*(Events!$E$6:$E$400="Loan")*(Events!$F$6:$F$400="Europe")*Events!$H$6:$H$400)</f>
        <v>0</v>
      </c>
      <c r="M42" s="56" t="n">
        <f aca="false">O41*Paths!AA42</f>
        <v>-7.72860623128699E-006</v>
      </c>
      <c r="N42" s="56" t="n">
        <f aca="false">IF($A42=1918,russia_writeoff*(O41+L42),0)-IF($A42=russia_recog_yr,russia_recog*$N$78,0)</f>
        <v>0</v>
      </c>
      <c r="O42" s="56" t="n">
        <f aca="false">O41+L42-M42-N42</f>
        <v>-0.00024989160147828</v>
      </c>
      <c r="P42" s="56" t="n">
        <f aca="false">O41*Paths!Z42*Paths!AB42</f>
        <v>-1.28810103854783E-005</v>
      </c>
      <c r="Q42" s="56" t="n">
        <f aca="false">SUMPRODUCT((Events!$B$6:$B$400&lt;=$A42)*(Events!$C$6:$C$400&gt;=$A42)*(Events!$E$6:$E$400="Loan")*(Events!$F$6:$F$400="Rescue")*Events!$H$6:$H$400)</f>
        <v>0</v>
      </c>
      <c r="R42" s="56" t="n">
        <f aca="false">0</f>
        <v>0</v>
      </c>
      <c r="S42" s="56" t="n">
        <f aca="false">0</f>
        <v>0</v>
      </c>
      <c r="T42" s="56" t="n">
        <f aca="false">T41+Q42-R42-S42</f>
        <v>0</v>
      </c>
      <c r="U42" s="56" t="n">
        <f aca="false">T41*rescue_coupon</f>
        <v>0</v>
      </c>
      <c r="V42" s="56" t="n">
        <f aca="false">B42+G42+L42+Q42</f>
        <v>0</v>
      </c>
      <c r="W42" s="56" t="n">
        <f aca="false">C42+H42+M42+R42</f>
        <v>1.14299821768609</v>
      </c>
      <c r="X42" s="56" t="n">
        <f aca="false">E42+J42+O42+T42</f>
        <v>27.4318928194142</v>
      </c>
      <c r="Y42" s="56" t="n">
        <f aca="false">F42+K42+P42+U42</f>
        <v>1.4585512150353</v>
      </c>
    </row>
    <row r="43" customFormat="false" ht="14.25" hidden="false" customHeight="true" outlineLevel="0" collapsed="false">
      <c r="A43" s="61" t="n">
        <v>1883</v>
      </c>
      <c r="B43" s="56" t="n">
        <f aca="false">SUMPRODUCT((Events!$B$6:$B$400&lt;=$A43)*(Events!$C$6:$C$400&gt;=$A43)*(Events!$E$6:$E$400="Loan")*(Events!$F$6:$F$400="Continental")*Events!$H$6:$H$400)</f>
        <v>0</v>
      </c>
      <c r="C43" s="56" t="n">
        <f aca="false">E42*cont_repay</f>
        <v>0.868370535216035</v>
      </c>
      <c r="D43" s="56" t="n">
        <f aca="false">0</f>
        <v>0</v>
      </c>
      <c r="E43" s="56" t="n">
        <f aca="false">E42+B43-C43-D43</f>
        <v>20.8408928451848</v>
      </c>
      <c r="F43" s="56" t="n">
        <f aca="false">E42*cont_coupon</f>
        <v>1.08546316902004</v>
      </c>
      <c r="G43" s="56" t="n">
        <f aca="false">SUMPRODUCT((Events!$B$6:$B$400&lt;=$A43)*(Events!$C$6:$C$400&gt;=$A43)*(Events!$E$6:$E$400="Loan")*(Events!$F$6:$F$400="Asia")*Events!$H$6:$H$400)</f>
        <v>0</v>
      </c>
      <c r="H43" s="56" t="n">
        <f aca="false">J42*asia_repay</f>
        <v>0.228915173224594</v>
      </c>
      <c r="I43" s="56" t="n">
        <f aca="false">0</f>
        <v>0</v>
      </c>
      <c r="J43" s="56" t="n">
        <f aca="false">J42+G43-H43-I43</f>
        <v>5.49396415739025</v>
      </c>
      <c r="K43" s="56" t="n">
        <f aca="false">J42*asia_coupon</f>
        <v>0.314758363183816</v>
      </c>
      <c r="L43" s="56" t="n">
        <f aca="false">SUMPRODUCT((Events!$B$6:$B$400&lt;=$A43)*(Events!$C$6:$C$400&gt;=$A43)*(Events!$E$6:$E$400="Loan")*(Events!$F$6:$F$400="Europe")*Events!$H$6:$H$400)</f>
        <v>0</v>
      </c>
      <c r="M43" s="56" t="n">
        <f aca="false">O42*Paths!AA43</f>
        <v>-7.49674804434838E-006</v>
      </c>
      <c r="N43" s="56" t="n">
        <f aca="false">IF($A43=1918,russia_writeoff*(O42+L43),0)-IF($A43=russia_recog_yr,russia_recog*$N$78,0)</f>
        <v>0</v>
      </c>
      <c r="O43" s="56" t="n">
        <f aca="false">O42+L43-M43-N43</f>
        <v>-0.000242394853433931</v>
      </c>
      <c r="P43" s="56" t="n">
        <f aca="false">O42*Paths!Z43*Paths!AB43</f>
        <v>-1.2494580073914E-005</v>
      </c>
      <c r="Q43" s="56" t="n">
        <f aca="false">SUMPRODUCT((Events!$B$6:$B$400&lt;=$A43)*(Events!$C$6:$C$400&gt;=$A43)*(Events!$E$6:$E$400="Loan")*(Events!$F$6:$F$400="Rescue")*Events!$H$6:$H$400)</f>
        <v>0</v>
      </c>
      <c r="R43" s="56" t="n">
        <f aca="false">0</f>
        <v>0</v>
      </c>
      <c r="S43" s="56" t="n">
        <f aca="false">0</f>
        <v>0</v>
      </c>
      <c r="T43" s="56" t="n">
        <f aca="false">T42+Q43-R43-S43</f>
        <v>0</v>
      </c>
      <c r="U43" s="56" t="n">
        <f aca="false">T42*rescue_coupon</f>
        <v>0</v>
      </c>
      <c r="V43" s="56" t="n">
        <f aca="false">B43+G43+L43+Q43</f>
        <v>0</v>
      </c>
      <c r="W43" s="56" t="n">
        <f aca="false">C43+H43+M43+R43</f>
        <v>1.09727821169258</v>
      </c>
      <c r="X43" s="56" t="n">
        <f aca="false">E43+J43+O43+T43</f>
        <v>26.3346146077217</v>
      </c>
      <c r="Y43" s="56" t="n">
        <f aca="false">F43+K43+P43+U43</f>
        <v>1.40020903762379</v>
      </c>
    </row>
    <row r="44" customFormat="false" ht="14.25" hidden="false" customHeight="true" outlineLevel="0" collapsed="false">
      <c r="A44" s="61" t="n">
        <v>1884</v>
      </c>
      <c r="B44" s="56" t="n">
        <f aca="false">SUMPRODUCT((Events!$B$6:$B$400&lt;=$A44)*(Events!$C$6:$C$400&gt;=$A44)*(Events!$E$6:$E$400="Loan")*(Events!$F$6:$F$400="Continental")*Events!$H$6:$H$400)</f>
        <v>0</v>
      </c>
      <c r="C44" s="56" t="n">
        <f aca="false">E43*cont_repay</f>
        <v>0.833635713807393</v>
      </c>
      <c r="D44" s="56" t="n">
        <f aca="false">0</f>
        <v>0</v>
      </c>
      <c r="E44" s="56" t="n">
        <f aca="false">E43+B44-C44-D44</f>
        <v>20.0072571313774</v>
      </c>
      <c r="F44" s="56" t="n">
        <f aca="false">E43*cont_coupon</f>
        <v>1.04204464225924</v>
      </c>
      <c r="G44" s="56" t="n">
        <f aca="false">SUMPRODUCT((Events!$B$6:$B$400&lt;=$A44)*(Events!$C$6:$C$400&gt;=$A44)*(Events!$E$6:$E$400="Loan")*(Events!$F$6:$F$400="Asia")*Events!$H$6:$H$400)</f>
        <v>0</v>
      </c>
      <c r="H44" s="56" t="n">
        <f aca="false">J43*asia_repay</f>
        <v>0.21975856629561</v>
      </c>
      <c r="I44" s="56" t="n">
        <f aca="false">0</f>
        <v>0</v>
      </c>
      <c r="J44" s="56" t="n">
        <f aca="false">J43+G44-H44-I44</f>
        <v>5.27420559109464</v>
      </c>
      <c r="K44" s="56" t="n">
        <f aca="false">J43*asia_coupon</f>
        <v>0.302168028656464</v>
      </c>
      <c r="L44" s="56" t="n">
        <f aca="false">SUMPRODUCT((Events!$B$6:$B$400&lt;=$A44)*(Events!$C$6:$C$400&gt;=$A44)*(Events!$E$6:$E$400="Loan")*(Events!$F$6:$F$400="Europe")*Events!$H$6:$H$400)</f>
        <v>0</v>
      </c>
      <c r="M44" s="56" t="n">
        <f aca="false">O43*Paths!AA44</f>
        <v>-7.27184560301793E-006</v>
      </c>
      <c r="N44" s="56" t="n">
        <f aca="false">IF($A44=1918,russia_writeoff*(O43+L44),0)-IF($A44=russia_recog_yr,russia_recog*$N$78,0)</f>
        <v>0</v>
      </c>
      <c r="O44" s="56" t="n">
        <f aca="false">O43+L44-M44-N44</f>
        <v>-0.000235123007830913</v>
      </c>
      <c r="P44" s="56" t="n">
        <f aca="false">O43*Paths!Z44*Paths!AB44</f>
        <v>-1.21197426716966E-005</v>
      </c>
      <c r="Q44" s="56" t="n">
        <f aca="false">SUMPRODUCT((Events!$B$6:$B$400&lt;=$A44)*(Events!$C$6:$C$400&gt;=$A44)*(Events!$E$6:$E$400="Loan")*(Events!$F$6:$F$400="Rescue")*Events!$H$6:$H$400)</f>
        <v>0</v>
      </c>
      <c r="R44" s="56" t="n">
        <f aca="false">0</f>
        <v>0</v>
      </c>
      <c r="S44" s="56" t="n">
        <f aca="false">0</f>
        <v>0</v>
      </c>
      <c r="T44" s="56" t="n">
        <f aca="false">T43+Q44-R44-S44</f>
        <v>0</v>
      </c>
      <c r="U44" s="56" t="n">
        <f aca="false">T43*rescue_coupon</f>
        <v>0</v>
      </c>
      <c r="V44" s="56" t="n">
        <f aca="false">B44+G44+L44+Q44</f>
        <v>0</v>
      </c>
      <c r="W44" s="56" t="n">
        <f aca="false">C44+H44+M44+R44</f>
        <v>1.0533870082574</v>
      </c>
      <c r="X44" s="56" t="n">
        <f aca="false">E44+J44+O44+T44</f>
        <v>25.2812275994643</v>
      </c>
      <c r="Y44" s="56" t="n">
        <f aca="false">F44+K44+P44+U44</f>
        <v>1.34420055117303</v>
      </c>
    </row>
    <row r="45" customFormat="false" ht="14.25" hidden="false" customHeight="true" outlineLevel="0" collapsed="false">
      <c r="A45" s="61" t="n">
        <v>1885</v>
      </c>
      <c r="B45" s="56" t="n">
        <f aca="false">SUMPRODUCT((Events!$B$6:$B$400&lt;=$A45)*(Events!$C$6:$C$400&gt;=$A45)*(Events!$E$6:$E$400="Loan")*(Events!$F$6:$F$400="Continental")*Events!$H$6:$H$400)</f>
        <v>0</v>
      </c>
      <c r="C45" s="56" t="n">
        <f aca="false">E44*cont_repay</f>
        <v>0.800290285255098</v>
      </c>
      <c r="D45" s="56" t="n">
        <f aca="false">0</f>
        <v>0</v>
      </c>
      <c r="E45" s="56" t="n">
        <f aca="false">E44+B45-C45-D45</f>
        <v>19.2069668461223</v>
      </c>
      <c r="F45" s="56" t="n">
        <f aca="false">E44*cont_coupon</f>
        <v>1.00036285656887</v>
      </c>
      <c r="G45" s="56" t="n">
        <f aca="false">SUMPRODUCT((Events!$B$6:$B$400&lt;=$A45)*(Events!$C$6:$C$400&gt;=$A45)*(Events!$E$6:$E$400="Loan")*(Events!$F$6:$F$400="Asia")*Events!$H$6:$H$400)</f>
        <v>0.6</v>
      </c>
      <c r="H45" s="56" t="n">
        <f aca="false">J44*asia_repay</f>
        <v>0.210968223643786</v>
      </c>
      <c r="I45" s="56" t="n">
        <f aca="false">0</f>
        <v>0</v>
      </c>
      <c r="J45" s="56" t="n">
        <f aca="false">J44+G45-H45-I45</f>
        <v>5.66323736745085</v>
      </c>
      <c r="K45" s="56" t="n">
        <f aca="false">J44*asia_coupon</f>
        <v>0.290081307510205</v>
      </c>
      <c r="L45" s="56" t="n">
        <f aca="false">SUMPRODUCT((Events!$B$6:$B$400&lt;=$A45)*(Events!$C$6:$C$400&gt;=$A45)*(Events!$E$6:$E$400="Loan")*(Events!$F$6:$F$400="Europe")*Events!$H$6:$H$400)</f>
        <v>0</v>
      </c>
      <c r="M45" s="56" t="n">
        <f aca="false">O44*Paths!AA45</f>
        <v>-7.0536902349274E-006</v>
      </c>
      <c r="N45" s="56" t="n">
        <f aca="false">IF($A45=1918,russia_writeoff*(O44+L45),0)-IF($A45=russia_recog_yr,russia_recog*$N$78,0)</f>
        <v>0</v>
      </c>
      <c r="O45" s="56" t="n">
        <f aca="false">O44+L45-M45-N45</f>
        <v>-0.000228069317595986</v>
      </c>
      <c r="P45" s="56" t="n">
        <f aca="false">O44*Paths!Z45*Paths!AB45</f>
        <v>-1.17561503915457E-005</v>
      </c>
      <c r="Q45" s="56" t="n">
        <f aca="false">SUMPRODUCT((Events!$B$6:$B$400&lt;=$A45)*(Events!$C$6:$C$400&gt;=$A45)*(Events!$E$6:$E$400="Loan")*(Events!$F$6:$F$400="Rescue")*Events!$H$6:$H$400)</f>
        <v>0</v>
      </c>
      <c r="R45" s="56" t="n">
        <f aca="false">0</f>
        <v>0</v>
      </c>
      <c r="S45" s="56" t="n">
        <f aca="false">0</f>
        <v>0</v>
      </c>
      <c r="T45" s="56" t="n">
        <f aca="false">T44+Q45-R45-S45</f>
        <v>0</v>
      </c>
      <c r="U45" s="56" t="n">
        <f aca="false">T44*rescue_coupon</f>
        <v>0</v>
      </c>
      <c r="V45" s="56" t="n">
        <f aca="false">B45+G45+L45+Q45</f>
        <v>0.6</v>
      </c>
      <c r="W45" s="56" t="n">
        <f aca="false">C45+H45+M45+R45</f>
        <v>1.01125145520865</v>
      </c>
      <c r="X45" s="56" t="n">
        <f aca="false">E45+J45+O45+T45</f>
        <v>24.8699761442556</v>
      </c>
      <c r="Y45" s="56" t="n">
        <f aca="false">F45+K45+P45+U45</f>
        <v>1.29043240792869</v>
      </c>
    </row>
    <row r="46" customFormat="false" ht="14.25" hidden="false" customHeight="true" outlineLevel="0" collapsed="false">
      <c r="A46" s="61" t="n">
        <v>1886</v>
      </c>
      <c r="B46" s="56" t="n">
        <f aca="false">SUMPRODUCT((Events!$B$6:$B$400&lt;=$A46)*(Events!$C$6:$C$400&gt;=$A46)*(Events!$E$6:$E$400="Loan")*(Events!$F$6:$F$400="Continental")*Events!$H$6:$H$400)</f>
        <v>0</v>
      </c>
      <c r="C46" s="56" t="n">
        <f aca="false">E45*cont_repay</f>
        <v>0.768278673844894</v>
      </c>
      <c r="D46" s="56" t="n">
        <f aca="false">0</f>
        <v>0</v>
      </c>
      <c r="E46" s="56" t="n">
        <f aca="false">E45+B46-C46-D46</f>
        <v>18.4386881722775</v>
      </c>
      <c r="F46" s="56" t="n">
        <f aca="false">E45*cont_coupon</f>
        <v>0.960348342306117</v>
      </c>
      <c r="G46" s="56" t="n">
        <f aca="false">SUMPRODUCT((Events!$B$6:$B$400&lt;=$A46)*(Events!$C$6:$C$400&gt;=$A46)*(Events!$E$6:$E$400="Loan")*(Events!$F$6:$F$400="Asia")*Events!$H$6:$H$400)</f>
        <v>0</v>
      </c>
      <c r="H46" s="56" t="n">
        <f aca="false">J45*asia_repay</f>
        <v>0.226529494698034</v>
      </c>
      <c r="I46" s="56" t="n">
        <f aca="false">0</f>
        <v>0</v>
      </c>
      <c r="J46" s="56" t="n">
        <f aca="false">J45+G46-H46-I46</f>
        <v>5.43670787275282</v>
      </c>
      <c r="K46" s="56" t="n">
        <f aca="false">J45*asia_coupon</f>
        <v>0.311478055209797</v>
      </c>
      <c r="L46" s="56" t="n">
        <f aca="false">SUMPRODUCT((Events!$B$6:$B$400&lt;=$A46)*(Events!$C$6:$C$400&gt;=$A46)*(Events!$E$6:$E$400="Loan")*(Events!$F$6:$F$400="Europe")*Events!$H$6:$H$400)</f>
        <v>0</v>
      </c>
      <c r="M46" s="56" t="n">
        <f aca="false">O45*Paths!AA46</f>
        <v>-6.84207952787957E-006</v>
      </c>
      <c r="N46" s="56" t="n">
        <f aca="false">IF($A46=1918,russia_writeoff*(O45+L46),0)-IF($A46=russia_recog_yr,russia_recog*$N$78,0)</f>
        <v>0</v>
      </c>
      <c r="O46" s="56" t="n">
        <f aca="false">O45+L46-M46-N46</f>
        <v>-0.000221227238068106</v>
      </c>
      <c r="P46" s="56" t="n">
        <f aca="false">O45*Paths!Z46*Paths!AB46</f>
        <v>-1.14034658797993E-005</v>
      </c>
      <c r="Q46" s="56" t="n">
        <f aca="false">SUMPRODUCT((Events!$B$6:$B$400&lt;=$A46)*(Events!$C$6:$C$400&gt;=$A46)*(Events!$E$6:$E$400="Loan")*(Events!$F$6:$F$400="Rescue")*Events!$H$6:$H$400)</f>
        <v>0</v>
      </c>
      <c r="R46" s="56" t="n">
        <f aca="false">0</f>
        <v>0</v>
      </c>
      <c r="S46" s="56" t="n">
        <f aca="false">0</f>
        <v>0</v>
      </c>
      <c r="T46" s="56" t="n">
        <f aca="false">T45+Q46-R46-S46</f>
        <v>0</v>
      </c>
      <c r="U46" s="56" t="n">
        <f aca="false">T45*rescue_coupon</f>
        <v>0</v>
      </c>
      <c r="V46" s="56" t="n">
        <f aca="false">B46+G46+L46+Q46</f>
        <v>0</v>
      </c>
      <c r="W46" s="56" t="n">
        <f aca="false">C46+H46+M46+R46</f>
        <v>0.9948013264634</v>
      </c>
      <c r="X46" s="56" t="n">
        <f aca="false">E46+J46+O46+T46</f>
        <v>23.8751748177922</v>
      </c>
      <c r="Y46" s="56" t="n">
        <f aca="false">F46+K46+P46+U46</f>
        <v>1.27181499405003</v>
      </c>
    </row>
    <row r="47" customFormat="false" ht="14.25" hidden="false" customHeight="true" outlineLevel="0" collapsed="false">
      <c r="A47" s="61" t="n">
        <v>1887</v>
      </c>
      <c r="B47" s="56" t="n">
        <f aca="false">SUMPRODUCT((Events!$B$6:$B$400&lt;=$A47)*(Events!$C$6:$C$400&gt;=$A47)*(Events!$E$6:$E$400="Loan")*(Events!$F$6:$F$400="Continental")*Events!$H$6:$H$400)</f>
        <v>0</v>
      </c>
      <c r="C47" s="56" t="n">
        <f aca="false">E46*cont_repay</f>
        <v>0.737547526891098</v>
      </c>
      <c r="D47" s="56" t="n">
        <f aca="false">0</f>
        <v>0</v>
      </c>
      <c r="E47" s="56" t="n">
        <f aca="false">E46+B47-C47-D47</f>
        <v>17.7011406453864</v>
      </c>
      <c r="F47" s="56" t="n">
        <f aca="false">E46*cont_coupon</f>
        <v>0.921934408613873</v>
      </c>
      <c r="G47" s="56" t="n">
        <f aca="false">SUMPRODUCT((Events!$B$6:$B$400&lt;=$A47)*(Events!$C$6:$C$400&gt;=$A47)*(Events!$E$6:$E$400="Loan")*(Events!$F$6:$F$400="Asia")*Events!$H$6:$H$400)</f>
        <v>0</v>
      </c>
      <c r="H47" s="56" t="n">
        <f aca="false">J46*asia_repay</f>
        <v>0.217468314910113</v>
      </c>
      <c r="I47" s="56" t="n">
        <f aca="false">0</f>
        <v>0</v>
      </c>
      <c r="J47" s="56" t="n">
        <f aca="false">J46+G47-H47-I47</f>
        <v>5.21923955784271</v>
      </c>
      <c r="K47" s="56" t="n">
        <f aca="false">J46*asia_coupon</f>
        <v>0.299018933001405</v>
      </c>
      <c r="L47" s="56" t="n">
        <f aca="false">SUMPRODUCT((Events!$B$6:$B$400&lt;=$A47)*(Events!$C$6:$C$400&gt;=$A47)*(Events!$E$6:$E$400="Loan")*(Events!$F$6:$F$400="Europe")*Events!$H$6:$H$400)</f>
        <v>0</v>
      </c>
      <c r="M47" s="56" t="n">
        <f aca="false">O46*Paths!AA47</f>
        <v>-6.63681714204319E-006</v>
      </c>
      <c r="N47" s="56" t="n">
        <f aca="false">IF($A47=1918,russia_writeoff*(O46+L47),0)-IF($A47=russia_recog_yr,russia_recog*$N$78,0)</f>
        <v>0</v>
      </c>
      <c r="O47" s="56" t="n">
        <f aca="false">O46+L47-M47-N47</f>
        <v>-0.000214590420926063</v>
      </c>
      <c r="P47" s="56" t="n">
        <f aca="false">O46*Paths!Z47*Paths!AB47</f>
        <v>-1.10613619034053E-005</v>
      </c>
      <c r="Q47" s="56" t="n">
        <f aca="false">SUMPRODUCT((Events!$B$6:$B$400&lt;=$A47)*(Events!$C$6:$C$400&gt;=$A47)*(Events!$E$6:$E$400="Loan")*(Events!$F$6:$F$400="Rescue")*Events!$H$6:$H$400)</f>
        <v>0</v>
      </c>
      <c r="R47" s="56" t="n">
        <f aca="false">0</f>
        <v>0</v>
      </c>
      <c r="S47" s="56" t="n">
        <f aca="false">0</f>
        <v>0</v>
      </c>
      <c r="T47" s="56" t="n">
        <f aca="false">T46+Q47-R47-S47</f>
        <v>0</v>
      </c>
      <c r="U47" s="56" t="n">
        <f aca="false">T46*rescue_coupon</f>
        <v>0</v>
      </c>
      <c r="V47" s="56" t="n">
        <f aca="false">B47+G47+L47+Q47</f>
        <v>0</v>
      </c>
      <c r="W47" s="56" t="n">
        <f aca="false">C47+H47+M47+R47</f>
        <v>0.955009204984069</v>
      </c>
      <c r="X47" s="56" t="n">
        <f aca="false">E47+J47+O47+T47</f>
        <v>22.9201656128081</v>
      </c>
      <c r="Y47" s="56" t="n">
        <f aca="false">F47+K47+P47+U47</f>
        <v>1.22094228025337</v>
      </c>
    </row>
    <row r="48" customFormat="false" ht="14.25" hidden="false" customHeight="true" outlineLevel="0" collapsed="false">
      <c r="A48" s="61" t="n">
        <v>1888</v>
      </c>
      <c r="B48" s="56" t="n">
        <f aca="false">SUMPRODUCT((Events!$B$6:$B$400&lt;=$A48)*(Events!$C$6:$C$400&gt;=$A48)*(Events!$E$6:$E$400="Loan")*(Events!$F$6:$F$400="Continental")*Events!$H$6:$H$400)</f>
        <v>3</v>
      </c>
      <c r="C48" s="56" t="n">
        <f aca="false">E47*cont_repay</f>
        <v>0.708045625815454</v>
      </c>
      <c r="D48" s="56" t="n">
        <f aca="false">0</f>
        <v>0</v>
      </c>
      <c r="E48" s="56" t="n">
        <f aca="false">E47+B48-C48-D48</f>
        <v>19.9930950195709</v>
      </c>
      <c r="F48" s="56" t="n">
        <f aca="false">E47*cont_coupon</f>
        <v>0.885057032269318</v>
      </c>
      <c r="G48" s="56" t="n">
        <f aca="false">SUMPRODUCT((Events!$B$6:$B$400&lt;=$A48)*(Events!$C$6:$C$400&gt;=$A48)*(Events!$E$6:$E$400="Loan")*(Events!$F$6:$F$400="Asia")*Events!$H$6:$H$400)</f>
        <v>0</v>
      </c>
      <c r="H48" s="56" t="n">
        <f aca="false">J47*asia_repay</f>
        <v>0.208769582313708</v>
      </c>
      <c r="I48" s="56" t="n">
        <f aca="false">0</f>
        <v>0</v>
      </c>
      <c r="J48" s="56" t="n">
        <f aca="false">J47+G48-H48-I48</f>
        <v>5.010469975529</v>
      </c>
      <c r="K48" s="56" t="n">
        <f aca="false">J47*asia_coupon</f>
        <v>0.287058175681349</v>
      </c>
      <c r="L48" s="56" t="n">
        <f aca="false">SUMPRODUCT((Events!$B$6:$B$400&lt;=$A48)*(Events!$C$6:$C$400&gt;=$A48)*(Events!$E$6:$E$400="Loan")*(Events!$F$6:$F$400="Europe")*Events!$H$6:$H$400)</f>
        <v>0</v>
      </c>
      <c r="M48" s="56" t="n">
        <f aca="false">O47*Paths!AA48</f>
        <v>-6.43771262778189E-006</v>
      </c>
      <c r="N48" s="56" t="n">
        <f aca="false">IF($A48=1918,russia_writeoff*(O47+L48),0)-IF($A48=russia_recog_yr,russia_recog*$N$78,0)</f>
        <v>0</v>
      </c>
      <c r="O48" s="56" t="n">
        <f aca="false">O47+L48-M48-N48</f>
        <v>-0.000208152708298281</v>
      </c>
      <c r="P48" s="56" t="n">
        <f aca="false">O47*Paths!Z48*Paths!AB48</f>
        <v>-1.07295210463032E-005</v>
      </c>
      <c r="Q48" s="56" t="n">
        <f aca="false">SUMPRODUCT((Events!$B$6:$B$400&lt;=$A48)*(Events!$C$6:$C$400&gt;=$A48)*(Events!$E$6:$E$400="Loan")*(Events!$F$6:$F$400="Rescue")*Events!$H$6:$H$400)</f>
        <v>0</v>
      </c>
      <c r="R48" s="56" t="n">
        <f aca="false">0</f>
        <v>0</v>
      </c>
      <c r="S48" s="56" t="n">
        <f aca="false">0</f>
        <v>0</v>
      </c>
      <c r="T48" s="56" t="n">
        <f aca="false">T47+Q48-R48-S48</f>
        <v>0</v>
      </c>
      <c r="U48" s="56" t="n">
        <f aca="false">T47*rescue_coupon</f>
        <v>0</v>
      </c>
      <c r="V48" s="56" t="n">
        <f aca="false">B48+G48+L48+Q48</f>
        <v>3</v>
      </c>
      <c r="W48" s="56" t="n">
        <f aca="false">C48+H48+M48+R48</f>
        <v>0.916808770416535</v>
      </c>
      <c r="X48" s="56" t="n">
        <f aca="false">E48+J48+O48+T48</f>
        <v>25.0033568423916</v>
      </c>
      <c r="Y48" s="56" t="n">
        <f aca="false">F48+K48+P48+U48</f>
        <v>1.17210447842962</v>
      </c>
    </row>
    <row r="49" customFormat="false" ht="14.25" hidden="false" customHeight="true" outlineLevel="0" collapsed="false">
      <c r="A49" s="61" t="n">
        <v>1889</v>
      </c>
      <c r="B49" s="56" t="n">
        <f aca="false">SUMPRODUCT((Events!$B$6:$B$400&lt;=$A49)*(Events!$C$6:$C$400&gt;=$A49)*(Events!$E$6:$E$400="Loan")*(Events!$F$6:$F$400="Continental")*Events!$H$6:$H$400)</f>
        <v>3</v>
      </c>
      <c r="C49" s="56" t="n">
        <f aca="false">E48*cont_repay</f>
        <v>0.799723800782836</v>
      </c>
      <c r="D49" s="56" t="n">
        <f aca="false">0</f>
        <v>0</v>
      </c>
      <c r="E49" s="56" t="n">
        <f aca="false">E48+B49-C49-D49</f>
        <v>22.1933712187881</v>
      </c>
      <c r="F49" s="56" t="n">
        <f aca="false">E48*cont_coupon</f>
        <v>0.999654750978545</v>
      </c>
      <c r="G49" s="56" t="n">
        <f aca="false">SUMPRODUCT((Events!$B$6:$B$400&lt;=$A49)*(Events!$C$6:$C$400&gt;=$A49)*(Events!$E$6:$E$400="Loan")*(Events!$F$6:$F$400="Asia")*Events!$H$6:$H$400)</f>
        <v>0</v>
      </c>
      <c r="H49" s="56" t="n">
        <f aca="false">J48*asia_repay</f>
        <v>0.20041879902116</v>
      </c>
      <c r="I49" s="56" t="n">
        <f aca="false">0</f>
        <v>0</v>
      </c>
      <c r="J49" s="56" t="n">
        <f aca="false">J48+G49-H49-I49</f>
        <v>4.81005117650784</v>
      </c>
      <c r="K49" s="56" t="n">
        <f aca="false">J48*asia_coupon</f>
        <v>0.275575848654095</v>
      </c>
      <c r="L49" s="56" t="n">
        <f aca="false">SUMPRODUCT((Events!$B$6:$B$400&lt;=$A49)*(Events!$C$6:$C$400&gt;=$A49)*(Events!$E$6:$E$400="Loan")*(Events!$F$6:$F$400="Europe")*Events!$H$6:$H$400)</f>
        <v>0</v>
      </c>
      <c r="M49" s="56" t="n">
        <f aca="false">O48*Paths!AA49</f>
        <v>-6.24458124894843E-006</v>
      </c>
      <c r="N49" s="56" t="n">
        <f aca="false">IF($A49=1918,russia_writeoff*(O48+L49),0)-IF($A49=russia_recog_yr,russia_recog*$N$78,0)</f>
        <v>0</v>
      </c>
      <c r="O49" s="56" t="n">
        <f aca="false">O48+L49-M49-N49</f>
        <v>-0.000201908127049333</v>
      </c>
      <c r="P49" s="56" t="n">
        <f aca="false">O48*Paths!Z49*Paths!AB49</f>
        <v>-1.04076354149141E-005</v>
      </c>
      <c r="Q49" s="56" t="n">
        <f aca="false">SUMPRODUCT((Events!$B$6:$B$400&lt;=$A49)*(Events!$C$6:$C$400&gt;=$A49)*(Events!$E$6:$E$400="Loan")*(Events!$F$6:$F$400="Rescue")*Events!$H$6:$H$400)</f>
        <v>0</v>
      </c>
      <c r="R49" s="56" t="n">
        <f aca="false">0</f>
        <v>0</v>
      </c>
      <c r="S49" s="56" t="n">
        <f aca="false">0</f>
        <v>0</v>
      </c>
      <c r="T49" s="56" t="n">
        <f aca="false">T48+Q49-R49-S49</f>
        <v>0</v>
      </c>
      <c r="U49" s="56" t="n">
        <f aca="false">T48*rescue_coupon</f>
        <v>0</v>
      </c>
      <c r="V49" s="56" t="n">
        <f aca="false">B49+G49+L49+Q49</f>
        <v>3</v>
      </c>
      <c r="W49" s="56" t="n">
        <f aca="false">C49+H49+M49+R49</f>
        <v>1.00013635522275</v>
      </c>
      <c r="X49" s="56" t="n">
        <f aca="false">E49+J49+O49+T49</f>
        <v>27.0032204871689</v>
      </c>
      <c r="Y49" s="56" t="n">
        <f aca="false">F49+K49+P49+U49</f>
        <v>1.27522019199723</v>
      </c>
    </row>
    <row r="50" customFormat="false" ht="14.25" hidden="false" customHeight="true" outlineLevel="0" collapsed="false">
      <c r="A50" s="61" t="n">
        <v>1890</v>
      </c>
      <c r="B50" s="56" t="n">
        <f aca="false">SUMPRODUCT((Events!$B$6:$B$400&lt;=$A50)*(Events!$C$6:$C$400&gt;=$A50)*(Events!$E$6:$E$400="Loan")*(Events!$F$6:$F$400="Continental")*Events!$H$6:$H$400)</f>
        <v>0</v>
      </c>
      <c r="C50" s="56" t="n">
        <f aca="false">E49*cont_repay</f>
        <v>0.887734848751523</v>
      </c>
      <c r="D50" s="56" t="n">
        <f aca="false">0</f>
        <v>0</v>
      </c>
      <c r="E50" s="56" t="n">
        <f aca="false">E49+B50-C50-D50</f>
        <v>21.3056363700365</v>
      </c>
      <c r="F50" s="56" t="n">
        <f aca="false">E49*cont_coupon</f>
        <v>1.1096685609394</v>
      </c>
      <c r="G50" s="56" t="n">
        <f aca="false">SUMPRODUCT((Events!$B$6:$B$400&lt;=$A50)*(Events!$C$6:$C$400&gt;=$A50)*(Events!$E$6:$E$400="Loan")*(Events!$F$6:$F$400="Asia")*Events!$H$6:$H$400)</f>
        <v>0</v>
      </c>
      <c r="H50" s="56" t="n">
        <f aca="false">J49*asia_repay</f>
        <v>0.192402047060314</v>
      </c>
      <c r="I50" s="56" t="n">
        <f aca="false">0</f>
        <v>0</v>
      </c>
      <c r="J50" s="56" t="n">
        <f aca="false">J49+G50-H50-I50</f>
        <v>4.61764912944752</v>
      </c>
      <c r="K50" s="56" t="n">
        <f aca="false">J49*asia_coupon</f>
        <v>0.264552814707931</v>
      </c>
      <c r="L50" s="56" t="n">
        <f aca="false">SUMPRODUCT((Events!$B$6:$B$400&lt;=$A50)*(Events!$C$6:$C$400&gt;=$A50)*(Events!$E$6:$E$400="Loan")*(Events!$F$6:$F$400="Europe")*Events!$H$6:$H$400)</f>
        <v>1.5</v>
      </c>
      <c r="M50" s="56" t="n">
        <f aca="false">O49*Paths!AA50</f>
        <v>-6.05724381147998E-006</v>
      </c>
      <c r="N50" s="56" t="n">
        <f aca="false">IF($A50=1918,russia_writeoff*(O49+L50),0)-IF($A50=russia_recog_yr,russia_recog*$N$78,0)</f>
        <v>0</v>
      </c>
      <c r="O50" s="56" t="n">
        <f aca="false">O49+L50-M50-N50</f>
        <v>1.49980414911676</v>
      </c>
      <c r="P50" s="56" t="n">
        <f aca="false">O49*Paths!Z50*Paths!AB50</f>
        <v>-1.00954063524666E-005</v>
      </c>
      <c r="Q50" s="56" t="n">
        <f aca="false">SUMPRODUCT((Events!$B$6:$B$400&lt;=$A50)*(Events!$C$6:$C$400&gt;=$A50)*(Events!$E$6:$E$400="Loan")*(Events!$F$6:$F$400="Rescue")*Events!$H$6:$H$400)</f>
        <v>0</v>
      </c>
      <c r="R50" s="56" t="n">
        <f aca="false">0</f>
        <v>0</v>
      </c>
      <c r="S50" s="56" t="n">
        <f aca="false">0</f>
        <v>0</v>
      </c>
      <c r="T50" s="56" t="n">
        <f aca="false">T49+Q50-R50-S50</f>
        <v>0</v>
      </c>
      <c r="U50" s="56" t="n">
        <f aca="false">T49*rescue_coupon</f>
        <v>0</v>
      </c>
      <c r="V50" s="56" t="n">
        <f aca="false">B50+G50+L50+Q50</f>
        <v>1.5</v>
      </c>
      <c r="W50" s="56" t="n">
        <f aca="false">C50+H50+M50+R50</f>
        <v>1.08013083856802</v>
      </c>
      <c r="X50" s="56" t="n">
        <f aca="false">E50+J50+O50+T50</f>
        <v>27.4230896486008</v>
      </c>
      <c r="Y50" s="56" t="n">
        <f aca="false">F50+K50+P50+U50</f>
        <v>1.37421128024098</v>
      </c>
    </row>
    <row r="51" customFormat="false" ht="14.25" hidden="false" customHeight="true" outlineLevel="0" collapsed="false">
      <c r="A51" s="61" t="n">
        <v>1891</v>
      </c>
      <c r="B51" s="56" t="n">
        <f aca="false">SUMPRODUCT((Events!$B$6:$B$400&lt;=$A51)*(Events!$C$6:$C$400&gt;=$A51)*(Events!$E$6:$E$400="Loan")*(Events!$F$6:$F$400="Continental")*Events!$H$6:$H$400)</f>
        <v>0</v>
      </c>
      <c r="C51" s="56" t="n">
        <f aca="false">E50*cont_repay</f>
        <v>0.852225454801462</v>
      </c>
      <c r="D51" s="56" t="n">
        <f aca="false">0</f>
        <v>0</v>
      </c>
      <c r="E51" s="56" t="n">
        <f aca="false">E50+B51-C51-D51</f>
        <v>20.4534109152351</v>
      </c>
      <c r="F51" s="56" t="n">
        <f aca="false">E50*cont_coupon</f>
        <v>1.06528181850183</v>
      </c>
      <c r="G51" s="56" t="n">
        <f aca="false">SUMPRODUCT((Events!$B$6:$B$400&lt;=$A51)*(Events!$C$6:$C$400&gt;=$A51)*(Events!$E$6:$E$400="Loan")*(Events!$F$6:$F$400="Asia")*Events!$H$6:$H$400)</f>
        <v>0</v>
      </c>
      <c r="H51" s="56" t="n">
        <f aca="false">J50*asia_repay</f>
        <v>0.184705965177901</v>
      </c>
      <c r="I51" s="56" t="n">
        <f aca="false">0</f>
        <v>0</v>
      </c>
      <c r="J51" s="56" t="n">
        <f aca="false">J50+G51-H51-I51</f>
        <v>4.43294316426962</v>
      </c>
      <c r="K51" s="56" t="n">
        <f aca="false">J50*asia_coupon</f>
        <v>0.253970702119614</v>
      </c>
      <c r="L51" s="56" t="n">
        <f aca="false">SUMPRODUCT((Events!$B$6:$B$400&lt;=$A51)*(Events!$C$6:$C$400&gt;=$A51)*(Events!$E$6:$E$400="Loan")*(Events!$F$6:$F$400="Europe")*Events!$H$6:$H$400)</f>
        <v>1.5</v>
      </c>
      <c r="M51" s="56" t="n">
        <f aca="false">O50*Paths!AA51</f>
        <v>0.0449941244735029</v>
      </c>
      <c r="N51" s="56" t="n">
        <f aca="false">IF($A51=1918,russia_writeoff*(O50+L51),0)-IF($A51=russia_recog_yr,russia_recog*$N$78,0)</f>
        <v>0</v>
      </c>
      <c r="O51" s="56" t="n">
        <f aca="false">O50+L51-M51-N51</f>
        <v>2.95481002464326</v>
      </c>
      <c r="P51" s="56" t="n">
        <f aca="false">O50*Paths!Z51*Paths!AB51</f>
        <v>0.0749902074558381</v>
      </c>
      <c r="Q51" s="56" t="n">
        <f aca="false">SUMPRODUCT((Events!$B$6:$B$400&lt;=$A51)*(Events!$C$6:$C$400&gt;=$A51)*(Events!$E$6:$E$400="Loan")*(Events!$F$6:$F$400="Rescue")*Events!$H$6:$H$400)</f>
        <v>0</v>
      </c>
      <c r="R51" s="56" t="n">
        <f aca="false">0</f>
        <v>0</v>
      </c>
      <c r="S51" s="56" t="n">
        <f aca="false">0</f>
        <v>0</v>
      </c>
      <c r="T51" s="56" t="n">
        <f aca="false">T50+Q51-R51-S51</f>
        <v>0</v>
      </c>
      <c r="U51" s="56" t="n">
        <f aca="false">T50*rescue_coupon</f>
        <v>0</v>
      </c>
      <c r="V51" s="56" t="n">
        <f aca="false">B51+G51+L51+Q51</f>
        <v>1.5</v>
      </c>
      <c r="W51" s="56" t="n">
        <f aca="false">C51+H51+M51+R51</f>
        <v>1.08192554445287</v>
      </c>
      <c r="X51" s="56" t="n">
        <f aca="false">E51+J51+O51+T51</f>
        <v>27.841164104148</v>
      </c>
      <c r="Y51" s="56" t="n">
        <f aca="false">F51+K51+P51+U51</f>
        <v>1.39424272807728</v>
      </c>
    </row>
    <row r="52" customFormat="false" ht="14.25" hidden="false" customHeight="true" outlineLevel="0" collapsed="false">
      <c r="A52" s="61" t="n">
        <v>1892</v>
      </c>
      <c r="B52" s="56" t="n">
        <f aca="false">SUMPRODUCT((Events!$B$6:$B$400&lt;=$A52)*(Events!$C$6:$C$400&gt;=$A52)*(Events!$E$6:$E$400="Loan")*(Events!$F$6:$F$400="Continental")*Events!$H$6:$H$400)</f>
        <v>0</v>
      </c>
      <c r="C52" s="56" t="n">
        <f aca="false">E51*cont_repay</f>
        <v>0.818136436609403</v>
      </c>
      <c r="D52" s="56" t="n">
        <f aca="false">0</f>
        <v>0</v>
      </c>
      <c r="E52" s="56" t="n">
        <f aca="false">E51+B52-C52-D52</f>
        <v>19.6352744786257</v>
      </c>
      <c r="F52" s="56" t="n">
        <f aca="false">E51*cont_coupon</f>
        <v>1.02267054576175</v>
      </c>
      <c r="G52" s="56" t="n">
        <f aca="false">SUMPRODUCT((Events!$B$6:$B$400&lt;=$A52)*(Events!$C$6:$C$400&gt;=$A52)*(Events!$E$6:$E$400="Loan")*(Events!$F$6:$F$400="Asia")*Events!$H$6:$H$400)</f>
        <v>0</v>
      </c>
      <c r="H52" s="56" t="n">
        <f aca="false">J51*asia_repay</f>
        <v>0.177317726570785</v>
      </c>
      <c r="I52" s="56" t="n">
        <f aca="false">0</f>
        <v>0</v>
      </c>
      <c r="J52" s="56" t="n">
        <f aca="false">J51+G52-H52-I52</f>
        <v>4.25562543769884</v>
      </c>
      <c r="K52" s="56" t="n">
        <f aca="false">J51*asia_coupon</f>
        <v>0.243811874034829</v>
      </c>
      <c r="L52" s="56" t="n">
        <f aca="false">SUMPRODUCT((Events!$B$6:$B$400&lt;=$A52)*(Events!$C$6:$C$400&gt;=$A52)*(Events!$E$6:$E$400="Loan")*(Events!$F$6:$F$400="Europe")*Events!$H$6:$H$400)</f>
        <v>0</v>
      </c>
      <c r="M52" s="56" t="n">
        <f aca="false">O51*Paths!AA52</f>
        <v>0.0886443007392978</v>
      </c>
      <c r="N52" s="56" t="n">
        <f aca="false">IF($A52=1918,russia_writeoff*(O51+L52),0)-IF($A52=russia_recog_yr,russia_recog*$N$78,0)</f>
        <v>0</v>
      </c>
      <c r="O52" s="56" t="n">
        <f aca="false">O51+L52-M52-N52</f>
        <v>2.86616572390396</v>
      </c>
      <c r="P52" s="56" t="n">
        <f aca="false">O51*Paths!Z52*Paths!AB52</f>
        <v>0.147740501232163</v>
      </c>
      <c r="Q52" s="56" t="n">
        <f aca="false">SUMPRODUCT((Events!$B$6:$B$400&lt;=$A52)*(Events!$C$6:$C$400&gt;=$A52)*(Events!$E$6:$E$400="Loan")*(Events!$F$6:$F$400="Rescue")*Events!$H$6:$H$400)</f>
        <v>0</v>
      </c>
      <c r="R52" s="56" t="n">
        <f aca="false">0</f>
        <v>0</v>
      </c>
      <c r="S52" s="56" t="n">
        <f aca="false">0</f>
        <v>0</v>
      </c>
      <c r="T52" s="56" t="n">
        <f aca="false">T51+Q52-R52-S52</f>
        <v>0</v>
      </c>
      <c r="U52" s="56" t="n">
        <f aca="false">T51*rescue_coupon</f>
        <v>0</v>
      </c>
      <c r="V52" s="56" t="n">
        <f aca="false">B52+G52+L52+Q52</f>
        <v>0</v>
      </c>
      <c r="W52" s="56" t="n">
        <f aca="false">C52+H52+M52+R52</f>
        <v>1.08409846391949</v>
      </c>
      <c r="X52" s="56" t="n">
        <f aca="false">E52+J52+O52+T52</f>
        <v>26.7570656402285</v>
      </c>
      <c r="Y52" s="56" t="n">
        <f aca="false">F52+K52+P52+U52</f>
        <v>1.41422292102875</v>
      </c>
    </row>
    <row r="53" customFormat="false" ht="14.25" hidden="false" customHeight="true" outlineLevel="0" collapsed="false">
      <c r="A53" s="61" t="n">
        <v>1893</v>
      </c>
      <c r="B53" s="56" t="n">
        <f aca="false">SUMPRODUCT((Events!$B$6:$B$400&lt;=$A53)*(Events!$C$6:$C$400&gt;=$A53)*(Events!$E$6:$E$400="Loan")*(Events!$F$6:$F$400="Continental")*Events!$H$6:$H$400)</f>
        <v>0</v>
      </c>
      <c r="C53" s="56" t="n">
        <f aca="false">E52*cont_repay</f>
        <v>0.785410979145027</v>
      </c>
      <c r="D53" s="56" t="n">
        <f aca="false">0</f>
        <v>0</v>
      </c>
      <c r="E53" s="56" t="n">
        <f aca="false">E52+B53-C53-D53</f>
        <v>18.8498634994806</v>
      </c>
      <c r="F53" s="56" t="n">
        <f aca="false">E52*cont_coupon</f>
        <v>0.981763723931284</v>
      </c>
      <c r="G53" s="56" t="n">
        <f aca="false">SUMPRODUCT((Events!$B$6:$B$400&lt;=$A53)*(Events!$C$6:$C$400&gt;=$A53)*(Events!$E$6:$E$400="Loan")*(Events!$F$6:$F$400="Asia")*Events!$H$6:$H$400)</f>
        <v>0</v>
      </c>
      <c r="H53" s="56" t="n">
        <f aca="false">J52*asia_repay</f>
        <v>0.170225017507954</v>
      </c>
      <c r="I53" s="56" t="n">
        <f aca="false">0</f>
        <v>0</v>
      </c>
      <c r="J53" s="56" t="n">
        <f aca="false">J52+G53-H53-I53</f>
        <v>4.08540042019088</v>
      </c>
      <c r="K53" s="56" t="n">
        <f aca="false">J52*asia_coupon</f>
        <v>0.234059399073436</v>
      </c>
      <c r="L53" s="56" t="n">
        <f aca="false">SUMPRODUCT((Events!$B$6:$B$400&lt;=$A53)*(Events!$C$6:$C$400&gt;=$A53)*(Events!$E$6:$E$400="Loan")*(Events!$F$6:$F$400="Europe")*Events!$H$6:$H$400)</f>
        <v>0</v>
      </c>
      <c r="M53" s="56" t="n">
        <f aca="false">O52*Paths!AA53</f>
        <v>0.0859849717171188</v>
      </c>
      <c r="N53" s="56" t="n">
        <f aca="false">IF($A53=1918,russia_writeoff*(O52+L53),0)-IF($A53=russia_recog_yr,russia_recog*$N$78,0)</f>
        <v>0</v>
      </c>
      <c r="O53" s="56" t="n">
        <f aca="false">O52+L53-M53-N53</f>
        <v>2.78018075218684</v>
      </c>
      <c r="P53" s="56" t="n">
        <f aca="false">O52*Paths!Z53*Paths!AB53</f>
        <v>0.143308286195198</v>
      </c>
      <c r="Q53" s="56" t="n">
        <f aca="false">SUMPRODUCT((Events!$B$6:$B$400&lt;=$A53)*(Events!$C$6:$C$400&gt;=$A53)*(Events!$E$6:$E$400="Loan")*(Events!$F$6:$F$400="Rescue")*Events!$H$6:$H$400)</f>
        <v>0</v>
      </c>
      <c r="R53" s="56" t="n">
        <f aca="false">0</f>
        <v>0</v>
      </c>
      <c r="S53" s="56" t="n">
        <f aca="false">0</f>
        <v>0</v>
      </c>
      <c r="T53" s="56" t="n">
        <f aca="false">T52+Q53-R53-S53</f>
        <v>0</v>
      </c>
      <c r="U53" s="56" t="n">
        <f aca="false">T52*rescue_coupon</f>
        <v>0</v>
      </c>
      <c r="V53" s="56" t="n">
        <f aca="false">B53+G53+L53+Q53</f>
        <v>0</v>
      </c>
      <c r="W53" s="56" t="n">
        <f aca="false">C53+H53+M53+R53</f>
        <v>1.0416209683701</v>
      </c>
      <c r="X53" s="56" t="n">
        <f aca="false">E53+J53+O53+T53</f>
        <v>25.7154446718584</v>
      </c>
      <c r="Y53" s="56" t="n">
        <f aca="false">F53+K53+P53+U53</f>
        <v>1.35913140919992</v>
      </c>
    </row>
    <row r="54" customFormat="false" ht="14.25" hidden="false" customHeight="true" outlineLevel="0" collapsed="false">
      <c r="A54" s="61" t="n">
        <v>1894</v>
      </c>
      <c r="B54" s="56" t="n">
        <f aca="false">SUMPRODUCT((Events!$B$6:$B$400&lt;=$A54)*(Events!$C$6:$C$400&gt;=$A54)*(Events!$E$6:$E$400="Loan")*(Events!$F$6:$F$400="Continental")*Events!$H$6:$H$400)</f>
        <v>0</v>
      </c>
      <c r="C54" s="56" t="n">
        <f aca="false">E53*cont_repay</f>
        <v>0.753994539979226</v>
      </c>
      <c r="D54" s="56" t="n">
        <f aca="false">0</f>
        <v>0</v>
      </c>
      <c r="E54" s="56" t="n">
        <f aca="false">E53+B54-C54-D54</f>
        <v>18.0958689595014</v>
      </c>
      <c r="F54" s="56" t="n">
        <f aca="false">E53*cont_coupon</f>
        <v>0.942493174974032</v>
      </c>
      <c r="G54" s="56" t="n">
        <f aca="false">SUMPRODUCT((Events!$B$6:$B$400&lt;=$A54)*(Events!$C$6:$C$400&gt;=$A54)*(Events!$E$6:$E$400="Loan")*(Events!$F$6:$F$400="Asia")*Events!$H$6:$H$400)</f>
        <v>10</v>
      </c>
      <c r="H54" s="56" t="n">
        <f aca="false">J53*asia_repay</f>
        <v>0.163416016807635</v>
      </c>
      <c r="I54" s="56" t="n">
        <f aca="false">0</f>
        <v>0</v>
      </c>
      <c r="J54" s="56" t="n">
        <f aca="false">J53+G54-H54-I54</f>
        <v>13.9219844033832</v>
      </c>
      <c r="K54" s="56" t="n">
        <f aca="false">J53*asia_coupon</f>
        <v>0.224697023110499</v>
      </c>
      <c r="L54" s="56" t="n">
        <f aca="false">SUMPRODUCT((Events!$B$6:$B$400&lt;=$A54)*(Events!$C$6:$C$400&gt;=$A54)*(Events!$E$6:$E$400="Loan")*(Events!$F$6:$F$400="Europe")*Events!$H$6:$H$400)</f>
        <v>0</v>
      </c>
      <c r="M54" s="56" t="n">
        <f aca="false">O53*Paths!AA54</f>
        <v>0.0834054225656053</v>
      </c>
      <c r="N54" s="56" t="n">
        <f aca="false">IF($A54=1918,russia_writeoff*(O53+L54),0)-IF($A54=russia_recog_yr,russia_recog*$N$78,0)</f>
        <v>0</v>
      </c>
      <c r="O54" s="56" t="n">
        <f aca="false">O53+L54-M54-N54</f>
        <v>2.69677532962124</v>
      </c>
      <c r="P54" s="56" t="n">
        <f aca="false">O53*Paths!Z54*Paths!AB54</f>
        <v>0.139009037609342</v>
      </c>
      <c r="Q54" s="56" t="n">
        <f aca="false">SUMPRODUCT((Events!$B$6:$B$400&lt;=$A54)*(Events!$C$6:$C$400&gt;=$A54)*(Events!$E$6:$E$400="Loan")*(Events!$F$6:$F$400="Rescue")*Events!$H$6:$H$400)</f>
        <v>0</v>
      </c>
      <c r="R54" s="56" t="n">
        <f aca="false">0</f>
        <v>0</v>
      </c>
      <c r="S54" s="56" t="n">
        <f aca="false">0</f>
        <v>0</v>
      </c>
      <c r="T54" s="56" t="n">
        <f aca="false">T53+Q54-R54-S54</f>
        <v>0</v>
      </c>
      <c r="U54" s="56" t="n">
        <f aca="false">T53*rescue_coupon</f>
        <v>0</v>
      </c>
      <c r="V54" s="56" t="n">
        <f aca="false">B54+G54+L54+Q54</f>
        <v>10</v>
      </c>
      <c r="W54" s="56" t="n">
        <f aca="false">C54+H54+M54+R54</f>
        <v>1.00081597935247</v>
      </c>
      <c r="X54" s="56" t="n">
        <f aca="false">E54+J54+O54+T54</f>
        <v>34.7146286925059</v>
      </c>
      <c r="Y54" s="56" t="n">
        <f aca="false">F54+K54+P54+U54</f>
        <v>1.30619923569387</v>
      </c>
    </row>
    <row r="55" customFormat="false" ht="14.25" hidden="false" customHeight="true" outlineLevel="0" collapsed="false">
      <c r="A55" s="61" t="n">
        <v>1895</v>
      </c>
      <c r="B55" s="56" t="n">
        <f aca="false">SUMPRODUCT((Events!$B$6:$B$400&lt;=$A55)*(Events!$C$6:$C$400&gt;=$A55)*(Events!$E$6:$E$400="Loan")*(Events!$F$6:$F$400="Continental")*Events!$H$6:$H$400)</f>
        <v>65</v>
      </c>
      <c r="C55" s="56" t="n">
        <f aca="false">E54*cont_repay</f>
        <v>0.723834758380057</v>
      </c>
      <c r="D55" s="56" t="n">
        <f aca="false">0</f>
        <v>0</v>
      </c>
      <c r="E55" s="56" t="n">
        <f aca="false">E54+B55-C55-D55</f>
        <v>82.3720342011214</v>
      </c>
      <c r="F55" s="56" t="n">
        <f aca="false">E54*cont_coupon</f>
        <v>0.904793447975071</v>
      </c>
      <c r="G55" s="56" t="n">
        <f aca="false">SUMPRODUCT((Events!$B$6:$B$400&lt;=$A55)*(Events!$C$6:$C$400&gt;=$A55)*(Events!$E$6:$E$400="Loan")*(Events!$F$6:$F$400="Asia")*Events!$H$6:$H$400)</f>
        <v>15</v>
      </c>
      <c r="H55" s="56" t="n">
        <f aca="false">J54*asia_repay</f>
        <v>0.55687937613533</v>
      </c>
      <c r="I55" s="56" t="n">
        <f aca="false">0</f>
        <v>0</v>
      </c>
      <c r="J55" s="56" t="n">
        <f aca="false">J54+G55-H55-I55</f>
        <v>28.3651050272479</v>
      </c>
      <c r="K55" s="56" t="n">
        <f aca="false">J54*asia_coupon</f>
        <v>0.765709142186079</v>
      </c>
      <c r="L55" s="56" t="n">
        <f aca="false">SUMPRODUCT((Events!$B$6:$B$400&lt;=$A55)*(Events!$C$6:$C$400&gt;=$A55)*(Events!$E$6:$E$400="Loan")*(Events!$F$6:$F$400="Europe")*Events!$H$6:$H$400)</f>
        <v>0</v>
      </c>
      <c r="M55" s="56" t="n">
        <f aca="false">O54*Paths!AA55</f>
        <v>0.0809032598886371</v>
      </c>
      <c r="N55" s="56" t="n">
        <f aca="false">IF($A55=1918,russia_writeoff*(O54+L55),0)-IF($A55=russia_recog_yr,russia_recog*$N$78,0)</f>
        <v>0</v>
      </c>
      <c r="O55" s="56" t="n">
        <f aca="false">O54+L55-M55-N55</f>
        <v>2.6158720697326</v>
      </c>
      <c r="P55" s="56" t="n">
        <f aca="false">O54*Paths!Z55*Paths!AB55</f>
        <v>0.134838766481062</v>
      </c>
      <c r="Q55" s="56" t="n">
        <f aca="false">SUMPRODUCT((Events!$B$6:$B$400&lt;=$A55)*(Events!$C$6:$C$400&gt;=$A55)*(Events!$E$6:$E$400="Loan")*(Events!$F$6:$F$400="Rescue")*Events!$H$6:$H$400)</f>
        <v>0</v>
      </c>
      <c r="R55" s="56" t="n">
        <f aca="false">0</f>
        <v>0</v>
      </c>
      <c r="S55" s="56" t="n">
        <f aca="false">0</f>
        <v>0</v>
      </c>
      <c r="T55" s="56" t="n">
        <f aca="false">T54+Q55-R55-S55</f>
        <v>0</v>
      </c>
      <c r="U55" s="56" t="n">
        <f aca="false">T54*rescue_coupon</f>
        <v>0</v>
      </c>
      <c r="V55" s="56" t="n">
        <f aca="false">B55+G55+L55+Q55</f>
        <v>80</v>
      </c>
      <c r="W55" s="56" t="n">
        <f aca="false">C55+H55+M55+R55</f>
        <v>1.36161739440402</v>
      </c>
      <c r="X55" s="56" t="n">
        <f aca="false">E55+J55+O55+T55</f>
        <v>113.353011298102</v>
      </c>
      <c r="Y55" s="56" t="n">
        <f aca="false">F55+K55+P55+U55</f>
        <v>1.80534135664221</v>
      </c>
    </row>
    <row r="56" customFormat="false" ht="14.25" hidden="false" customHeight="true" outlineLevel="0" collapsed="false">
      <c r="A56" s="61" t="n">
        <v>1896</v>
      </c>
      <c r="B56" s="56" t="n">
        <f aca="false">SUMPRODUCT((Events!$B$6:$B$400&lt;=$A56)*(Events!$C$6:$C$400&gt;=$A56)*(Events!$E$6:$E$400="Loan")*(Events!$F$6:$F$400="Continental")*Events!$H$6:$H$400)</f>
        <v>0</v>
      </c>
      <c r="C56" s="56" t="n">
        <f aca="false">E55*cont_repay</f>
        <v>3.29488136804485</v>
      </c>
      <c r="D56" s="56" t="n">
        <f aca="false">0</f>
        <v>0</v>
      </c>
      <c r="E56" s="56" t="n">
        <f aca="false">E55+B56-C56-D56</f>
        <v>79.0771528330765</v>
      </c>
      <c r="F56" s="56" t="n">
        <f aca="false">E55*cont_coupon</f>
        <v>4.11860171005607</v>
      </c>
      <c r="G56" s="56" t="n">
        <f aca="false">SUMPRODUCT((Events!$B$6:$B$400&lt;=$A56)*(Events!$C$6:$C$400&gt;=$A56)*(Events!$E$6:$E$400="Loan")*(Events!$F$6:$F$400="Asia")*Events!$H$6:$H$400)</f>
        <v>3</v>
      </c>
      <c r="H56" s="56" t="n">
        <f aca="false">J55*asia_repay</f>
        <v>1.13460420108992</v>
      </c>
      <c r="I56" s="56" t="n">
        <f aca="false">0</f>
        <v>0</v>
      </c>
      <c r="J56" s="56" t="n">
        <f aca="false">J55+G56-H56-I56</f>
        <v>30.230500826158</v>
      </c>
      <c r="K56" s="56" t="n">
        <f aca="false">J55*asia_coupon</f>
        <v>1.56008077649864</v>
      </c>
      <c r="L56" s="56" t="n">
        <f aca="false">SUMPRODUCT((Events!$B$6:$B$400&lt;=$A56)*(Events!$C$6:$C$400&gt;=$A56)*(Events!$E$6:$E$400="Loan")*(Events!$F$6:$F$400="Europe")*Events!$H$6:$H$400)</f>
        <v>0</v>
      </c>
      <c r="M56" s="56" t="n">
        <f aca="false">O55*Paths!AA56</f>
        <v>0.078476162091978</v>
      </c>
      <c r="N56" s="56" t="n">
        <f aca="false">IF($A56=1918,russia_writeoff*(O55+L56),0)-IF($A56=russia_recog_yr,russia_recog*$N$78,0)</f>
        <v>0</v>
      </c>
      <c r="O56" s="56" t="n">
        <f aca="false">O55+L56-M56-N56</f>
        <v>2.53739590764062</v>
      </c>
      <c r="P56" s="56" t="n">
        <f aca="false">O55*Paths!Z56*Paths!AB56</f>
        <v>0.13079360348663</v>
      </c>
      <c r="Q56" s="56" t="n">
        <f aca="false">SUMPRODUCT((Events!$B$6:$B$400&lt;=$A56)*(Events!$C$6:$C$400&gt;=$A56)*(Events!$E$6:$E$400="Loan")*(Events!$F$6:$F$400="Rescue")*Events!$H$6:$H$400)</f>
        <v>0</v>
      </c>
      <c r="R56" s="56" t="n">
        <f aca="false">0</f>
        <v>0</v>
      </c>
      <c r="S56" s="56" t="n">
        <f aca="false">0</f>
        <v>0</v>
      </c>
      <c r="T56" s="56" t="n">
        <f aca="false">T55+Q56-R56-S56</f>
        <v>0</v>
      </c>
      <c r="U56" s="56" t="n">
        <f aca="false">T55*rescue_coupon</f>
        <v>0</v>
      </c>
      <c r="V56" s="56" t="n">
        <f aca="false">B56+G56+L56+Q56</f>
        <v>3</v>
      </c>
      <c r="W56" s="56" t="n">
        <f aca="false">C56+H56+M56+R56</f>
        <v>4.50796173122675</v>
      </c>
      <c r="X56" s="56" t="n">
        <f aca="false">E56+J56+O56+T56</f>
        <v>111.845049566875</v>
      </c>
      <c r="Y56" s="56" t="n">
        <f aca="false">F56+K56+P56+U56</f>
        <v>5.80947609004133</v>
      </c>
    </row>
    <row r="57" customFormat="false" ht="14.25" hidden="false" customHeight="true" outlineLevel="0" collapsed="false">
      <c r="A57" s="61" t="n">
        <v>1897</v>
      </c>
      <c r="B57" s="56" t="n">
        <f aca="false">SUMPRODUCT((Events!$B$6:$B$400&lt;=$A57)*(Events!$C$6:$C$400&gt;=$A57)*(Events!$E$6:$E$400="Loan")*(Events!$F$6:$F$400="Continental")*Events!$H$6:$H$400)</f>
        <v>0</v>
      </c>
      <c r="C57" s="56" t="n">
        <f aca="false">E56*cont_repay</f>
        <v>3.16308611332306</v>
      </c>
      <c r="D57" s="56" t="n">
        <f aca="false">0</f>
        <v>0</v>
      </c>
      <c r="E57" s="56" t="n">
        <f aca="false">E56+B57-C57-D57</f>
        <v>75.9140667197535</v>
      </c>
      <c r="F57" s="56" t="n">
        <f aca="false">E56*cont_coupon</f>
        <v>3.95385764165383</v>
      </c>
      <c r="G57" s="56" t="n">
        <f aca="false">SUMPRODUCT((Events!$B$6:$B$400&lt;=$A57)*(Events!$C$6:$C$400&gt;=$A57)*(Events!$E$6:$E$400="Loan")*(Events!$F$6:$F$400="Asia")*Events!$H$6:$H$400)</f>
        <v>23</v>
      </c>
      <c r="H57" s="56" t="n">
        <f aca="false">J56*asia_repay</f>
        <v>1.20922003304632</v>
      </c>
      <c r="I57" s="56" t="n">
        <f aca="false">0</f>
        <v>0</v>
      </c>
      <c r="J57" s="56" t="n">
        <f aca="false">J56+G57-H57-I57</f>
        <v>52.0212807931117</v>
      </c>
      <c r="K57" s="56" t="n">
        <f aca="false">J56*asia_coupon</f>
        <v>1.66267754543869</v>
      </c>
      <c r="L57" s="56" t="n">
        <f aca="false">SUMPRODUCT((Events!$B$6:$B$400&lt;=$A57)*(Events!$C$6:$C$400&gt;=$A57)*(Events!$E$6:$E$400="Loan")*(Events!$F$6:$F$400="Europe")*Events!$H$6:$H$400)</f>
        <v>0</v>
      </c>
      <c r="M57" s="56" t="n">
        <f aca="false">O56*Paths!AA57</f>
        <v>0.0761218772292187</v>
      </c>
      <c r="N57" s="56" t="n">
        <f aca="false">IF($A57=1918,russia_writeoff*(O56+L57),0)-IF($A57=russia_recog_yr,russia_recog*$N$78,0)</f>
        <v>0</v>
      </c>
      <c r="O57" s="56" t="n">
        <f aca="false">O56+L57-M57-N57</f>
        <v>2.4612740304114</v>
      </c>
      <c r="P57" s="56" t="n">
        <f aca="false">O56*Paths!Z57*Paths!AB57</f>
        <v>0.126869795382031</v>
      </c>
      <c r="Q57" s="56" t="n">
        <f aca="false">SUMPRODUCT((Events!$B$6:$B$400&lt;=$A57)*(Events!$C$6:$C$400&gt;=$A57)*(Events!$E$6:$E$400="Loan")*(Events!$F$6:$F$400="Rescue")*Events!$H$6:$H$400)</f>
        <v>0</v>
      </c>
      <c r="R57" s="56" t="n">
        <f aca="false">0</f>
        <v>0</v>
      </c>
      <c r="S57" s="56" t="n">
        <f aca="false">0</f>
        <v>0</v>
      </c>
      <c r="T57" s="56" t="n">
        <f aca="false">T56+Q57-R57-S57</f>
        <v>0</v>
      </c>
      <c r="U57" s="56" t="n">
        <f aca="false">T56*rescue_coupon</f>
        <v>0</v>
      </c>
      <c r="V57" s="56" t="n">
        <f aca="false">B57+G57+L57+Q57</f>
        <v>23</v>
      </c>
      <c r="W57" s="56" t="n">
        <f aca="false">C57+H57+M57+R57</f>
        <v>4.4484280235986</v>
      </c>
      <c r="X57" s="56" t="n">
        <f aca="false">E57+J57+O57+T57</f>
        <v>130.396621543277</v>
      </c>
      <c r="Y57" s="56" t="n">
        <f aca="false">F57+K57+P57+U57</f>
        <v>5.74340498247455</v>
      </c>
    </row>
    <row r="58" customFormat="false" ht="14.25" hidden="false" customHeight="true" outlineLevel="0" collapsed="false">
      <c r="A58" s="61" t="n">
        <v>1898</v>
      </c>
      <c r="B58" s="56" t="n">
        <f aca="false">SUMPRODUCT((Events!$B$6:$B$400&lt;=$A58)*(Events!$C$6:$C$400&gt;=$A58)*(Events!$E$6:$E$400="Loan")*(Events!$F$6:$F$400="Continental")*Events!$H$6:$H$400)</f>
        <v>9</v>
      </c>
      <c r="C58" s="56" t="n">
        <f aca="false">E57*cont_repay</f>
        <v>3.03656266879014</v>
      </c>
      <c r="D58" s="56" t="n">
        <f aca="false">0</f>
        <v>0</v>
      </c>
      <c r="E58" s="56" t="n">
        <f aca="false">E57+B58-C58-D58</f>
        <v>81.8775040509633</v>
      </c>
      <c r="F58" s="56" t="n">
        <f aca="false">E57*cont_coupon</f>
        <v>3.79570333598767</v>
      </c>
      <c r="G58" s="56" t="n">
        <f aca="false">SUMPRODUCT((Events!$B$6:$B$400&lt;=$A58)*(Events!$C$6:$C$400&gt;=$A58)*(Events!$E$6:$E$400="Loan")*(Events!$F$6:$F$400="Asia")*Events!$H$6:$H$400)</f>
        <v>15</v>
      </c>
      <c r="H58" s="56" t="n">
        <f aca="false">J57*asia_repay</f>
        <v>2.08085123172447</v>
      </c>
      <c r="I58" s="56" t="n">
        <f aca="false">0</f>
        <v>0</v>
      </c>
      <c r="J58" s="56" t="n">
        <f aca="false">J57+G58-H58-I58</f>
        <v>64.9404295613872</v>
      </c>
      <c r="K58" s="56" t="n">
        <f aca="false">J57*asia_coupon</f>
        <v>2.86117044362114</v>
      </c>
      <c r="L58" s="56" t="n">
        <f aca="false">SUMPRODUCT((Events!$B$6:$B$400&lt;=$A58)*(Events!$C$6:$C$400&gt;=$A58)*(Events!$E$6:$E$400="Loan")*(Events!$F$6:$F$400="Europe")*Events!$H$6:$H$400)</f>
        <v>0</v>
      </c>
      <c r="M58" s="56" t="n">
        <f aca="false">O57*Paths!AA58</f>
        <v>0.0738382209123421</v>
      </c>
      <c r="N58" s="56" t="n">
        <f aca="false">IF($A58=1918,russia_writeoff*(O57+L58),0)-IF($A58=russia_recog_yr,russia_recog*$N$78,0)</f>
        <v>0</v>
      </c>
      <c r="O58" s="56" t="n">
        <f aca="false">O57+L58-M58-N58</f>
        <v>2.38743580949906</v>
      </c>
      <c r="P58" s="56" t="n">
        <f aca="false">O57*Paths!Z58*Paths!AB58</f>
        <v>0.12306370152057</v>
      </c>
      <c r="Q58" s="56" t="n">
        <f aca="false">SUMPRODUCT((Events!$B$6:$B$400&lt;=$A58)*(Events!$C$6:$C$400&gt;=$A58)*(Events!$E$6:$E$400="Loan")*(Events!$F$6:$F$400="Rescue")*Events!$H$6:$H$400)</f>
        <v>0</v>
      </c>
      <c r="R58" s="56" t="n">
        <f aca="false">0</f>
        <v>0</v>
      </c>
      <c r="S58" s="56" t="n">
        <f aca="false">0</f>
        <v>0</v>
      </c>
      <c r="T58" s="56" t="n">
        <f aca="false">T57+Q58-R58-S58</f>
        <v>0</v>
      </c>
      <c r="U58" s="56" t="n">
        <f aca="false">T57*rescue_coupon</f>
        <v>0</v>
      </c>
      <c r="V58" s="56" t="n">
        <f aca="false">B58+G58+L58+Q58</f>
        <v>24</v>
      </c>
      <c r="W58" s="56" t="n">
        <f aca="false">C58+H58+M58+R58</f>
        <v>5.19125212142695</v>
      </c>
      <c r="X58" s="56" t="n">
        <f aca="false">E58+J58+O58+T58</f>
        <v>149.20536942185</v>
      </c>
      <c r="Y58" s="56" t="n">
        <f aca="false">F58+K58+P58+U58</f>
        <v>6.77993748112939</v>
      </c>
    </row>
    <row r="59" customFormat="false" ht="14.25" hidden="false" customHeight="true" outlineLevel="0" collapsed="false">
      <c r="A59" s="61" t="n">
        <v>1899</v>
      </c>
      <c r="B59" s="56" t="n">
        <f aca="false">SUMPRODUCT((Events!$B$6:$B$400&lt;=$A59)*(Events!$C$6:$C$400&gt;=$A59)*(Events!$E$6:$E$400="Loan")*(Events!$F$6:$F$400="Continental")*Events!$H$6:$H$400)</f>
        <v>9</v>
      </c>
      <c r="C59" s="56" t="n">
        <f aca="false">E58*cont_repay</f>
        <v>3.27510016203853</v>
      </c>
      <c r="D59" s="56" t="n">
        <f aca="false">0</f>
        <v>0</v>
      </c>
      <c r="E59" s="56" t="n">
        <f aca="false">E58+B59-C59-D59</f>
        <v>87.6024038889248</v>
      </c>
      <c r="F59" s="56" t="n">
        <f aca="false">E58*cont_coupon</f>
        <v>4.09387520254817</v>
      </c>
      <c r="G59" s="56" t="n">
        <f aca="false">SUMPRODUCT((Events!$B$6:$B$400&lt;=$A59)*(Events!$C$6:$C$400&gt;=$A59)*(Events!$E$6:$E$400="Loan")*(Events!$F$6:$F$400="Asia")*Events!$H$6:$H$400)</f>
        <v>15</v>
      </c>
      <c r="H59" s="56" t="n">
        <f aca="false">J58*asia_repay</f>
        <v>2.59761718245549</v>
      </c>
      <c r="I59" s="56" t="n">
        <f aca="false">0</f>
        <v>0</v>
      </c>
      <c r="J59" s="56" t="n">
        <f aca="false">J58+G59-H59-I59</f>
        <v>77.3428123789317</v>
      </c>
      <c r="K59" s="56" t="n">
        <f aca="false">J58*asia_coupon</f>
        <v>3.5717236258763</v>
      </c>
      <c r="L59" s="56" t="n">
        <f aca="false">SUMPRODUCT((Events!$B$6:$B$400&lt;=$A59)*(Events!$C$6:$C$400&gt;=$A59)*(Events!$E$6:$E$400="Loan")*(Events!$F$6:$F$400="Europe")*Events!$H$6:$H$400)</f>
        <v>0</v>
      </c>
      <c r="M59" s="56" t="n">
        <f aca="false">O58*Paths!AA59</f>
        <v>0.0716230742849719</v>
      </c>
      <c r="N59" s="56" t="n">
        <f aca="false">IF($A59=1918,russia_writeoff*(O58+L59),0)-IF($A59=russia_recog_yr,russia_recog*$N$78,0)</f>
        <v>0</v>
      </c>
      <c r="O59" s="56" t="n">
        <f aca="false">O58+L59-M59-N59</f>
        <v>2.31581273521409</v>
      </c>
      <c r="P59" s="56" t="n">
        <f aca="false">O58*Paths!Z59*Paths!AB59</f>
        <v>0.119371790474953</v>
      </c>
      <c r="Q59" s="56" t="n">
        <f aca="false">SUMPRODUCT((Events!$B$6:$B$400&lt;=$A59)*(Events!$C$6:$C$400&gt;=$A59)*(Events!$E$6:$E$400="Loan")*(Events!$F$6:$F$400="Rescue")*Events!$H$6:$H$400)</f>
        <v>0</v>
      </c>
      <c r="R59" s="56" t="n">
        <f aca="false">0</f>
        <v>0</v>
      </c>
      <c r="S59" s="56" t="n">
        <f aca="false">0</f>
        <v>0</v>
      </c>
      <c r="T59" s="56" t="n">
        <f aca="false">T58+Q59-R59-S59</f>
        <v>0</v>
      </c>
      <c r="U59" s="56" t="n">
        <f aca="false">T58*rescue_coupon</f>
        <v>0</v>
      </c>
      <c r="V59" s="56" t="n">
        <f aca="false">B59+G59+L59+Q59</f>
        <v>24</v>
      </c>
      <c r="W59" s="56" t="n">
        <f aca="false">C59+H59+M59+R59</f>
        <v>5.94434041877899</v>
      </c>
      <c r="X59" s="56" t="n">
        <f aca="false">E59+J59+O59+T59</f>
        <v>167.261029003071</v>
      </c>
      <c r="Y59" s="56" t="n">
        <f aca="false">F59+K59+P59+U59</f>
        <v>7.78497061889942</v>
      </c>
    </row>
    <row r="60" customFormat="false" ht="14.25" hidden="false" customHeight="true" outlineLevel="0" collapsed="false">
      <c r="A60" s="61" t="n">
        <v>1900</v>
      </c>
      <c r="B60" s="56" t="n">
        <f aca="false">SUMPRODUCT((Events!$B$6:$B$400&lt;=$A60)*(Events!$C$6:$C$400&gt;=$A60)*(Events!$E$6:$E$400="Loan")*(Events!$F$6:$F$400="Continental")*Events!$H$6:$H$400)</f>
        <v>0</v>
      </c>
      <c r="C60" s="56" t="n">
        <f aca="false">E59*cont_repay</f>
        <v>3.50409615555699</v>
      </c>
      <c r="D60" s="56" t="n">
        <f aca="false">0</f>
        <v>0</v>
      </c>
      <c r="E60" s="56" t="n">
        <f aca="false">E59+B60-C60-D60</f>
        <v>84.0983077333678</v>
      </c>
      <c r="F60" s="56" t="n">
        <f aca="false">E59*cont_coupon</f>
        <v>4.38012019444624</v>
      </c>
      <c r="G60" s="56" t="n">
        <f aca="false">SUMPRODUCT((Events!$B$6:$B$400&lt;=$A60)*(Events!$C$6:$C$400&gt;=$A60)*(Events!$E$6:$E$400="Loan")*(Events!$F$6:$F$400="Asia")*Events!$H$6:$H$400)</f>
        <v>0</v>
      </c>
      <c r="H60" s="56" t="n">
        <f aca="false">J59*asia_repay</f>
        <v>3.09371249515727</v>
      </c>
      <c r="I60" s="56" t="n">
        <f aca="false">0</f>
        <v>0</v>
      </c>
      <c r="J60" s="56" t="n">
        <f aca="false">J59+G60-H60-I60</f>
        <v>74.2490998837745</v>
      </c>
      <c r="K60" s="56" t="n">
        <f aca="false">J59*asia_coupon</f>
        <v>4.25385468084125</v>
      </c>
      <c r="L60" s="56" t="n">
        <f aca="false">SUMPRODUCT((Events!$B$6:$B$400&lt;=$A60)*(Events!$C$6:$C$400&gt;=$A60)*(Events!$E$6:$E$400="Loan")*(Events!$F$6:$F$400="Europe")*Events!$H$6:$H$400)</f>
        <v>0</v>
      </c>
      <c r="M60" s="56" t="n">
        <f aca="false">O59*Paths!AA60</f>
        <v>0.0694743820564227</v>
      </c>
      <c r="N60" s="56" t="n">
        <f aca="false">IF($A60=1918,russia_writeoff*(O59+L60),0)-IF($A60=russia_recog_yr,russia_recog*$N$78,0)</f>
        <v>0</v>
      </c>
      <c r="O60" s="56" t="n">
        <f aca="false">O59+L60-M60-N60</f>
        <v>2.24633835315767</v>
      </c>
      <c r="P60" s="56" t="n">
        <f aca="false">O59*Paths!Z60*Paths!AB60</f>
        <v>0.115790636760705</v>
      </c>
      <c r="Q60" s="56" t="n">
        <f aca="false">SUMPRODUCT((Events!$B$6:$B$400&lt;=$A60)*(Events!$C$6:$C$400&gt;=$A60)*(Events!$E$6:$E$400="Loan")*(Events!$F$6:$F$400="Rescue")*Events!$H$6:$H$400)</f>
        <v>0</v>
      </c>
      <c r="R60" s="56" t="n">
        <f aca="false">0</f>
        <v>0</v>
      </c>
      <c r="S60" s="56" t="n">
        <f aca="false">0</f>
        <v>0</v>
      </c>
      <c r="T60" s="56" t="n">
        <f aca="false">T59+Q60-R60-S60</f>
        <v>0</v>
      </c>
      <c r="U60" s="56" t="n">
        <f aca="false">T59*rescue_coupon</f>
        <v>0</v>
      </c>
      <c r="V60" s="56" t="n">
        <f aca="false">B60+G60+L60+Q60</f>
        <v>0</v>
      </c>
      <c r="W60" s="56" t="n">
        <f aca="false">C60+H60+M60+R60</f>
        <v>6.66728303277068</v>
      </c>
      <c r="X60" s="56" t="n">
        <f aca="false">E60+J60+O60+T60</f>
        <v>160.5937459703</v>
      </c>
      <c r="Y60" s="56" t="n">
        <f aca="false">F60+K60+P60+U60</f>
        <v>8.74976551204819</v>
      </c>
    </row>
    <row r="61" customFormat="false" ht="14.25" hidden="false" customHeight="true" outlineLevel="0" collapsed="false">
      <c r="A61" s="61" t="n">
        <v>1901</v>
      </c>
      <c r="B61" s="56" t="n">
        <f aca="false">SUMPRODUCT((Events!$B$6:$B$400&lt;=$A61)*(Events!$C$6:$C$400&gt;=$A61)*(Events!$E$6:$E$400="Loan")*(Events!$F$6:$F$400="Continental")*Events!$H$6:$H$400)</f>
        <v>0</v>
      </c>
      <c r="C61" s="56" t="n">
        <f aca="false">E60*cont_repay</f>
        <v>3.36393230933471</v>
      </c>
      <c r="D61" s="56" t="n">
        <f aca="false">0</f>
        <v>0</v>
      </c>
      <c r="E61" s="56" t="n">
        <f aca="false">E60+B61-C61-D61</f>
        <v>80.7343754240331</v>
      </c>
      <c r="F61" s="56" t="n">
        <f aca="false">E60*cont_coupon</f>
        <v>4.20491538666839</v>
      </c>
      <c r="G61" s="56" t="n">
        <f aca="false">SUMPRODUCT((Events!$B$6:$B$400&lt;=$A61)*(Events!$C$6:$C$400&gt;=$A61)*(Events!$E$6:$E$400="Loan")*(Events!$F$6:$F$400="Asia")*Events!$H$6:$H$400)</f>
        <v>0</v>
      </c>
      <c r="H61" s="56" t="n">
        <f aca="false">J60*asia_repay</f>
        <v>2.96996399535098</v>
      </c>
      <c r="I61" s="56" t="n">
        <f aca="false">0</f>
        <v>0</v>
      </c>
      <c r="J61" s="56" t="n">
        <f aca="false">J60+G61-H61-I61</f>
        <v>71.2791358884235</v>
      </c>
      <c r="K61" s="56" t="n">
        <f aca="false">J60*asia_coupon</f>
        <v>4.0837004936076</v>
      </c>
      <c r="L61" s="56" t="n">
        <f aca="false">SUMPRODUCT((Events!$B$6:$B$400&lt;=$A61)*(Events!$C$6:$C$400&gt;=$A61)*(Events!$E$6:$E$400="Loan")*(Events!$F$6:$F$400="Europe")*Events!$H$6:$H$400)</f>
        <v>0</v>
      </c>
      <c r="M61" s="56" t="n">
        <f aca="false">O60*Paths!AA61</f>
        <v>0.06739015059473</v>
      </c>
      <c r="N61" s="56" t="n">
        <f aca="false">IF($A61=1918,russia_writeoff*(O60+L61),0)-IF($A61=russia_recog_yr,russia_recog*$N$78,0)</f>
        <v>0</v>
      </c>
      <c r="O61" s="56" t="n">
        <f aca="false">O60+L61-M61-N61</f>
        <v>2.17894820256294</v>
      </c>
      <c r="P61" s="56" t="n">
        <f aca="false">O60*Paths!Z61*Paths!AB61</f>
        <v>0.112316917657883</v>
      </c>
      <c r="Q61" s="56" t="n">
        <f aca="false">SUMPRODUCT((Events!$B$6:$B$400&lt;=$A61)*(Events!$C$6:$C$400&gt;=$A61)*(Events!$E$6:$E$400="Loan")*(Events!$F$6:$F$400="Rescue")*Events!$H$6:$H$400)</f>
        <v>0</v>
      </c>
      <c r="R61" s="56" t="n">
        <f aca="false">0</f>
        <v>0</v>
      </c>
      <c r="S61" s="56" t="n">
        <f aca="false">0</f>
        <v>0</v>
      </c>
      <c r="T61" s="56" t="n">
        <f aca="false">T60+Q61-R61-S61</f>
        <v>0</v>
      </c>
      <c r="U61" s="56" t="n">
        <f aca="false">T60*rescue_coupon</f>
        <v>0</v>
      </c>
      <c r="V61" s="56" t="n">
        <f aca="false">B61+G61+L61+Q61</f>
        <v>0</v>
      </c>
      <c r="W61" s="56" t="n">
        <f aca="false">C61+H61+M61+R61</f>
        <v>6.40128645528042</v>
      </c>
      <c r="X61" s="56" t="n">
        <f aca="false">E61+J61+O61+T61</f>
        <v>154.19245951502</v>
      </c>
      <c r="Y61" s="56" t="n">
        <f aca="false">F61+K61+P61+U61</f>
        <v>8.40093279793387</v>
      </c>
    </row>
    <row r="62" customFormat="false" ht="14.25" hidden="false" customHeight="true" outlineLevel="0" collapsed="false">
      <c r="A62" s="61" t="n">
        <v>1902</v>
      </c>
      <c r="B62" s="56" t="n">
        <f aca="false">SUMPRODUCT((Events!$B$6:$B$400&lt;=$A62)*(Events!$C$6:$C$400&gt;=$A62)*(Events!$E$6:$E$400="Loan")*(Events!$F$6:$F$400="Continental")*Events!$H$6:$H$400)</f>
        <v>0</v>
      </c>
      <c r="C62" s="56" t="n">
        <f aca="false">E61*cont_repay</f>
        <v>3.22937501696132</v>
      </c>
      <c r="D62" s="56" t="n">
        <f aca="false">0</f>
        <v>0</v>
      </c>
      <c r="E62" s="56" t="n">
        <f aca="false">E61+B62-C62-D62</f>
        <v>77.5050004070718</v>
      </c>
      <c r="F62" s="56" t="n">
        <f aca="false">E61*cont_coupon</f>
        <v>4.03671877120165</v>
      </c>
      <c r="G62" s="56" t="n">
        <f aca="false">SUMPRODUCT((Events!$B$6:$B$400&lt;=$A62)*(Events!$C$6:$C$400&gt;=$A62)*(Events!$E$6:$E$400="Loan")*(Events!$F$6:$F$400="Asia")*Events!$H$6:$H$400)</f>
        <v>0</v>
      </c>
      <c r="H62" s="56" t="n">
        <f aca="false">J61*asia_repay</f>
        <v>2.85116543553694</v>
      </c>
      <c r="I62" s="56" t="n">
        <f aca="false">0</f>
        <v>0</v>
      </c>
      <c r="J62" s="56" t="n">
        <f aca="false">J61+G62-H62-I62</f>
        <v>68.4279704528865</v>
      </c>
      <c r="K62" s="56" t="n">
        <f aca="false">J61*asia_coupon</f>
        <v>3.92035247386329</v>
      </c>
      <c r="L62" s="56" t="n">
        <f aca="false">SUMPRODUCT((Events!$B$6:$B$400&lt;=$A62)*(Events!$C$6:$C$400&gt;=$A62)*(Events!$E$6:$E$400="Loan")*(Events!$F$6:$F$400="Europe")*Events!$H$6:$H$400)</f>
        <v>0</v>
      </c>
      <c r="M62" s="56" t="n">
        <f aca="false">O61*Paths!AA62</f>
        <v>0.0653684460768881</v>
      </c>
      <c r="N62" s="56" t="n">
        <f aca="false">IF($A62=1918,russia_writeoff*(O61+L62),0)-IF($A62=russia_recog_yr,russia_recog*$N$78,0)</f>
        <v>0</v>
      </c>
      <c r="O62" s="56" t="n">
        <f aca="false">O61+L62-M62-N62</f>
        <v>2.11357975648605</v>
      </c>
      <c r="P62" s="56" t="n">
        <f aca="false">O61*Paths!Z62*Paths!AB62</f>
        <v>0.108947410128147</v>
      </c>
      <c r="Q62" s="56" t="n">
        <f aca="false">SUMPRODUCT((Events!$B$6:$B$400&lt;=$A62)*(Events!$C$6:$C$400&gt;=$A62)*(Events!$E$6:$E$400="Loan")*(Events!$F$6:$F$400="Rescue")*Events!$H$6:$H$400)</f>
        <v>0</v>
      </c>
      <c r="R62" s="56" t="n">
        <f aca="false">0</f>
        <v>0</v>
      </c>
      <c r="S62" s="56" t="n">
        <f aca="false">0</f>
        <v>0</v>
      </c>
      <c r="T62" s="56" t="n">
        <f aca="false">T61+Q62-R62-S62</f>
        <v>0</v>
      </c>
      <c r="U62" s="56" t="n">
        <f aca="false">T61*rescue_coupon</f>
        <v>0</v>
      </c>
      <c r="V62" s="56" t="n">
        <f aca="false">B62+G62+L62+Q62</f>
        <v>0</v>
      </c>
      <c r="W62" s="56" t="n">
        <f aca="false">C62+H62+M62+R62</f>
        <v>6.14590889857515</v>
      </c>
      <c r="X62" s="56" t="n">
        <f aca="false">E62+J62+O62+T62</f>
        <v>148.046550616444</v>
      </c>
      <c r="Y62" s="56" t="n">
        <f aca="false">F62+K62+P62+U62</f>
        <v>8.06601865519309</v>
      </c>
    </row>
    <row r="63" customFormat="false" ht="14.25" hidden="false" customHeight="true" outlineLevel="0" collapsed="false">
      <c r="A63" s="61" t="n">
        <v>1903</v>
      </c>
      <c r="B63" s="56" t="n">
        <f aca="false">SUMPRODUCT((Events!$B$6:$B$400&lt;=$A63)*(Events!$C$6:$C$400&gt;=$A63)*(Events!$E$6:$E$400="Loan")*(Events!$F$6:$F$400="Continental")*Events!$H$6:$H$400)</f>
        <v>0</v>
      </c>
      <c r="C63" s="56" t="n">
        <f aca="false">E62*cont_repay</f>
        <v>3.10020001628287</v>
      </c>
      <c r="D63" s="56" t="n">
        <f aca="false">0</f>
        <v>0</v>
      </c>
      <c r="E63" s="56" t="n">
        <f aca="false">E62+B63-C63-D63</f>
        <v>74.4048003907889</v>
      </c>
      <c r="F63" s="56" t="n">
        <f aca="false">E62*cont_coupon</f>
        <v>3.87525002035359</v>
      </c>
      <c r="G63" s="56" t="n">
        <f aca="false">SUMPRODUCT((Events!$B$6:$B$400&lt;=$A63)*(Events!$C$6:$C$400&gt;=$A63)*(Events!$E$6:$E$400="Loan")*(Events!$F$6:$F$400="Asia")*Events!$H$6:$H$400)</f>
        <v>0</v>
      </c>
      <c r="H63" s="56" t="n">
        <f aca="false">J62*asia_repay</f>
        <v>2.73711881811546</v>
      </c>
      <c r="I63" s="56" t="n">
        <f aca="false">0</f>
        <v>0</v>
      </c>
      <c r="J63" s="56" t="n">
        <f aca="false">J62+G63-H63-I63</f>
        <v>65.6908516347711</v>
      </c>
      <c r="K63" s="56" t="n">
        <f aca="false">J62*asia_coupon</f>
        <v>3.76353837490876</v>
      </c>
      <c r="L63" s="56" t="n">
        <f aca="false">SUMPRODUCT((Events!$B$6:$B$400&lt;=$A63)*(Events!$C$6:$C$400&gt;=$A63)*(Events!$E$6:$E$400="Loan")*(Events!$F$6:$F$400="Europe")*Events!$H$6:$H$400)</f>
        <v>0</v>
      </c>
      <c r="M63" s="56" t="n">
        <f aca="false">O62*Paths!AA63</f>
        <v>0.0634073926945815</v>
      </c>
      <c r="N63" s="56" t="n">
        <f aca="false">IF($A63=1918,russia_writeoff*(O62+L63),0)-IF($A63=russia_recog_yr,russia_recog*$N$78,0)</f>
        <v>0</v>
      </c>
      <c r="O63" s="56" t="n">
        <f aca="false">O62+L63-M63-N63</f>
        <v>2.05017236379147</v>
      </c>
      <c r="P63" s="56" t="n">
        <f aca="false">O62*Paths!Z63*Paths!AB63</f>
        <v>0.105678987824302</v>
      </c>
      <c r="Q63" s="56" t="n">
        <f aca="false">SUMPRODUCT((Events!$B$6:$B$400&lt;=$A63)*(Events!$C$6:$C$400&gt;=$A63)*(Events!$E$6:$E$400="Loan")*(Events!$F$6:$F$400="Rescue")*Events!$H$6:$H$400)</f>
        <v>0</v>
      </c>
      <c r="R63" s="56" t="n">
        <f aca="false">0</f>
        <v>0</v>
      </c>
      <c r="S63" s="56" t="n">
        <f aca="false">0</f>
        <v>0</v>
      </c>
      <c r="T63" s="56" t="n">
        <f aca="false">T62+Q63-R63-S63</f>
        <v>0</v>
      </c>
      <c r="U63" s="56" t="n">
        <f aca="false">T62*rescue_coupon</f>
        <v>0</v>
      </c>
      <c r="V63" s="56" t="n">
        <f aca="false">B63+G63+L63+Q63</f>
        <v>0</v>
      </c>
      <c r="W63" s="56" t="n">
        <f aca="false">C63+H63+M63+R63</f>
        <v>5.90072622709291</v>
      </c>
      <c r="X63" s="56" t="n">
        <f aca="false">E63+J63+O63+T63</f>
        <v>142.145824389351</v>
      </c>
      <c r="Y63" s="56" t="n">
        <f aca="false">F63+K63+P63+U63</f>
        <v>7.74446738308665</v>
      </c>
    </row>
    <row r="64" customFormat="false" ht="14.25" hidden="false" customHeight="true" outlineLevel="0" collapsed="false">
      <c r="A64" s="61" t="n">
        <v>1904</v>
      </c>
      <c r="B64" s="56" t="n">
        <f aca="false">SUMPRODUCT((Events!$B$6:$B$400&lt;=$A64)*(Events!$C$6:$C$400&gt;=$A64)*(Events!$E$6:$E$400="Loan")*(Events!$F$6:$F$400="Continental")*Events!$H$6:$H$400)</f>
        <v>0</v>
      </c>
      <c r="C64" s="56" t="n">
        <f aca="false">E63*cont_repay</f>
        <v>2.97619201563156</v>
      </c>
      <c r="D64" s="56" t="n">
        <f aca="false">0</f>
        <v>0</v>
      </c>
      <c r="E64" s="56" t="n">
        <f aca="false">E63+B64-C64-D64</f>
        <v>71.4286083751573</v>
      </c>
      <c r="F64" s="56" t="n">
        <f aca="false">E63*cont_coupon</f>
        <v>3.72024001953944</v>
      </c>
      <c r="G64" s="56" t="n">
        <f aca="false">SUMPRODUCT((Events!$B$6:$B$400&lt;=$A64)*(Events!$C$6:$C$400&gt;=$A64)*(Events!$E$6:$E$400="Loan")*(Events!$F$6:$F$400="Asia")*Events!$H$6:$H$400)</f>
        <v>30</v>
      </c>
      <c r="H64" s="56" t="n">
        <f aca="false">J63*asia_repay</f>
        <v>2.62763406539084</v>
      </c>
      <c r="I64" s="56" t="n">
        <f aca="false">0</f>
        <v>0</v>
      </c>
      <c r="J64" s="56" t="n">
        <f aca="false">J63+G64-H64-I64</f>
        <v>93.0632175693802</v>
      </c>
      <c r="K64" s="56" t="n">
        <f aca="false">J63*asia_coupon</f>
        <v>3.61299683991241</v>
      </c>
      <c r="L64" s="56" t="n">
        <f aca="false">SUMPRODUCT((Events!$B$6:$B$400&lt;=$A64)*(Events!$C$6:$C$400&gt;=$A64)*(Events!$E$6:$E$400="Loan")*(Events!$F$6:$F$400="Europe")*Events!$H$6:$H$400)</f>
        <v>0</v>
      </c>
      <c r="M64" s="56" t="n">
        <f aca="false">O63*Paths!AA64</f>
        <v>0.061505170913744</v>
      </c>
      <c r="N64" s="56" t="n">
        <f aca="false">IF($A64=1918,russia_writeoff*(O63+L64),0)-IF($A64=russia_recog_yr,russia_recog*$N$78,0)</f>
        <v>0</v>
      </c>
      <c r="O64" s="56" t="n">
        <f aca="false">O63+L64-M64-N64</f>
        <v>1.98866719287772</v>
      </c>
      <c r="P64" s="56" t="n">
        <f aca="false">O63*Paths!Z64*Paths!AB64</f>
        <v>0.102508618189573</v>
      </c>
      <c r="Q64" s="56" t="n">
        <f aca="false">SUMPRODUCT((Events!$B$6:$B$400&lt;=$A64)*(Events!$C$6:$C$400&gt;=$A64)*(Events!$E$6:$E$400="Loan")*(Events!$F$6:$F$400="Rescue")*Events!$H$6:$H$400)</f>
        <v>0</v>
      </c>
      <c r="R64" s="56" t="n">
        <f aca="false">0</f>
        <v>0</v>
      </c>
      <c r="S64" s="56" t="n">
        <f aca="false">0</f>
        <v>0</v>
      </c>
      <c r="T64" s="56" t="n">
        <f aca="false">T63+Q64-R64-S64</f>
        <v>0</v>
      </c>
      <c r="U64" s="56" t="n">
        <f aca="false">T63*rescue_coupon</f>
        <v>0</v>
      </c>
      <c r="V64" s="56" t="n">
        <f aca="false">B64+G64+L64+Q64</f>
        <v>30</v>
      </c>
      <c r="W64" s="56" t="n">
        <f aca="false">C64+H64+M64+R64</f>
        <v>5.66533125193614</v>
      </c>
      <c r="X64" s="56" t="n">
        <f aca="false">E64+J64+O64+T64</f>
        <v>166.480493137415</v>
      </c>
      <c r="Y64" s="56" t="n">
        <f aca="false">F64+K64+P64+U64</f>
        <v>7.43574547764143</v>
      </c>
    </row>
    <row r="65" customFormat="false" ht="14.25" hidden="false" customHeight="true" outlineLevel="0" collapsed="false">
      <c r="A65" s="61" t="n">
        <v>1905</v>
      </c>
      <c r="B65" s="56" t="n">
        <f aca="false">SUMPRODUCT((Events!$B$6:$B$400&lt;=$A65)*(Events!$C$6:$C$400&gt;=$A65)*(Events!$E$6:$E$400="Loan")*(Events!$F$6:$F$400="Continental")*Events!$H$6:$H$400)</f>
        <v>0</v>
      </c>
      <c r="C65" s="56" t="n">
        <f aca="false">E64*cont_repay</f>
        <v>2.85714433500629</v>
      </c>
      <c r="D65" s="56" t="n">
        <f aca="false">0</f>
        <v>0</v>
      </c>
      <c r="E65" s="56" t="n">
        <f aca="false">E64+B65-C65-D65</f>
        <v>68.571464040151</v>
      </c>
      <c r="F65" s="56" t="n">
        <f aca="false">E64*cont_coupon</f>
        <v>3.57143041875787</v>
      </c>
      <c r="G65" s="56" t="n">
        <f aca="false">SUMPRODUCT((Events!$B$6:$B$400&lt;=$A65)*(Events!$C$6:$C$400&gt;=$A65)*(Events!$E$6:$E$400="Loan")*(Events!$F$6:$F$400="Asia")*Events!$H$6:$H$400)</f>
        <v>30</v>
      </c>
      <c r="H65" s="56" t="n">
        <f aca="false">J64*asia_repay</f>
        <v>3.72252870277521</v>
      </c>
      <c r="I65" s="56" t="n">
        <f aca="false">0</f>
        <v>0</v>
      </c>
      <c r="J65" s="56" t="n">
        <f aca="false">J64+G65-H65-I65</f>
        <v>119.340688866605</v>
      </c>
      <c r="K65" s="56" t="n">
        <f aca="false">J64*asia_coupon</f>
        <v>5.11847696631591</v>
      </c>
      <c r="L65" s="56" t="n">
        <f aca="false">SUMPRODUCT((Events!$B$6:$B$400&lt;=$A65)*(Events!$C$6:$C$400&gt;=$A65)*(Events!$E$6:$E$400="Loan")*(Events!$F$6:$F$400="Europe")*Events!$H$6:$H$400)</f>
        <v>0</v>
      </c>
      <c r="M65" s="56" t="n">
        <f aca="false">O64*Paths!AA65</f>
        <v>0.0596600157863317</v>
      </c>
      <c r="N65" s="56" t="n">
        <f aca="false">IF($A65=1918,russia_writeoff*(O64+L65),0)-IF($A65=russia_recog_yr,russia_recog*$N$78,0)</f>
        <v>0</v>
      </c>
      <c r="O65" s="56" t="n">
        <f aca="false">O64+L65-M65-N65</f>
        <v>1.92900717709139</v>
      </c>
      <c r="P65" s="56" t="n">
        <f aca="false">O64*Paths!Z65*Paths!AB65</f>
        <v>0.0994333596438862</v>
      </c>
      <c r="Q65" s="56" t="n">
        <f aca="false">SUMPRODUCT((Events!$B$6:$B$400&lt;=$A65)*(Events!$C$6:$C$400&gt;=$A65)*(Events!$E$6:$E$400="Loan")*(Events!$F$6:$F$400="Rescue")*Events!$H$6:$H$400)</f>
        <v>0</v>
      </c>
      <c r="R65" s="56" t="n">
        <f aca="false">0</f>
        <v>0</v>
      </c>
      <c r="S65" s="56" t="n">
        <f aca="false">0</f>
        <v>0</v>
      </c>
      <c r="T65" s="56" t="n">
        <f aca="false">T64+Q65-R65-S65</f>
        <v>0</v>
      </c>
      <c r="U65" s="56" t="n">
        <f aca="false">T64*rescue_coupon</f>
        <v>0</v>
      </c>
      <c r="V65" s="56" t="n">
        <f aca="false">B65+G65+L65+Q65</f>
        <v>30</v>
      </c>
      <c r="W65" s="56" t="n">
        <f aca="false">C65+H65+M65+R65</f>
        <v>6.63933305356783</v>
      </c>
      <c r="X65" s="56" t="n">
        <f aca="false">E65+J65+O65+T65</f>
        <v>189.841160083847</v>
      </c>
      <c r="Y65" s="56" t="n">
        <f aca="false">F65+K65+P65+U65</f>
        <v>8.78934074471767</v>
      </c>
    </row>
    <row r="66" customFormat="false" ht="14.25" hidden="false" customHeight="true" outlineLevel="0" collapsed="false">
      <c r="A66" s="61" t="n">
        <v>1906</v>
      </c>
      <c r="B66" s="56" t="n">
        <f aca="false">SUMPRODUCT((Events!$B$6:$B$400&lt;=$A66)*(Events!$C$6:$C$400&gt;=$A66)*(Events!$E$6:$E$400="Loan")*(Events!$F$6:$F$400="Continental")*Events!$H$6:$H$400)</f>
        <v>0</v>
      </c>
      <c r="C66" s="56" t="n">
        <f aca="false">E65*cont_repay</f>
        <v>2.74285856160604</v>
      </c>
      <c r="D66" s="56" t="n">
        <f aca="false">0</f>
        <v>0</v>
      </c>
      <c r="E66" s="56" t="n">
        <f aca="false">E65+B66-C66-D66</f>
        <v>65.828605478545</v>
      </c>
      <c r="F66" s="56" t="n">
        <f aca="false">E65*cont_coupon</f>
        <v>3.42857320200755</v>
      </c>
      <c r="G66" s="56" t="n">
        <f aca="false">SUMPRODUCT((Events!$B$6:$B$400&lt;=$A66)*(Events!$C$6:$C$400&gt;=$A66)*(Events!$E$6:$E$400="Loan")*(Events!$F$6:$F$400="Asia")*Events!$H$6:$H$400)</f>
        <v>0</v>
      </c>
      <c r="H66" s="56" t="n">
        <f aca="false">J65*asia_repay</f>
        <v>4.7736275546642</v>
      </c>
      <c r="I66" s="56" t="n">
        <f aca="false">0</f>
        <v>0</v>
      </c>
      <c r="J66" s="56" t="n">
        <f aca="false">J65+G66-H66-I66</f>
        <v>114.567061311941</v>
      </c>
      <c r="K66" s="56" t="n">
        <f aca="false">J65*asia_coupon</f>
        <v>6.56373788766328</v>
      </c>
      <c r="L66" s="56" t="n">
        <f aca="false">SUMPRODUCT((Events!$B$6:$B$400&lt;=$A66)*(Events!$C$6:$C$400&gt;=$A66)*(Events!$E$6:$E$400="Loan")*(Events!$F$6:$F$400="Europe")*Events!$H$6:$H$400)</f>
        <v>0</v>
      </c>
      <c r="M66" s="56" t="n">
        <f aca="false">O65*Paths!AA66</f>
        <v>0.0578702153127418</v>
      </c>
      <c r="N66" s="56" t="n">
        <f aca="false">IF($A66=1918,russia_writeoff*(O65+L66),0)-IF($A66=russia_recog_yr,russia_recog*$N$78,0)</f>
        <v>0</v>
      </c>
      <c r="O66" s="56" t="n">
        <f aca="false">O65+L66-M66-N66</f>
        <v>1.87113696177865</v>
      </c>
      <c r="P66" s="56" t="n">
        <f aca="false">O65*Paths!Z66*Paths!AB66</f>
        <v>0.0964503588545696</v>
      </c>
      <c r="Q66" s="56" t="n">
        <f aca="false">SUMPRODUCT((Events!$B$6:$B$400&lt;=$A66)*(Events!$C$6:$C$400&gt;=$A66)*(Events!$E$6:$E$400="Loan")*(Events!$F$6:$F$400="Rescue")*Events!$H$6:$H$400)</f>
        <v>0</v>
      </c>
      <c r="R66" s="56" t="n">
        <f aca="false">0</f>
        <v>0</v>
      </c>
      <c r="S66" s="56" t="n">
        <f aca="false">0</f>
        <v>0</v>
      </c>
      <c r="T66" s="56" t="n">
        <f aca="false">T65+Q66-R66-S66</f>
        <v>0</v>
      </c>
      <c r="U66" s="56" t="n">
        <f aca="false">T65*rescue_coupon</f>
        <v>0</v>
      </c>
      <c r="V66" s="56" t="n">
        <f aca="false">B66+G66+L66+Q66</f>
        <v>0</v>
      </c>
      <c r="W66" s="56" t="n">
        <f aca="false">C66+H66+M66+R66</f>
        <v>7.57435633158298</v>
      </c>
      <c r="X66" s="56" t="n">
        <f aca="false">E66+J66+O66+T66</f>
        <v>182.266803752264</v>
      </c>
      <c r="Y66" s="56" t="n">
        <f aca="false">F66+K66+P66+U66</f>
        <v>10.0887614485254</v>
      </c>
    </row>
    <row r="67" customFormat="false" ht="14.25" hidden="false" customHeight="true" outlineLevel="0" collapsed="false">
      <c r="A67" s="61" t="n">
        <v>1907</v>
      </c>
      <c r="B67" s="56" t="n">
        <f aca="false">SUMPRODUCT((Events!$B$6:$B$400&lt;=$A67)*(Events!$C$6:$C$400&gt;=$A67)*(Events!$E$6:$E$400="Loan")*(Events!$F$6:$F$400="Continental")*Events!$H$6:$H$400)</f>
        <v>0</v>
      </c>
      <c r="C67" s="56" t="n">
        <f aca="false">E66*cont_repay</f>
        <v>2.6331442191418</v>
      </c>
      <c r="D67" s="56" t="n">
        <f aca="false">0</f>
        <v>0</v>
      </c>
      <c r="E67" s="56" t="n">
        <f aca="false">E66+B67-C67-D67</f>
        <v>63.1954612594032</v>
      </c>
      <c r="F67" s="56" t="n">
        <f aca="false">E66*cont_coupon</f>
        <v>3.29143027392725</v>
      </c>
      <c r="G67" s="56" t="n">
        <f aca="false">SUMPRODUCT((Events!$B$6:$B$400&lt;=$A67)*(Events!$C$6:$C$400&gt;=$A67)*(Events!$E$6:$E$400="Loan")*(Events!$F$6:$F$400="Asia")*Events!$H$6:$H$400)</f>
        <v>0</v>
      </c>
      <c r="H67" s="56" t="n">
        <f aca="false">J66*asia_repay</f>
        <v>4.58268245247763</v>
      </c>
      <c r="I67" s="56" t="n">
        <f aca="false">0</f>
        <v>0</v>
      </c>
      <c r="J67" s="56" t="n">
        <f aca="false">J66+G67-H67-I67</f>
        <v>109.984378859463</v>
      </c>
      <c r="K67" s="56" t="n">
        <f aca="false">J66*asia_coupon</f>
        <v>6.30118837215675</v>
      </c>
      <c r="L67" s="56" t="n">
        <f aca="false">SUMPRODUCT((Events!$B$6:$B$400&lt;=$A67)*(Events!$C$6:$C$400&gt;=$A67)*(Events!$E$6:$E$400="Loan")*(Events!$F$6:$F$400="Europe")*Events!$H$6:$H$400)</f>
        <v>0</v>
      </c>
      <c r="M67" s="56" t="n">
        <f aca="false">O66*Paths!AA67</f>
        <v>0.0561341088533595</v>
      </c>
      <c r="N67" s="56" t="n">
        <f aca="false">IF($A67=1918,russia_writeoff*(O66+L67),0)-IF($A67=russia_recog_yr,russia_recog*$N$78,0)</f>
        <v>0</v>
      </c>
      <c r="O67" s="56" t="n">
        <f aca="false">O66+L67-M67-N67</f>
        <v>1.81500285292529</v>
      </c>
      <c r="P67" s="56" t="n">
        <f aca="false">O66*Paths!Z67*Paths!AB67</f>
        <v>0.0935568480889325</v>
      </c>
      <c r="Q67" s="56" t="n">
        <f aca="false">SUMPRODUCT((Events!$B$6:$B$400&lt;=$A67)*(Events!$C$6:$C$400&gt;=$A67)*(Events!$E$6:$E$400="Loan")*(Events!$F$6:$F$400="Rescue")*Events!$H$6:$H$400)</f>
        <v>0</v>
      </c>
      <c r="R67" s="56" t="n">
        <f aca="false">0</f>
        <v>0</v>
      </c>
      <c r="S67" s="56" t="n">
        <f aca="false">0</f>
        <v>0</v>
      </c>
      <c r="T67" s="56" t="n">
        <f aca="false">T66+Q67-R67-S67</f>
        <v>0</v>
      </c>
      <c r="U67" s="56" t="n">
        <f aca="false">T66*rescue_coupon</f>
        <v>0</v>
      </c>
      <c r="V67" s="56" t="n">
        <f aca="false">B67+G67+L67+Q67</f>
        <v>0</v>
      </c>
      <c r="W67" s="56" t="n">
        <f aca="false">C67+H67+M67+R67</f>
        <v>7.27196078047279</v>
      </c>
      <c r="X67" s="56" t="n">
        <f aca="false">E67+J67+O67+T67</f>
        <v>174.994842971792</v>
      </c>
      <c r="Y67" s="56" t="n">
        <f aca="false">F67+K67+P67+U67</f>
        <v>9.68617549417293</v>
      </c>
    </row>
    <row r="68" customFormat="false" ht="14.25" hidden="false" customHeight="true" outlineLevel="0" collapsed="false">
      <c r="A68" s="61" t="n">
        <v>1908</v>
      </c>
      <c r="B68" s="56" t="n">
        <f aca="false">SUMPRODUCT((Events!$B$6:$B$400&lt;=$A68)*(Events!$C$6:$C$400&gt;=$A68)*(Events!$E$6:$E$400="Loan")*(Events!$F$6:$F$400="Continental")*Events!$H$6:$H$400)</f>
        <v>0</v>
      </c>
      <c r="C68" s="56" t="n">
        <f aca="false">E67*cont_repay</f>
        <v>2.52781845037613</v>
      </c>
      <c r="D68" s="56" t="n">
        <f aca="false">0</f>
        <v>0</v>
      </c>
      <c r="E68" s="56" t="n">
        <f aca="false">E67+B68-C68-D68</f>
        <v>60.6676428090271</v>
      </c>
      <c r="F68" s="56" t="n">
        <f aca="false">E67*cont_coupon</f>
        <v>3.15977306297016</v>
      </c>
      <c r="G68" s="56" t="n">
        <f aca="false">SUMPRODUCT((Events!$B$6:$B$400&lt;=$A68)*(Events!$C$6:$C$400&gt;=$A68)*(Events!$E$6:$E$400="Loan")*(Events!$F$6:$F$400="Asia")*Events!$H$6:$H$400)</f>
        <v>0</v>
      </c>
      <c r="H68" s="56" t="n">
        <f aca="false">J67*asia_repay</f>
        <v>4.39937515437853</v>
      </c>
      <c r="I68" s="56" t="n">
        <f aca="false">0</f>
        <v>0</v>
      </c>
      <c r="J68" s="56" t="n">
        <f aca="false">J67+G68-H68-I68</f>
        <v>105.585003705085</v>
      </c>
      <c r="K68" s="56" t="n">
        <f aca="false">J67*asia_coupon</f>
        <v>6.04914083727048</v>
      </c>
      <c r="L68" s="56" t="n">
        <f aca="false">SUMPRODUCT((Events!$B$6:$B$400&lt;=$A68)*(Events!$C$6:$C$400&gt;=$A68)*(Events!$E$6:$E$400="Loan")*(Events!$F$6:$F$400="Europe")*Events!$H$6:$H$400)</f>
        <v>0</v>
      </c>
      <c r="M68" s="56" t="n">
        <f aca="false">O67*Paths!AA68</f>
        <v>0.0544500855877587</v>
      </c>
      <c r="N68" s="56" t="n">
        <f aca="false">IF($A68=1918,russia_writeoff*(O67+L68),0)-IF($A68=russia_recog_yr,russia_recog*$N$78,0)</f>
        <v>0</v>
      </c>
      <c r="O68" s="56" t="n">
        <f aca="false">O67+L68-M68-N68</f>
        <v>1.76055276733753</v>
      </c>
      <c r="P68" s="56" t="n">
        <f aca="false">O67*Paths!Z68*Paths!AB68</f>
        <v>0.0907501426462645</v>
      </c>
      <c r="Q68" s="56" t="n">
        <f aca="false">SUMPRODUCT((Events!$B$6:$B$400&lt;=$A68)*(Events!$C$6:$C$400&gt;=$A68)*(Events!$E$6:$E$400="Loan")*(Events!$F$6:$F$400="Rescue")*Events!$H$6:$H$400)</f>
        <v>0</v>
      </c>
      <c r="R68" s="56" t="n">
        <f aca="false">0</f>
        <v>0</v>
      </c>
      <c r="S68" s="56" t="n">
        <f aca="false">0</f>
        <v>0</v>
      </c>
      <c r="T68" s="56" t="n">
        <f aca="false">T67+Q68-R68-S68</f>
        <v>0</v>
      </c>
      <c r="U68" s="56" t="n">
        <f aca="false">T67*rescue_coupon</f>
        <v>0</v>
      </c>
      <c r="V68" s="56" t="n">
        <f aca="false">B68+G68+L68+Q68</f>
        <v>0</v>
      </c>
      <c r="W68" s="56" t="n">
        <f aca="false">C68+H68+M68+R68</f>
        <v>6.98164369034241</v>
      </c>
      <c r="X68" s="56" t="n">
        <f aca="false">E68+J68+O68+T68</f>
        <v>168.013199281449</v>
      </c>
      <c r="Y68" s="56" t="n">
        <f aca="false">F68+K68+P68+U68</f>
        <v>9.2996640428869</v>
      </c>
    </row>
    <row r="69" customFormat="false" ht="14.25" hidden="false" customHeight="true" outlineLevel="0" collapsed="false">
      <c r="A69" s="61" t="n">
        <v>1909</v>
      </c>
      <c r="B69" s="56" t="n">
        <f aca="false">SUMPRODUCT((Events!$B$6:$B$400&lt;=$A69)*(Events!$C$6:$C$400&gt;=$A69)*(Events!$E$6:$E$400="Loan")*(Events!$F$6:$F$400="Continental")*Events!$H$6:$H$400)</f>
        <v>0</v>
      </c>
      <c r="C69" s="56" t="n">
        <f aca="false">E68*cont_repay</f>
        <v>2.42670571236108</v>
      </c>
      <c r="D69" s="56" t="n">
        <f aca="false">0</f>
        <v>0</v>
      </c>
      <c r="E69" s="56" t="n">
        <f aca="false">E68+B69-C69-D69</f>
        <v>58.240937096666</v>
      </c>
      <c r="F69" s="56" t="n">
        <f aca="false">E68*cont_coupon</f>
        <v>3.03338214045135</v>
      </c>
      <c r="G69" s="56" t="n">
        <f aca="false">SUMPRODUCT((Events!$B$6:$B$400&lt;=$A69)*(Events!$C$6:$C$400&gt;=$A69)*(Events!$E$6:$E$400="Loan")*(Events!$F$6:$F$400="Asia")*Events!$H$6:$H$400)</f>
        <v>0</v>
      </c>
      <c r="H69" s="56" t="n">
        <f aca="false">J68*asia_repay</f>
        <v>4.22340014820339</v>
      </c>
      <c r="I69" s="56" t="n">
        <f aca="false">0</f>
        <v>0</v>
      </c>
      <c r="J69" s="56" t="n">
        <f aca="false">J68+G69-H69-I69</f>
        <v>101.361603556881</v>
      </c>
      <c r="K69" s="56" t="n">
        <f aca="false">J68*asia_coupon</f>
        <v>5.80717520377966</v>
      </c>
      <c r="L69" s="56" t="n">
        <f aca="false">SUMPRODUCT((Events!$B$6:$B$400&lt;=$A69)*(Events!$C$6:$C$400&gt;=$A69)*(Events!$E$6:$E$400="Loan")*(Events!$F$6:$F$400="Europe")*Events!$H$6:$H$400)</f>
        <v>0</v>
      </c>
      <c r="M69" s="56" t="n">
        <f aca="false">O68*Paths!AA69</f>
        <v>0.052816583020126</v>
      </c>
      <c r="N69" s="56" t="n">
        <f aca="false">IF($A69=1918,russia_writeoff*(O68+L69),0)-IF($A69=russia_recog_yr,russia_recog*$N$78,0)</f>
        <v>0</v>
      </c>
      <c r="O69" s="56" t="n">
        <f aca="false">O68+L69-M69-N69</f>
        <v>1.70773618431741</v>
      </c>
      <c r="P69" s="56" t="n">
        <f aca="false">O68*Paths!Z69*Paths!AB69</f>
        <v>0.0880276383668766</v>
      </c>
      <c r="Q69" s="56" t="n">
        <f aca="false">SUMPRODUCT((Events!$B$6:$B$400&lt;=$A69)*(Events!$C$6:$C$400&gt;=$A69)*(Events!$E$6:$E$400="Loan")*(Events!$F$6:$F$400="Rescue")*Events!$H$6:$H$400)</f>
        <v>0</v>
      </c>
      <c r="R69" s="56" t="n">
        <f aca="false">0</f>
        <v>0</v>
      </c>
      <c r="S69" s="56" t="n">
        <f aca="false">0</f>
        <v>0</v>
      </c>
      <c r="T69" s="56" t="n">
        <f aca="false">T68+Q69-R69-S69</f>
        <v>0</v>
      </c>
      <c r="U69" s="56" t="n">
        <f aca="false">T68*rescue_coupon</f>
        <v>0</v>
      </c>
      <c r="V69" s="56" t="n">
        <f aca="false">B69+G69+L69+Q69</f>
        <v>0</v>
      </c>
      <c r="W69" s="56" t="n">
        <f aca="false">C69+H69+M69+R69</f>
        <v>6.7029224435846</v>
      </c>
      <c r="X69" s="56" t="n">
        <f aca="false">E69+J69+O69+T69</f>
        <v>161.310276837865</v>
      </c>
      <c r="Y69" s="56" t="n">
        <f aca="false">F69+K69+P69+U69</f>
        <v>8.92858498259789</v>
      </c>
    </row>
    <row r="70" customFormat="false" ht="14.25" hidden="false" customHeight="true" outlineLevel="0" collapsed="false">
      <c r="A70" s="61" t="n">
        <v>1910</v>
      </c>
      <c r="B70" s="56" t="n">
        <f aca="false">SUMPRODUCT((Events!$B$6:$B$400&lt;=$A70)*(Events!$C$6:$C$400&gt;=$A70)*(Events!$E$6:$E$400="Loan")*(Events!$F$6:$F$400="Continental")*Events!$H$6:$H$400)</f>
        <v>0</v>
      </c>
      <c r="C70" s="56" t="n">
        <f aca="false">E69*cont_repay</f>
        <v>2.32963748386664</v>
      </c>
      <c r="D70" s="56" t="n">
        <f aca="false">0</f>
        <v>0</v>
      </c>
      <c r="E70" s="56" t="n">
        <f aca="false">E69+B70-C70-D70</f>
        <v>55.9112996127993</v>
      </c>
      <c r="F70" s="56" t="n">
        <f aca="false">E69*cont_coupon</f>
        <v>2.9120468548333</v>
      </c>
      <c r="G70" s="56" t="n">
        <f aca="false">SUMPRODUCT((Events!$B$6:$B$400&lt;=$A70)*(Events!$C$6:$C$400&gt;=$A70)*(Events!$E$6:$E$400="Loan")*(Events!$F$6:$F$400="Asia")*Events!$H$6:$H$400)</f>
        <v>0</v>
      </c>
      <c r="H70" s="56" t="n">
        <f aca="false">J69*asia_repay</f>
        <v>4.05446414227525</v>
      </c>
      <c r="I70" s="56" t="n">
        <f aca="false">0</f>
        <v>0</v>
      </c>
      <c r="J70" s="56" t="n">
        <f aca="false">J69+G70-H70-I70</f>
        <v>97.307139414606</v>
      </c>
      <c r="K70" s="56" t="n">
        <f aca="false">J69*asia_coupon</f>
        <v>5.57488819562847</v>
      </c>
      <c r="L70" s="56" t="n">
        <f aca="false">SUMPRODUCT((Events!$B$6:$B$400&lt;=$A70)*(Events!$C$6:$C$400&gt;=$A70)*(Events!$E$6:$E$400="Loan")*(Events!$F$6:$F$400="Europe")*Events!$H$6:$H$400)</f>
        <v>0</v>
      </c>
      <c r="M70" s="56" t="n">
        <f aca="false">O69*Paths!AA70</f>
        <v>0.0512320855295222</v>
      </c>
      <c r="N70" s="56" t="n">
        <f aca="false">IF($A70=1918,russia_writeoff*(O69+L70),0)-IF($A70=russia_recog_yr,russia_recog*$N$78,0)</f>
        <v>0</v>
      </c>
      <c r="O70" s="56" t="n">
        <f aca="false">O69+L70-M70-N70</f>
        <v>1.65650409878788</v>
      </c>
      <c r="P70" s="56" t="n">
        <f aca="false">O69*Paths!Z70*Paths!AB70</f>
        <v>0.0853868092158703</v>
      </c>
      <c r="Q70" s="56" t="n">
        <f aca="false">SUMPRODUCT((Events!$B$6:$B$400&lt;=$A70)*(Events!$C$6:$C$400&gt;=$A70)*(Events!$E$6:$E$400="Loan")*(Events!$F$6:$F$400="Rescue")*Events!$H$6:$H$400)</f>
        <v>0</v>
      </c>
      <c r="R70" s="56" t="n">
        <f aca="false">0</f>
        <v>0</v>
      </c>
      <c r="S70" s="56" t="n">
        <f aca="false">0</f>
        <v>0</v>
      </c>
      <c r="T70" s="56" t="n">
        <f aca="false">T69+Q70-R70-S70</f>
        <v>0</v>
      </c>
      <c r="U70" s="56" t="n">
        <f aca="false">T69*rescue_coupon</f>
        <v>0</v>
      </c>
      <c r="V70" s="56" t="n">
        <f aca="false">B70+G70+L70+Q70</f>
        <v>0</v>
      </c>
      <c r="W70" s="56" t="n">
        <f aca="false">C70+H70+M70+R70</f>
        <v>6.43533371167141</v>
      </c>
      <c r="X70" s="56" t="n">
        <f aca="false">E70+J70+O70+T70</f>
        <v>154.874943126193</v>
      </c>
      <c r="Y70" s="56" t="n">
        <f aca="false">F70+K70+P70+U70</f>
        <v>8.57232185967764</v>
      </c>
    </row>
    <row r="71" customFormat="false" ht="14.25" hidden="false" customHeight="true" outlineLevel="0" collapsed="false">
      <c r="A71" s="61" t="n">
        <v>1911</v>
      </c>
      <c r="B71" s="56" t="n">
        <f aca="false">SUMPRODUCT((Events!$B$6:$B$400&lt;=$A71)*(Events!$C$6:$C$400&gt;=$A71)*(Events!$E$6:$E$400="Loan")*(Events!$F$6:$F$400="Continental")*Events!$H$6:$H$400)</f>
        <v>0</v>
      </c>
      <c r="C71" s="56" t="n">
        <f aca="false">E70*cont_repay</f>
        <v>2.23645198451197</v>
      </c>
      <c r="D71" s="56" t="n">
        <f aca="false">0</f>
        <v>0</v>
      </c>
      <c r="E71" s="56" t="n">
        <f aca="false">E70+B71-C71-D71</f>
        <v>53.6748476282874</v>
      </c>
      <c r="F71" s="56" t="n">
        <f aca="false">E70*cont_coupon</f>
        <v>2.79556498063997</v>
      </c>
      <c r="G71" s="56" t="n">
        <f aca="false">SUMPRODUCT((Events!$B$6:$B$400&lt;=$A71)*(Events!$C$6:$C$400&gt;=$A71)*(Events!$E$6:$E$400="Loan")*(Events!$F$6:$F$400="Asia")*Events!$H$6:$H$400)</f>
        <v>0</v>
      </c>
      <c r="H71" s="56" t="n">
        <f aca="false">J70*asia_repay</f>
        <v>3.89228557658424</v>
      </c>
      <c r="I71" s="56" t="n">
        <f aca="false">0</f>
        <v>0</v>
      </c>
      <c r="J71" s="56" t="n">
        <f aca="false">J70+G71-H71-I71</f>
        <v>93.4148538380218</v>
      </c>
      <c r="K71" s="56" t="n">
        <f aca="false">J70*asia_coupon</f>
        <v>5.35189266780333</v>
      </c>
      <c r="L71" s="56" t="n">
        <f aca="false">SUMPRODUCT((Events!$B$6:$B$400&lt;=$A71)*(Events!$C$6:$C$400&gt;=$A71)*(Events!$E$6:$E$400="Loan")*(Events!$F$6:$F$400="Europe")*Events!$H$6:$H$400)</f>
        <v>0</v>
      </c>
      <c r="M71" s="56" t="n">
        <f aca="false">O70*Paths!AA71</f>
        <v>0.0496951229636365</v>
      </c>
      <c r="N71" s="56" t="n">
        <f aca="false">IF($A71=1918,russia_writeoff*(O70+L71),0)-IF($A71=russia_recog_yr,russia_recog*$N$78,0)</f>
        <v>0</v>
      </c>
      <c r="O71" s="56" t="n">
        <f aca="false">O70+L71-M71-N71</f>
        <v>1.60680897582425</v>
      </c>
      <c r="P71" s="56" t="n">
        <f aca="false">O70*Paths!Z71*Paths!AB71</f>
        <v>0.0828252049393942</v>
      </c>
      <c r="Q71" s="56" t="n">
        <f aca="false">SUMPRODUCT((Events!$B$6:$B$400&lt;=$A71)*(Events!$C$6:$C$400&gt;=$A71)*(Events!$E$6:$E$400="Loan")*(Events!$F$6:$F$400="Rescue")*Events!$H$6:$H$400)</f>
        <v>0</v>
      </c>
      <c r="R71" s="56" t="n">
        <f aca="false">0</f>
        <v>0</v>
      </c>
      <c r="S71" s="56" t="n">
        <f aca="false">0</f>
        <v>0</v>
      </c>
      <c r="T71" s="56" t="n">
        <f aca="false">T70+Q71-R71-S71</f>
        <v>0</v>
      </c>
      <c r="U71" s="56" t="n">
        <f aca="false">T70*rescue_coupon</f>
        <v>0</v>
      </c>
      <c r="V71" s="56" t="n">
        <f aca="false">B71+G71+L71+Q71</f>
        <v>0</v>
      </c>
      <c r="W71" s="56" t="n">
        <f aca="false">C71+H71+M71+R71</f>
        <v>6.17843268405985</v>
      </c>
      <c r="X71" s="56" t="n">
        <f aca="false">E71+J71+O71+T71</f>
        <v>148.696510442133</v>
      </c>
      <c r="Y71" s="56" t="n">
        <f aca="false">F71+K71+P71+U71</f>
        <v>8.23028285338269</v>
      </c>
    </row>
    <row r="72" customFormat="false" ht="14.25" hidden="false" customHeight="true" outlineLevel="0" collapsed="false">
      <c r="A72" s="61" t="n">
        <v>1912</v>
      </c>
      <c r="B72" s="56" t="n">
        <f aca="false">SUMPRODUCT((Events!$B$6:$B$400&lt;=$A72)*(Events!$C$6:$C$400&gt;=$A72)*(Events!$E$6:$E$400="Loan")*(Events!$F$6:$F$400="Continental")*Events!$H$6:$H$400)</f>
        <v>0</v>
      </c>
      <c r="C72" s="56" t="n">
        <f aca="false">E71*cont_repay</f>
        <v>2.14699390513149</v>
      </c>
      <c r="D72" s="56" t="n">
        <f aca="false">0</f>
        <v>0</v>
      </c>
      <c r="E72" s="56" t="n">
        <f aca="false">E71+B72-C72-D72</f>
        <v>51.5278537231559</v>
      </c>
      <c r="F72" s="56" t="n">
        <f aca="false">E71*cont_coupon</f>
        <v>2.68374238141437</v>
      </c>
      <c r="G72" s="56" t="n">
        <f aca="false">SUMPRODUCT((Events!$B$6:$B$400&lt;=$A72)*(Events!$C$6:$C$400&gt;=$A72)*(Events!$E$6:$E$400="Loan")*(Events!$F$6:$F$400="Asia")*Events!$H$6:$H$400)</f>
        <v>0</v>
      </c>
      <c r="H72" s="56" t="n">
        <f aca="false">J71*asia_repay</f>
        <v>3.73659415352087</v>
      </c>
      <c r="I72" s="56" t="n">
        <f aca="false">0</f>
        <v>0</v>
      </c>
      <c r="J72" s="56" t="n">
        <f aca="false">J71+G72-H72-I72</f>
        <v>89.6782596845009</v>
      </c>
      <c r="K72" s="56" t="n">
        <f aca="false">J71*asia_coupon</f>
        <v>5.1378169610912</v>
      </c>
      <c r="L72" s="56" t="n">
        <f aca="false">SUMPRODUCT((Events!$B$6:$B$400&lt;=$A72)*(Events!$C$6:$C$400&gt;=$A72)*(Events!$E$6:$E$400="Loan")*(Events!$F$6:$F$400="Europe")*Events!$H$6:$H$400)</f>
        <v>0</v>
      </c>
      <c r="M72" s="56" t="n">
        <f aca="false">O71*Paths!AA72</f>
        <v>0.0482042692747274</v>
      </c>
      <c r="N72" s="56" t="n">
        <f aca="false">IF($A72=1918,russia_writeoff*(O71+L72),0)-IF($A72=russia_recog_yr,russia_recog*$N$78,0)</f>
        <v>0</v>
      </c>
      <c r="O72" s="56" t="n">
        <f aca="false">O71+L72-M72-N72</f>
        <v>1.55860470654952</v>
      </c>
      <c r="P72" s="56" t="n">
        <f aca="false">O71*Paths!Z72*Paths!AB72</f>
        <v>0.0803404487912124</v>
      </c>
      <c r="Q72" s="56" t="n">
        <f aca="false">SUMPRODUCT((Events!$B$6:$B$400&lt;=$A72)*(Events!$C$6:$C$400&gt;=$A72)*(Events!$E$6:$E$400="Loan")*(Events!$F$6:$F$400="Rescue")*Events!$H$6:$H$400)</f>
        <v>0</v>
      </c>
      <c r="R72" s="56" t="n">
        <f aca="false">0</f>
        <v>0</v>
      </c>
      <c r="S72" s="56" t="n">
        <f aca="false">0</f>
        <v>0</v>
      </c>
      <c r="T72" s="56" t="n">
        <f aca="false">T71+Q72-R72-S72</f>
        <v>0</v>
      </c>
      <c r="U72" s="56" t="n">
        <f aca="false">T71*rescue_coupon</f>
        <v>0</v>
      </c>
      <c r="V72" s="56" t="n">
        <f aca="false">B72+G72+L72+Q72</f>
        <v>0</v>
      </c>
      <c r="W72" s="56" t="n">
        <f aca="false">C72+H72+M72+R72</f>
        <v>5.93179232792709</v>
      </c>
      <c r="X72" s="56" t="n">
        <f aca="false">E72+J72+O72+T72</f>
        <v>142.764718114206</v>
      </c>
      <c r="Y72" s="56" t="n">
        <f aca="false">F72+K72+P72+U72</f>
        <v>7.90189979129678</v>
      </c>
    </row>
    <row r="73" customFormat="false" ht="14.25" hidden="false" customHeight="true" outlineLevel="0" collapsed="false">
      <c r="A73" s="61" t="n">
        <v>1913</v>
      </c>
      <c r="B73" s="56" t="n">
        <f aca="false">SUMPRODUCT((Events!$B$6:$B$400&lt;=$A73)*(Events!$C$6:$C$400&gt;=$A73)*(Events!$E$6:$E$400="Loan")*(Events!$F$6:$F$400="Continental")*Events!$H$6:$H$400)</f>
        <v>0</v>
      </c>
      <c r="C73" s="56" t="n">
        <f aca="false">E72*cont_repay</f>
        <v>2.06111414892624</v>
      </c>
      <c r="D73" s="56" t="n">
        <f aca="false">0</f>
        <v>0</v>
      </c>
      <c r="E73" s="56" t="n">
        <f aca="false">E72+B73-C73-D73</f>
        <v>49.4667395742296</v>
      </c>
      <c r="F73" s="56" t="n">
        <f aca="false">E72*cont_coupon</f>
        <v>2.57639268615779</v>
      </c>
      <c r="G73" s="56" t="n">
        <f aca="false">SUMPRODUCT((Events!$B$6:$B$400&lt;=$A73)*(Events!$C$6:$C$400&gt;=$A73)*(Events!$E$6:$E$400="Loan")*(Events!$F$6:$F$400="Asia")*Events!$H$6:$H$400)</f>
        <v>0</v>
      </c>
      <c r="H73" s="56" t="n">
        <f aca="false">J72*asia_repay</f>
        <v>3.58713038738004</v>
      </c>
      <c r="I73" s="56" t="n">
        <f aca="false">0</f>
        <v>0</v>
      </c>
      <c r="J73" s="56" t="n">
        <f aca="false">J72+G73-H73-I73</f>
        <v>86.0911292971209</v>
      </c>
      <c r="K73" s="56" t="n">
        <f aca="false">J72*asia_coupon</f>
        <v>4.93230428264755</v>
      </c>
      <c r="L73" s="56" t="n">
        <f aca="false">SUMPRODUCT((Events!$B$6:$B$400&lt;=$A73)*(Events!$C$6:$C$400&gt;=$A73)*(Events!$E$6:$E$400="Loan")*(Events!$F$6:$F$400="Europe")*Events!$H$6:$H$400)</f>
        <v>0</v>
      </c>
      <c r="M73" s="56" t="n">
        <f aca="false">O72*Paths!AA73</f>
        <v>0.0467581411964856</v>
      </c>
      <c r="N73" s="56" t="n">
        <f aca="false">IF($A73=1918,russia_writeoff*(O72+L73),0)-IF($A73=russia_recog_yr,russia_recog*$N$78,0)</f>
        <v>0</v>
      </c>
      <c r="O73" s="56" t="n">
        <f aca="false">O72+L73-M73-N73</f>
        <v>1.51184656535303</v>
      </c>
      <c r="P73" s="56" t="n">
        <f aca="false">O72*Paths!Z73*Paths!AB73</f>
        <v>0.077930235327476</v>
      </c>
      <c r="Q73" s="56" t="n">
        <f aca="false">SUMPRODUCT((Events!$B$6:$B$400&lt;=$A73)*(Events!$C$6:$C$400&gt;=$A73)*(Events!$E$6:$E$400="Loan")*(Events!$F$6:$F$400="Rescue")*Events!$H$6:$H$400)</f>
        <v>0</v>
      </c>
      <c r="R73" s="56" t="n">
        <f aca="false">0</f>
        <v>0</v>
      </c>
      <c r="S73" s="56" t="n">
        <f aca="false">0</f>
        <v>0</v>
      </c>
      <c r="T73" s="56" t="n">
        <f aca="false">T72+Q73-R73-S73</f>
        <v>0</v>
      </c>
      <c r="U73" s="56" t="n">
        <f aca="false">T72*rescue_coupon</f>
        <v>0</v>
      </c>
      <c r="V73" s="56" t="n">
        <f aca="false">B73+G73+L73+Q73</f>
        <v>0</v>
      </c>
      <c r="W73" s="56" t="n">
        <f aca="false">C73+H73+M73+R73</f>
        <v>5.69500267750276</v>
      </c>
      <c r="X73" s="56" t="n">
        <f aca="false">E73+J73+O73+T73</f>
        <v>137.069715436704</v>
      </c>
      <c r="Y73" s="56" t="n">
        <f aca="false">F73+K73+P73+U73</f>
        <v>7.58662720413282</v>
      </c>
    </row>
    <row r="74" customFormat="false" ht="14.25" hidden="false" customHeight="true" outlineLevel="0" collapsed="false">
      <c r="A74" s="64" t="n">
        <v>1914</v>
      </c>
      <c r="B74" s="56" t="n">
        <f aca="false">SUMPRODUCT((Events!$B$6:$B$400&lt;=$A74)*(Events!$C$6:$C$400&gt;=$A74)*(Events!$E$6:$E$400="Loan")*(Events!$F$6:$F$400="Continental")*Events!$H$6:$H$400)</f>
        <v>0</v>
      </c>
      <c r="C74" s="56" t="n">
        <f aca="false">E73*cont_repay</f>
        <v>1.97866958296919</v>
      </c>
      <c r="D74" s="56" t="n">
        <f aca="false">0</f>
        <v>0</v>
      </c>
      <c r="E74" s="56" t="n">
        <f aca="false">E73+B74-C74-D74</f>
        <v>47.4880699912604</v>
      </c>
      <c r="F74" s="56" t="n">
        <f aca="false">E73*cont_coupon</f>
        <v>2.47333697871148</v>
      </c>
      <c r="G74" s="56" t="n">
        <f aca="false">SUMPRODUCT((Events!$B$6:$B$400&lt;=$A74)*(Events!$C$6:$C$400&gt;=$A74)*(Events!$E$6:$E$400="Loan")*(Events!$F$6:$F$400="Asia")*Events!$H$6:$H$400)</f>
        <v>0</v>
      </c>
      <c r="H74" s="56" t="n">
        <f aca="false">J73*asia_repay</f>
        <v>3.44364517188484</v>
      </c>
      <c r="I74" s="56" t="n">
        <f aca="false">0</f>
        <v>0</v>
      </c>
      <c r="J74" s="56" t="n">
        <f aca="false">J73+G74-H74-I74</f>
        <v>82.6474841252361</v>
      </c>
      <c r="K74" s="56" t="n">
        <f aca="false">J73*asia_coupon</f>
        <v>4.73501211134165</v>
      </c>
      <c r="L74" s="56" t="n">
        <f aca="false">SUMPRODUCT((Events!$B$6:$B$400&lt;=$A74)*(Events!$C$6:$C$400&gt;=$A74)*(Events!$E$6:$E$400="Loan")*(Events!$F$6:$F$400="Europe")*Events!$H$6:$H$400)</f>
        <v>85</v>
      </c>
      <c r="M74" s="56" t="n">
        <f aca="false">O73*Paths!AA74</f>
        <v>0</v>
      </c>
      <c r="N74" s="56" t="n">
        <f aca="false">IF($A74=1918,russia_writeoff*(O73+L74),0)-IF($A74=russia_recog_yr,russia_recog*$N$78,0)</f>
        <v>0</v>
      </c>
      <c r="O74" s="56" t="n">
        <f aca="false">O73+L74-M74-N74</f>
        <v>86.511846565353</v>
      </c>
      <c r="P74" s="56" t="n">
        <f aca="false">O73*Paths!Z74*Paths!AB74</f>
        <v>0.0755923282676517</v>
      </c>
      <c r="Q74" s="56" t="n">
        <f aca="false">SUMPRODUCT((Events!$B$6:$B$400&lt;=$A74)*(Events!$C$6:$C$400&gt;=$A74)*(Events!$E$6:$E$400="Loan")*(Events!$F$6:$F$400="Rescue")*Events!$H$6:$H$400)</f>
        <v>0</v>
      </c>
      <c r="R74" s="56" t="n">
        <f aca="false">0</f>
        <v>0</v>
      </c>
      <c r="S74" s="56" t="n">
        <f aca="false">0</f>
        <v>0</v>
      </c>
      <c r="T74" s="56" t="n">
        <f aca="false">T73+Q74-R74-S74</f>
        <v>0</v>
      </c>
      <c r="U74" s="56" t="n">
        <f aca="false">T73*rescue_coupon</f>
        <v>0</v>
      </c>
      <c r="V74" s="56" t="n">
        <f aca="false">B74+G74+L74+Q74</f>
        <v>85</v>
      </c>
      <c r="W74" s="56" t="n">
        <f aca="false">C74+H74+M74+R74</f>
        <v>5.42231475485402</v>
      </c>
      <c r="X74" s="56" t="n">
        <f aca="false">E74+J74+O74+T74</f>
        <v>216.64740068185</v>
      </c>
      <c r="Y74" s="56" t="n">
        <f aca="false">F74+K74+P74+U74</f>
        <v>7.28394141832078</v>
      </c>
    </row>
    <row r="75" customFormat="false" ht="14.25" hidden="false" customHeight="true" outlineLevel="0" collapsed="false">
      <c r="A75" s="64" t="n">
        <v>1915</v>
      </c>
      <c r="B75" s="56" t="n">
        <f aca="false">SUMPRODUCT((Events!$B$6:$B$400&lt;=$A75)*(Events!$C$6:$C$400&gt;=$A75)*(Events!$E$6:$E$400="Loan")*(Events!$F$6:$F$400="Continental")*Events!$H$6:$H$400)</f>
        <v>0</v>
      </c>
      <c r="C75" s="56" t="n">
        <f aca="false">E74*cont_repay</f>
        <v>1.89952279965042</v>
      </c>
      <c r="D75" s="56" t="n">
        <f aca="false">0</f>
        <v>0</v>
      </c>
      <c r="E75" s="56" t="n">
        <f aca="false">E74+B75-C75-D75</f>
        <v>45.58854719161</v>
      </c>
      <c r="F75" s="56" t="n">
        <f aca="false">E74*cont_coupon</f>
        <v>2.37440349956302</v>
      </c>
      <c r="G75" s="56" t="n">
        <f aca="false">SUMPRODUCT((Events!$B$6:$B$400&lt;=$A75)*(Events!$C$6:$C$400&gt;=$A75)*(Events!$E$6:$E$400="Loan")*(Events!$F$6:$F$400="Asia")*Events!$H$6:$H$400)</f>
        <v>0</v>
      </c>
      <c r="H75" s="56" t="n">
        <f aca="false">J74*asia_repay</f>
        <v>3.30589936500944</v>
      </c>
      <c r="I75" s="56" t="n">
        <f aca="false">0</f>
        <v>0</v>
      </c>
      <c r="J75" s="56" t="n">
        <f aca="false">J74+G75-H75-I75</f>
        <v>79.3415847602266</v>
      </c>
      <c r="K75" s="56" t="n">
        <f aca="false">J74*asia_coupon</f>
        <v>4.54561162688798</v>
      </c>
      <c r="L75" s="56" t="n">
        <f aca="false">SUMPRODUCT((Events!$B$6:$B$400&lt;=$A75)*(Events!$C$6:$C$400&gt;=$A75)*(Events!$E$6:$E$400="Loan")*(Events!$F$6:$F$400="Europe")*Events!$H$6:$H$400)</f>
        <v>226.61</v>
      </c>
      <c r="M75" s="56" t="n">
        <f aca="false">O74*Paths!AA75</f>
        <v>0</v>
      </c>
      <c r="N75" s="56" t="n">
        <f aca="false">IF($A75=1918,russia_writeoff*(O74+L75),0)-IF($A75=russia_recog_yr,russia_recog*$N$78,0)</f>
        <v>0</v>
      </c>
      <c r="O75" s="56" t="n">
        <f aca="false">O74+L75-M75-N75</f>
        <v>313.121846565353</v>
      </c>
      <c r="P75" s="56" t="n">
        <f aca="false">O74*Paths!Z75*Paths!AB75</f>
        <v>4.32559232826765</v>
      </c>
      <c r="Q75" s="56" t="n">
        <f aca="false">SUMPRODUCT((Events!$B$6:$B$400&lt;=$A75)*(Events!$C$6:$C$400&gt;=$A75)*(Events!$E$6:$E$400="Loan")*(Events!$F$6:$F$400="Rescue")*Events!$H$6:$H$400)</f>
        <v>0</v>
      </c>
      <c r="R75" s="56" t="n">
        <f aca="false">0</f>
        <v>0</v>
      </c>
      <c r="S75" s="56" t="n">
        <f aca="false">0</f>
        <v>0</v>
      </c>
      <c r="T75" s="56" t="n">
        <f aca="false">T74+Q75-R75-S75</f>
        <v>0</v>
      </c>
      <c r="U75" s="56" t="n">
        <f aca="false">T74*rescue_coupon</f>
        <v>0</v>
      </c>
      <c r="V75" s="56" t="n">
        <f aca="false">B75+G75+L75+Q75</f>
        <v>226.61</v>
      </c>
      <c r="W75" s="56" t="n">
        <f aca="false">C75+H75+M75+R75</f>
        <v>5.20542216465986</v>
      </c>
      <c r="X75" s="56" t="n">
        <f aca="false">E75+J75+O75+T75</f>
        <v>438.05197851719</v>
      </c>
      <c r="Y75" s="56" t="n">
        <f aca="false">F75+K75+P75+U75</f>
        <v>11.2456074547187</v>
      </c>
    </row>
    <row r="76" customFormat="false" ht="14.25" hidden="false" customHeight="true" outlineLevel="0" collapsed="false">
      <c r="A76" s="64" t="n">
        <v>1916</v>
      </c>
      <c r="B76" s="56" t="n">
        <f aca="false">SUMPRODUCT((Events!$B$6:$B$400&lt;=$A76)*(Events!$C$6:$C$400&gt;=$A76)*(Events!$E$6:$E$400="Loan")*(Events!$F$6:$F$400="Continental")*Events!$H$6:$H$400)</f>
        <v>0</v>
      </c>
      <c r="C76" s="56" t="n">
        <f aca="false">E75*cont_repay</f>
        <v>1.8235418876644</v>
      </c>
      <c r="D76" s="56" t="n">
        <f aca="false">0</f>
        <v>0</v>
      </c>
      <c r="E76" s="56" t="n">
        <f aca="false">E75+B76-C76-D76</f>
        <v>43.7650053039456</v>
      </c>
      <c r="F76" s="56" t="n">
        <f aca="false">E75*cont_coupon</f>
        <v>2.2794273595805</v>
      </c>
      <c r="G76" s="56" t="n">
        <f aca="false">SUMPRODUCT((Events!$B$6:$B$400&lt;=$A76)*(Events!$C$6:$C$400&gt;=$A76)*(Events!$E$6:$E$400="Loan")*(Events!$F$6:$F$400="Asia")*Events!$H$6:$H$400)</f>
        <v>0</v>
      </c>
      <c r="H76" s="56" t="n">
        <f aca="false">J75*asia_repay</f>
        <v>3.17366339040906</v>
      </c>
      <c r="I76" s="56" t="n">
        <f aca="false">0</f>
        <v>0</v>
      </c>
      <c r="J76" s="56" t="n">
        <f aca="false">J75+G76-H76-I76</f>
        <v>76.1679213698176</v>
      </c>
      <c r="K76" s="56" t="n">
        <f aca="false">J75*asia_coupon</f>
        <v>4.36378716181246</v>
      </c>
      <c r="L76" s="56" t="n">
        <f aca="false">SUMPRODUCT((Events!$B$6:$B$400&lt;=$A76)*(Events!$C$6:$C$400&gt;=$A76)*(Events!$E$6:$E$400="Loan")*(Events!$F$6:$F$400="Europe")*Events!$H$6:$H$400)</f>
        <v>396.61</v>
      </c>
      <c r="M76" s="56" t="n">
        <f aca="false">O75*Paths!AA76</f>
        <v>0</v>
      </c>
      <c r="N76" s="56" t="n">
        <f aca="false">IF($A76=1918,russia_writeoff*(O75+L76),0)-IF($A76=russia_recog_yr,russia_recog*$N$78,0)</f>
        <v>0</v>
      </c>
      <c r="O76" s="56" t="n">
        <f aca="false">O75+L76-M76-N76</f>
        <v>709.731846565353</v>
      </c>
      <c r="P76" s="56" t="n">
        <f aca="false">O75*Paths!Z76*Paths!AB76</f>
        <v>15.6560923282677</v>
      </c>
      <c r="Q76" s="56" t="n">
        <f aca="false">SUMPRODUCT((Events!$B$6:$B$400&lt;=$A76)*(Events!$C$6:$C$400&gt;=$A76)*(Events!$E$6:$E$400="Loan")*(Events!$F$6:$F$400="Rescue")*Events!$H$6:$H$400)</f>
        <v>0</v>
      </c>
      <c r="R76" s="56" t="n">
        <f aca="false">0</f>
        <v>0</v>
      </c>
      <c r="S76" s="56" t="n">
        <f aca="false">0</f>
        <v>0</v>
      </c>
      <c r="T76" s="56" t="n">
        <f aca="false">T75+Q76-R76-S76</f>
        <v>0</v>
      </c>
      <c r="U76" s="56" t="n">
        <f aca="false">T75*rescue_coupon</f>
        <v>0</v>
      </c>
      <c r="V76" s="56" t="n">
        <f aca="false">B76+G76+L76+Q76</f>
        <v>396.61</v>
      </c>
      <c r="W76" s="56" t="n">
        <f aca="false">C76+H76+M76+R76</f>
        <v>4.99720527807347</v>
      </c>
      <c r="X76" s="56" t="n">
        <f aca="false">E76+J76+O76+T76</f>
        <v>829.664773239116</v>
      </c>
      <c r="Y76" s="56" t="n">
        <f aca="false">F76+K76+P76+U76</f>
        <v>22.2993068496606</v>
      </c>
    </row>
    <row r="77" customFormat="false" ht="14.25" hidden="false" customHeight="true" outlineLevel="0" collapsed="false">
      <c r="A77" s="64" t="n">
        <v>1917</v>
      </c>
      <c r="B77" s="56" t="n">
        <f aca="false">SUMPRODUCT((Events!$B$6:$B$400&lt;=$A77)*(Events!$C$6:$C$400&gt;=$A77)*(Events!$E$6:$E$400="Loan")*(Events!$F$6:$F$400="Continental")*Events!$H$6:$H$400)</f>
        <v>0</v>
      </c>
      <c r="C77" s="56" t="n">
        <f aca="false">E76*cont_repay</f>
        <v>1.75060021215783</v>
      </c>
      <c r="D77" s="56" t="n">
        <f aca="false">0</f>
        <v>0</v>
      </c>
      <c r="E77" s="56" t="n">
        <f aca="false">E76+B77-C77-D77</f>
        <v>42.0144050917878</v>
      </c>
      <c r="F77" s="56" t="n">
        <f aca="false">E76*cont_coupon</f>
        <v>2.18825026519728</v>
      </c>
      <c r="G77" s="56" t="n">
        <f aca="false">SUMPRODUCT((Events!$B$6:$B$400&lt;=$A77)*(Events!$C$6:$C$400&gt;=$A77)*(Events!$E$6:$E$400="Loan")*(Events!$F$6:$F$400="Asia")*Events!$H$6:$H$400)</f>
        <v>0</v>
      </c>
      <c r="H77" s="56" t="n">
        <f aca="false">J76*asia_repay</f>
        <v>3.0467168547927</v>
      </c>
      <c r="I77" s="56" t="n">
        <f aca="false">0</f>
        <v>0</v>
      </c>
      <c r="J77" s="56" t="n">
        <f aca="false">J76+G77-H77-I77</f>
        <v>73.1212045150248</v>
      </c>
      <c r="K77" s="56" t="n">
        <f aca="false">J76*asia_coupon</f>
        <v>4.18923567533997</v>
      </c>
      <c r="L77" s="56" t="n">
        <f aca="false">SUMPRODUCT((Events!$B$6:$B$400&lt;=$A77)*(Events!$C$6:$C$400&gt;=$A77)*(Events!$E$6:$E$400="Loan")*(Events!$F$6:$F$400="Europe")*Events!$H$6:$H$400)</f>
        <v>510</v>
      </c>
      <c r="M77" s="56" t="n">
        <f aca="false">O76*Paths!AA77</f>
        <v>0</v>
      </c>
      <c r="N77" s="56" t="n">
        <f aca="false">IF($A77=1918,russia_writeoff*(O76+L77),0)-IF($A77=russia_recog_yr,russia_recog*$N$78,0)</f>
        <v>0</v>
      </c>
      <c r="O77" s="56" t="n">
        <f aca="false">O76+L77-M77-N77</f>
        <v>1219.73184656535</v>
      </c>
      <c r="P77" s="56" t="n">
        <f aca="false">O76*Paths!Z77*Paths!AB77</f>
        <v>35.4865923282677</v>
      </c>
      <c r="Q77" s="56" t="n">
        <f aca="false">SUMPRODUCT((Events!$B$6:$B$400&lt;=$A77)*(Events!$C$6:$C$400&gt;=$A77)*(Events!$E$6:$E$400="Loan")*(Events!$F$6:$F$400="Rescue")*Events!$H$6:$H$400)</f>
        <v>0</v>
      </c>
      <c r="R77" s="56" t="n">
        <f aca="false">0</f>
        <v>0</v>
      </c>
      <c r="S77" s="56" t="n">
        <f aca="false">0</f>
        <v>0</v>
      </c>
      <c r="T77" s="56" t="n">
        <f aca="false">T76+Q77-R77-S77</f>
        <v>0</v>
      </c>
      <c r="U77" s="56" t="n">
        <f aca="false">T76*rescue_coupon</f>
        <v>0</v>
      </c>
      <c r="V77" s="56" t="n">
        <f aca="false">B77+G77+L77+Q77</f>
        <v>510</v>
      </c>
      <c r="W77" s="56" t="n">
        <f aca="false">C77+H77+M77+R77</f>
        <v>4.79731706695053</v>
      </c>
      <c r="X77" s="56" t="n">
        <f aca="false">E77+J77+O77+T77</f>
        <v>1334.86745617217</v>
      </c>
      <c r="Y77" s="56" t="n">
        <f aca="false">F77+K77+P77+U77</f>
        <v>41.8640782688049</v>
      </c>
    </row>
    <row r="78" customFormat="false" ht="14.25" hidden="false" customHeight="true" outlineLevel="0" collapsed="false">
      <c r="A78" s="64" t="n">
        <v>1918</v>
      </c>
      <c r="B78" s="56" t="n">
        <f aca="false">SUMPRODUCT((Events!$B$6:$B$400&lt;=$A78)*(Events!$C$6:$C$400&gt;=$A78)*(Events!$E$6:$E$400="Loan")*(Events!$F$6:$F$400="Continental")*Events!$H$6:$H$400)</f>
        <v>0</v>
      </c>
      <c r="C78" s="56" t="n">
        <f aca="false">E77*cont_repay</f>
        <v>1.68057620367151</v>
      </c>
      <c r="D78" s="56" t="n">
        <f aca="false">0</f>
        <v>0</v>
      </c>
      <c r="E78" s="56" t="n">
        <f aca="false">E77+B78-C78-D78</f>
        <v>40.3338288881163</v>
      </c>
      <c r="F78" s="56" t="n">
        <f aca="false">E77*cont_coupon</f>
        <v>2.10072025458939</v>
      </c>
      <c r="G78" s="56" t="n">
        <f aca="false">SUMPRODUCT((Events!$B$6:$B$400&lt;=$A78)*(Events!$C$6:$C$400&gt;=$A78)*(Events!$E$6:$E$400="Loan")*(Events!$F$6:$F$400="Asia")*Events!$H$6:$H$400)</f>
        <v>47</v>
      </c>
      <c r="H78" s="56" t="n">
        <f aca="false">J77*asia_repay</f>
        <v>2.92484818060099</v>
      </c>
      <c r="I78" s="56" t="n">
        <f aca="false">0</f>
        <v>0</v>
      </c>
      <c r="J78" s="56" t="n">
        <f aca="false">J77+G78-H78-I78</f>
        <v>117.196356334424</v>
      </c>
      <c r="K78" s="56" t="n">
        <f aca="false">J77*asia_coupon</f>
        <v>4.02166624832637</v>
      </c>
      <c r="L78" s="56" t="n">
        <f aca="false">SUMPRODUCT((Events!$B$6:$B$400&lt;=$A78)*(Events!$C$6:$C$400&gt;=$A78)*(Events!$E$6:$E$400="Loan")*(Events!$F$6:$F$400="Europe")*Events!$H$6:$H$400)</f>
        <v>481.78</v>
      </c>
      <c r="M78" s="56" t="n">
        <f aca="false">O77*Paths!AA78</f>
        <v>0</v>
      </c>
      <c r="N78" s="56" t="n">
        <f aca="false">IF($A78=1918,russia_writeoff*(O77+L78),0)-IF($A78=russia_recog_yr,russia_recog*$N$78,0)</f>
        <v>204.181421587842</v>
      </c>
      <c r="O78" s="56" t="n">
        <f aca="false">O77+L78-M78-N78</f>
        <v>1497.33042497751</v>
      </c>
      <c r="P78" s="56" t="n">
        <f aca="false">O77*Paths!Z78*Paths!AB78</f>
        <v>60.9865923282677</v>
      </c>
      <c r="Q78" s="56" t="n">
        <f aca="false">SUMPRODUCT((Events!$B$6:$B$400&lt;=$A78)*(Events!$C$6:$C$400&gt;=$A78)*(Events!$E$6:$E$400="Loan")*(Events!$F$6:$F$400="Rescue")*Events!$H$6:$H$400)</f>
        <v>0</v>
      </c>
      <c r="R78" s="56" t="n">
        <f aca="false">0</f>
        <v>0</v>
      </c>
      <c r="S78" s="56" t="n">
        <f aca="false">0</f>
        <v>0</v>
      </c>
      <c r="T78" s="56" t="n">
        <f aca="false">T77+Q78-R78-S78</f>
        <v>0</v>
      </c>
      <c r="U78" s="56" t="n">
        <f aca="false">T77*rescue_coupon</f>
        <v>0</v>
      </c>
      <c r="V78" s="56" t="n">
        <f aca="false">B78+G78+L78+Q78</f>
        <v>528.78</v>
      </c>
      <c r="W78" s="56" t="n">
        <f aca="false">C78+H78+M78+R78</f>
        <v>4.60542438427251</v>
      </c>
      <c r="X78" s="56" t="n">
        <f aca="false">E78+J78+O78+T78</f>
        <v>1654.86061020005</v>
      </c>
      <c r="Y78" s="56" t="n">
        <f aca="false">F78+K78+P78+U78</f>
        <v>67.1089788311834</v>
      </c>
    </row>
    <row r="79" customFormat="false" ht="14.25" hidden="false" customHeight="true" outlineLevel="0" collapsed="false">
      <c r="A79" s="64" t="n">
        <v>1919</v>
      </c>
      <c r="B79" s="56" t="n">
        <f aca="false">SUMPRODUCT((Events!$B$6:$B$400&lt;=$A79)*(Events!$C$6:$C$400&gt;=$A79)*(Events!$E$6:$E$400="Loan")*(Events!$F$6:$F$400="Continental")*Events!$H$6:$H$400)</f>
        <v>0</v>
      </c>
      <c r="C79" s="56" t="n">
        <f aca="false">E78*cont_repay</f>
        <v>1.61335315552465</v>
      </c>
      <c r="D79" s="56" t="n">
        <f aca="false">0</f>
        <v>0</v>
      </c>
      <c r="E79" s="56" t="n">
        <f aca="false">E78+B79-C79-D79</f>
        <v>38.7204757325916</v>
      </c>
      <c r="F79" s="56" t="n">
        <f aca="false">E78*cont_coupon</f>
        <v>2.01669144440581</v>
      </c>
      <c r="G79" s="56" t="n">
        <f aca="false">SUMPRODUCT((Events!$B$6:$B$400&lt;=$A79)*(Events!$C$6:$C$400&gt;=$A79)*(Events!$E$6:$E$400="Loan")*(Events!$F$6:$F$400="Asia")*Events!$H$6:$H$400)</f>
        <v>67</v>
      </c>
      <c r="H79" s="56" t="n">
        <f aca="false">J78*asia_repay</f>
        <v>4.68785425337695</v>
      </c>
      <c r="I79" s="56" t="n">
        <f aca="false">0</f>
        <v>0</v>
      </c>
      <c r="J79" s="56" t="n">
        <f aca="false">J78+G79-H79-I79</f>
        <v>179.508502081047</v>
      </c>
      <c r="K79" s="56" t="n">
        <f aca="false">J78*asia_coupon</f>
        <v>6.44579959839331</v>
      </c>
      <c r="L79" s="56" t="n">
        <f aca="false">SUMPRODUCT((Events!$B$6:$B$400&lt;=$A79)*(Events!$C$6:$C$400&gt;=$A79)*(Events!$E$6:$E$400="Loan")*(Events!$F$6:$F$400="Europe")*Events!$H$6:$H$400)</f>
        <v>87.7851</v>
      </c>
      <c r="M79" s="56" t="n">
        <f aca="false">O78*Paths!AA79</f>
        <v>0</v>
      </c>
      <c r="N79" s="56" t="n">
        <f aca="false">IF($A79=1918,russia_writeoff*(O78+L79),0)-IF($A79=russia_recog_yr,russia_recog*$N$78,0)</f>
        <v>0</v>
      </c>
      <c r="O79" s="56" t="n">
        <f aca="false">O78+L79-M79-N79</f>
        <v>1585.11552497751</v>
      </c>
      <c r="P79" s="56" t="n">
        <f aca="false">O78*Paths!Z79*Paths!AB79</f>
        <v>74.8665212488755</v>
      </c>
      <c r="Q79" s="56" t="n">
        <f aca="false">SUMPRODUCT((Events!$B$6:$B$400&lt;=$A79)*(Events!$C$6:$C$400&gt;=$A79)*(Events!$E$6:$E$400="Loan")*(Events!$F$6:$F$400="Rescue")*Events!$H$6:$H$400)</f>
        <v>0</v>
      </c>
      <c r="R79" s="56" t="n">
        <f aca="false">0</f>
        <v>0</v>
      </c>
      <c r="S79" s="56" t="n">
        <f aca="false">0</f>
        <v>0</v>
      </c>
      <c r="T79" s="56" t="n">
        <f aca="false">T78+Q79-R79-S79</f>
        <v>0</v>
      </c>
      <c r="U79" s="56" t="n">
        <f aca="false">T78*rescue_coupon</f>
        <v>0</v>
      </c>
      <c r="V79" s="56" t="n">
        <f aca="false">B79+G79+L79+Q79</f>
        <v>154.7851</v>
      </c>
      <c r="W79" s="56" t="n">
        <f aca="false">C79+H79+M79+R79</f>
        <v>6.30120740890161</v>
      </c>
      <c r="X79" s="56" t="n">
        <f aca="false">E79+J79+O79+T79</f>
        <v>1803.34450279115</v>
      </c>
      <c r="Y79" s="56" t="n">
        <f aca="false">F79+K79+P79+U79</f>
        <v>83.3290122916747</v>
      </c>
    </row>
    <row r="80" customFormat="false" ht="14.25" hidden="false" customHeight="true" outlineLevel="0" collapsed="false">
      <c r="A80" s="64" t="n">
        <v>1920</v>
      </c>
      <c r="B80" s="56" t="n">
        <f aca="false">SUMPRODUCT((Events!$B$6:$B$400&lt;=$A80)*(Events!$C$6:$C$400&gt;=$A80)*(Events!$E$6:$E$400="Loan")*(Events!$F$6:$F$400="Continental")*Events!$H$6:$H$400)</f>
        <v>0</v>
      </c>
      <c r="C80" s="56" t="n">
        <f aca="false">E79*cont_repay</f>
        <v>1.54881902930367</v>
      </c>
      <c r="D80" s="56" t="n">
        <f aca="false">0</f>
        <v>0</v>
      </c>
      <c r="E80" s="56" t="n">
        <f aca="false">E79+B80-C80-D80</f>
        <v>37.171656703288</v>
      </c>
      <c r="F80" s="56" t="n">
        <f aca="false">E79*cont_coupon</f>
        <v>1.93602378662958</v>
      </c>
      <c r="G80" s="56" t="n">
        <f aca="false">SUMPRODUCT((Events!$B$6:$B$400&lt;=$A80)*(Events!$C$6:$C$400&gt;=$A80)*(Events!$E$6:$E$400="Loan")*(Events!$F$6:$F$400="Asia")*Events!$H$6:$H$400)</f>
        <v>17</v>
      </c>
      <c r="H80" s="56" t="n">
        <f aca="false">J79*asia_repay</f>
        <v>7.18034008324188</v>
      </c>
      <c r="I80" s="56" t="n">
        <f aca="false">0</f>
        <v>0</v>
      </c>
      <c r="J80" s="56" t="n">
        <f aca="false">J79+G80-H80-I80</f>
        <v>189.328161997805</v>
      </c>
      <c r="K80" s="56" t="n">
        <f aca="false">J79*asia_coupon</f>
        <v>9.87296761445758</v>
      </c>
      <c r="L80" s="56" t="n">
        <f aca="false">SUMPRODUCT((Events!$B$6:$B$400&lt;=$A80)*(Events!$C$6:$C$400&gt;=$A80)*(Events!$E$6:$E$400="Loan")*(Events!$F$6:$F$400="Europe")*Events!$H$6:$H$400)</f>
        <v>239.777</v>
      </c>
      <c r="M80" s="56" t="n">
        <f aca="false">O79*Paths!AA80</f>
        <v>0</v>
      </c>
      <c r="N80" s="56" t="n">
        <f aca="false">IF($A80=1918,russia_writeoff*(O79+L80),0)-IF($A80=russia_recog_yr,russia_recog*$N$78,0)</f>
        <v>0</v>
      </c>
      <c r="O80" s="56" t="n">
        <f aca="false">O79+L80-M80-N80</f>
        <v>1824.89252497751</v>
      </c>
      <c r="P80" s="56" t="n">
        <f aca="false">O79*Paths!Z80*Paths!AB80</f>
        <v>79.2557762488755</v>
      </c>
      <c r="Q80" s="56" t="n">
        <f aca="false">SUMPRODUCT((Events!$B$6:$B$400&lt;=$A80)*(Events!$C$6:$C$400&gt;=$A80)*(Events!$E$6:$E$400="Loan")*(Events!$F$6:$F$400="Rescue")*Events!$H$6:$H$400)</f>
        <v>0</v>
      </c>
      <c r="R80" s="56" t="n">
        <f aca="false">0</f>
        <v>0</v>
      </c>
      <c r="S80" s="56" t="n">
        <f aca="false">0</f>
        <v>0</v>
      </c>
      <c r="T80" s="56" t="n">
        <f aca="false">T79+Q80-R80-S80</f>
        <v>0</v>
      </c>
      <c r="U80" s="56" t="n">
        <f aca="false">T79*rescue_coupon</f>
        <v>0</v>
      </c>
      <c r="V80" s="56" t="n">
        <f aca="false">B80+G80+L80+Q80</f>
        <v>256.777</v>
      </c>
      <c r="W80" s="56" t="n">
        <f aca="false">C80+H80+M80+R80</f>
        <v>8.72915911254554</v>
      </c>
      <c r="X80" s="56" t="n">
        <f aca="false">E80+J80+O80+T80</f>
        <v>2051.3923436786</v>
      </c>
      <c r="Y80" s="56" t="n">
        <f aca="false">F80+K80+P80+U80</f>
        <v>91.0647676499627</v>
      </c>
    </row>
    <row r="81" customFormat="false" ht="14.25" hidden="false" customHeight="true" outlineLevel="0" collapsed="false">
      <c r="A81" s="64" t="n">
        <v>1921</v>
      </c>
      <c r="B81" s="56" t="n">
        <f aca="false">SUMPRODUCT((Events!$B$6:$B$400&lt;=$A81)*(Events!$C$6:$C$400&gt;=$A81)*(Events!$E$6:$E$400="Loan")*(Events!$F$6:$F$400="Continental")*Events!$H$6:$H$400)</f>
        <v>0</v>
      </c>
      <c r="C81" s="56" t="n">
        <f aca="false">E80*cont_repay</f>
        <v>1.48686626813152</v>
      </c>
      <c r="D81" s="56" t="n">
        <f aca="false">0</f>
        <v>0</v>
      </c>
      <c r="E81" s="56" t="n">
        <f aca="false">E80+B81-C81-D81</f>
        <v>35.6847904351565</v>
      </c>
      <c r="F81" s="56" t="n">
        <f aca="false">E80*cont_coupon</f>
        <v>1.8585828351644</v>
      </c>
      <c r="G81" s="56" t="n">
        <f aca="false">SUMPRODUCT((Events!$B$6:$B$400&lt;=$A81)*(Events!$C$6:$C$400&gt;=$A81)*(Events!$E$6:$E$400="Loan")*(Events!$F$6:$F$400="Asia")*Events!$H$6:$H$400)</f>
        <v>17</v>
      </c>
      <c r="H81" s="56" t="n">
        <f aca="false">J80*asia_repay</f>
        <v>7.5731264799122</v>
      </c>
      <c r="I81" s="56" t="n">
        <f aca="false">0</f>
        <v>0</v>
      </c>
      <c r="J81" s="56" t="n">
        <f aca="false">J80+G81-H81-I81</f>
        <v>198.755035517893</v>
      </c>
      <c r="K81" s="56" t="n">
        <f aca="false">J80*asia_coupon</f>
        <v>10.4130489098793</v>
      </c>
      <c r="L81" s="56" t="n">
        <f aca="false">SUMPRODUCT((Events!$B$6:$B$400&lt;=$A81)*(Events!$C$6:$C$400&gt;=$A81)*(Events!$E$6:$E$400="Loan")*(Events!$F$6:$F$400="Europe")*Events!$H$6:$H$400)</f>
        <v>80</v>
      </c>
      <c r="M81" s="56" t="n">
        <f aca="false">O80*Paths!AA81</f>
        <v>0</v>
      </c>
      <c r="N81" s="56" t="n">
        <f aca="false">IF($A81=1918,russia_writeoff*(O80+L81),0)-IF($A81=russia_recog_yr,russia_recog*$N$78,0)</f>
        <v>0</v>
      </c>
      <c r="O81" s="56" t="n">
        <f aca="false">O80+L81-M81-N81</f>
        <v>1904.89252497751</v>
      </c>
      <c r="P81" s="56" t="n">
        <f aca="false">O80*Paths!Z81*Paths!AB81</f>
        <v>91.2446262488755</v>
      </c>
      <c r="Q81" s="56" t="n">
        <f aca="false">SUMPRODUCT((Events!$B$6:$B$400&lt;=$A81)*(Events!$C$6:$C$400&gt;=$A81)*(Events!$E$6:$E$400="Loan")*(Events!$F$6:$F$400="Rescue")*Events!$H$6:$H$400)</f>
        <v>0</v>
      </c>
      <c r="R81" s="56" t="n">
        <f aca="false">0</f>
        <v>0</v>
      </c>
      <c r="S81" s="56" t="n">
        <f aca="false">0</f>
        <v>0</v>
      </c>
      <c r="T81" s="56" t="n">
        <f aca="false">T80+Q81-R81-S81</f>
        <v>0</v>
      </c>
      <c r="U81" s="56" t="n">
        <f aca="false">T80*rescue_coupon</f>
        <v>0</v>
      </c>
      <c r="V81" s="56" t="n">
        <f aca="false">B81+G81+L81+Q81</f>
        <v>97</v>
      </c>
      <c r="W81" s="56" t="n">
        <f aca="false">C81+H81+M81+R81</f>
        <v>9.05999274804372</v>
      </c>
      <c r="X81" s="56" t="n">
        <f aca="false">E81+J81+O81+T81</f>
        <v>2139.33235093056</v>
      </c>
      <c r="Y81" s="56" t="n">
        <f aca="false">F81+K81+P81+U81</f>
        <v>103.516257993919</v>
      </c>
    </row>
    <row r="82" customFormat="false" ht="14.25" hidden="false" customHeight="true" outlineLevel="0" collapsed="false">
      <c r="A82" s="64" t="n">
        <v>1922</v>
      </c>
      <c r="B82" s="56" t="n">
        <f aca="false">SUMPRODUCT((Events!$B$6:$B$400&lt;=$A82)*(Events!$C$6:$C$400&gt;=$A82)*(Events!$E$6:$E$400="Loan")*(Events!$F$6:$F$400="Continental")*Events!$H$6:$H$400)</f>
        <v>0</v>
      </c>
      <c r="C82" s="56" t="n">
        <f aca="false">E81*cont_repay</f>
        <v>1.42739161740626</v>
      </c>
      <c r="D82" s="56" t="n">
        <f aca="false">0</f>
        <v>0</v>
      </c>
      <c r="E82" s="56" t="n">
        <f aca="false">E81+B82-C82-D82</f>
        <v>34.2573988177502</v>
      </c>
      <c r="F82" s="56" t="n">
        <f aca="false">E81*cont_coupon</f>
        <v>1.78423952175782</v>
      </c>
      <c r="G82" s="56" t="n">
        <f aca="false">SUMPRODUCT((Events!$B$6:$B$400&lt;=$A82)*(Events!$C$6:$C$400&gt;=$A82)*(Events!$E$6:$E$400="Loan")*(Events!$F$6:$F$400="Asia")*Events!$H$6:$H$400)</f>
        <v>17</v>
      </c>
      <c r="H82" s="56" t="n">
        <f aca="false">J81*asia_repay</f>
        <v>7.95020142071572</v>
      </c>
      <c r="I82" s="56" t="n">
        <f aca="false">0</f>
        <v>0</v>
      </c>
      <c r="J82" s="56" t="n">
        <f aca="false">J81+G82-H82-I82</f>
        <v>207.804834097177</v>
      </c>
      <c r="K82" s="56" t="n">
        <f aca="false">J81*asia_coupon</f>
        <v>10.9315269534841</v>
      </c>
      <c r="L82" s="56" t="n">
        <f aca="false">SUMPRODUCT((Events!$B$6:$B$400&lt;=$A82)*(Events!$C$6:$C$400&gt;=$A82)*(Events!$E$6:$E$400="Loan")*(Events!$F$6:$F$400="Europe")*Events!$H$6:$H$400)</f>
        <v>80</v>
      </c>
      <c r="M82" s="56" t="n">
        <f aca="false">O81*Paths!AA82</f>
        <v>0</v>
      </c>
      <c r="N82" s="56" t="n">
        <f aca="false">IF($A82=1918,russia_writeoff*(O81+L82),0)-IF($A82=russia_recog_yr,russia_recog*$N$78,0)</f>
        <v>-153.136066190882</v>
      </c>
      <c r="O82" s="56" t="n">
        <f aca="false">O81+L82-M82-N82</f>
        <v>2138.02859116839</v>
      </c>
      <c r="P82" s="56" t="n">
        <f aca="false">O81*Paths!Z82*Paths!AB82</f>
        <v>95.2446262488755</v>
      </c>
      <c r="Q82" s="56" t="n">
        <f aca="false">SUMPRODUCT((Events!$B$6:$B$400&lt;=$A82)*(Events!$C$6:$C$400&gt;=$A82)*(Events!$E$6:$E$400="Loan")*(Events!$F$6:$F$400="Rescue")*Events!$H$6:$H$400)</f>
        <v>0</v>
      </c>
      <c r="R82" s="56" t="n">
        <f aca="false">0</f>
        <v>0</v>
      </c>
      <c r="S82" s="56" t="n">
        <f aca="false">0</f>
        <v>0</v>
      </c>
      <c r="T82" s="56" t="n">
        <f aca="false">T81+Q82-R82-S82</f>
        <v>0</v>
      </c>
      <c r="U82" s="56" t="n">
        <f aca="false">T81*rescue_coupon</f>
        <v>0</v>
      </c>
      <c r="V82" s="56" t="n">
        <f aca="false">B82+G82+L82+Q82</f>
        <v>97</v>
      </c>
      <c r="W82" s="56" t="n">
        <f aca="false">C82+H82+M82+R82</f>
        <v>9.37759303812197</v>
      </c>
      <c r="X82" s="56" t="n">
        <f aca="false">E82+J82+O82+T82</f>
        <v>2380.09082408332</v>
      </c>
      <c r="Y82" s="56" t="n">
        <f aca="false">F82+K82+P82+U82</f>
        <v>107.960392724117</v>
      </c>
    </row>
    <row r="83" customFormat="false" ht="14.25" hidden="false" customHeight="true" outlineLevel="0" collapsed="false">
      <c r="A83" s="61" t="n">
        <v>1923</v>
      </c>
      <c r="B83" s="56" t="n">
        <f aca="false">SUMPRODUCT((Events!$B$6:$B$400&lt;=$A83)*(Events!$C$6:$C$400&gt;=$A83)*(Events!$E$6:$E$400="Loan")*(Events!$F$6:$F$400="Continental")*Events!$H$6:$H$400)</f>
        <v>0</v>
      </c>
      <c r="C83" s="56" t="n">
        <f aca="false">E82*cont_repay</f>
        <v>1.37029595271001</v>
      </c>
      <c r="D83" s="56" t="n">
        <f aca="false">0</f>
        <v>0</v>
      </c>
      <c r="E83" s="56" t="n">
        <f aca="false">E82+B83-C83-D83</f>
        <v>32.8871028650402</v>
      </c>
      <c r="F83" s="56" t="n">
        <f aca="false">E82*cont_coupon</f>
        <v>1.71286994088751</v>
      </c>
      <c r="G83" s="56" t="n">
        <f aca="false">SUMPRODUCT((Events!$B$6:$B$400&lt;=$A83)*(Events!$C$6:$C$400&gt;=$A83)*(Events!$E$6:$E$400="Loan")*(Events!$F$6:$F$400="Asia")*Events!$H$6:$H$400)</f>
        <v>50</v>
      </c>
      <c r="H83" s="56" t="n">
        <f aca="false">J82*asia_repay</f>
        <v>8.31219336388709</v>
      </c>
      <c r="I83" s="56" t="n">
        <f aca="false">0</f>
        <v>0</v>
      </c>
      <c r="J83" s="56" t="n">
        <f aca="false">J82+G83-H83-I83</f>
        <v>249.49264073329</v>
      </c>
      <c r="K83" s="56" t="n">
        <f aca="false">J82*asia_coupon</f>
        <v>11.4292658753447</v>
      </c>
      <c r="L83" s="56" t="n">
        <f aca="false">SUMPRODUCT((Events!$B$6:$B$400&lt;=$A83)*(Events!$C$6:$C$400&gt;=$A83)*(Events!$E$6:$E$400="Loan")*(Events!$F$6:$F$400="Europe")*Events!$H$6:$H$400)</f>
        <v>80</v>
      </c>
      <c r="M83" s="56" t="n">
        <f aca="false">O82*Paths!AA83</f>
        <v>34.2084574586943</v>
      </c>
      <c r="N83" s="56" t="n">
        <f aca="false">IF($A83=1918,russia_writeoff*(O82+L83),0)-IF($A83=russia_recog_yr,russia_recog*$N$78,0)</f>
        <v>0</v>
      </c>
      <c r="O83" s="56" t="n">
        <f aca="false">O82+L83-M83-N83</f>
        <v>2183.8201337097</v>
      </c>
      <c r="P83" s="56" t="n">
        <f aca="false">O82*Paths!Z83*Paths!AB83</f>
        <v>70.554943508557</v>
      </c>
      <c r="Q83" s="56" t="n">
        <f aca="false">SUMPRODUCT((Events!$B$6:$B$400&lt;=$A83)*(Events!$C$6:$C$400&gt;=$A83)*(Events!$E$6:$E$400="Loan")*(Events!$F$6:$F$400="Rescue")*Events!$H$6:$H$400)</f>
        <v>0</v>
      </c>
      <c r="R83" s="56" t="n">
        <f aca="false">0</f>
        <v>0</v>
      </c>
      <c r="S83" s="56" t="n">
        <f aca="false">0</f>
        <v>0</v>
      </c>
      <c r="T83" s="56" t="n">
        <f aca="false">T82+Q83-R83-S83</f>
        <v>0</v>
      </c>
      <c r="U83" s="56" t="n">
        <f aca="false">T82*rescue_coupon</f>
        <v>0</v>
      </c>
      <c r="V83" s="56" t="n">
        <f aca="false">B83+G83+L83+Q83</f>
        <v>130</v>
      </c>
      <c r="W83" s="56" t="n">
        <f aca="false">C83+H83+M83+R83</f>
        <v>43.8909467752914</v>
      </c>
      <c r="X83" s="56" t="n">
        <f aca="false">E83+J83+O83+T83</f>
        <v>2466.19987730803</v>
      </c>
      <c r="Y83" s="56" t="n">
        <f aca="false">F83+K83+P83+U83</f>
        <v>83.6970793247892</v>
      </c>
    </row>
    <row r="84" customFormat="false" ht="14.25" hidden="false" customHeight="true" outlineLevel="0" collapsed="false">
      <c r="A84" s="61" t="n">
        <v>1924</v>
      </c>
      <c r="B84" s="56" t="n">
        <f aca="false">SUMPRODUCT((Events!$B$6:$B$400&lt;=$A84)*(Events!$C$6:$C$400&gt;=$A84)*(Events!$E$6:$E$400="Loan")*(Events!$F$6:$F$400="Continental")*Events!$H$6:$H$400)</f>
        <v>0</v>
      </c>
      <c r="C84" s="56" t="n">
        <f aca="false">E83*cont_repay</f>
        <v>1.31548411460161</v>
      </c>
      <c r="D84" s="56" t="n">
        <f aca="false">0</f>
        <v>0</v>
      </c>
      <c r="E84" s="56" t="n">
        <f aca="false">E83+B84-C84-D84</f>
        <v>31.5716187504386</v>
      </c>
      <c r="F84" s="56" t="n">
        <f aca="false">E83*cont_coupon</f>
        <v>1.64435514325201</v>
      </c>
      <c r="G84" s="56" t="n">
        <f aca="false">SUMPRODUCT((Events!$B$6:$B$400&lt;=$A84)*(Events!$C$6:$C$400&gt;=$A84)*(Events!$E$6:$E$400="Loan")*(Events!$F$6:$F$400="Asia")*Events!$H$6:$H$400)</f>
        <v>0</v>
      </c>
      <c r="H84" s="56" t="n">
        <f aca="false">J83*asia_repay</f>
        <v>9.9797056293316</v>
      </c>
      <c r="I84" s="56" t="n">
        <f aca="false">0</f>
        <v>0</v>
      </c>
      <c r="J84" s="56" t="n">
        <f aca="false">J83+G84-H84-I84</f>
        <v>239.512935103958</v>
      </c>
      <c r="K84" s="56" t="n">
        <f aca="false">J83*asia_coupon</f>
        <v>13.722095240331</v>
      </c>
      <c r="L84" s="56" t="n">
        <f aca="false">SUMPRODUCT((Events!$B$6:$B$400&lt;=$A84)*(Events!$C$6:$C$400&gt;=$A84)*(Events!$E$6:$E$400="Loan")*(Events!$F$6:$F$400="Europe")*Events!$H$6:$H$400)</f>
        <v>80</v>
      </c>
      <c r="M84" s="56" t="n">
        <f aca="false">O83*Paths!AA84</f>
        <v>34.9411221393552</v>
      </c>
      <c r="N84" s="56" t="n">
        <f aca="false">IF($A84=1918,russia_writeoff*(O83+L84),0)-IF($A84=russia_recog_yr,russia_recog*$N$78,0)</f>
        <v>0</v>
      </c>
      <c r="O84" s="56" t="n">
        <f aca="false">O83+L84-M84-N84</f>
        <v>2228.87901157034</v>
      </c>
      <c r="P84" s="56" t="n">
        <f aca="false">O83*Paths!Z84*Paths!AB84</f>
        <v>72.06606441242</v>
      </c>
      <c r="Q84" s="56" t="n">
        <f aca="false">SUMPRODUCT((Events!$B$6:$B$400&lt;=$A84)*(Events!$C$6:$C$400&gt;=$A84)*(Events!$E$6:$E$400="Loan")*(Events!$F$6:$F$400="Rescue")*Events!$H$6:$H$400)</f>
        <v>0</v>
      </c>
      <c r="R84" s="56" t="n">
        <f aca="false">0</f>
        <v>0</v>
      </c>
      <c r="S84" s="56" t="n">
        <f aca="false">0</f>
        <v>0</v>
      </c>
      <c r="T84" s="56" t="n">
        <f aca="false">T83+Q84-R84-S84</f>
        <v>0</v>
      </c>
      <c r="U84" s="56" t="n">
        <f aca="false">T83*rescue_coupon</f>
        <v>0</v>
      </c>
      <c r="V84" s="56" t="n">
        <f aca="false">B84+G84+L84+Q84</f>
        <v>80</v>
      </c>
      <c r="W84" s="56" t="n">
        <f aca="false">C84+H84+M84+R84</f>
        <v>46.2363118832884</v>
      </c>
      <c r="X84" s="56" t="n">
        <f aca="false">E84+J84+O84+T84</f>
        <v>2499.96356542474</v>
      </c>
      <c r="Y84" s="56" t="n">
        <f aca="false">F84+K84+P84+U84</f>
        <v>87.432514796003</v>
      </c>
    </row>
    <row r="85" customFormat="false" ht="14.25" hidden="false" customHeight="true" outlineLevel="0" collapsed="false">
      <c r="A85" s="61" t="n">
        <v>1925</v>
      </c>
      <c r="B85" s="56" t="n">
        <f aca="false">SUMPRODUCT((Events!$B$6:$B$400&lt;=$A85)*(Events!$C$6:$C$400&gt;=$A85)*(Events!$E$6:$E$400="Loan")*(Events!$F$6:$F$400="Continental")*Events!$H$6:$H$400)</f>
        <v>0</v>
      </c>
      <c r="C85" s="56" t="n">
        <f aca="false">E84*cont_repay</f>
        <v>1.26286475001754</v>
      </c>
      <c r="D85" s="56" t="n">
        <f aca="false">0</f>
        <v>0</v>
      </c>
      <c r="E85" s="56" t="n">
        <f aca="false">E84+B85-C85-D85</f>
        <v>30.308754000421</v>
      </c>
      <c r="F85" s="56" t="n">
        <f aca="false">E84*cont_coupon</f>
        <v>1.57858093752193</v>
      </c>
      <c r="G85" s="56" t="n">
        <f aca="false">SUMPRODUCT((Events!$B$6:$B$400&lt;=$A85)*(Events!$C$6:$C$400&gt;=$A85)*(Events!$E$6:$E$400="Loan")*(Events!$F$6:$F$400="Asia")*Events!$H$6:$H$400)</f>
        <v>0</v>
      </c>
      <c r="H85" s="56" t="n">
        <f aca="false">J84*asia_repay</f>
        <v>9.58051740415834</v>
      </c>
      <c r="I85" s="56" t="n">
        <f aca="false">0</f>
        <v>0</v>
      </c>
      <c r="J85" s="56" t="n">
        <f aca="false">J84+G85-H85-I85</f>
        <v>229.9324176998</v>
      </c>
      <c r="K85" s="56" t="n">
        <f aca="false">J84*asia_coupon</f>
        <v>13.1732114307177</v>
      </c>
      <c r="L85" s="56" t="n">
        <f aca="false">SUMPRODUCT((Events!$B$6:$B$400&lt;=$A85)*(Events!$C$6:$C$400&gt;=$A85)*(Events!$E$6:$E$400="Loan")*(Events!$F$6:$F$400="Europe")*Events!$H$6:$H$400)</f>
        <v>0</v>
      </c>
      <c r="M85" s="56" t="n">
        <f aca="false">O84*Paths!AA85</f>
        <v>35.6620641851255</v>
      </c>
      <c r="N85" s="56" t="n">
        <f aca="false">IF($A85=1918,russia_writeoff*(O84+L85),0)-IF($A85=russia_recog_yr,russia_recog*$N$78,0)</f>
        <v>0</v>
      </c>
      <c r="O85" s="56" t="n">
        <f aca="false">O84+L85-M85-N85</f>
        <v>2193.21694738522</v>
      </c>
      <c r="P85" s="56" t="n">
        <f aca="false">O84*Paths!Z85*Paths!AB85</f>
        <v>73.5530073818213</v>
      </c>
      <c r="Q85" s="56" t="n">
        <f aca="false">SUMPRODUCT((Events!$B$6:$B$400&lt;=$A85)*(Events!$C$6:$C$400&gt;=$A85)*(Events!$E$6:$E$400="Loan")*(Events!$F$6:$F$400="Rescue")*Events!$H$6:$H$400)</f>
        <v>0</v>
      </c>
      <c r="R85" s="56" t="n">
        <f aca="false">0</f>
        <v>0</v>
      </c>
      <c r="S85" s="56" t="n">
        <f aca="false">0</f>
        <v>0</v>
      </c>
      <c r="T85" s="56" t="n">
        <f aca="false">T84+Q85-R85-S85</f>
        <v>0</v>
      </c>
      <c r="U85" s="56" t="n">
        <f aca="false">T84*rescue_coupon</f>
        <v>0</v>
      </c>
      <c r="V85" s="56" t="n">
        <f aca="false">B85+G85+L85+Q85</f>
        <v>0</v>
      </c>
      <c r="W85" s="56" t="n">
        <f aca="false">C85+H85+M85+R85</f>
        <v>46.5054463393014</v>
      </c>
      <c r="X85" s="56" t="n">
        <f aca="false">E85+J85+O85+T85</f>
        <v>2453.45811908544</v>
      </c>
      <c r="Y85" s="56" t="n">
        <f aca="false">F85+K85+P85+U85</f>
        <v>88.304799750061</v>
      </c>
    </row>
    <row r="86" customFormat="false" ht="14.25" hidden="false" customHeight="true" outlineLevel="0" collapsed="false">
      <c r="A86" s="61" t="n">
        <v>1926</v>
      </c>
      <c r="B86" s="56" t="n">
        <f aca="false">SUMPRODUCT((Events!$B$6:$B$400&lt;=$A86)*(Events!$C$6:$C$400&gt;=$A86)*(Events!$E$6:$E$400="Loan")*(Events!$F$6:$F$400="Continental")*Events!$H$6:$H$400)</f>
        <v>0</v>
      </c>
      <c r="C86" s="56" t="n">
        <f aca="false">E85*cont_repay</f>
        <v>1.21235016001684</v>
      </c>
      <c r="D86" s="56" t="n">
        <f aca="false">0</f>
        <v>0</v>
      </c>
      <c r="E86" s="56" t="n">
        <f aca="false">E85+B86-C86-D86</f>
        <v>29.0964038404042</v>
      </c>
      <c r="F86" s="56" t="n">
        <f aca="false">E85*cont_coupon</f>
        <v>1.51543770002105</v>
      </c>
      <c r="G86" s="56" t="n">
        <f aca="false">SUMPRODUCT((Events!$B$6:$B$400&lt;=$A86)*(Events!$C$6:$C$400&gt;=$A86)*(Events!$E$6:$E$400="Loan")*(Events!$F$6:$F$400="Asia")*Events!$H$6:$H$400)</f>
        <v>0</v>
      </c>
      <c r="H86" s="56" t="n">
        <f aca="false">J85*asia_repay</f>
        <v>9.19729670799201</v>
      </c>
      <c r="I86" s="56" t="n">
        <f aca="false">0</f>
        <v>0</v>
      </c>
      <c r="J86" s="56" t="n">
        <f aca="false">J85+G86-H86-I86</f>
        <v>220.735120991808</v>
      </c>
      <c r="K86" s="56" t="n">
        <f aca="false">J85*asia_coupon</f>
        <v>12.646282973489</v>
      </c>
      <c r="L86" s="56" t="n">
        <f aca="false">SUMPRODUCT((Events!$B$6:$B$400&lt;=$A86)*(Events!$C$6:$C$400&gt;=$A86)*(Events!$E$6:$E$400="Loan")*(Events!$F$6:$F$400="Europe")*Events!$H$6:$H$400)</f>
        <v>0</v>
      </c>
      <c r="M86" s="56" t="n">
        <f aca="false">O85*Paths!AA86</f>
        <v>35.0914711581635</v>
      </c>
      <c r="N86" s="56" t="n">
        <f aca="false">IF($A86=1918,russia_writeoff*(O85+L86),0)-IF($A86=russia_recog_yr,russia_recog*$N$78,0)</f>
        <v>0</v>
      </c>
      <c r="O86" s="56" t="n">
        <f aca="false">O85+L86-M86-N86</f>
        <v>2158.12547622705</v>
      </c>
      <c r="P86" s="56" t="n">
        <f aca="false">O85*Paths!Z86*Paths!AB86</f>
        <v>72.3761592637122</v>
      </c>
      <c r="Q86" s="56" t="n">
        <f aca="false">SUMPRODUCT((Events!$B$6:$B$400&lt;=$A86)*(Events!$C$6:$C$400&gt;=$A86)*(Events!$E$6:$E$400="Loan")*(Events!$F$6:$F$400="Rescue")*Events!$H$6:$H$400)</f>
        <v>0</v>
      </c>
      <c r="R86" s="56" t="n">
        <f aca="false">0</f>
        <v>0</v>
      </c>
      <c r="S86" s="56" t="n">
        <f aca="false">0</f>
        <v>0</v>
      </c>
      <c r="T86" s="56" t="n">
        <f aca="false">T85+Q86-R86-S86</f>
        <v>0</v>
      </c>
      <c r="U86" s="56" t="n">
        <f aca="false">T85*rescue_coupon</f>
        <v>0</v>
      </c>
      <c r="V86" s="56" t="n">
        <f aca="false">B86+G86+L86+Q86</f>
        <v>0</v>
      </c>
      <c r="W86" s="56" t="n">
        <f aca="false">C86+H86+M86+R86</f>
        <v>45.5011180261723</v>
      </c>
      <c r="X86" s="56" t="n">
        <f aca="false">E86+J86+O86+T86</f>
        <v>2407.95700105927</v>
      </c>
      <c r="Y86" s="56" t="n">
        <f aca="false">F86+K86+P86+U86</f>
        <v>86.5378799372222</v>
      </c>
    </row>
    <row r="87" customFormat="false" ht="14.25" hidden="false" customHeight="true" outlineLevel="0" collapsed="false">
      <c r="A87" s="61" t="n">
        <v>1927</v>
      </c>
      <c r="B87" s="56" t="n">
        <f aca="false">SUMPRODUCT((Events!$B$6:$B$400&lt;=$A87)*(Events!$C$6:$C$400&gt;=$A87)*(Events!$E$6:$E$400="Loan")*(Events!$F$6:$F$400="Continental")*Events!$H$6:$H$400)</f>
        <v>0</v>
      </c>
      <c r="C87" s="56" t="n">
        <f aca="false">E86*cont_repay</f>
        <v>1.16385615361617</v>
      </c>
      <c r="D87" s="56" t="n">
        <f aca="false">0</f>
        <v>0</v>
      </c>
      <c r="E87" s="56" t="n">
        <f aca="false">E86+B87-C87-D87</f>
        <v>27.932547686788</v>
      </c>
      <c r="F87" s="56" t="n">
        <f aca="false">E86*cont_coupon</f>
        <v>1.45482019202021</v>
      </c>
      <c r="G87" s="56" t="n">
        <f aca="false">SUMPRODUCT((Events!$B$6:$B$400&lt;=$A87)*(Events!$C$6:$C$400&gt;=$A87)*(Events!$E$6:$E$400="Loan")*(Events!$F$6:$F$400="Asia")*Events!$H$6:$H$400)+'Japan rescue'!D89</f>
        <v>165.699778315873</v>
      </c>
      <c r="H87" s="56" t="n">
        <f aca="false">(J86-0)*asia_repay+'Japan rescue'!G89</f>
        <v>8.82940483967233</v>
      </c>
      <c r="I87" s="56" t="n">
        <f aca="false">0</f>
        <v>0</v>
      </c>
      <c r="J87" s="56" t="n">
        <f aca="false">J86+G87-H87-I87</f>
        <v>377.605494468008</v>
      </c>
      <c r="K87" s="56" t="n">
        <f aca="false">(J86-0)*asia_coupon+'Japan rescue'!K89</f>
        <v>17.456632875517</v>
      </c>
      <c r="L87" s="56" t="n">
        <f aca="false">SUMPRODUCT((Events!$B$6:$B$400&lt;=$A87)*(Events!$C$6:$C$400&gt;=$A87)*(Events!$E$6:$E$400="Loan")*(Events!$F$6:$F$400="Europe")*Events!$H$6:$H$400)</f>
        <v>0</v>
      </c>
      <c r="M87" s="56" t="n">
        <f aca="false">O86*Paths!AA87</f>
        <v>34.5300076196329</v>
      </c>
      <c r="N87" s="56" t="n">
        <f aca="false">IF($A87=1918,russia_writeoff*(O86+L87),0)-IF($A87=russia_recog_yr,russia_recog*$N$78,0)</f>
        <v>0</v>
      </c>
      <c r="O87" s="56" t="n">
        <f aca="false">O86+L87-M87-N87</f>
        <v>2123.59546860742</v>
      </c>
      <c r="P87" s="56" t="n">
        <f aca="false">O86*Paths!Z87*Paths!AB87</f>
        <v>71.2181407154928</v>
      </c>
      <c r="Q87" s="56" t="n">
        <f aca="false">SUMPRODUCT((Events!$B$6:$B$400&lt;=$A87)*(Events!$C$6:$C$400&gt;=$A87)*(Events!$E$6:$E$400="Loan")*(Events!$F$6:$F$400="Rescue")*Events!$H$6:$H$400)</f>
        <v>0</v>
      </c>
      <c r="R87" s="56" t="n">
        <f aca="false">0</f>
        <v>0</v>
      </c>
      <c r="S87" s="56" t="n">
        <f aca="false">0</f>
        <v>0</v>
      </c>
      <c r="T87" s="56" t="n">
        <f aca="false">T86+Q87-R87-S87</f>
        <v>0</v>
      </c>
      <c r="U87" s="56" t="n">
        <f aca="false">T86*rescue_coupon</f>
        <v>0</v>
      </c>
      <c r="V87" s="56" t="n">
        <f aca="false">B87+G87+L87+Q87</f>
        <v>165.699778315873</v>
      </c>
      <c r="W87" s="56" t="n">
        <f aca="false">C87+H87+M87+R87</f>
        <v>44.5232686129214</v>
      </c>
      <c r="X87" s="56" t="n">
        <f aca="false">E87+J87+O87+T87</f>
        <v>2529.13351076222</v>
      </c>
      <c r="Y87" s="56" t="n">
        <f aca="false">F87+K87+P87+U87</f>
        <v>90.12959378303</v>
      </c>
    </row>
    <row r="88" customFormat="false" ht="14.25" hidden="false" customHeight="true" outlineLevel="0" collapsed="false">
      <c r="A88" s="61" t="n">
        <v>1928</v>
      </c>
      <c r="B88" s="56" t="n">
        <f aca="false">SUMPRODUCT((Events!$B$6:$B$400&lt;=$A88)*(Events!$C$6:$C$400&gt;=$A88)*(Events!$E$6:$E$400="Loan")*(Events!$F$6:$F$400="Continental")*Events!$H$6:$H$400)</f>
        <v>0</v>
      </c>
      <c r="C88" s="56" t="n">
        <f aca="false">E87*cont_repay</f>
        <v>1.11730190747152</v>
      </c>
      <c r="D88" s="56" t="n">
        <f aca="false">0</f>
        <v>0</v>
      </c>
      <c r="E88" s="56" t="n">
        <f aca="false">E87+B88-C88-D88</f>
        <v>26.8152457793165</v>
      </c>
      <c r="F88" s="56" t="n">
        <f aca="false">E87*cont_coupon</f>
        <v>1.3966273843394</v>
      </c>
      <c r="G88" s="56" t="n">
        <f aca="false">SUMPRODUCT((Events!$B$6:$B$400&lt;=$A88)*(Events!$C$6:$C$400&gt;=$A88)*(Events!$E$6:$E$400="Loan")*(Events!$F$6:$F$400="Asia")*Events!$H$6:$H$400)+'Japan rescue'!D90</f>
        <v>0</v>
      </c>
      <c r="H88" s="56" t="n">
        <f aca="false">(J87-'Japan rescue'!I89)*asia_repay+'Japan rescue'!G90</f>
        <v>8.47622864608543</v>
      </c>
      <c r="I88" s="56" t="n">
        <f aca="false">0</f>
        <v>0</v>
      </c>
      <c r="J88" s="56" t="n">
        <f aca="false">J87+G88-H88-I88</f>
        <v>369.129265821923</v>
      </c>
      <c r="K88" s="56" t="n">
        <f aca="false">(J87-'Japan rescue'!I89)*asia_coupon+'Japan rescue'!K90</f>
        <v>20.7683021957405</v>
      </c>
      <c r="L88" s="56" t="n">
        <f aca="false">SUMPRODUCT((Events!$B$6:$B$400&lt;=$A88)*(Events!$C$6:$C$400&gt;=$A88)*(Events!$E$6:$E$400="Loan")*(Events!$F$6:$F$400="Europe")*Events!$H$6:$H$400)</f>
        <v>0</v>
      </c>
      <c r="M88" s="56" t="n">
        <f aca="false">O87*Paths!AA88</f>
        <v>33.9775274977187</v>
      </c>
      <c r="N88" s="56" t="n">
        <f aca="false">IF($A88=1918,russia_writeoff*(O87+L88),0)-IF($A88=russia_recog_yr,russia_recog*$N$78,0)</f>
        <v>0</v>
      </c>
      <c r="O88" s="56" t="n">
        <f aca="false">O87+L88-M88-N88</f>
        <v>2089.6179411097</v>
      </c>
      <c r="P88" s="56" t="n">
        <f aca="false">O87*Paths!Z88*Paths!AB88</f>
        <v>70.0786504640449</v>
      </c>
      <c r="Q88" s="56" t="n">
        <f aca="false">SUMPRODUCT((Events!$B$6:$B$400&lt;=$A88)*(Events!$C$6:$C$400&gt;=$A88)*(Events!$E$6:$E$400="Loan")*(Events!$F$6:$F$400="Rescue")*Events!$H$6:$H$400)</f>
        <v>0</v>
      </c>
      <c r="R88" s="56" t="n">
        <f aca="false">0</f>
        <v>0</v>
      </c>
      <c r="S88" s="56" t="n">
        <f aca="false">0</f>
        <v>0</v>
      </c>
      <c r="T88" s="56" t="n">
        <f aca="false">T87+Q88-R88-S88</f>
        <v>0</v>
      </c>
      <c r="U88" s="56" t="n">
        <f aca="false">T87*rescue_coupon</f>
        <v>0</v>
      </c>
      <c r="V88" s="56" t="n">
        <f aca="false">B88+G88+L88+Q88</f>
        <v>0</v>
      </c>
      <c r="W88" s="56" t="n">
        <f aca="false">C88+H88+M88+R88</f>
        <v>43.5710580512757</v>
      </c>
      <c r="X88" s="56" t="n">
        <f aca="false">E88+J88+O88+T88</f>
        <v>2485.56245271094</v>
      </c>
      <c r="Y88" s="56" t="n">
        <f aca="false">F88+K88+P88+U88</f>
        <v>92.2435800441248</v>
      </c>
    </row>
    <row r="89" customFormat="false" ht="14.25" hidden="false" customHeight="true" outlineLevel="0" collapsed="false">
      <c r="A89" s="61" t="n">
        <v>1929</v>
      </c>
      <c r="B89" s="56" t="n">
        <f aca="false">SUMPRODUCT((Events!$B$6:$B$400&lt;=$A89)*(Events!$C$6:$C$400&gt;=$A89)*(Events!$E$6:$E$400="Loan")*(Events!$F$6:$F$400="Continental")*Events!$H$6:$H$400)</f>
        <v>0</v>
      </c>
      <c r="C89" s="56" t="n">
        <f aca="false">E88*cont_repay</f>
        <v>1.07260983117266</v>
      </c>
      <c r="D89" s="56" t="n">
        <f aca="false">0</f>
        <v>0</v>
      </c>
      <c r="E89" s="56" t="n">
        <f aca="false">E88+B89-C89-D89</f>
        <v>25.7426359481438</v>
      </c>
      <c r="F89" s="56" t="n">
        <f aca="false">E88*cont_coupon</f>
        <v>1.34076228896583</v>
      </c>
      <c r="G89" s="56" t="n">
        <f aca="false">SUMPRODUCT((Events!$B$6:$B$400&lt;=$A89)*(Events!$C$6:$C$400&gt;=$A89)*(Events!$E$6:$E$400="Loan")*(Events!$F$6:$F$400="Asia")*Events!$H$6:$H$400)+'Japan rescue'!D91</f>
        <v>0</v>
      </c>
      <c r="H89" s="56" t="n">
        <f aca="false">(J88-'Japan rescue'!I90)*asia_repay+'Japan rescue'!G91</f>
        <v>41.2771351634165</v>
      </c>
      <c r="I89" s="56" t="n">
        <f aca="false">0</f>
        <v>0</v>
      </c>
      <c r="J89" s="56" t="n">
        <f aca="false">J88+G89-H89-I89</f>
        <v>327.852130658506</v>
      </c>
      <c r="K89" s="56" t="n">
        <f aca="false">(J88-'Japan rescue'!I90)*asia_coupon+'Japan rescue'!K91</f>
        <v>20.3021096202058</v>
      </c>
      <c r="L89" s="56" t="n">
        <f aca="false">SUMPRODUCT((Events!$B$6:$B$400&lt;=$A89)*(Events!$C$6:$C$400&gt;=$A89)*(Events!$E$6:$E$400="Loan")*(Events!$F$6:$F$400="Europe")*Events!$H$6:$H$400)</f>
        <v>0</v>
      </c>
      <c r="M89" s="56" t="n">
        <f aca="false">O88*Paths!AA89</f>
        <v>33.4338870577552</v>
      </c>
      <c r="N89" s="56" t="n">
        <f aca="false">IF($A89=1918,russia_writeoff*(O88+L89),0)-IF($A89=russia_recog_yr,russia_recog*$N$78,0)</f>
        <v>0</v>
      </c>
      <c r="O89" s="56" t="n">
        <f aca="false">O88+L89-M89-N89</f>
        <v>2056.18405405195</v>
      </c>
      <c r="P89" s="56" t="n">
        <f aca="false">O88*Paths!Z89*Paths!AB89</f>
        <v>68.9573920566202</v>
      </c>
      <c r="Q89" s="56" t="n">
        <f aca="false">SUMPRODUCT((Events!$B$6:$B$400&lt;=$A89)*(Events!$C$6:$C$400&gt;=$A89)*(Events!$E$6:$E$400="Loan")*(Events!$F$6:$F$400="Rescue")*Events!$H$6:$H$400)</f>
        <v>0</v>
      </c>
      <c r="R89" s="56" t="n">
        <f aca="false">0</f>
        <v>0</v>
      </c>
      <c r="S89" s="56" t="n">
        <f aca="false">0</f>
        <v>0</v>
      </c>
      <c r="T89" s="56" t="n">
        <f aca="false">T88+Q89-R89-S89</f>
        <v>0</v>
      </c>
      <c r="U89" s="56" t="n">
        <f aca="false">T88*rescue_coupon</f>
        <v>0</v>
      </c>
      <c r="V89" s="56" t="n">
        <f aca="false">B89+G89+L89+Q89</f>
        <v>0</v>
      </c>
      <c r="W89" s="56" t="n">
        <f aca="false">C89+H89+M89+R89</f>
        <v>75.7836320523444</v>
      </c>
      <c r="X89" s="56" t="n">
        <f aca="false">E89+J89+O89+T89</f>
        <v>2409.7788206586</v>
      </c>
      <c r="Y89" s="56" t="n">
        <f aca="false">F89+K89+P89+U89</f>
        <v>90.6002639657918</v>
      </c>
    </row>
    <row r="90" customFormat="false" ht="14.25" hidden="false" customHeight="true" outlineLevel="0" collapsed="false">
      <c r="A90" s="61" t="n">
        <v>1930</v>
      </c>
      <c r="B90" s="56" t="n">
        <f aca="false">SUMPRODUCT((Events!$B$6:$B$400&lt;=$A90)*(Events!$C$6:$C$400&gt;=$A90)*(Events!$E$6:$E$400="Loan")*(Events!$F$6:$F$400="Continental")*Events!$H$6:$H$400)</f>
        <v>0</v>
      </c>
      <c r="C90" s="56" t="n">
        <f aca="false">E89*cont_repay</f>
        <v>1.02970543792575</v>
      </c>
      <c r="D90" s="56" t="n">
        <f aca="false">0</f>
        <v>0</v>
      </c>
      <c r="E90" s="56" t="n">
        <f aca="false">E89+B90-C90-D90</f>
        <v>24.7129305102181</v>
      </c>
      <c r="F90" s="56" t="n">
        <f aca="false">E89*cont_coupon</f>
        <v>1.28713179740719</v>
      </c>
      <c r="G90" s="56" t="n">
        <f aca="false">SUMPRODUCT((Events!$B$6:$B$400&lt;=$A90)*(Events!$C$6:$C$400&gt;=$A90)*(Events!$E$6:$E$400="Loan")*(Events!$F$6:$F$400="Asia")*Events!$H$6:$H$400)+'Japan rescue'!D92</f>
        <v>0</v>
      </c>
      <c r="H90" s="56" t="n">
        <f aca="false">(J89-'Japan rescue'!I91)*asia_repay+'Japan rescue'!G92</f>
        <v>40.9516479834068</v>
      </c>
      <c r="I90" s="56" t="n">
        <f aca="false">0</f>
        <v>0</v>
      </c>
      <c r="J90" s="56" t="n">
        <f aca="false">J89+G90-H90-I90</f>
        <v>286.9004826751</v>
      </c>
      <c r="K90" s="56" t="n">
        <f aca="false">(J89-'Japan rescue'!I91)*asia_coupon+'Japan rescue'!K92</f>
        <v>18.0318671862179</v>
      </c>
      <c r="L90" s="56" t="n">
        <f aca="false">SUMPRODUCT((Events!$B$6:$B$400&lt;=$A90)*(Events!$C$6:$C$400&gt;=$A90)*(Events!$E$6:$E$400="Loan")*(Events!$F$6:$F$400="Europe")*Events!$H$6:$H$400)</f>
        <v>0</v>
      </c>
      <c r="M90" s="56" t="n">
        <f aca="false">O89*Paths!AA90</f>
        <v>32.8989448648312</v>
      </c>
      <c r="N90" s="56" t="n">
        <f aca="false">IF($A90=1918,russia_writeoff*(O89+L90),0)-IF($A90=russia_recog_yr,russia_recog*$N$78,0)</f>
        <v>0</v>
      </c>
      <c r="O90" s="56" t="n">
        <f aca="false">O89+L90-M90-N90</f>
        <v>2023.28510918712</v>
      </c>
      <c r="P90" s="56" t="n">
        <f aca="false">O89*Paths!Z90*Paths!AB90</f>
        <v>67.8540737837143</v>
      </c>
      <c r="Q90" s="56" t="n">
        <f aca="false">SUMPRODUCT((Events!$B$6:$B$400&lt;=$A90)*(Events!$C$6:$C$400&gt;=$A90)*(Events!$E$6:$E$400="Loan")*(Events!$F$6:$F$400="Rescue")*Events!$H$6:$H$400)</f>
        <v>0</v>
      </c>
      <c r="R90" s="56" t="n">
        <f aca="false">0</f>
        <v>0</v>
      </c>
      <c r="S90" s="56" t="n">
        <f aca="false">0</f>
        <v>0</v>
      </c>
      <c r="T90" s="56" t="n">
        <f aca="false">T89+Q90-R90-S90</f>
        <v>0</v>
      </c>
      <c r="U90" s="56" t="n">
        <f aca="false">T89*rescue_coupon</f>
        <v>0</v>
      </c>
      <c r="V90" s="56" t="n">
        <f aca="false">B90+G90+L90+Q90</f>
        <v>0</v>
      </c>
      <c r="W90" s="56" t="n">
        <f aca="false">C90+H90+M90+R90</f>
        <v>74.8802982861638</v>
      </c>
      <c r="X90" s="56" t="n">
        <f aca="false">E90+J90+O90+T90</f>
        <v>2334.89852237243</v>
      </c>
      <c r="Y90" s="56" t="n">
        <f aca="false">F90+K90+P90+U90</f>
        <v>87.1730727673393</v>
      </c>
    </row>
    <row r="91" customFormat="false" ht="14.25" hidden="false" customHeight="true" outlineLevel="0" collapsed="false">
      <c r="A91" s="61" t="n">
        <v>1931</v>
      </c>
      <c r="B91" s="56" t="n">
        <f aca="false">SUMPRODUCT((Events!$B$6:$B$400&lt;=$A91)*(Events!$C$6:$C$400&gt;=$A91)*(Events!$E$6:$E$400="Loan")*(Events!$F$6:$F$400="Continental")*Events!$H$6:$H$400)</f>
        <v>0</v>
      </c>
      <c r="C91" s="56" t="n">
        <f aca="false">E90*cont_repay</f>
        <v>0.988517220408724</v>
      </c>
      <c r="D91" s="56" t="n">
        <f aca="false">0</f>
        <v>0</v>
      </c>
      <c r="E91" s="56" t="n">
        <f aca="false">E90+B91-C91-D91</f>
        <v>23.7244132898094</v>
      </c>
      <c r="F91" s="56" t="n">
        <f aca="false">E90*cont_coupon</f>
        <v>1.2356465255109</v>
      </c>
      <c r="G91" s="56" t="n">
        <f aca="false">SUMPRODUCT((Events!$B$6:$B$400&lt;=$A91)*(Events!$C$6:$C$400&gt;=$A91)*(Events!$E$6:$E$400="Loan")*(Events!$F$6:$F$400="Asia")*Events!$H$6:$H$400)+'Japan rescue'!D93</f>
        <v>0</v>
      </c>
      <c r="H91" s="56" t="n">
        <f aca="false">(J90-'Japan rescue'!I92)*asia_repay+'Japan rescue'!G93</f>
        <v>40.6391802905976</v>
      </c>
      <c r="I91" s="56" t="n">
        <f aca="false">0</f>
        <v>0</v>
      </c>
      <c r="J91" s="56" t="n">
        <f aca="false">J90+G91-H91-I91</f>
        <v>246.261302384502</v>
      </c>
      <c r="K91" s="56" t="n">
        <f aca="false">(J90-'Japan rescue'!I92)*asia_coupon+'Japan rescue'!K93</f>
        <v>15.7795265471305</v>
      </c>
      <c r="L91" s="56" t="n">
        <f aca="false">SUMPRODUCT((Events!$B$6:$B$400&lt;=$A91)*(Events!$C$6:$C$400&gt;=$A91)*(Events!$E$6:$E$400="Loan")*(Events!$F$6:$F$400="Europe")*Events!$H$6:$H$400)</f>
        <v>0</v>
      </c>
      <c r="M91" s="56" t="n">
        <f aca="false">O90*Paths!AA91</f>
        <v>0</v>
      </c>
      <c r="N91" s="56" t="n">
        <f aca="false">IF($A91=1918,russia_writeoff*(O90+L91),0)-IF($A91=russia_recog_yr,russia_recog*$N$78,0)</f>
        <v>0</v>
      </c>
      <c r="O91" s="56" t="n">
        <f aca="false">O90+L91-M91-N91</f>
        <v>2023.28510918712</v>
      </c>
      <c r="P91" s="56" t="n">
        <f aca="false">O90*Paths!Z91*Paths!AB91</f>
        <v>0</v>
      </c>
      <c r="Q91" s="56" t="n">
        <f aca="false">SUMPRODUCT((Events!$B$6:$B$400&lt;=$A91)*(Events!$C$6:$C$400&gt;=$A91)*(Events!$E$6:$E$400="Loan")*(Events!$F$6:$F$400="Rescue")*Events!$H$6:$H$400)</f>
        <v>240</v>
      </c>
      <c r="R91" s="56" t="n">
        <f aca="false">0</f>
        <v>0</v>
      </c>
      <c r="S91" s="56" t="n">
        <f aca="false">0</f>
        <v>0</v>
      </c>
      <c r="T91" s="56" t="n">
        <f aca="false">T90+Q91-R91-S91</f>
        <v>240</v>
      </c>
      <c r="U91" s="56" t="n">
        <f aca="false">T90*rescue_coupon</f>
        <v>0</v>
      </c>
      <c r="V91" s="56" t="n">
        <f aca="false">B91+G91+L91+Q91</f>
        <v>240</v>
      </c>
      <c r="W91" s="56" t="n">
        <f aca="false">C91+H91+M91+R91</f>
        <v>41.6276975110063</v>
      </c>
      <c r="X91" s="56" t="n">
        <f aca="false">E91+J91+O91+T91</f>
        <v>2533.27082486143</v>
      </c>
      <c r="Y91" s="56" t="n">
        <f aca="false">F91+K91+P91+U91</f>
        <v>17.0151730726414</v>
      </c>
    </row>
    <row r="92" customFormat="false" ht="14.25" hidden="false" customHeight="true" outlineLevel="0" collapsed="false">
      <c r="A92" s="61" t="n">
        <v>1932</v>
      </c>
      <c r="B92" s="56" t="n">
        <f aca="false">SUMPRODUCT((Events!$B$6:$B$400&lt;=$A92)*(Events!$C$6:$C$400&gt;=$A92)*(Events!$E$6:$E$400="Loan")*(Events!$F$6:$F$400="Continental")*Events!$H$6:$H$400)</f>
        <v>0</v>
      </c>
      <c r="C92" s="56" t="n">
        <f aca="false">E91*cont_repay</f>
        <v>0.948976531592375</v>
      </c>
      <c r="D92" s="56" t="n">
        <f aca="false">0</f>
        <v>0</v>
      </c>
      <c r="E92" s="56" t="n">
        <f aca="false">E91+B92-C92-D92</f>
        <v>22.775436758217</v>
      </c>
      <c r="F92" s="56" t="n">
        <f aca="false">E91*cont_coupon</f>
        <v>1.18622066449047</v>
      </c>
      <c r="G92" s="56" t="n">
        <f aca="false">SUMPRODUCT((Events!$B$6:$B$400&lt;=$A92)*(Events!$C$6:$C$400&gt;=$A92)*(Events!$E$6:$E$400="Loan")*(Events!$F$6:$F$400="Asia")*Events!$H$6:$H$400)+'Japan rescue'!D94</f>
        <v>0</v>
      </c>
      <c r="H92" s="56" t="n">
        <f aca="false">(J91-'Japan rescue'!I93)*asia_repay+'Japan rescue'!G94</f>
        <v>40.3392113055006</v>
      </c>
      <c r="I92" s="56" t="n">
        <f aca="false">0</f>
        <v>0</v>
      </c>
      <c r="J92" s="56" t="n">
        <f aca="false">J91+G92-H92-I92</f>
        <v>205.922091079001</v>
      </c>
      <c r="K92" s="56" t="n">
        <f aca="false">(J91-'Japan rescue'!I93)*asia_coupon+'Japan rescue'!K94</f>
        <v>13.5443716311476</v>
      </c>
      <c r="L92" s="56" t="n">
        <f aca="false">SUMPRODUCT((Events!$B$6:$B$400&lt;=$A92)*(Events!$C$6:$C$400&gt;=$A92)*(Events!$E$6:$E$400="Loan")*(Events!$F$6:$F$400="Europe")*Events!$H$6:$H$400)</f>
        <v>0</v>
      </c>
      <c r="M92" s="56" t="n">
        <f aca="false">O91*Paths!AA92</f>
        <v>0</v>
      </c>
      <c r="N92" s="56" t="n">
        <f aca="false">IF($A92=1918,russia_writeoff*(O91+L92),0)-IF($A92=russia_recog_yr,russia_recog*$N$78,0)</f>
        <v>0</v>
      </c>
      <c r="O92" s="56" t="n">
        <f aca="false">O91+L92-M92-N92</f>
        <v>2023.28510918712</v>
      </c>
      <c r="P92" s="56" t="n">
        <f aca="false">O91*Paths!Z92*Paths!AB92</f>
        <v>0</v>
      </c>
      <c r="Q92" s="56" t="n">
        <f aca="false">SUMPRODUCT((Events!$B$6:$B$400&lt;=$A92)*(Events!$C$6:$C$400&gt;=$A92)*(Events!$E$6:$E$400="Loan")*(Events!$F$6:$F$400="Rescue")*Events!$H$6:$H$400)</f>
        <v>160</v>
      </c>
      <c r="R92" s="56" t="n">
        <f aca="false">0</f>
        <v>0</v>
      </c>
      <c r="S92" s="56" t="n">
        <f aca="false">0</f>
        <v>0</v>
      </c>
      <c r="T92" s="56" t="n">
        <f aca="false">T91+Q92-R92-S92</f>
        <v>400</v>
      </c>
      <c r="U92" s="56" t="n">
        <f aca="false">T91*rescue_coupon</f>
        <v>9.6</v>
      </c>
      <c r="V92" s="56" t="n">
        <f aca="false">B92+G92+L92+Q92</f>
        <v>160</v>
      </c>
      <c r="W92" s="56" t="n">
        <f aca="false">C92+H92+M92+R92</f>
        <v>41.288187837093</v>
      </c>
      <c r="X92" s="56" t="n">
        <f aca="false">E92+J92+O92+T92</f>
        <v>2651.98263702433</v>
      </c>
      <c r="Y92" s="56" t="n">
        <f aca="false">F92+K92+P92+U92</f>
        <v>24.3305922956381</v>
      </c>
    </row>
  </sheetData>
  <mergeCells count="5">
    <mergeCell ref="B4:F4"/>
    <mergeCell ref="G4:K4"/>
    <mergeCell ref="L4:P4"/>
    <mergeCell ref="Q4:U4"/>
    <mergeCell ref="V4:Y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M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3" min="2" style="1" width="12.44"/>
  </cols>
  <sheetData>
    <row r="1" customFormat="false" ht="18" hidden="false" customHeight="true" outlineLevel="0" collapsed="false">
      <c r="A1" s="19" t="s">
        <v>1549</v>
      </c>
    </row>
    <row r="2" customFormat="false" ht="14.25" hidden="false" customHeight="true" outlineLevel="0" collapsed="false">
      <c r="A2" s="3" t="s">
        <v>1550</v>
      </c>
    </row>
    <row r="3" customFormat="false" ht="14.25" hidden="false" customHeight="true" outlineLevel="0" collapsed="false">
      <c r="A3" s="20" t="s">
        <v>1315</v>
      </c>
    </row>
    <row r="4" customFormat="false" ht="14.25" hidden="false" customHeight="true" outlineLevel="0" collapsed="false">
      <c r="B4" s="58" t="s">
        <v>1551</v>
      </c>
      <c r="C4" s="58"/>
      <c r="D4" s="58"/>
      <c r="E4" s="58"/>
      <c r="F4" s="58"/>
      <c r="G4" s="58" t="s">
        <v>1552</v>
      </c>
      <c r="H4" s="58"/>
      <c r="I4" s="58"/>
      <c r="J4" s="58"/>
      <c r="K4" s="58"/>
      <c r="L4" s="58"/>
      <c r="M4" s="58"/>
    </row>
    <row r="5" customFormat="false" ht="54" hidden="false" customHeight="true" outlineLevel="0" collapsed="false">
      <c r="A5" s="60" t="s">
        <v>103</v>
      </c>
      <c r="B5" s="7" t="s">
        <v>1553</v>
      </c>
      <c r="C5" s="7" t="s">
        <v>1554</v>
      </c>
      <c r="D5" s="7" t="s">
        <v>1555</v>
      </c>
      <c r="E5" s="7" t="s">
        <v>1556</v>
      </c>
      <c r="F5" s="7" t="s">
        <v>1557</v>
      </c>
      <c r="G5" s="7" t="s">
        <v>1558</v>
      </c>
      <c r="H5" s="7" t="s">
        <v>1559</v>
      </c>
      <c r="I5" s="7" t="s">
        <v>1560</v>
      </c>
      <c r="J5" s="7" t="s">
        <v>1561</v>
      </c>
      <c r="K5" s="7" t="s">
        <v>1562</v>
      </c>
      <c r="L5" s="7" t="s">
        <v>1563</v>
      </c>
      <c r="M5" s="7" t="s">
        <v>1564</v>
      </c>
    </row>
    <row r="6" customFormat="false" ht="14.25" hidden="false" customHeight="true" outlineLevel="0" collapsed="false">
      <c r="A6" s="61" t="n">
        <v>1846</v>
      </c>
      <c r="B6" s="56" t="n">
        <f aca="false">0</f>
        <v>0</v>
      </c>
      <c r="C6" s="72" t="n">
        <f aca="false">Resources!R6</f>
        <v>0</v>
      </c>
      <c r="D6" s="56" t="n">
        <f aca="false">IF($A6&gt;=1850,Economy!O6*ext_gold,0)</f>
        <v>0</v>
      </c>
      <c r="E6" s="56" t="n">
        <f aca="false">SUMPRODUCT((Events!$B$6:$B$400&lt;=$A6)*(Events!$C$6:$C$400&gt;=$A6)*(Events!$E$6:$E$400="Loan")*(Events!$J$6:$J$400="Yes")*Events!$H$6:$H$400)+SUMPRODUCT((Events!$B$6:$B$400&lt;=$A6)*(Events!$C$6:$C$400&gt;=$A6)*(Events!$E$6:$E$400="Purchase")*(Events!$J$6:$J$400="Yes")*Events!$H$6:$H$400)</f>
        <v>0</v>
      </c>
      <c r="F6" s="56" t="n">
        <f aca="false">MAX(0,B6+C6+D6-E6)</f>
        <v>0</v>
      </c>
      <c r="G6" s="56" t="n">
        <f aca="false">IF(OR($A6=1931,$A6=1932),cb_buy/2,0)</f>
        <v>0</v>
      </c>
      <c r="H6" s="56" t="n">
        <f aca="false">0</f>
        <v>0</v>
      </c>
      <c r="I6" s="56" t="n">
        <f aca="false">Economy!O6*money_ratio+H6</f>
        <v>1.32139187985</v>
      </c>
      <c r="J6" s="56" t="n">
        <f aca="false">I6*gold_cover</f>
        <v>0.52855675194</v>
      </c>
      <c r="K6" s="56" t="n">
        <f aca="false">F6-J6</f>
        <v>-0.52855675194</v>
      </c>
      <c r="L6" s="66" t="n">
        <f aca="false">IF(I6&gt;0,F6/I6,0)</f>
        <v>0</v>
      </c>
      <c r="M6" s="66" t="n">
        <f aca="false">IF(Paths!AD6&gt;0,F6/Paths!AD6,0)</f>
        <v>0</v>
      </c>
    </row>
    <row r="7" customFormat="false" ht="14.25" hidden="false" customHeight="true" outlineLevel="0" collapsed="false">
      <c r="A7" s="61" t="n">
        <v>1847</v>
      </c>
      <c r="B7" s="56" t="n">
        <f aca="false">F6</f>
        <v>0</v>
      </c>
      <c r="C7" s="72" t="n">
        <f aca="false">Resources!R7</f>
        <v>0</v>
      </c>
      <c r="D7" s="56" t="n">
        <f aca="false">IF($A7&gt;=1850,Economy!O7*ext_gold,0)</f>
        <v>0</v>
      </c>
      <c r="E7" s="56" t="n">
        <f aca="false">SUMPRODUCT((Events!$B$6:$B$400&lt;=$A7)*(Events!$C$6:$C$400&gt;=$A7)*(Events!$E$6:$E$400="Loan")*(Events!$J$6:$J$400="Yes")*Events!$H$6:$H$400)+SUMPRODUCT((Events!$B$6:$B$400&lt;=$A7)*(Events!$C$6:$C$400&gt;=$A7)*(Events!$E$6:$E$400="Purchase")*(Events!$J$6:$J$400="Yes")*Events!$H$6:$H$400)</f>
        <v>0</v>
      </c>
      <c r="F7" s="56" t="n">
        <f aca="false">MAX(0,B7+C7+D7-E7)</f>
        <v>0</v>
      </c>
      <c r="G7" s="56" t="n">
        <f aca="false">IF(OR($A7=1931,$A7=1932),cb_buy/2,0)</f>
        <v>0</v>
      </c>
      <c r="H7" s="56" t="n">
        <f aca="false">H6+G7</f>
        <v>0</v>
      </c>
      <c r="I7" s="56" t="n">
        <f aca="false">Economy!O7*money_ratio+H7</f>
        <v>1.37885461409395</v>
      </c>
      <c r="J7" s="56" t="n">
        <f aca="false">I7*gold_cover</f>
        <v>0.551541845637579</v>
      </c>
      <c r="K7" s="56" t="n">
        <f aca="false">F7-J7</f>
        <v>-0.551541845637579</v>
      </c>
      <c r="L7" s="66" t="n">
        <f aca="false">IF(I7&gt;0,F7/I7,0)</f>
        <v>0</v>
      </c>
      <c r="M7" s="66" t="n">
        <f aca="false">IF(Paths!AD7&gt;0,F7/Paths!AD7,0)</f>
        <v>0</v>
      </c>
    </row>
    <row r="8" customFormat="false" ht="14.25" hidden="false" customHeight="true" outlineLevel="0" collapsed="false">
      <c r="A8" s="61" t="n">
        <v>1848</v>
      </c>
      <c r="B8" s="56" t="n">
        <f aca="false">F7</f>
        <v>0</v>
      </c>
      <c r="C8" s="72" t="n">
        <f aca="false">Resources!R8</f>
        <v>2</v>
      </c>
      <c r="D8" s="56" t="n">
        <f aca="false">IF($A8&gt;=1850,Economy!O8*ext_gold,0)</f>
        <v>0</v>
      </c>
      <c r="E8" s="56" t="n">
        <f aca="false">SUMPRODUCT((Events!$B$6:$B$400&lt;=$A8)*(Events!$C$6:$C$400&gt;=$A8)*(Events!$E$6:$E$400="Loan")*(Events!$J$6:$J$400="Yes")*Events!$H$6:$H$400)+SUMPRODUCT((Events!$B$6:$B$400&lt;=$A8)*(Events!$C$6:$C$400&gt;=$A8)*(Events!$E$6:$E$400="Purchase")*(Events!$J$6:$J$400="Yes")*Events!$H$6:$H$400)</f>
        <v>0</v>
      </c>
      <c r="F8" s="56" t="n">
        <f aca="false">MAX(0,B8+C8+D8-E8)</f>
        <v>2</v>
      </c>
      <c r="G8" s="56" t="n">
        <f aca="false">IF(OR($A8=1931,$A8=1932),cb_buy/2,0)</f>
        <v>0</v>
      </c>
      <c r="H8" s="56" t="n">
        <f aca="false">H7+G8</f>
        <v>0</v>
      </c>
      <c r="I8" s="56" t="n">
        <f aca="false">Economy!O8*money_ratio+H8</f>
        <v>2.02866330352658</v>
      </c>
      <c r="J8" s="56" t="n">
        <f aca="false">I8*gold_cover</f>
        <v>0.811465321410632</v>
      </c>
      <c r="K8" s="56" t="n">
        <f aca="false">F8-J8</f>
        <v>1.18853467858937</v>
      </c>
      <c r="L8" s="66" t="n">
        <f aca="false">IF(I8&gt;0,F8/I8,0)</f>
        <v>0.985870842403098</v>
      </c>
      <c r="M8" s="66" t="n">
        <f aca="false">IF(Paths!AD8&gt;0,F8/Paths!AD8,0)</f>
        <v>0.00133333333333333</v>
      </c>
    </row>
    <row r="9" customFormat="false" ht="14.25" hidden="false" customHeight="true" outlineLevel="0" collapsed="false">
      <c r="A9" s="61" t="n">
        <v>1849</v>
      </c>
      <c r="B9" s="56" t="n">
        <f aca="false">F8</f>
        <v>2</v>
      </c>
      <c r="C9" s="72" t="n">
        <f aca="false">Resources!R9</f>
        <v>8</v>
      </c>
      <c r="D9" s="56" t="n">
        <f aca="false">IF($A9&gt;=1850,Economy!O9*ext_gold,0)</f>
        <v>0</v>
      </c>
      <c r="E9" s="56" t="n">
        <f aca="false">SUMPRODUCT((Events!$B$6:$B$400&lt;=$A9)*(Events!$C$6:$C$400&gt;=$A9)*(Events!$E$6:$E$400="Loan")*(Events!$J$6:$J$400="Yes")*Events!$H$6:$H$400)+SUMPRODUCT((Events!$B$6:$B$400&lt;=$A9)*(Events!$C$6:$C$400&gt;=$A9)*(Events!$E$6:$E$400="Purchase")*(Events!$J$6:$J$400="Yes")*Events!$H$6:$H$400)</f>
        <v>0</v>
      </c>
      <c r="F9" s="56" t="n">
        <f aca="false">MAX(0,B9+C9+D9-E9)</f>
        <v>10</v>
      </c>
      <c r="G9" s="56" t="n">
        <f aca="false">IF(OR($A9=1931,$A9=1932),cb_buy/2,0)</f>
        <v>0</v>
      </c>
      <c r="H9" s="56" t="n">
        <f aca="false">H8+G9</f>
        <v>0</v>
      </c>
      <c r="I9" s="56" t="n">
        <f aca="false">Economy!O9*money_ratio+H9</f>
        <v>5.24760643287009</v>
      </c>
      <c r="J9" s="56" t="n">
        <f aca="false">I9*gold_cover</f>
        <v>2.09904257314803</v>
      </c>
      <c r="K9" s="56" t="n">
        <f aca="false">F9-J9</f>
        <v>7.90095742685197</v>
      </c>
      <c r="L9" s="66" t="n">
        <f aca="false">IF(I9&gt;0,F9/I9,0)</f>
        <v>1.90563071524605</v>
      </c>
      <c r="M9" s="66" t="n">
        <f aca="false">IF(Paths!AD9&gt;0,F9/Paths!AD9,0)</f>
        <v>0.00666666666666667</v>
      </c>
    </row>
    <row r="10" customFormat="false" ht="14.25" hidden="false" customHeight="true" outlineLevel="0" collapsed="false">
      <c r="A10" s="61" t="n">
        <v>1850</v>
      </c>
      <c r="B10" s="56" t="n">
        <f aca="false">F9</f>
        <v>10</v>
      </c>
      <c r="C10" s="72" t="n">
        <f aca="false">Resources!R10</f>
        <v>8.2</v>
      </c>
      <c r="D10" s="56" t="n">
        <f aca="false">IF($A10&gt;=1850,Economy!O10*ext_gold,0)</f>
        <v>0.178919822136117</v>
      </c>
      <c r="E10" s="56" t="n">
        <f aca="false">SUMPRODUCT((Events!$B$6:$B$400&lt;=$A10)*(Events!$C$6:$C$400&gt;=$A10)*(Events!$E$6:$E$400="Loan")*(Events!$J$6:$J$400="Yes")*Events!$H$6:$H$400)+SUMPRODUCT((Events!$B$6:$B$400&lt;=$A10)*(Events!$C$6:$C$400&gt;=$A10)*(Events!$E$6:$E$400="Purchase")*(Events!$J$6:$J$400="Yes")*Events!$H$6:$H$400)</f>
        <v>0</v>
      </c>
      <c r="F10" s="56" t="n">
        <f aca="false">MAX(0,B10+C10+D10-E10)</f>
        <v>18.3789198221361</v>
      </c>
      <c r="G10" s="56" t="n">
        <f aca="false">IF(OR($A10=1931,$A10=1932),cb_buy/2,0)</f>
        <v>0</v>
      </c>
      <c r="H10" s="56" t="n">
        <f aca="false">H9+G10</f>
        <v>0</v>
      </c>
      <c r="I10" s="56" t="n">
        <f aca="false">Economy!O10*money_ratio+H10</f>
        <v>6.2621937747641</v>
      </c>
      <c r="J10" s="56" t="n">
        <f aca="false">I10*gold_cover</f>
        <v>2.50487750990564</v>
      </c>
      <c r="K10" s="56" t="n">
        <f aca="false">F10-J10</f>
        <v>15.8740423122305</v>
      </c>
      <c r="L10" s="66" t="n">
        <f aca="false">IF(I10&gt;0,F10/I10,0)</f>
        <v>2.9349011677347</v>
      </c>
      <c r="M10" s="66" t="n">
        <f aca="false">IF(Paths!AD10&gt;0,F10/Paths!AD10,0)</f>
        <v>0.0122526132147574</v>
      </c>
    </row>
    <row r="11" customFormat="false" ht="14.25" hidden="false" customHeight="true" outlineLevel="0" collapsed="false">
      <c r="A11" s="61" t="n">
        <v>1851</v>
      </c>
      <c r="B11" s="56" t="n">
        <f aca="false">F10</f>
        <v>18.3789198221361</v>
      </c>
      <c r="C11" s="72" t="n">
        <f aca="false">Resources!R11</f>
        <v>15</v>
      </c>
      <c r="D11" s="56" t="n">
        <f aca="false">IF($A11&gt;=1850,Economy!O11*ext_gold,0)</f>
        <v>0.248012872898598</v>
      </c>
      <c r="E11" s="56" t="n">
        <f aca="false">SUMPRODUCT((Events!$B$6:$B$400&lt;=$A11)*(Events!$C$6:$C$400&gt;=$A11)*(Events!$E$6:$E$400="Loan")*(Events!$J$6:$J$400="Yes")*Events!$H$6:$H$400)+SUMPRODUCT((Events!$B$6:$B$400&lt;=$A11)*(Events!$C$6:$C$400&gt;=$A11)*(Events!$E$6:$E$400="Purchase")*(Events!$J$6:$J$400="Yes")*Events!$H$6:$H$400)</f>
        <v>0</v>
      </c>
      <c r="F11" s="56" t="n">
        <f aca="false">MAX(0,B11+C11+D11-E11)</f>
        <v>33.6269326950347</v>
      </c>
      <c r="G11" s="56" t="n">
        <f aca="false">IF(OR($A11=1931,$A11=1932),cb_buy/2,0)</f>
        <v>0</v>
      </c>
      <c r="H11" s="56" t="n">
        <f aca="false">H10+G11</f>
        <v>0</v>
      </c>
      <c r="I11" s="56" t="n">
        <f aca="false">Economy!O11*money_ratio+H11</f>
        <v>8.68045055145094</v>
      </c>
      <c r="J11" s="56" t="n">
        <f aca="false">I11*gold_cover</f>
        <v>3.47218022058038</v>
      </c>
      <c r="K11" s="56" t="n">
        <f aca="false">F11-J11</f>
        <v>30.1547524744543</v>
      </c>
      <c r="L11" s="66" t="n">
        <f aca="false">IF(I11&gt;0,F11/I11,0)</f>
        <v>3.87386950662532</v>
      </c>
      <c r="M11" s="66" t="n">
        <f aca="false">IF(Paths!AD11&gt;0,F11/Paths!AD11,0)</f>
        <v>0.0219067965439966</v>
      </c>
    </row>
    <row r="12" customFormat="false" ht="14.25" hidden="false" customHeight="true" outlineLevel="0" collapsed="false">
      <c r="A12" s="61" t="n">
        <v>1852</v>
      </c>
      <c r="B12" s="56" t="n">
        <f aca="false">F11</f>
        <v>33.6269326950347</v>
      </c>
      <c r="C12" s="72" t="n">
        <f aca="false">Resources!R12</f>
        <v>16.2</v>
      </c>
      <c r="D12" s="56" t="n">
        <f aca="false">IF($A12&gt;=1850,Economy!O12*ext_gold,0)</f>
        <v>0.292022396007147</v>
      </c>
      <c r="E12" s="56" t="n">
        <f aca="false">SUMPRODUCT((Events!$B$6:$B$400&lt;=$A12)*(Events!$C$6:$C$400&gt;=$A12)*(Events!$E$6:$E$400="Loan")*(Events!$J$6:$J$400="Yes")*Events!$H$6:$H$400)+SUMPRODUCT((Events!$B$6:$B$400&lt;=$A12)*(Events!$C$6:$C$400&gt;=$A12)*(Events!$E$6:$E$400="Purchase")*(Events!$J$6:$J$400="Yes")*Events!$H$6:$H$400)</f>
        <v>0</v>
      </c>
      <c r="F12" s="56" t="n">
        <f aca="false">MAX(0,B12+C12+D12-E12)</f>
        <v>50.1189550910419</v>
      </c>
      <c r="G12" s="56" t="n">
        <f aca="false">IF(OR($A12=1931,$A12=1932),cb_buy/2,0)</f>
        <v>0</v>
      </c>
      <c r="H12" s="56" t="n">
        <f aca="false">H11+G12</f>
        <v>0</v>
      </c>
      <c r="I12" s="56" t="n">
        <f aca="false">Economy!O12*money_ratio+H12</f>
        <v>10.2207838602502</v>
      </c>
      <c r="J12" s="56" t="n">
        <f aca="false">I12*gold_cover</f>
        <v>4.08831354410006</v>
      </c>
      <c r="K12" s="56" t="n">
        <f aca="false">F12-J12</f>
        <v>46.0306415469418</v>
      </c>
      <c r="L12" s="66" t="n">
        <f aca="false">IF(I12&gt;0,F12/I12,0)</f>
        <v>4.90363124554081</v>
      </c>
      <c r="M12" s="66" t="n">
        <f aca="false">IF(Paths!AD12&gt;0,F12/Paths!AD12,0)</f>
        <v>0.0319229013318738</v>
      </c>
    </row>
    <row r="13" customFormat="false" ht="14.25" hidden="false" customHeight="true" outlineLevel="0" collapsed="false">
      <c r="A13" s="61" t="n">
        <v>1853</v>
      </c>
      <c r="B13" s="56" t="n">
        <f aca="false">F12</f>
        <v>50.1189550910419</v>
      </c>
      <c r="C13" s="72" t="n">
        <f aca="false">Resources!R13</f>
        <v>13.4</v>
      </c>
      <c r="D13" s="56" t="n">
        <f aca="false">IF($A13&gt;=1850,Economy!O13*ext_gold,0)</f>
        <v>0.313626771168262</v>
      </c>
      <c r="E13" s="56" t="n">
        <f aca="false">SUMPRODUCT((Events!$B$6:$B$400&lt;=$A13)*(Events!$C$6:$C$400&gt;=$A13)*(Events!$E$6:$E$400="Loan")*(Events!$J$6:$J$400="Yes")*Events!$H$6:$H$400)+SUMPRODUCT((Events!$B$6:$B$400&lt;=$A13)*(Events!$C$6:$C$400&gt;=$A13)*(Events!$E$6:$E$400="Purchase")*(Events!$J$6:$J$400="Yes")*Events!$H$6:$H$400)</f>
        <v>0</v>
      </c>
      <c r="F13" s="56" t="n">
        <f aca="false">MAX(0,B13+C13+D13-E13)</f>
        <v>63.8325818622101</v>
      </c>
      <c r="G13" s="56" t="n">
        <f aca="false">IF(OR($A13=1931,$A13=1932),cb_buy/2,0)</f>
        <v>0</v>
      </c>
      <c r="H13" s="56" t="n">
        <f aca="false">H12+G13</f>
        <v>0</v>
      </c>
      <c r="I13" s="56" t="n">
        <f aca="false">Economy!O13*money_ratio+H13</f>
        <v>10.9769369908892</v>
      </c>
      <c r="J13" s="56" t="n">
        <f aca="false">I13*gold_cover</f>
        <v>4.39077479635567</v>
      </c>
      <c r="K13" s="56" t="n">
        <f aca="false">F13-J13</f>
        <v>59.4418070658545</v>
      </c>
      <c r="L13" s="66" t="n">
        <f aca="false">IF(I13&gt;0,F13/I13,0)</f>
        <v>5.81515425616372</v>
      </c>
      <c r="M13" s="66" t="n">
        <f aca="false">IF(Paths!AD13&gt;0,F13/Paths!AD13,0)</f>
        <v>0.0397710790418755</v>
      </c>
    </row>
    <row r="14" customFormat="false" ht="14.25" hidden="false" customHeight="true" outlineLevel="0" collapsed="false">
      <c r="A14" s="61" t="n">
        <v>1854</v>
      </c>
      <c r="B14" s="56" t="n">
        <f aca="false">F13</f>
        <v>63.8325818622101</v>
      </c>
      <c r="C14" s="72" t="n">
        <f aca="false">Resources!R14</f>
        <v>13.8</v>
      </c>
      <c r="D14" s="56" t="n">
        <f aca="false">IF($A14&gt;=1850,Economy!O14*ext_gold,0)</f>
        <v>0.349028769195458</v>
      </c>
      <c r="E14" s="56" t="n">
        <f aca="false">SUMPRODUCT((Events!$B$6:$B$400&lt;=$A14)*(Events!$C$6:$C$400&gt;=$A14)*(Events!$E$6:$E$400="Loan")*(Events!$J$6:$J$400="Yes")*Events!$H$6:$H$400)+SUMPRODUCT((Events!$B$6:$B$400&lt;=$A14)*(Events!$C$6:$C$400&gt;=$A14)*(Events!$E$6:$E$400="Purchase")*(Events!$J$6:$J$400="Yes")*Events!$H$6:$H$400)</f>
        <v>0</v>
      </c>
      <c r="F14" s="56" t="n">
        <f aca="false">MAX(0,B14+C14+D14-E14)</f>
        <v>77.9816106314056</v>
      </c>
      <c r="G14" s="56" t="n">
        <f aca="false">IF(OR($A14=1931,$A14=1932),cb_buy/2,0)</f>
        <v>0</v>
      </c>
      <c r="H14" s="56" t="n">
        <f aca="false">H13+G14</f>
        <v>0</v>
      </c>
      <c r="I14" s="56" t="n">
        <f aca="false">Economy!O14*money_ratio+H14</f>
        <v>12.216006921841</v>
      </c>
      <c r="J14" s="56" t="n">
        <f aca="false">I14*gold_cover</f>
        <v>4.88640276873641</v>
      </c>
      <c r="K14" s="56" t="n">
        <f aca="false">F14-J14</f>
        <v>73.0952078626692</v>
      </c>
      <c r="L14" s="66" t="n">
        <f aca="false">IF(I14&gt;0,F14/I14,0)</f>
        <v>6.3835597941568</v>
      </c>
      <c r="M14" s="66" t="n">
        <f aca="false">IF(Paths!AD14&gt;0,F14/Paths!AD14,0)</f>
        <v>0.0475497625801253</v>
      </c>
    </row>
    <row r="15" customFormat="false" ht="14.25" hidden="false" customHeight="true" outlineLevel="0" collapsed="false">
      <c r="A15" s="61" t="n">
        <v>1855</v>
      </c>
      <c r="B15" s="56" t="n">
        <f aca="false">F14</f>
        <v>77.9816106314056</v>
      </c>
      <c r="C15" s="72" t="n">
        <f aca="false">Resources!R15</f>
        <v>11</v>
      </c>
      <c r="D15" s="56" t="n">
        <f aca="false">IF($A15&gt;=1850,Economy!O15*ext_gold,0)</f>
        <v>0.361217859977385</v>
      </c>
      <c r="E15" s="56" t="n">
        <f aca="false">SUMPRODUCT((Events!$B$6:$B$400&lt;=$A15)*(Events!$C$6:$C$400&gt;=$A15)*(Events!$E$6:$E$400="Loan")*(Events!$J$6:$J$400="Yes")*Events!$H$6:$H$400)+SUMPRODUCT((Events!$B$6:$B$400&lt;=$A15)*(Events!$C$6:$C$400&gt;=$A15)*(Events!$E$6:$E$400="Purchase")*(Events!$J$6:$J$400="Yes")*Events!$H$6:$H$400)</f>
        <v>0</v>
      </c>
      <c r="F15" s="56" t="n">
        <f aca="false">MAX(0,B15+C15+D15-E15)</f>
        <v>89.342828491383</v>
      </c>
      <c r="G15" s="56" t="n">
        <f aca="false">IF(OR($A15=1931,$A15=1932),cb_buy/2,0)</f>
        <v>0</v>
      </c>
      <c r="H15" s="56" t="n">
        <f aca="false">H14+G15</f>
        <v>0</v>
      </c>
      <c r="I15" s="56" t="n">
        <f aca="false">Economy!O15*money_ratio+H15</f>
        <v>12.6426250992085</v>
      </c>
      <c r="J15" s="56" t="n">
        <f aca="false">I15*gold_cover</f>
        <v>5.05705003968339</v>
      </c>
      <c r="K15" s="56" t="n">
        <f aca="false">F15-J15</f>
        <v>84.2857784516996</v>
      </c>
      <c r="L15" s="66" t="n">
        <f aca="false">IF(I15&gt;0,F15/I15,0)</f>
        <v>7.06679410251408</v>
      </c>
      <c r="M15" s="66" t="n">
        <f aca="false">IF(Paths!AD15&gt;0,F15/Paths!AD15,0)</f>
        <v>0.0533390020844077</v>
      </c>
    </row>
    <row r="16" customFormat="false" ht="14.25" hidden="false" customHeight="true" outlineLevel="0" collapsed="false">
      <c r="A16" s="61" t="n">
        <v>1856</v>
      </c>
      <c r="B16" s="56" t="n">
        <f aca="false">F15</f>
        <v>89.342828491383</v>
      </c>
      <c r="C16" s="72" t="n">
        <f aca="false">Resources!R16</f>
        <v>11.4</v>
      </c>
      <c r="D16" s="56" t="n">
        <f aca="false">IF($A16&gt;=1850,Economy!O16*ext_gold,0)</f>
        <v>0.410736696300456</v>
      </c>
      <c r="E16" s="56" t="n">
        <f aca="false">SUMPRODUCT((Events!$B$6:$B$400&lt;=$A16)*(Events!$C$6:$C$400&gt;=$A16)*(Events!$E$6:$E$400="Loan")*(Events!$J$6:$J$400="Yes")*Events!$H$6:$H$400)+SUMPRODUCT((Events!$B$6:$B$400&lt;=$A16)*(Events!$C$6:$C$400&gt;=$A16)*(Events!$E$6:$E$400="Purchase")*(Events!$J$6:$J$400="Yes")*Events!$H$6:$H$400)</f>
        <v>0</v>
      </c>
      <c r="F16" s="56" t="n">
        <f aca="false">MAX(0,B16+C16+D16-E16)</f>
        <v>101.153565187683</v>
      </c>
      <c r="G16" s="56" t="n">
        <f aca="false">IF(OR($A16=1931,$A16=1932),cb_buy/2,0)</f>
        <v>0</v>
      </c>
      <c r="H16" s="56" t="n">
        <f aca="false">H15+G16</f>
        <v>0</v>
      </c>
      <c r="I16" s="56" t="n">
        <f aca="false">Economy!O16*money_ratio+H16</f>
        <v>14.375784370516</v>
      </c>
      <c r="J16" s="56" t="n">
        <f aca="false">I16*gold_cover</f>
        <v>5.75031374820638</v>
      </c>
      <c r="K16" s="56" t="n">
        <f aca="false">F16-J16</f>
        <v>95.4032514394771</v>
      </c>
      <c r="L16" s="66" t="n">
        <f aca="false">IF(I16&gt;0,F16/I16,0)</f>
        <v>7.03638581246005</v>
      </c>
      <c r="M16" s="66" t="n">
        <f aca="false">IF(Paths!AD16&gt;0,F16/Paths!AD16,0)</f>
        <v>0.0591541316887038</v>
      </c>
    </row>
    <row r="17" customFormat="false" ht="14.25" hidden="false" customHeight="true" outlineLevel="0" collapsed="false">
      <c r="A17" s="61" t="n">
        <v>1857</v>
      </c>
      <c r="B17" s="56" t="n">
        <f aca="false">F16</f>
        <v>101.153565187683</v>
      </c>
      <c r="C17" s="72" t="n">
        <f aca="false">Resources!R17</f>
        <v>8.6</v>
      </c>
      <c r="D17" s="56" t="n">
        <f aca="false">IF($A17&gt;=1850,Economy!O17*ext_gold,0)</f>
        <v>0.434202294241487</v>
      </c>
      <c r="E17" s="56" t="n">
        <f aca="false">SUMPRODUCT((Events!$B$6:$B$400&lt;=$A17)*(Events!$C$6:$C$400&gt;=$A17)*(Events!$E$6:$E$400="Loan")*(Events!$J$6:$J$400="Yes")*Events!$H$6:$H$400)+SUMPRODUCT((Events!$B$6:$B$400&lt;=$A17)*(Events!$C$6:$C$400&gt;=$A17)*(Events!$E$6:$E$400="Purchase")*(Events!$J$6:$J$400="Yes")*Events!$H$6:$H$400)</f>
        <v>0</v>
      </c>
      <c r="F17" s="56" t="n">
        <f aca="false">MAX(0,B17+C17+D17-E17)</f>
        <v>110.187767481925</v>
      </c>
      <c r="G17" s="56" t="n">
        <f aca="false">IF(OR($A17=1931,$A17=1932),cb_buy/2,0)</f>
        <v>0</v>
      </c>
      <c r="H17" s="56" t="n">
        <f aca="false">H16+G17</f>
        <v>0</v>
      </c>
      <c r="I17" s="56" t="n">
        <f aca="false">Economy!O17*money_ratio+H17</f>
        <v>15.1970802984521</v>
      </c>
      <c r="J17" s="56" t="n">
        <f aca="false">I17*gold_cover</f>
        <v>6.07883211938082</v>
      </c>
      <c r="K17" s="56" t="n">
        <f aca="false">F17-J17</f>
        <v>104.108935362544</v>
      </c>
      <c r="L17" s="66" t="n">
        <f aca="false">IF(I17&gt;0,F17/I17,0)</f>
        <v>7.25058796281733</v>
      </c>
      <c r="M17" s="66" t="n">
        <f aca="false">IF(Paths!AD17&gt;0,F17/Paths!AD17,0)</f>
        <v>0.0631448524251719</v>
      </c>
    </row>
    <row r="18" customFormat="false" ht="14.25" hidden="false" customHeight="true" outlineLevel="0" collapsed="false">
      <c r="A18" s="61" t="n">
        <v>1858</v>
      </c>
      <c r="B18" s="56" t="n">
        <f aca="false">F17</f>
        <v>110.187767481925</v>
      </c>
      <c r="C18" s="72" t="n">
        <f aca="false">Resources!R18</f>
        <v>9.4</v>
      </c>
      <c r="D18" s="56" t="n">
        <f aca="false">IF($A18&gt;=1850,Economy!O18*ext_gold,0)</f>
        <v>0.485932222380429</v>
      </c>
      <c r="E18" s="56" t="n">
        <f aca="false">SUMPRODUCT((Events!$B$6:$B$400&lt;=$A18)*(Events!$C$6:$C$400&gt;=$A18)*(Events!$E$6:$E$400="Loan")*(Events!$J$6:$J$400="Yes")*Events!$H$6:$H$400)+SUMPRODUCT((Events!$B$6:$B$400&lt;=$A18)*(Events!$C$6:$C$400&gt;=$A18)*(Events!$E$6:$E$400="Purchase")*(Events!$J$6:$J$400="Yes")*Events!$H$6:$H$400)</f>
        <v>0</v>
      </c>
      <c r="F18" s="56" t="n">
        <f aca="false">MAX(0,B18+C18+D18-E18)</f>
        <v>120.073699704305</v>
      </c>
      <c r="G18" s="56" t="n">
        <f aca="false">IF(OR($A18=1931,$A18=1932),cb_buy/2,0)</f>
        <v>0</v>
      </c>
      <c r="H18" s="56" t="n">
        <f aca="false">H17+G18</f>
        <v>0</v>
      </c>
      <c r="I18" s="56" t="n">
        <f aca="false">Economy!O18*money_ratio+H18</f>
        <v>17.007627783315</v>
      </c>
      <c r="J18" s="56" t="n">
        <f aca="false">I18*gold_cover</f>
        <v>6.80305111332601</v>
      </c>
      <c r="K18" s="56" t="n">
        <f aca="false">F18-J18</f>
        <v>113.270648590979</v>
      </c>
      <c r="L18" s="66" t="n">
        <f aca="false">IF(I18&gt;0,F18/I18,0)</f>
        <v>7.059991036616</v>
      </c>
      <c r="M18" s="66" t="n">
        <f aca="false">IF(Paths!AD18&gt;0,F18/Paths!AD18,0)</f>
        <v>0.0674571346653401</v>
      </c>
    </row>
    <row r="19" customFormat="false" ht="14.25" hidden="false" customHeight="true" outlineLevel="0" collapsed="false">
      <c r="A19" s="61" t="n">
        <v>1859</v>
      </c>
      <c r="B19" s="56" t="n">
        <f aca="false">F18</f>
        <v>120.073699704305</v>
      </c>
      <c r="C19" s="72" t="n">
        <f aca="false">Resources!R19</f>
        <v>9.2</v>
      </c>
      <c r="D19" s="56" t="n">
        <f aca="false">IF($A19&gt;=1850,Economy!O19*ext_gold,0)</f>
        <v>0.538764190974562</v>
      </c>
      <c r="E19" s="56" t="n">
        <f aca="false">SUMPRODUCT((Events!$B$6:$B$400&lt;=$A19)*(Events!$C$6:$C$400&gt;=$A19)*(Events!$E$6:$E$400="Loan")*(Events!$J$6:$J$400="Yes")*Events!$H$6:$H$400)+SUMPRODUCT((Events!$B$6:$B$400&lt;=$A19)*(Events!$C$6:$C$400&gt;=$A19)*(Events!$E$6:$E$400="Purchase")*(Events!$J$6:$J$400="Yes")*Events!$H$6:$H$400)</f>
        <v>0</v>
      </c>
      <c r="F19" s="56" t="n">
        <f aca="false">MAX(0,B19+C19+D19-E19)</f>
        <v>129.81246389528</v>
      </c>
      <c r="G19" s="56" t="n">
        <f aca="false">IF(OR($A19=1931,$A19=1932),cb_buy/2,0)</f>
        <v>0</v>
      </c>
      <c r="H19" s="56" t="n">
        <f aca="false">H18+G19</f>
        <v>0</v>
      </c>
      <c r="I19" s="56" t="n">
        <f aca="false">Economy!O19*money_ratio+H19</f>
        <v>18.8567466841097</v>
      </c>
      <c r="J19" s="56" t="n">
        <f aca="false">I19*gold_cover</f>
        <v>7.54269867364386</v>
      </c>
      <c r="K19" s="56" t="n">
        <f aca="false">F19-J19</f>
        <v>122.269765221636</v>
      </c>
      <c r="L19" s="66" t="n">
        <f aca="false">IF(I19&gt;0,F19/I19,0)</f>
        <v>6.88413892756332</v>
      </c>
      <c r="M19" s="66" t="n">
        <f aca="false">IF(Paths!AD19&gt;0,F19/Paths!AD19,0)</f>
        <v>0.0715220186750853</v>
      </c>
    </row>
    <row r="20" customFormat="false" ht="14.25" hidden="false" customHeight="true" outlineLevel="0" collapsed="false">
      <c r="A20" s="61" t="n">
        <v>1860</v>
      </c>
      <c r="B20" s="56" t="n">
        <f aca="false">F19</f>
        <v>129.81246389528</v>
      </c>
      <c r="C20" s="72" t="n">
        <f aca="false">Resources!R20</f>
        <v>9</v>
      </c>
      <c r="D20" s="56" t="n">
        <f aca="false">IF($A20&gt;=1850,Economy!O20*ext_gold,0)</f>
        <v>0.587416498750638</v>
      </c>
      <c r="E20" s="56" t="n">
        <f aca="false">SUMPRODUCT((Events!$B$6:$B$400&lt;=$A20)*(Events!$C$6:$C$400&gt;=$A20)*(Events!$E$6:$E$400="Loan")*(Events!$J$6:$J$400="Yes")*Events!$H$6:$H$400)+SUMPRODUCT((Events!$B$6:$B$400&lt;=$A20)*(Events!$C$6:$C$400&gt;=$A20)*(Events!$E$6:$E$400="Purchase")*(Events!$J$6:$J$400="Yes")*Events!$H$6:$H$400)</f>
        <v>0</v>
      </c>
      <c r="F20" s="56" t="n">
        <f aca="false">MAX(0,B20+C20+D20-E20)</f>
        <v>139.399880394031</v>
      </c>
      <c r="G20" s="56" t="n">
        <f aca="false">IF(OR($A20=1931,$A20=1932),cb_buy/2,0)</f>
        <v>0</v>
      </c>
      <c r="H20" s="56" t="n">
        <f aca="false">H19+G20</f>
        <v>0</v>
      </c>
      <c r="I20" s="56" t="n">
        <f aca="false">Economy!O20*money_ratio+H20</f>
        <v>20.5595774562723</v>
      </c>
      <c r="J20" s="56" t="n">
        <f aca="false">I20*gold_cover</f>
        <v>8.22383098250894</v>
      </c>
      <c r="K20" s="56" t="n">
        <f aca="false">F20-J20</f>
        <v>131.176049411522</v>
      </c>
      <c r="L20" s="66" t="n">
        <f aca="false">IF(I20&gt;0,F20/I20,0)</f>
        <v>6.78028917133714</v>
      </c>
      <c r="M20" s="66" t="n">
        <f aca="false">IF(Paths!AD20&gt;0,F20/Paths!AD20,0)</f>
        <v>0.075351286699476</v>
      </c>
    </row>
    <row r="21" customFormat="false" ht="14.25" hidden="false" customHeight="true" outlineLevel="0" collapsed="false">
      <c r="A21" s="64" t="n">
        <v>1861</v>
      </c>
      <c r="B21" s="56" t="n">
        <f aca="false">F20</f>
        <v>139.399880394031</v>
      </c>
      <c r="C21" s="72" t="n">
        <f aca="false">Resources!R21</f>
        <v>8.2</v>
      </c>
      <c r="D21" s="56" t="n">
        <f aca="false">IF($A21&gt;=1850,Economy!O21*ext_gold,0)</f>
        <v>0.620977817089097</v>
      </c>
      <c r="E21" s="56" t="n">
        <f aca="false">SUMPRODUCT((Events!$B$6:$B$400&lt;=$A21)*(Events!$C$6:$C$400&gt;=$A21)*(Events!$E$6:$E$400="Loan")*(Events!$J$6:$J$400="Yes")*Events!$H$6:$H$400)+SUMPRODUCT((Events!$B$6:$B$400&lt;=$A21)*(Events!$C$6:$C$400&gt;=$A21)*(Events!$E$6:$E$400="Purchase")*(Events!$J$6:$J$400="Yes")*Events!$H$6:$H$400)</f>
        <v>0</v>
      </c>
      <c r="F21" s="56" t="n">
        <f aca="false">MAX(0,B21+C21+D21-E21)</f>
        <v>148.22085821112</v>
      </c>
      <c r="G21" s="56" t="n">
        <f aca="false">IF(OR($A21=1931,$A21=1932),cb_buy/2,0)</f>
        <v>0</v>
      </c>
      <c r="H21" s="56" t="n">
        <f aca="false">H20+G21</f>
        <v>0</v>
      </c>
      <c r="I21" s="56" t="n">
        <f aca="false">Economy!O21*money_ratio+H21</f>
        <v>21.7342235981184</v>
      </c>
      <c r="J21" s="56" t="n">
        <f aca="false">I21*gold_cover</f>
        <v>8.69368943924736</v>
      </c>
      <c r="K21" s="56" t="n">
        <f aca="false">F21-J21</f>
        <v>139.527168771872</v>
      </c>
      <c r="L21" s="66" t="n">
        <f aca="false">IF(I21&gt;0,F21/I21,0)</f>
        <v>6.81969878252065</v>
      </c>
      <c r="M21" s="66" t="n">
        <f aca="false">IF(Paths!AD21&gt;0,F21/Paths!AD21,0)</f>
        <v>0.0786317550191616</v>
      </c>
    </row>
    <row r="22" customFormat="false" ht="14.25" hidden="false" customHeight="true" outlineLevel="0" collapsed="false">
      <c r="A22" s="64" t="n">
        <v>1862</v>
      </c>
      <c r="B22" s="56" t="n">
        <f aca="false">F21</f>
        <v>148.22085821112</v>
      </c>
      <c r="C22" s="72" t="n">
        <f aca="false">Resources!R22</f>
        <v>7.6</v>
      </c>
      <c r="D22" s="56" t="n">
        <f aca="false">IF($A22&gt;=1850,Economy!O22*ext_gold,0)</f>
        <v>0.695018807642527</v>
      </c>
      <c r="E22" s="56" t="n">
        <f aca="false">SUMPRODUCT((Events!$B$6:$B$400&lt;=$A22)*(Events!$C$6:$C$400&gt;=$A22)*(Events!$E$6:$E$400="Loan")*(Events!$J$6:$J$400="Yes")*Events!$H$6:$H$400)+SUMPRODUCT((Events!$B$6:$B$400&lt;=$A22)*(Events!$C$6:$C$400&gt;=$A22)*(Events!$E$6:$E$400="Purchase")*(Events!$J$6:$J$400="Yes")*Events!$H$6:$H$400)</f>
        <v>0</v>
      </c>
      <c r="F22" s="56" t="n">
        <f aca="false">MAX(0,B22+C22+D22-E22)</f>
        <v>156.515877018762</v>
      </c>
      <c r="G22" s="56" t="n">
        <f aca="false">IF(OR($A22=1931,$A22=1932),cb_buy/2,0)</f>
        <v>0</v>
      </c>
      <c r="H22" s="56" t="n">
        <f aca="false">H21+G22</f>
        <v>0</v>
      </c>
      <c r="I22" s="56" t="n">
        <f aca="false">Economy!O22*money_ratio+H22</f>
        <v>24.3256582674884</v>
      </c>
      <c r="J22" s="56" t="n">
        <f aca="false">I22*gold_cover</f>
        <v>9.73026330699538</v>
      </c>
      <c r="K22" s="56" t="n">
        <f aca="false">F22-J22</f>
        <v>146.785613711767</v>
      </c>
      <c r="L22" s="66" t="n">
        <f aca="false">IF(I22&gt;0,F22/I22,0)</f>
        <v>6.43418876059554</v>
      </c>
      <c r="M22" s="66" t="n">
        <f aca="false">IF(Paths!AD22&gt;0,F22/Paths!AD22,0)</f>
        <v>0.0815186859472719</v>
      </c>
    </row>
    <row r="23" customFormat="false" ht="14.25" hidden="false" customHeight="true" outlineLevel="0" collapsed="false">
      <c r="A23" s="64" t="n">
        <v>1863</v>
      </c>
      <c r="B23" s="56" t="n">
        <f aca="false">F22</f>
        <v>156.515877018762</v>
      </c>
      <c r="C23" s="72" t="n">
        <f aca="false">Resources!R23</f>
        <v>7.6</v>
      </c>
      <c r="D23" s="56" t="n">
        <f aca="false">IF($A23&gt;=1850,Economy!O23*ext_gold,0)</f>
        <v>0.82835537269393</v>
      </c>
      <c r="E23" s="56" t="n">
        <f aca="false">SUMPRODUCT((Events!$B$6:$B$400&lt;=$A23)*(Events!$C$6:$C$400&gt;=$A23)*(Events!$E$6:$E$400="Loan")*(Events!$J$6:$J$400="Yes")*Events!$H$6:$H$400)+SUMPRODUCT((Events!$B$6:$B$400&lt;=$A23)*(Events!$C$6:$C$400&gt;=$A23)*(Events!$E$6:$E$400="Purchase")*(Events!$J$6:$J$400="Yes")*Events!$H$6:$H$400)</f>
        <v>0</v>
      </c>
      <c r="F23" s="56" t="n">
        <f aca="false">MAX(0,B23+C23+D23-E23)</f>
        <v>164.944232391456</v>
      </c>
      <c r="G23" s="56" t="n">
        <f aca="false">IF(OR($A23=1931,$A23=1932),cb_buy/2,0)</f>
        <v>0</v>
      </c>
      <c r="H23" s="56" t="n">
        <f aca="false">H22+G23</f>
        <v>0</v>
      </c>
      <c r="I23" s="56" t="n">
        <f aca="false">Economy!O23*money_ratio+H23</f>
        <v>28.9924380442876</v>
      </c>
      <c r="J23" s="56" t="n">
        <f aca="false">I23*gold_cover</f>
        <v>11.596975217715</v>
      </c>
      <c r="K23" s="56" t="n">
        <f aca="false">F23-J23</f>
        <v>153.347257173741</v>
      </c>
      <c r="L23" s="66" t="n">
        <f aca="false">IF(I23&gt;0,F23/I23,0)</f>
        <v>5.68921565476814</v>
      </c>
      <c r="M23" s="66" t="n">
        <f aca="false">IF(Paths!AD23&gt;0,F23/Paths!AD23,0)</f>
        <v>0.0843704513511284</v>
      </c>
    </row>
    <row r="24" customFormat="false" ht="14.25" hidden="false" customHeight="true" outlineLevel="0" collapsed="false">
      <c r="A24" s="64" t="n">
        <v>1864</v>
      </c>
      <c r="B24" s="56" t="n">
        <f aca="false">F23</f>
        <v>164.944232391456</v>
      </c>
      <c r="C24" s="72" t="n">
        <f aca="false">Resources!R24</f>
        <v>11.8</v>
      </c>
      <c r="D24" s="56" t="n">
        <f aca="false">IF($A24&gt;=1850,Economy!O24*ext_gold,0)</f>
        <v>0.972545618777634</v>
      </c>
      <c r="E24" s="56" t="n">
        <f aca="false">SUMPRODUCT((Events!$B$6:$B$400&lt;=$A24)*(Events!$C$6:$C$400&gt;=$A24)*(Events!$E$6:$E$400="Loan")*(Events!$J$6:$J$400="Yes")*Events!$H$6:$H$400)+SUMPRODUCT((Events!$B$6:$B$400&lt;=$A24)*(Events!$C$6:$C$400&gt;=$A24)*(Events!$E$6:$E$400="Purchase")*(Events!$J$6:$J$400="Yes")*Events!$H$6:$H$400)</f>
        <v>0</v>
      </c>
      <c r="F24" s="56" t="n">
        <f aca="false">MAX(0,B24+C24+D24-E24)</f>
        <v>177.716778010234</v>
      </c>
      <c r="G24" s="56" t="n">
        <f aca="false">IF(OR($A24=1931,$A24=1932),cb_buy/2,0)</f>
        <v>0</v>
      </c>
      <c r="H24" s="56" t="n">
        <f aca="false">H23+G24</f>
        <v>0</v>
      </c>
      <c r="I24" s="56" t="n">
        <f aca="false">Economy!O24*money_ratio+H24</f>
        <v>34.0390966572172</v>
      </c>
      <c r="J24" s="56" t="n">
        <f aca="false">I24*gold_cover</f>
        <v>13.6156386628869</v>
      </c>
      <c r="K24" s="56" t="n">
        <f aca="false">F24-J24</f>
        <v>164.101139347347</v>
      </c>
      <c r="L24" s="66" t="n">
        <f aca="false">IF(I24&gt;0,F24/I24,0)</f>
        <v>5.22096046789635</v>
      </c>
      <c r="M24" s="66" t="n">
        <f aca="false">IF(Paths!AD24&gt;0,F24/Paths!AD24,0)</f>
        <v>0.0893049135729818</v>
      </c>
    </row>
    <row r="25" customFormat="false" ht="14.25" hidden="false" customHeight="true" outlineLevel="0" collapsed="false">
      <c r="A25" s="64" t="n">
        <v>1865</v>
      </c>
      <c r="B25" s="56" t="n">
        <f aca="false">F24</f>
        <v>177.716778010234</v>
      </c>
      <c r="C25" s="72" t="n">
        <f aca="false">Resources!R25</f>
        <v>11.6</v>
      </c>
      <c r="D25" s="56" t="n">
        <f aca="false">IF($A25&gt;=1850,Economy!O25*ext_gold,0)</f>
        <v>1.06144558119699</v>
      </c>
      <c r="E25" s="56" t="n">
        <f aca="false">SUMPRODUCT((Events!$B$6:$B$400&lt;=$A25)*(Events!$C$6:$C$400&gt;=$A25)*(Events!$E$6:$E$400="Loan")*(Events!$J$6:$J$400="Yes")*Events!$H$6:$H$400)+SUMPRODUCT((Events!$B$6:$B$400&lt;=$A25)*(Events!$C$6:$C$400&gt;=$A25)*(Events!$E$6:$E$400="Purchase")*(Events!$J$6:$J$400="Yes")*Events!$H$6:$H$400)</f>
        <v>0</v>
      </c>
      <c r="F25" s="56" t="n">
        <f aca="false">MAX(0,B25+C25+D25-E25)</f>
        <v>190.378223591431</v>
      </c>
      <c r="G25" s="56" t="n">
        <f aca="false">IF(OR($A25=1931,$A25=1932),cb_buy/2,0)</f>
        <v>0</v>
      </c>
      <c r="H25" s="56" t="n">
        <f aca="false">H24+G25</f>
        <v>0</v>
      </c>
      <c r="I25" s="56" t="n">
        <f aca="false">Economy!O25*money_ratio+H25</f>
        <v>37.1505953418947</v>
      </c>
      <c r="J25" s="56" t="n">
        <f aca="false">I25*gold_cover</f>
        <v>14.8602381367579</v>
      </c>
      <c r="K25" s="56" t="n">
        <f aca="false">F25-J25</f>
        <v>175.517985454673</v>
      </c>
      <c r="L25" s="66" t="n">
        <f aca="false">IF(I25&gt;0,F25/I25,0)</f>
        <v>5.12449993975578</v>
      </c>
      <c r="M25" s="66" t="n">
        <f aca="false">IF(Paths!AD25&gt;0,F25/Paths!AD25,0)</f>
        <v>0.0940139375760151</v>
      </c>
    </row>
    <row r="26" customFormat="false" ht="14.25" hidden="false" customHeight="true" outlineLevel="0" collapsed="false">
      <c r="A26" s="61" t="n">
        <v>1866</v>
      </c>
      <c r="B26" s="56" t="n">
        <f aca="false">F25</f>
        <v>190.378223591431</v>
      </c>
      <c r="C26" s="72" t="n">
        <f aca="false">Resources!R26</f>
        <v>11.2</v>
      </c>
      <c r="D26" s="56" t="n">
        <f aca="false">IF($A26&gt;=1850,Economy!O26*ext_gold,0)</f>
        <v>1.13678470506989</v>
      </c>
      <c r="E26" s="56" t="n">
        <f aca="false">SUMPRODUCT((Events!$B$6:$B$400&lt;=$A26)*(Events!$C$6:$C$400&gt;=$A26)*(Events!$E$6:$E$400="Loan")*(Events!$J$6:$J$400="Yes")*Events!$H$6:$H$400)+SUMPRODUCT((Events!$B$6:$B$400&lt;=$A26)*(Events!$C$6:$C$400&gt;=$A26)*(Events!$E$6:$E$400="Purchase")*(Events!$J$6:$J$400="Yes")*Events!$H$6:$H$400)</f>
        <v>5.71428571428571</v>
      </c>
      <c r="F26" s="56" t="n">
        <f aca="false">MAX(0,B26+C26+D26-E26)</f>
        <v>197.000722582215</v>
      </c>
      <c r="G26" s="56" t="n">
        <f aca="false">IF(OR($A26=1931,$A26=1932),cb_buy/2,0)</f>
        <v>0</v>
      </c>
      <c r="H26" s="56" t="n">
        <f aca="false">H25+G26</f>
        <v>0</v>
      </c>
      <c r="I26" s="56" t="n">
        <f aca="false">Economy!O26*money_ratio+H26</f>
        <v>39.7874646774462</v>
      </c>
      <c r="J26" s="56" t="n">
        <f aca="false">I26*gold_cover</f>
        <v>15.9149858709785</v>
      </c>
      <c r="K26" s="56" t="n">
        <f aca="false">F26-J26</f>
        <v>181.085736711236</v>
      </c>
      <c r="L26" s="66" t="n">
        <f aca="false">IF(I26&gt;0,F26/I26,0)</f>
        <v>4.95132635817044</v>
      </c>
      <c r="M26" s="66" t="n">
        <f aca="false">IF(Paths!AD26&gt;0,F26/Paths!AD26,0)</f>
        <v>0.0956314187292305</v>
      </c>
    </row>
    <row r="27" customFormat="false" ht="14.25" hidden="false" customHeight="true" outlineLevel="0" collapsed="false">
      <c r="A27" s="61" t="n">
        <v>1867</v>
      </c>
      <c r="B27" s="56" t="n">
        <f aca="false">F26</f>
        <v>197.000722582215</v>
      </c>
      <c r="C27" s="72" t="n">
        <f aca="false">Resources!R27</f>
        <v>10</v>
      </c>
      <c r="D27" s="56" t="n">
        <f aca="false">IF($A27&gt;=1850,Economy!O27*ext_gold,0)</f>
        <v>1.23281426124482</v>
      </c>
      <c r="E27" s="56" t="n">
        <f aca="false">SUMPRODUCT((Events!$B$6:$B$400&lt;=$A27)*(Events!$C$6:$C$400&gt;=$A27)*(Events!$E$6:$E$400="Loan")*(Events!$J$6:$J$400="Yes")*Events!$H$6:$H$400)+SUMPRODUCT((Events!$B$6:$B$400&lt;=$A27)*(Events!$C$6:$C$400&gt;=$A27)*(Events!$E$6:$E$400="Purchase")*(Events!$J$6:$J$400="Yes")*Events!$H$6:$H$400)</f>
        <v>23.9142857142857</v>
      </c>
      <c r="F27" s="56" t="n">
        <f aca="false">MAX(0,B27+C27+D27-E27)</f>
        <v>184.319251129174</v>
      </c>
      <c r="G27" s="56" t="n">
        <f aca="false">IF(OR($A27=1931,$A27=1932),cb_buy/2,0)</f>
        <v>0</v>
      </c>
      <c r="H27" s="56" t="n">
        <f aca="false">H26+G27</f>
        <v>0</v>
      </c>
      <c r="I27" s="56" t="n">
        <f aca="false">Economy!O27*money_ratio+H27</f>
        <v>43.1484991435687</v>
      </c>
      <c r="J27" s="56" t="n">
        <f aca="false">I27*gold_cover</f>
        <v>17.2593996574275</v>
      </c>
      <c r="K27" s="56" t="n">
        <f aca="false">F27-J27</f>
        <v>167.059851471746</v>
      </c>
      <c r="L27" s="66" t="n">
        <f aca="false">IF(I27&gt;0,F27/I27,0)</f>
        <v>4.27174188645324</v>
      </c>
      <c r="M27" s="66" t="n">
        <f aca="false">IF(Paths!AD27&gt;0,F27/Paths!AD27,0)</f>
        <v>0.0879805494649995</v>
      </c>
    </row>
    <row r="28" customFormat="false" ht="14.25" hidden="false" customHeight="true" outlineLevel="0" collapsed="false">
      <c r="A28" s="61" t="n">
        <v>1868</v>
      </c>
      <c r="B28" s="56" t="n">
        <f aca="false">F27</f>
        <v>184.319251129174</v>
      </c>
      <c r="C28" s="72" t="n">
        <f aca="false">Resources!R28</f>
        <v>8.53333333333334</v>
      </c>
      <c r="D28" s="56" t="n">
        <f aca="false">IF($A28&gt;=1850,Economy!O28*ext_gold,0)</f>
        <v>1.33357255531088</v>
      </c>
      <c r="E28" s="56" t="n">
        <f aca="false">SUMPRODUCT((Events!$B$6:$B$400&lt;=$A28)*(Events!$C$6:$C$400&gt;=$A28)*(Events!$E$6:$E$400="Loan")*(Events!$J$6:$J$400="Yes")*Events!$H$6:$H$400)+SUMPRODUCT((Events!$B$6:$B$400&lt;=$A28)*(Events!$C$6:$C$400&gt;=$A28)*(Events!$E$6:$E$400="Purchase")*(Events!$J$6:$J$400="Yes")*Events!$H$6:$H$400)</f>
        <v>6.71428571428571</v>
      </c>
      <c r="F28" s="56" t="n">
        <f aca="false">MAX(0,B28+C28+D28-E28)</f>
        <v>187.471871303532</v>
      </c>
      <c r="G28" s="56" t="n">
        <f aca="false">IF(OR($A28=1931,$A28=1932),cb_buy/2,0)</f>
        <v>0</v>
      </c>
      <c r="H28" s="56" t="n">
        <f aca="false">H27+G28</f>
        <v>0</v>
      </c>
      <c r="I28" s="56" t="n">
        <f aca="false">Economy!O28*money_ratio+H28</f>
        <v>46.6750394358807</v>
      </c>
      <c r="J28" s="56" t="n">
        <f aca="false">I28*gold_cover</f>
        <v>18.6700157743523</v>
      </c>
      <c r="K28" s="56" t="n">
        <f aca="false">F28-J28</f>
        <v>168.80185552918</v>
      </c>
      <c r="L28" s="66" t="n">
        <f aca="false">IF(I28&gt;0,F28/I28,0)</f>
        <v>4.01653375271529</v>
      </c>
      <c r="M28" s="66" t="n">
        <f aca="false">IF(Paths!AD28&gt;0,F28/Paths!AD28,0)</f>
        <v>0.0880149630533016</v>
      </c>
    </row>
    <row r="29" customFormat="false" ht="14.25" hidden="false" customHeight="true" outlineLevel="0" collapsed="false">
      <c r="A29" s="61" t="n">
        <v>1869</v>
      </c>
      <c r="B29" s="56" t="n">
        <f aca="false">F28</f>
        <v>187.471871303532</v>
      </c>
      <c r="C29" s="72" t="n">
        <f aca="false">Resources!R29</f>
        <v>8.46666666666666</v>
      </c>
      <c r="D29" s="56" t="n">
        <f aca="false">IF($A29&gt;=1850,Economy!O29*ext_gold,0)</f>
        <v>1.43593310893731</v>
      </c>
      <c r="E29" s="56" t="n">
        <f aca="false">SUMPRODUCT((Events!$B$6:$B$400&lt;=$A29)*(Events!$C$6:$C$400&gt;=$A29)*(Events!$E$6:$E$400="Loan")*(Events!$J$6:$J$400="Yes")*Events!$H$6:$H$400)+SUMPRODUCT((Events!$B$6:$B$400&lt;=$A29)*(Events!$C$6:$C$400&gt;=$A29)*(Events!$E$6:$E$400="Purchase")*(Events!$J$6:$J$400="Yes")*Events!$H$6:$H$400)</f>
        <v>6.71428571428571</v>
      </c>
      <c r="F29" s="56" t="n">
        <f aca="false">MAX(0,B29+C29+D29-E29)</f>
        <v>190.660185364851</v>
      </c>
      <c r="G29" s="56" t="n">
        <f aca="false">IF(OR($A29=1931,$A29=1932),cb_buy/2,0)</f>
        <v>0</v>
      </c>
      <c r="H29" s="56" t="n">
        <f aca="false">H28+G29</f>
        <v>0</v>
      </c>
      <c r="I29" s="56" t="n">
        <f aca="false">Economy!O29*money_ratio+H29</f>
        <v>50.2576588128057</v>
      </c>
      <c r="J29" s="56" t="n">
        <f aca="false">I29*gold_cover</f>
        <v>20.1030635251223</v>
      </c>
      <c r="K29" s="56" t="n">
        <f aca="false">F29-J29</f>
        <v>170.557121839728</v>
      </c>
      <c r="L29" s="66" t="n">
        <f aca="false">IF(I29&gt;0,F29/I29,0)</f>
        <v>3.79365433783935</v>
      </c>
      <c r="M29" s="66" t="n">
        <f aca="false">IF(Paths!AD29&gt;0,F29/Paths!AD29,0)</f>
        <v>0.0880647507458894</v>
      </c>
    </row>
    <row r="30" customFormat="false" ht="14.25" hidden="false" customHeight="true" outlineLevel="0" collapsed="false">
      <c r="A30" s="64" t="n">
        <v>1870</v>
      </c>
      <c r="B30" s="56" t="n">
        <f aca="false">F29</f>
        <v>190.660185364851</v>
      </c>
      <c r="C30" s="72" t="n">
        <f aca="false">Resources!R30</f>
        <v>8.4</v>
      </c>
      <c r="D30" s="56" t="n">
        <f aca="false">IF($A30&gt;=1850,Economy!O30*ext_gold,0)</f>
        <v>1.55236675594936</v>
      </c>
      <c r="E30" s="56" t="n">
        <f aca="false">SUMPRODUCT((Events!$B$6:$B$400&lt;=$A30)*(Events!$C$6:$C$400&gt;=$A30)*(Events!$E$6:$E$400="Loan")*(Events!$J$6:$J$400="Yes")*Events!$H$6:$H$400)+SUMPRODUCT((Events!$B$6:$B$400&lt;=$A30)*(Events!$C$6:$C$400&gt;=$A30)*(Events!$E$6:$E$400="Purchase")*(Events!$J$6:$J$400="Yes")*Events!$H$6:$H$400)</f>
        <v>6.71428571428571</v>
      </c>
      <c r="F30" s="56" t="n">
        <f aca="false">MAX(0,B30+C30+D30-E30)</f>
        <v>193.898266406514</v>
      </c>
      <c r="G30" s="56" t="n">
        <f aca="false">IF(OR($A30=1931,$A30=1932),cb_buy/2,0)</f>
        <v>0</v>
      </c>
      <c r="H30" s="56" t="n">
        <f aca="false">H29+G30</f>
        <v>0</v>
      </c>
      <c r="I30" s="56" t="n">
        <f aca="false">Economy!O30*money_ratio+H30</f>
        <v>54.3328364582277</v>
      </c>
      <c r="J30" s="56" t="n">
        <f aca="false">I30*gold_cover</f>
        <v>21.7331345832911</v>
      </c>
      <c r="K30" s="56" t="n">
        <f aca="false">F30-J30</f>
        <v>172.165131823223</v>
      </c>
      <c r="L30" s="66" t="n">
        <f aca="false">IF(I30&gt;0,F30/I30,0)</f>
        <v>3.56871238547591</v>
      </c>
      <c r="M30" s="66" t="n">
        <f aca="false">IF(Paths!AD30&gt;0,F30/Paths!AD30,0)</f>
        <v>0.0881355756393247</v>
      </c>
    </row>
    <row r="31" customFormat="false" ht="14.25" hidden="false" customHeight="true" outlineLevel="0" collapsed="false">
      <c r="A31" s="64" t="n">
        <v>1871</v>
      </c>
      <c r="B31" s="56" t="n">
        <f aca="false">F30</f>
        <v>193.898266406514</v>
      </c>
      <c r="C31" s="72" t="n">
        <f aca="false">Resources!R31</f>
        <v>8.9</v>
      </c>
      <c r="D31" s="56" t="n">
        <f aca="false">IF($A31&gt;=1850,Economy!O31*ext_gold,0)</f>
        <v>1.6600236455316</v>
      </c>
      <c r="E31" s="56" t="n">
        <f aca="false">SUMPRODUCT((Events!$B$6:$B$400&lt;=$A31)*(Events!$C$6:$C$400&gt;=$A31)*(Events!$E$6:$E$400="Loan")*(Events!$J$6:$J$400="Yes")*Events!$H$6:$H$400)+SUMPRODUCT((Events!$B$6:$B$400&lt;=$A31)*(Events!$C$6:$C$400&gt;=$A31)*(Events!$E$6:$E$400="Purchase")*(Events!$J$6:$J$400="Yes")*Events!$H$6:$H$400)</f>
        <v>6.71428571428571</v>
      </c>
      <c r="F31" s="56" t="n">
        <f aca="false">MAX(0,B31+C31+D31-E31)</f>
        <v>197.74400433776</v>
      </c>
      <c r="G31" s="56" t="n">
        <f aca="false">IF(OR($A31=1931,$A31=1932),cb_buy/2,0)</f>
        <v>0</v>
      </c>
      <c r="H31" s="56" t="n">
        <f aca="false">H30+G31</f>
        <v>0</v>
      </c>
      <c r="I31" s="56" t="n">
        <f aca="false">Economy!O31*money_ratio+H31</f>
        <v>58.1008275936059</v>
      </c>
      <c r="J31" s="56" t="n">
        <f aca="false">I31*gold_cover</f>
        <v>23.2403310374423</v>
      </c>
      <c r="K31" s="56" t="n">
        <f aca="false">F31-J31</f>
        <v>174.503673300318</v>
      </c>
      <c r="L31" s="66" t="n">
        <f aca="false">IF(I31&gt;0,F31/I31,0)</f>
        <v>3.40346278233604</v>
      </c>
      <c r="M31" s="66" t="n">
        <f aca="false">IF(Paths!AD31&gt;0,F31/Paths!AD31,0)</f>
        <v>0.0873041961756116</v>
      </c>
    </row>
    <row r="32" customFormat="false" ht="14.25" hidden="false" customHeight="true" outlineLevel="0" collapsed="false">
      <c r="A32" s="61" t="n">
        <v>1872</v>
      </c>
      <c r="B32" s="56" t="n">
        <f aca="false">F31</f>
        <v>197.74400433776</v>
      </c>
      <c r="C32" s="72" t="n">
        <f aca="false">Resources!R32</f>
        <v>9.4</v>
      </c>
      <c r="D32" s="56" t="n">
        <f aca="false">IF($A32&gt;=1850,Economy!O32*ext_gold,0)</f>
        <v>1.77124550213678</v>
      </c>
      <c r="E32" s="56" t="n">
        <f aca="false">SUMPRODUCT((Events!$B$6:$B$400&lt;=$A32)*(Events!$C$6:$C$400&gt;=$A32)*(Events!$E$6:$E$400="Loan")*(Events!$J$6:$J$400="Yes")*Events!$H$6:$H$400)+SUMPRODUCT((Events!$B$6:$B$400&lt;=$A32)*(Events!$C$6:$C$400&gt;=$A32)*(Events!$E$6:$E$400="Purchase")*(Events!$J$6:$J$400="Yes")*Events!$H$6:$H$400)</f>
        <v>5.71428571428571</v>
      </c>
      <c r="F32" s="56" t="n">
        <f aca="false">MAX(0,B32+C32+D32-E32)</f>
        <v>203.200964125611</v>
      </c>
      <c r="G32" s="56" t="n">
        <f aca="false">IF(OR($A32=1931,$A32=1932),cb_buy/2,0)</f>
        <v>0</v>
      </c>
      <c r="H32" s="56" t="n">
        <f aca="false">H31+G32</f>
        <v>0</v>
      </c>
      <c r="I32" s="56" t="n">
        <f aca="false">Economy!O32*money_ratio+H32</f>
        <v>61.9935925747872</v>
      </c>
      <c r="J32" s="56" t="n">
        <f aca="false">I32*gold_cover</f>
        <v>24.7974370299149</v>
      </c>
      <c r="K32" s="56" t="n">
        <f aca="false">F32-J32</f>
        <v>178.403527095696</v>
      </c>
      <c r="L32" s="66" t="n">
        <f aca="false">IF(I32&gt;0,F32/I32,0)</f>
        <v>3.27777364863112</v>
      </c>
      <c r="M32" s="66" t="n">
        <f aca="false">IF(Paths!AD32&gt;0,F32/Paths!AD32,0)</f>
        <v>0.0872107142170005</v>
      </c>
    </row>
    <row r="33" customFormat="false" ht="14.25" hidden="false" customHeight="true" outlineLevel="0" collapsed="false">
      <c r="A33" s="61" t="n">
        <v>1873</v>
      </c>
      <c r="B33" s="56" t="n">
        <f aca="false">F32</f>
        <v>203.200964125611</v>
      </c>
      <c r="C33" s="72" t="n">
        <f aca="false">Resources!R33</f>
        <v>11</v>
      </c>
      <c r="D33" s="56" t="n">
        <f aca="false">IF($A33&gt;=1850,Economy!O33*ext_gold,0)</f>
        <v>1.86470729272211</v>
      </c>
      <c r="E33" s="56" t="n">
        <f aca="false">SUMPRODUCT((Events!$B$6:$B$400&lt;=$A33)*(Events!$C$6:$C$400&gt;=$A33)*(Events!$E$6:$E$400="Loan")*(Events!$J$6:$J$400="Yes")*Events!$H$6:$H$400)+SUMPRODUCT((Events!$B$6:$B$400&lt;=$A33)*(Events!$C$6:$C$400&gt;=$A33)*(Events!$E$6:$E$400="Purchase")*(Events!$J$6:$J$400="Yes")*Events!$H$6:$H$400)</f>
        <v>0</v>
      </c>
      <c r="F33" s="56" t="n">
        <f aca="false">MAX(0,B33+C33+D33-E33)</f>
        <v>216.065671418333</v>
      </c>
      <c r="G33" s="56" t="n">
        <f aca="false">IF(OR($A33=1931,$A33=1932),cb_buy/2,0)</f>
        <v>0</v>
      </c>
      <c r="H33" s="56" t="n">
        <f aca="false">H32+G33</f>
        <v>0</v>
      </c>
      <c r="I33" s="56" t="n">
        <f aca="false">Economy!O33*money_ratio+H33</f>
        <v>65.2647552452738</v>
      </c>
      <c r="J33" s="56" t="n">
        <f aca="false">I33*gold_cover</f>
        <v>26.1059020981095</v>
      </c>
      <c r="K33" s="56" t="n">
        <f aca="false">F33-J33</f>
        <v>189.959769320224</v>
      </c>
      <c r="L33" s="66" t="n">
        <f aca="false">IF(I33&gt;0,F33/I33,0)</f>
        <v>3.31060264619593</v>
      </c>
      <c r="M33" s="66" t="n">
        <f aca="false">IF(Paths!AD33&gt;0,F33/Paths!AD33,0)</f>
        <v>0.0902153116569242</v>
      </c>
    </row>
    <row r="34" customFormat="false" ht="14.25" hidden="false" customHeight="true" outlineLevel="0" collapsed="false">
      <c r="A34" s="61" t="n">
        <v>1874</v>
      </c>
      <c r="B34" s="56" t="n">
        <f aca="false">F33</f>
        <v>216.065671418333</v>
      </c>
      <c r="C34" s="72" t="n">
        <f aca="false">Resources!R34</f>
        <v>11.7</v>
      </c>
      <c r="D34" s="56" t="n">
        <f aca="false">IF($A34&gt;=1850,Economy!O34*ext_gold,0)</f>
        <v>1.97683891409177</v>
      </c>
      <c r="E34" s="56" t="n">
        <f aca="false">SUMPRODUCT((Events!$B$6:$B$400&lt;=$A34)*(Events!$C$6:$C$400&gt;=$A34)*(Events!$E$6:$E$400="Loan")*(Events!$J$6:$J$400="Yes")*Events!$H$6:$H$400)+SUMPRODUCT((Events!$B$6:$B$400&lt;=$A34)*(Events!$C$6:$C$400&gt;=$A34)*(Events!$E$6:$E$400="Purchase")*(Events!$J$6:$J$400="Yes")*Events!$H$6:$H$400)</f>
        <v>0</v>
      </c>
      <c r="F34" s="56" t="n">
        <f aca="false">MAX(0,B34+C34+D34-E34)</f>
        <v>229.742510332425</v>
      </c>
      <c r="G34" s="56" t="n">
        <f aca="false">IF(OR($A34=1931,$A34=1932),cb_buy/2,0)</f>
        <v>0</v>
      </c>
      <c r="H34" s="56" t="n">
        <f aca="false">H33+G34</f>
        <v>0</v>
      </c>
      <c r="I34" s="56" t="n">
        <f aca="false">Economy!O34*money_ratio+H34</f>
        <v>69.189361993212</v>
      </c>
      <c r="J34" s="56" t="n">
        <f aca="false">I34*gold_cover</f>
        <v>27.6757447972848</v>
      </c>
      <c r="K34" s="56" t="n">
        <f aca="false">F34-J34</f>
        <v>202.06676553514</v>
      </c>
      <c r="L34" s="66" t="n">
        <f aca="false">IF(I34&gt;0,F34/I34,0)</f>
        <v>3.32048892653418</v>
      </c>
      <c r="M34" s="66" t="n">
        <f aca="false">IF(Paths!AD34&gt;0,F34/Paths!AD34,0)</f>
        <v>0.0933912643627744</v>
      </c>
    </row>
    <row r="35" customFormat="false" ht="14.25" hidden="false" customHeight="true" outlineLevel="0" collapsed="false">
      <c r="A35" s="61" t="n">
        <v>1875</v>
      </c>
      <c r="B35" s="56" t="n">
        <f aca="false">F34</f>
        <v>229.742510332425</v>
      </c>
      <c r="C35" s="72" t="n">
        <f aca="false">Resources!R35</f>
        <v>12.4</v>
      </c>
      <c r="D35" s="56" t="n">
        <f aca="false">IF($A35&gt;=1850,Economy!O35*ext_gold,0)</f>
        <v>2.13032579029543</v>
      </c>
      <c r="E35" s="56" t="n">
        <f aca="false">SUMPRODUCT((Events!$B$6:$B$400&lt;=$A35)*(Events!$C$6:$C$400&gt;=$A35)*(Events!$E$6:$E$400="Loan")*(Events!$J$6:$J$400="Yes")*Events!$H$6:$H$400)+SUMPRODUCT((Events!$B$6:$B$400&lt;=$A35)*(Events!$C$6:$C$400&gt;=$A35)*(Events!$E$6:$E$400="Purchase")*(Events!$J$6:$J$400="Yes")*Events!$H$6:$H$400)</f>
        <v>0</v>
      </c>
      <c r="F35" s="56" t="n">
        <f aca="false">MAX(0,B35+C35+D35-E35)</f>
        <v>244.272836122721</v>
      </c>
      <c r="G35" s="56" t="n">
        <f aca="false">IF(OR($A35=1931,$A35=1932),cb_buy/2,0)</f>
        <v>0</v>
      </c>
      <c r="H35" s="56" t="n">
        <f aca="false">H34+G35</f>
        <v>0</v>
      </c>
      <c r="I35" s="56" t="n">
        <f aca="false">Economy!O35*money_ratio+H35</f>
        <v>74.5614026603399</v>
      </c>
      <c r="J35" s="56" t="n">
        <f aca="false">I35*gold_cover</f>
        <v>29.824561064136</v>
      </c>
      <c r="K35" s="56" t="n">
        <f aca="false">F35-J35</f>
        <v>214.448275058585</v>
      </c>
      <c r="L35" s="66" t="n">
        <f aca="false">IF(I35&gt;0,F35/I35,0)</f>
        <v>3.27612983939547</v>
      </c>
      <c r="M35" s="66" t="n">
        <f aca="false">IF(Paths!AD35&gt;0,F35/Paths!AD35,0)</f>
        <v>0.096741717276325</v>
      </c>
    </row>
    <row r="36" customFormat="false" ht="14.25" hidden="false" customHeight="true" outlineLevel="0" collapsed="false">
      <c r="A36" s="61" t="n">
        <v>1876</v>
      </c>
      <c r="B36" s="56" t="n">
        <f aca="false">F35</f>
        <v>244.272836122721</v>
      </c>
      <c r="C36" s="72" t="n">
        <f aca="false">Resources!R36</f>
        <v>13.52</v>
      </c>
      <c r="D36" s="56" t="n">
        <f aca="false">IF($A36&gt;=1850,Economy!O36*ext_gold,0)</f>
        <v>2.31087574622425</v>
      </c>
      <c r="E36" s="56" t="n">
        <f aca="false">SUMPRODUCT((Events!$B$6:$B$400&lt;=$A36)*(Events!$C$6:$C$400&gt;=$A36)*(Events!$E$6:$E$400="Loan")*(Events!$J$6:$J$400="Yes")*Events!$H$6:$H$400)+SUMPRODUCT((Events!$B$6:$B$400&lt;=$A36)*(Events!$C$6:$C$400&gt;=$A36)*(Events!$E$6:$E$400="Purchase")*(Events!$J$6:$J$400="Yes")*Events!$H$6:$H$400)</f>
        <v>0</v>
      </c>
      <c r="F36" s="56" t="n">
        <f aca="false">MAX(0,B36+C36+D36-E36)</f>
        <v>260.103711868945</v>
      </c>
      <c r="G36" s="56" t="n">
        <f aca="false">IF(OR($A36=1931,$A36=1932),cb_buy/2,0)</f>
        <v>0</v>
      </c>
      <c r="H36" s="56" t="n">
        <f aca="false">H35+G36</f>
        <v>0</v>
      </c>
      <c r="I36" s="56" t="n">
        <f aca="false">Economy!O36*money_ratio+H36</f>
        <v>80.8806511178486</v>
      </c>
      <c r="J36" s="56" t="n">
        <f aca="false">I36*gold_cover</f>
        <v>32.3522604471394</v>
      </c>
      <c r="K36" s="56" t="n">
        <f aca="false">F36-J36</f>
        <v>227.751451421805</v>
      </c>
      <c r="L36" s="66" t="n">
        <f aca="false">IF(I36&gt;0,F36/I36,0)</f>
        <v>3.21589537514919</v>
      </c>
      <c r="M36" s="66" t="n">
        <f aca="false">IF(Paths!AD36&gt;0,F36/Paths!AD36,0)</f>
        <v>0.100426143578743</v>
      </c>
    </row>
    <row r="37" customFormat="false" ht="14.25" hidden="false" customHeight="true" outlineLevel="0" collapsed="false">
      <c r="A37" s="61" t="n">
        <v>1877</v>
      </c>
      <c r="B37" s="56" t="n">
        <f aca="false">F36</f>
        <v>260.103711868945</v>
      </c>
      <c r="C37" s="72" t="n">
        <f aca="false">Resources!R37</f>
        <v>14.64</v>
      </c>
      <c r="D37" s="56" t="n">
        <f aca="false">IF($A37&gt;=1850,Economy!O37*ext_gold,0)</f>
        <v>2.40783173367394</v>
      </c>
      <c r="E37" s="56" t="n">
        <f aca="false">SUMPRODUCT((Events!$B$6:$B$400&lt;=$A37)*(Events!$C$6:$C$400&gt;=$A37)*(Events!$E$6:$E$400="Loan")*(Events!$J$6:$J$400="Yes")*Events!$H$6:$H$400)+SUMPRODUCT((Events!$B$6:$B$400&lt;=$A37)*(Events!$C$6:$C$400&gt;=$A37)*(Events!$E$6:$E$400="Purchase")*(Events!$J$6:$J$400="Yes")*Events!$H$6:$H$400)</f>
        <v>0</v>
      </c>
      <c r="F37" s="56" t="n">
        <f aca="false">MAX(0,B37+C37+D37-E37)</f>
        <v>277.151543602619</v>
      </c>
      <c r="G37" s="56" t="n">
        <f aca="false">IF(OR($A37=1931,$A37=1932),cb_buy/2,0)</f>
        <v>0</v>
      </c>
      <c r="H37" s="56" t="n">
        <f aca="false">H36+G37</f>
        <v>0</v>
      </c>
      <c r="I37" s="56" t="n">
        <f aca="false">Economy!O37*money_ratio+H37</f>
        <v>84.2741106785878</v>
      </c>
      <c r="J37" s="56" t="n">
        <f aca="false">I37*gold_cover</f>
        <v>33.7096442714351</v>
      </c>
      <c r="K37" s="56" t="n">
        <f aca="false">F37-J37</f>
        <v>243.441899331184</v>
      </c>
      <c r="L37" s="66" t="n">
        <f aca="false">IF(I37&gt;0,F37/I37,0)</f>
        <v>3.28869140677906</v>
      </c>
      <c r="M37" s="66" t="n">
        <f aca="false">IF(Paths!AD37&gt;0,F37/Paths!AD37,0)</f>
        <v>0.104388528663887</v>
      </c>
    </row>
    <row r="38" customFormat="false" ht="14.25" hidden="false" customHeight="true" outlineLevel="0" collapsed="false">
      <c r="A38" s="61" t="n">
        <v>1878</v>
      </c>
      <c r="B38" s="56" t="n">
        <f aca="false">F37</f>
        <v>277.151543602619</v>
      </c>
      <c r="C38" s="72" t="n">
        <f aca="false">Resources!R38</f>
        <v>11.36</v>
      </c>
      <c r="D38" s="56" t="n">
        <f aca="false">IF($A38&gt;=1850,Economy!O38*ext_gold,0)</f>
        <v>2.56631078950811</v>
      </c>
      <c r="E38" s="56" t="n">
        <f aca="false">SUMPRODUCT((Events!$B$6:$B$400&lt;=$A38)*(Events!$C$6:$C$400&gt;=$A38)*(Events!$E$6:$E$400="Loan")*(Events!$J$6:$J$400="Yes")*Events!$H$6:$H$400)+SUMPRODUCT((Events!$B$6:$B$400&lt;=$A38)*(Events!$C$6:$C$400&gt;=$A38)*(Events!$E$6:$E$400="Purchase")*(Events!$J$6:$J$400="Yes")*Events!$H$6:$H$400)</f>
        <v>0</v>
      </c>
      <c r="F38" s="56" t="n">
        <f aca="false">MAX(0,B38+C38+D38-E38)</f>
        <v>291.077854392127</v>
      </c>
      <c r="G38" s="56" t="n">
        <f aca="false">IF(OR($A38=1931,$A38=1932),cb_buy/2,0)</f>
        <v>0</v>
      </c>
      <c r="H38" s="56" t="n">
        <f aca="false">H37+G38</f>
        <v>0</v>
      </c>
      <c r="I38" s="56" t="n">
        <f aca="false">Economy!O38*money_ratio+H38</f>
        <v>89.8208776327838</v>
      </c>
      <c r="J38" s="56" t="n">
        <f aca="false">I38*gold_cover</f>
        <v>35.9283510531135</v>
      </c>
      <c r="K38" s="56" t="n">
        <f aca="false">F38-J38</f>
        <v>255.149503339013</v>
      </c>
      <c r="L38" s="66" t="n">
        <f aca="false">IF(I38&gt;0,F38/I38,0)</f>
        <v>3.2406480771892</v>
      </c>
      <c r="M38" s="66" t="n">
        <f aca="false">IF(Paths!AD38&gt;0,F38/Paths!AD38,0)</f>
        <v>0.107013917055929</v>
      </c>
    </row>
    <row r="39" customFormat="false" ht="14.25" hidden="false" customHeight="true" outlineLevel="0" collapsed="false">
      <c r="A39" s="61" t="n">
        <v>1879</v>
      </c>
      <c r="B39" s="56" t="n">
        <f aca="false">F38</f>
        <v>291.077854392127</v>
      </c>
      <c r="C39" s="72" t="n">
        <f aca="false">Resources!R39</f>
        <v>8.88</v>
      </c>
      <c r="D39" s="56" t="n">
        <f aca="false">IF($A39&gt;=1850,Economy!O39*ext_gold,0)</f>
        <v>2.67906348338181</v>
      </c>
      <c r="E39" s="56" t="n">
        <f aca="false">SUMPRODUCT((Events!$B$6:$B$400&lt;=$A39)*(Events!$C$6:$C$400&gt;=$A39)*(Events!$E$6:$E$400="Loan")*(Events!$J$6:$J$400="Yes")*Events!$H$6:$H$400)+SUMPRODUCT((Events!$B$6:$B$400&lt;=$A39)*(Events!$C$6:$C$400&gt;=$A39)*(Events!$E$6:$E$400="Purchase")*(Events!$J$6:$J$400="Yes")*Events!$H$6:$H$400)</f>
        <v>0</v>
      </c>
      <c r="F39" s="56" t="n">
        <f aca="false">MAX(0,B39+C39+D39-E39)</f>
        <v>302.636917875509</v>
      </c>
      <c r="G39" s="56" t="n">
        <f aca="false">IF(OR($A39=1931,$A39=1932),cb_buy/2,0)</f>
        <v>0</v>
      </c>
      <c r="H39" s="56" t="n">
        <f aca="false">H38+G39</f>
        <v>0</v>
      </c>
      <c r="I39" s="56" t="n">
        <f aca="false">Economy!O39*money_ratio+H39</f>
        <v>93.7672219183633</v>
      </c>
      <c r="J39" s="56" t="n">
        <f aca="false">I39*gold_cover</f>
        <v>37.5068887673453</v>
      </c>
      <c r="K39" s="56" t="n">
        <f aca="false">F39-J39</f>
        <v>265.130029108163</v>
      </c>
      <c r="L39" s="66" t="n">
        <f aca="false">IF(I39&gt;0,F39/I39,0)</f>
        <v>3.22753422447552</v>
      </c>
      <c r="M39" s="66" t="n">
        <f aca="false">IF(Paths!AD39&gt;0,F39/Paths!AD39,0)</f>
        <v>0.108666756867328</v>
      </c>
    </row>
    <row r="40" customFormat="false" ht="14.25" hidden="false" customHeight="true" outlineLevel="0" collapsed="false">
      <c r="A40" s="61" t="n">
        <v>1880</v>
      </c>
      <c r="B40" s="56" t="n">
        <f aca="false">F39</f>
        <v>302.636917875509</v>
      </c>
      <c r="C40" s="72" t="n">
        <f aca="false">Resources!R40</f>
        <v>8.42</v>
      </c>
      <c r="D40" s="56" t="n">
        <f aca="false">IF($A40&gt;=1850,Economy!O40*ext_gold,0)</f>
        <v>2.80774957537493</v>
      </c>
      <c r="E40" s="56" t="n">
        <f aca="false">SUMPRODUCT((Events!$B$6:$B$400&lt;=$A40)*(Events!$C$6:$C$400&gt;=$A40)*(Events!$E$6:$E$400="Loan")*(Events!$J$6:$J$400="Yes")*Events!$H$6:$H$400)+SUMPRODUCT((Events!$B$6:$B$400&lt;=$A40)*(Events!$C$6:$C$400&gt;=$A40)*(Events!$E$6:$E$400="Purchase")*(Events!$J$6:$J$400="Yes")*Events!$H$6:$H$400)</f>
        <v>10</v>
      </c>
      <c r="F40" s="56" t="n">
        <f aca="false">MAX(0,B40+C40+D40-E40)</f>
        <v>303.864667450884</v>
      </c>
      <c r="G40" s="56" t="n">
        <f aca="false">IF(OR($A40=1931,$A40=1932),cb_buy/2,0)</f>
        <v>0</v>
      </c>
      <c r="H40" s="56" t="n">
        <f aca="false">H39+G40</f>
        <v>0</v>
      </c>
      <c r="I40" s="56" t="n">
        <f aca="false">Economy!O40*money_ratio+H40</f>
        <v>98.2712351381224</v>
      </c>
      <c r="J40" s="56" t="n">
        <f aca="false">I40*gold_cover</f>
        <v>39.308494055249</v>
      </c>
      <c r="K40" s="56" t="n">
        <f aca="false">F40-J40</f>
        <v>264.556173395635</v>
      </c>
      <c r="L40" s="66" t="n">
        <f aca="false">IF(I40&gt;0,F40/I40,0)</f>
        <v>3.09210184469336</v>
      </c>
      <c r="M40" s="66" t="n">
        <f aca="false">IF(Paths!AD40&gt;0,F40/Paths!AD40,0)</f>
        <v>0.106619181561714</v>
      </c>
    </row>
    <row r="41" customFormat="false" ht="14.25" hidden="false" customHeight="true" outlineLevel="0" collapsed="false">
      <c r="A41" s="61" t="n">
        <v>1881</v>
      </c>
      <c r="B41" s="56" t="n">
        <f aca="false">F40</f>
        <v>303.864667450884</v>
      </c>
      <c r="C41" s="72" t="n">
        <f aca="false">Resources!R41</f>
        <v>8.156</v>
      </c>
      <c r="D41" s="56" t="n">
        <f aca="false">IF($A41&gt;=1850,Economy!O41*ext_gold,0)</f>
        <v>2.97328274398984</v>
      </c>
      <c r="E41" s="56" t="n">
        <f aca="false">SUMPRODUCT((Events!$B$6:$B$400&lt;=$A41)*(Events!$C$6:$C$400&gt;=$A41)*(Events!$E$6:$E$400="Loan")*(Events!$J$6:$J$400="Yes")*Events!$H$6:$H$400)+SUMPRODUCT((Events!$B$6:$B$400&lt;=$A41)*(Events!$C$6:$C$400&gt;=$A41)*(Events!$E$6:$E$400="Purchase")*(Events!$J$6:$J$400="Yes")*Events!$H$6:$H$400)</f>
        <v>0</v>
      </c>
      <c r="F41" s="56" t="n">
        <f aca="false">MAX(0,B41+C41+D41-E41)</f>
        <v>314.993950194873</v>
      </c>
      <c r="G41" s="56" t="n">
        <f aca="false">IF(OR($A41=1931,$A41=1932),cb_buy/2,0)</f>
        <v>0</v>
      </c>
      <c r="H41" s="56" t="n">
        <f aca="false">H40+G41</f>
        <v>0</v>
      </c>
      <c r="I41" s="56" t="n">
        <f aca="false">Economy!O41*money_ratio+H41</f>
        <v>104.064896039644</v>
      </c>
      <c r="J41" s="56" t="n">
        <f aca="false">I41*gold_cover</f>
        <v>41.6259584158578</v>
      </c>
      <c r="K41" s="56" t="n">
        <f aca="false">F41-J41</f>
        <v>273.367991779016</v>
      </c>
      <c r="L41" s="66" t="n">
        <f aca="false">IF(I41&gt;0,F41/I41,0)</f>
        <v>3.02689919639062</v>
      </c>
      <c r="M41" s="66" t="n">
        <f aca="false">IF(Paths!AD41&gt;0,F41/Paths!AD41,0)</f>
        <v>0.108059674166337</v>
      </c>
    </row>
    <row r="42" customFormat="false" ht="14.25" hidden="false" customHeight="true" outlineLevel="0" collapsed="false">
      <c r="A42" s="61" t="n">
        <v>1882</v>
      </c>
      <c r="B42" s="56" t="n">
        <f aca="false">F41</f>
        <v>314.993950194873</v>
      </c>
      <c r="C42" s="72" t="n">
        <f aca="false">Resources!R42</f>
        <v>7.892</v>
      </c>
      <c r="D42" s="56" t="n">
        <f aca="false">IF($A42&gt;=1850,Economy!O42*ext_gold,0)</f>
        <v>3.14113708258744</v>
      </c>
      <c r="E42" s="56" t="n">
        <f aca="false">SUMPRODUCT((Events!$B$6:$B$400&lt;=$A42)*(Events!$C$6:$C$400&gt;=$A42)*(Events!$E$6:$E$400="Loan")*(Events!$J$6:$J$400="Yes")*Events!$H$6:$H$400)+SUMPRODUCT((Events!$B$6:$B$400&lt;=$A42)*(Events!$C$6:$C$400&gt;=$A42)*(Events!$E$6:$E$400="Purchase")*(Events!$J$6:$J$400="Yes")*Events!$H$6:$H$400)</f>
        <v>0</v>
      </c>
      <c r="F42" s="56" t="n">
        <f aca="false">MAX(0,B42+C42+D42-E42)</f>
        <v>326.027087277461</v>
      </c>
      <c r="G42" s="56" t="n">
        <f aca="false">IF(OR($A42=1931,$A42=1932),cb_buy/2,0)</f>
        <v>0</v>
      </c>
      <c r="H42" s="56" t="n">
        <f aca="false">H41+G42</f>
        <v>0</v>
      </c>
      <c r="I42" s="56" t="n">
        <f aca="false">Economy!O42*money_ratio+H42</f>
        <v>109.93979789056</v>
      </c>
      <c r="J42" s="56" t="n">
        <f aca="false">I42*gold_cover</f>
        <v>43.9759191562242</v>
      </c>
      <c r="K42" s="56" t="n">
        <f aca="false">F42-J42</f>
        <v>282.051168121237</v>
      </c>
      <c r="L42" s="66" t="n">
        <f aca="false">IF(I42&gt;0,F42/I42,0)</f>
        <v>2.96550560882424</v>
      </c>
      <c r="M42" s="66" t="n">
        <f aca="false">IF(Paths!AD42&gt;0,F42/Paths!AD42,0)</f>
        <v>0.109405062844786</v>
      </c>
    </row>
    <row r="43" customFormat="false" ht="14.25" hidden="false" customHeight="true" outlineLevel="0" collapsed="false">
      <c r="A43" s="61" t="n">
        <v>1883</v>
      </c>
      <c r="B43" s="56" t="n">
        <f aca="false">F42</f>
        <v>326.027087277461</v>
      </c>
      <c r="C43" s="72" t="n">
        <f aca="false">Resources!R43</f>
        <v>7.628</v>
      </c>
      <c r="D43" s="56" t="n">
        <f aca="false">IF($A43&gt;=1850,Economy!O43*ext_gold,0)</f>
        <v>3.31393882440084</v>
      </c>
      <c r="E43" s="56" t="n">
        <f aca="false">SUMPRODUCT((Events!$B$6:$B$400&lt;=$A43)*(Events!$C$6:$C$400&gt;=$A43)*(Events!$E$6:$E$400="Loan")*(Events!$J$6:$J$400="Yes")*Events!$H$6:$H$400)+SUMPRODUCT((Events!$B$6:$B$400&lt;=$A43)*(Events!$C$6:$C$400&gt;=$A43)*(Events!$E$6:$E$400="Purchase")*(Events!$J$6:$J$400="Yes")*Events!$H$6:$H$400)</f>
        <v>0</v>
      </c>
      <c r="F43" s="56" t="n">
        <f aca="false">MAX(0,B43+C43+D43-E43)</f>
        <v>336.969026101862</v>
      </c>
      <c r="G43" s="56" t="n">
        <f aca="false">IF(OR($A43=1931,$A43=1932),cb_buy/2,0)</f>
        <v>0</v>
      </c>
      <c r="H43" s="56" t="n">
        <f aca="false">H42+G43</f>
        <v>0</v>
      </c>
      <c r="I43" s="56" t="n">
        <f aca="false">Economy!O43*money_ratio+H43</f>
        <v>115.98785885403</v>
      </c>
      <c r="J43" s="56" t="n">
        <f aca="false">I43*gold_cover</f>
        <v>46.3951435416118</v>
      </c>
      <c r="K43" s="56" t="n">
        <f aca="false">F43-J43</f>
        <v>290.57388256025</v>
      </c>
      <c r="L43" s="66" t="n">
        <f aca="false">IF(I43&gt;0,F43/I43,0)</f>
        <v>2.90520947132869</v>
      </c>
      <c r="M43" s="66" t="n">
        <f aca="false">IF(Paths!AD43&gt;0,F43/Paths!AD43,0)</f>
        <v>0.110663062759232</v>
      </c>
    </row>
    <row r="44" customFormat="false" ht="14.25" hidden="false" customHeight="true" outlineLevel="0" collapsed="false">
      <c r="A44" s="61" t="n">
        <v>1884</v>
      </c>
      <c r="B44" s="56" t="n">
        <f aca="false">F43</f>
        <v>336.969026101862</v>
      </c>
      <c r="C44" s="72" t="n">
        <f aca="false">Resources!R44</f>
        <v>7.364</v>
      </c>
      <c r="D44" s="56" t="n">
        <f aca="false">IF($A44&gt;=1850,Economy!O44*ext_gold,0)</f>
        <v>3.42391950143346</v>
      </c>
      <c r="E44" s="56" t="n">
        <f aca="false">SUMPRODUCT((Events!$B$6:$B$400&lt;=$A44)*(Events!$C$6:$C$400&gt;=$A44)*(Events!$E$6:$E$400="Loan")*(Events!$J$6:$J$400="Yes")*Events!$H$6:$H$400)+SUMPRODUCT((Events!$B$6:$B$400&lt;=$A44)*(Events!$C$6:$C$400&gt;=$A44)*(Events!$E$6:$E$400="Purchase")*(Events!$J$6:$J$400="Yes")*Events!$H$6:$H$400)</f>
        <v>0</v>
      </c>
      <c r="F44" s="56" t="n">
        <f aca="false">MAX(0,B44+C44+D44-E44)</f>
        <v>347.756945603295</v>
      </c>
      <c r="G44" s="56" t="n">
        <f aca="false">IF(OR($A44=1931,$A44=1932),cb_buy/2,0)</f>
        <v>0</v>
      </c>
      <c r="H44" s="56" t="n">
        <f aca="false">H43+G44</f>
        <v>0</v>
      </c>
      <c r="I44" s="56" t="n">
        <f aca="false">Economy!O44*money_ratio+H44</f>
        <v>119.837182550171</v>
      </c>
      <c r="J44" s="56" t="n">
        <f aca="false">I44*gold_cover</f>
        <v>47.9348730200685</v>
      </c>
      <c r="K44" s="56" t="n">
        <f aca="false">F44-J44</f>
        <v>299.822072583227</v>
      </c>
      <c r="L44" s="66" t="n">
        <f aca="false">IF(I44&gt;0,F44/I44,0)</f>
        <v>2.901911895815</v>
      </c>
      <c r="M44" s="66" t="n">
        <f aca="false">IF(Paths!AD44&gt;0,F44/Paths!AD44,0)</f>
        <v>0.111818953570191</v>
      </c>
    </row>
    <row r="45" customFormat="false" ht="14.25" hidden="false" customHeight="true" outlineLevel="0" collapsed="false">
      <c r="A45" s="61" t="n">
        <v>1885</v>
      </c>
      <c r="B45" s="56" t="n">
        <f aca="false">F44</f>
        <v>347.756945603295</v>
      </c>
      <c r="C45" s="72" t="n">
        <f aca="false">Resources!R45</f>
        <v>7.1</v>
      </c>
      <c r="D45" s="56" t="n">
        <f aca="false">IF($A45&gt;=1850,Economy!O45*ext_gold,0)</f>
        <v>3.60952561364577</v>
      </c>
      <c r="E45" s="56" t="n">
        <f aca="false">SUMPRODUCT((Events!$B$6:$B$400&lt;=$A45)*(Events!$C$6:$C$400&gt;=$A45)*(Events!$E$6:$E$400="Loan")*(Events!$J$6:$J$400="Yes")*Events!$H$6:$H$400)+SUMPRODUCT((Events!$B$6:$B$400&lt;=$A45)*(Events!$C$6:$C$400&gt;=$A45)*(Events!$E$6:$E$400="Purchase")*(Events!$J$6:$J$400="Yes")*Events!$H$6:$H$400)</f>
        <v>0</v>
      </c>
      <c r="F45" s="56" t="n">
        <f aca="false">MAX(0,B45+C45+D45-E45)</f>
        <v>358.466471216941</v>
      </c>
      <c r="G45" s="56" t="n">
        <f aca="false">IF(OR($A45=1931,$A45=1932),cb_buy/2,0)</f>
        <v>0</v>
      </c>
      <c r="H45" s="56" t="n">
        <f aca="false">H44+G45</f>
        <v>0</v>
      </c>
      <c r="I45" s="56" t="n">
        <f aca="false">Economy!O45*money_ratio+H45</f>
        <v>126.333396477602</v>
      </c>
      <c r="J45" s="56" t="n">
        <f aca="false">I45*gold_cover</f>
        <v>50.5333585910407</v>
      </c>
      <c r="K45" s="56" t="n">
        <f aca="false">F45-J45</f>
        <v>307.9331126259</v>
      </c>
      <c r="L45" s="66" t="n">
        <f aca="false">IF(I45&gt;0,F45/I45,0)</f>
        <v>2.83746405314524</v>
      </c>
      <c r="M45" s="66" t="n">
        <f aca="false">IF(Paths!AD45&gt;0,F45/Paths!AD45,0)</f>
        <v>0.112902825580139</v>
      </c>
    </row>
    <row r="46" customFormat="false" ht="14.25" hidden="false" customHeight="true" outlineLevel="0" collapsed="false">
      <c r="A46" s="61" t="n">
        <v>1886</v>
      </c>
      <c r="B46" s="56" t="n">
        <f aca="false">F45</f>
        <v>358.466471216941</v>
      </c>
      <c r="C46" s="72" t="n">
        <f aca="false">Resources!R46</f>
        <v>7.2</v>
      </c>
      <c r="D46" s="56" t="n">
        <f aca="false">IF($A46&gt;=1850,Economy!O46*ext_gold,0)</f>
        <v>3.92676404717332</v>
      </c>
      <c r="E46" s="56" t="n">
        <f aca="false">SUMPRODUCT((Events!$B$6:$B$400&lt;=$A46)*(Events!$C$6:$C$400&gt;=$A46)*(Events!$E$6:$E$400="Loan")*(Events!$J$6:$J$400="Yes")*Events!$H$6:$H$400)+SUMPRODUCT((Events!$B$6:$B$400&lt;=$A46)*(Events!$C$6:$C$400&gt;=$A46)*(Events!$E$6:$E$400="Purchase")*(Events!$J$6:$J$400="Yes")*Events!$H$6:$H$400)</f>
        <v>0</v>
      </c>
      <c r="F46" s="56" t="n">
        <f aca="false">MAX(0,B46+C46+D46-E46)</f>
        <v>369.593235264114</v>
      </c>
      <c r="G46" s="56" t="n">
        <f aca="false">IF(OR($A46=1931,$A46=1932),cb_buy/2,0)</f>
        <v>0</v>
      </c>
      <c r="H46" s="56" t="n">
        <f aca="false">H45+G46</f>
        <v>0</v>
      </c>
      <c r="I46" s="56" t="n">
        <f aca="false">Economy!O46*money_ratio+H46</f>
        <v>137.436741651066</v>
      </c>
      <c r="J46" s="56" t="n">
        <f aca="false">I46*gold_cover</f>
        <v>54.9746966604265</v>
      </c>
      <c r="K46" s="56" t="n">
        <f aca="false">F46-J46</f>
        <v>314.618538603688</v>
      </c>
      <c r="L46" s="66" t="n">
        <f aca="false">IF(I46&gt;0,F46/I46,0)</f>
        <v>2.68918799168321</v>
      </c>
      <c r="M46" s="66" t="n">
        <f aca="false">IF(Paths!AD46&gt;0,F46/Paths!AD46,0)</f>
        <v>0.114071986192628</v>
      </c>
    </row>
    <row r="47" customFormat="false" ht="14.25" hidden="false" customHeight="true" outlineLevel="0" collapsed="false">
      <c r="A47" s="61" t="n">
        <v>1887</v>
      </c>
      <c r="B47" s="56" t="n">
        <f aca="false">F46</f>
        <v>369.593235264114</v>
      </c>
      <c r="C47" s="72" t="n">
        <f aca="false">Resources!R47</f>
        <v>7.3</v>
      </c>
      <c r="D47" s="56" t="n">
        <f aca="false">IF($A47&gt;=1850,Economy!O47*ext_gold,0)</f>
        <v>4.19313645643977</v>
      </c>
      <c r="E47" s="56" t="n">
        <f aca="false">SUMPRODUCT((Events!$B$6:$B$400&lt;=$A47)*(Events!$C$6:$C$400&gt;=$A47)*(Events!$E$6:$E$400="Loan")*(Events!$J$6:$J$400="Yes")*Events!$H$6:$H$400)+SUMPRODUCT((Events!$B$6:$B$400&lt;=$A47)*(Events!$C$6:$C$400&gt;=$A47)*(Events!$E$6:$E$400="Purchase")*(Events!$J$6:$J$400="Yes")*Events!$H$6:$H$400)</f>
        <v>0</v>
      </c>
      <c r="F47" s="56" t="n">
        <f aca="false">MAX(0,B47+C47+D47-E47)</f>
        <v>381.086371720554</v>
      </c>
      <c r="G47" s="56" t="n">
        <f aca="false">IF(OR($A47=1931,$A47=1932),cb_buy/2,0)</f>
        <v>0</v>
      </c>
      <c r="H47" s="56" t="n">
        <f aca="false">H46+G47</f>
        <v>0</v>
      </c>
      <c r="I47" s="56" t="n">
        <f aca="false">Economy!O47*money_ratio+H47</f>
        <v>146.759775975392</v>
      </c>
      <c r="J47" s="56" t="n">
        <f aca="false">I47*gold_cover</f>
        <v>58.7039103901568</v>
      </c>
      <c r="K47" s="56" t="n">
        <f aca="false">F47-J47</f>
        <v>322.382461330397</v>
      </c>
      <c r="L47" s="66" t="n">
        <f aca="false">IF(I47&gt;0,F47/I47,0)</f>
        <v>2.59666771216967</v>
      </c>
      <c r="M47" s="66" t="n">
        <f aca="false">IF(Paths!AD47&gt;0,F47/Paths!AD47,0)</f>
        <v>0.115306012623466</v>
      </c>
    </row>
    <row r="48" customFormat="false" ht="14.25" hidden="false" customHeight="true" outlineLevel="0" collapsed="false">
      <c r="A48" s="61" t="n">
        <v>1888</v>
      </c>
      <c r="B48" s="56" t="n">
        <f aca="false">F47</f>
        <v>381.086371720554</v>
      </c>
      <c r="C48" s="72" t="n">
        <f aca="false">Resources!R48</f>
        <v>7.4</v>
      </c>
      <c r="D48" s="56" t="n">
        <f aca="false">IF($A48&gt;=1850,Economy!O48*ext_gold,0)</f>
        <v>4.49110304873486</v>
      </c>
      <c r="E48" s="56" t="n">
        <f aca="false">SUMPRODUCT((Events!$B$6:$B$400&lt;=$A48)*(Events!$C$6:$C$400&gt;=$A48)*(Events!$E$6:$E$400="Loan")*(Events!$J$6:$J$400="Yes")*Events!$H$6:$H$400)+SUMPRODUCT((Events!$B$6:$B$400&lt;=$A48)*(Events!$C$6:$C$400&gt;=$A48)*(Events!$E$6:$E$400="Purchase")*(Events!$J$6:$J$400="Yes")*Events!$H$6:$H$400)</f>
        <v>0</v>
      </c>
      <c r="F48" s="56" t="n">
        <f aca="false">MAX(0,B48+C48+D48-E48)</f>
        <v>392.977474769289</v>
      </c>
      <c r="G48" s="56" t="n">
        <f aca="false">IF(OR($A48=1931,$A48=1932),cb_buy/2,0)</f>
        <v>0</v>
      </c>
      <c r="H48" s="56" t="n">
        <f aca="false">H47+G48</f>
        <v>0</v>
      </c>
      <c r="I48" s="56" t="n">
        <f aca="false">Economy!O48*money_ratio+H48</f>
        <v>157.18860670572</v>
      </c>
      <c r="J48" s="56" t="n">
        <f aca="false">I48*gold_cover</f>
        <v>62.8754426822881</v>
      </c>
      <c r="K48" s="56" t="n">
        <f aca="false">F48-J48</f>
        <v>330.102032087001</v>
      </c>
      <c r="L48" s="66" t="n">
        <f aca="false">IF(I48&gt;0,F48/I48,0)</f>
        <v>2.5000379035422</v>
      </c>
      <c r="M48" s="66" t="n">
        <f aca="false">IF(Paths!AD48&gt;0,F48/Paths!AD48,0)</f>
        <v>0.116610526637771</v>
      </c>
    </row>
    <row r="49" customFormat="false" ht="14.25" hidden="false" customHeight="true" outlineLevel="0" collapsed="false">
      <c r="A49" s="61" t="n">
        <v>1889</v>
      </c>
      <c r="B49" s="56" t="n">
        <f aca="false">F48</f>
        <v>392.977474769289</v>
      </c>
      <c r="C49" s="72" t="n">
        <f aca="false">Resources!R49</f>
        <v>7.5</v>
      </c>
      <c r="D49" s="56" t="n">
        <f aca="false">IF($A49&gt;=1850,Economy!O49*ext_gold,0)</f>
        <v>4.7935222661778</v>
      </c>
      <c r="E49" s="56" t="n">
        <f aca="false">SUMPRODUCT((Events!$B$6:$B$400&lt;=$A49)*(Events!$C$6:$C$400&gt;=$A49)*(Events!$E$6:$E$400="Loan")*(Events!$J$6:$J$400="Yes")*Events!$H$6:$H$400)+SUMPRODUCT((Events!$B$6:$B$400&lt;=$A49)*(Events!$C$6:$C$400&gt;=$A49)*(Events!$E$6:$E$400="Purchase")*(Events!$J$6:$J$400="Yes")*Events!$H$6:$H$400)</f>
        <v>30</v>
      </c>
      <c r="F49" s="56" t="n">
        <f aca="false">MAX(0,B49+C49+D49-E49)</f>
        <v>375.270997035467</v>
      </c>
      <c r="G49" s="56" t="n">
        <f aca="false">IF(OR($A49=1931,$A49=1932),cb_buy/2,0)</f>
        <v>0</v>
      </c>
      <c r="H49" s="56" t="n">
        <f aca="false">H48+G49</f>
        <v>0</v>
      </c>
      <c r="I49" s="56" t="n">
        <f aca="false">Economy!O49*money_ratio+H49</f>
        <v>167.773279316223</v>
      </c>
      <c r="J49" s="56" t="n">
        <f aca="false">I49*gold_cover</f>
        <v>67.1093117264892</v>
      </c>
      <c r="K49" s="56" t="n">
        <f aca="false">F49-J49</f>
        <v>308.161685308977</v>
      </c>
      <c r="L49" s="66" t="n">
        <f aca="false">IF(I49&gt;0,F49/I49,0)</f>
        <v>2.23677452431592</v>
      </c>
      <c r="M49" s="66" t="n">
        <f aca="false">IF(Paths!AD49&gt;0,F49/Paths!AD49,0)</f>
        <v>0.109249198554721</v>
      </c>
    </row>
    <row r="50" customFormat="false" ht="14.25" hidden="false" customHeight="true" outlineLevel="0" collapsed="false">
      <c r="A50" s="61" t="n">
        <v>1890</v>
      </c>
      <c r="B50" s="56" t="n">
        <f aca="false">F49</f>
        <v>375.270997035467</v>
      </c>
      <c r="C50" s="72" t="n">
        <f aca="false">Resources!R50</f>
        <v>7.6</v>
      </c>
      <c r="D50" s="56" t="n">
        <f aca="false">IF($A50&gt;=1850,Economy!O50*ext_gold,0)</f>
        <v>5.20767488580224</v>
      </c>
      <c r="E50" s="56" t="n">
        <f aca="false">SUMPRODUCT((Events!$B$6:$B$400&lt;=$A50)*(Events!$C$6:$C$400&gt;=$A50)*(Events!$E$6:$E$400="Loan")*(Events!$J$6:$J$400="Yes")*Events!$H$6:$H$400)+SUMPRODUCT((Events!$B$6:$B$400&lt;=$A50)*(Events!$C$6:$C$400&gt;=$A50)*(Events!$E$6:$E$400="Purchase")*(Events!$J$6:$J$400="Yes")*Events!$H$6:$H$400)</f>
        <v>1.5</v>
      </c>
      <c r="F50" s="56" t="n">
        <f aca="false">MAX(0,B50+C50+D50-E50)</f>
        <v>386.578671921269</v>
      </c>
      <c r="G50" s="56" t="n">
        <f aca="false">IF(OR($A50=1931,$A50=1932),cb_buy/2,0)</f>
        <v>0</v>
      </c>
      <c r="H50" s="56" t="n">
        <f aca="false">H49+G50</f>
        <v>0</v>
      </c>
      <c r="I50" s="56" t="n">
        <f aca="false">Economy!O50*money_ratio+H50</f>
        <v>182.268621003078</v>
      </c>
      <c r="J50" s="56" t="n">
        <f aca="false">I50*gold_cover</f>
        <v>72.9074484012313</v>
      </c>
      <c r="K50" s="56" t="n">
        <f aca="false">F50-J50</f>
        <v>313.671223520038</v>
      </c>
      <c r="L50" s="66" t="n">
        <f aca="false">IF(I50&gt;0,F50/I50,0)</f>
        <v>2.12092827494833</v>
      </c>
      <c r="M50" s="66" t="n">
        <f aca="false">IF(Paths!AD50&gt;0,F50/Paths!AD50,0)</f>
        <v>0.110451049120363</v>
      </c>
    </row>
    <row r="51" customFormat="false" ht="14.25" hidden="false" customHeight="true" outlineLevel="0" collapsed="false">
      <c r="A51" s="61" t="n">
        <v>1891</v>
      </c>
      <c r="B51" s="56" t="n">
        <f aca="false">F50</f>
        <v>386.578671921269</v>
      </c>
      <c r="C51" s="72" t="n">
        <f aca="false">Resources!R51</f>
        <v>7.64</v>
      </c>
      <c r="D51" s="56" t="n">
        <f aca="false">IF($A51&gt;=1850,Economy!O51*ext_gold,0)</f>
        <v>5.58440795829142</v>
      </c>
      <c r="E51" s="56" t="n">
        <f aca="false">SUMPRODUCT((Events!$B$6:$B$400&lt;=$A51)*(Events!$C$6:$C$400&gt;=$A51)*(Events!$E$6:$E$400="Loan")*(Events!$J$6:$J$400="Yes")*Events!$H$6:$H$400)+SUMPRODUCT((Events!$B$6:$B$400&lt;=$A51)*(Events!$C$6:$C$400&gt;=$A51)*(Events!$E$6:$E$400="Purchase")*(Events!$J$6:$J$400="Yes")*Events!$H$6:$H$400)</f>
        <v>1.5</v>
      </c>
      <c r="F51" s="56" t="n">
        <f aca="false">MAX(0,B51+C51+D51-E51)</f>
        <v>398.30307987956</v>
      </c>
      <c r="G51" s="56" t="n">
        <f aca="false">IF(OR($A51=1931,$A51=1932),cb_buy/2,0)</f>
        <v>0</v>
      </c>
      <c r="H51" s="56" t="n">
        <f aca="false">H50+G51</f>
        <v>0</v>
      </c>
      <c r="I51" s="56" t="n">
        <f aca="false">Economy!O51*money_ratio+H51</f>
        <v>195.4542785402</v>
      </c>
      <c r="J51" s="56" t="n">
        <f aca="false">I51*gold_cover</f>
        <v>78.1817114160799</v>
      </c>
      <c r="K51" s="56" t="n">
        <f aca="false">F51-J51</f>
        <v>320.12136846348</v>
      </c>
      <c r="L51" s="66" t="n">
        <f aca="false">IF(I51&gt;0,F51/I51,0)</f>
        <v>2.03783249389263</v>
      </c>
      <c r="M51" s="66" t="n">
        <f aca="false">IF(Paths!AD51&gt;0,F51/Paths!AD51,0)</f>
        <v>0.109725366358006</v>
      </c>
    </row>
    <row r="52" customFormat="false" ht="14.25" hidden="false" customHeight="true" outlineLevel="0" collapsed="false">
      <c r="A52" s="61" t="n">
        <v>1892</v>
      </c>
      <c r="B52" s="56" t="n">
        <f aca="false">F51</f>
        <v>398.30307987956</v>
      </c>
      <c r="C52" s="72" t="n">
        <f aca="false">Resources!R52</f>
        <v>7.68</v>
      </c>
      <c r="D52" s="56" t="n">
        <f aca="false">IF($A52&gt;=1850,Economy!O52*ext_gold,0)</f>
        <v>5.97194586538889</v>
      </c>
      <c r="E52" s="56" t="n">
        <f aca="false">SUMPRODUCT((Events!$B$6:$B$400&lt;=$A52)*(Events!$C$6:$C$400&gt;=$A52)*(Events!$E$6:$E$400="Loan")*(Events!$J$6:$J$400="Yes")*Events!$H$6:$H$400)+SUMPRODUCT((Events!$B$6:$B$400&lt;=$A52)*(Events!$C$6:$C$400&gt;=$A52)*(Events!$E$6:$E$400="Purchase")*(Events!$J$6:$J$400="Yes")*Events!$H$6:$H$400)</f>
        <v>0</v>
      </c>
      <c r="F52" s="56" t="n">
        <f aca="false">MAX(0,B52+C52+D52-E52)</f>
        <v>411.955025744949</v>
      </c>
      <c r="G52" s="56" t="n">
        <f aca="false">IF(OR($A52=1931,$A52=1932),cb_buy/2,0)</f>
        <v>0</v>
      </c>
      <c r="H52" s="56" t="n">
        <f aca="false">H51+G52</f>
        <v>0</v>
      </c>
      <c r="I52" s="56" t="n">
        <f aca="false">Economy!O52*money_ratio+H52</f>
        <v>209.018105288611</v>
      </c>
      <c r="J52" s="56" t="n">
        <f aca="false">I52*gold_cover</f>
        <v>83.6072421154444</v>
      </c>
      <c r="K52" s="56" t="n">
        <f aca="false">F52-J52</f>
        <v>328.347783629505</v>
      </c>
      <c r="L52" s="66" t="n">
        <f aca="false">IF(I52&gt;0,F52/I52,0)</f>
        <v>1.97090594222029</v>
      </c>
      <c r="M52" s="66" t="n">
        <f aca="false">IF(Paths!AD52&gt;0,F52/Paths!AD52,0)</f>
        <v>0.109562506847061</v>
      </c>
    </row>
    <row r="53" customFormat="false" ht="14.25" hidden="false" customHeight="true" outlineLevel="0" collapsed="false">
      <c r="A53" s="61" t="n">
        <v>1893</v>
      </c>
      <c r="B53" s="56" t="n">
        <f aca="false">F52</f>
        <v>411.955025744949</v>
      </c>
      <c r="C53" s="72" t="n">
        <f aca="false">Resources!R53</f>
        <v>7.72</v>
      </c>
      <c r="D53" s="56" t="n">
        <f aca="false">IF($A53&gt;=1850,Economy!O53*ext_gold,0)</f>
        <v>6.05145763324381</v>
      </c>
      <c r="E53" s="56" t="n">
        <f aca="false">SUMPRODUCT((Events!$B$6:$B$400&lt;=$A53)*(Events!$C$6:$C$400&gt;=$A53)*(Events!$E$6:$E$400="Loan")*(Events!$J$6:$J$400="Yes")*Events!$H$6:$H$400)+SUMPRODUCT((Events!$B$6:$B$400&lt;=$A53)*(Events!$C$6:$C$400&gt;=$A53)*(Events!$E$6:$E$400="Purchase")*(Events!$J$6:$J$400="Yes")*Events!$H$6:$H$400)</f>
        <v>0</v>
      </c>
      <c r="F53" s="56" t="n">
        <f aca="false">MAX(0,B53+C53+D53-E53)</f>
        <v>425.726483378193</v>
      </c>
      <c r="G53" s="56" t="n">
        <f aca="false">IF(OR($A53=1931,$A53=1932),cb_buy/2,0)</f>
        <v>0</v>
      </c>
      <c r="H53" s="56" t="n">
        <f aca="false">H52+G53</f>
        <v>0</v>
      </c>
      <c r="I53" s="56" t="n">
        <f aca="false">Economy!O53*money_ratio+H53</f>
        <v>211.801017163534</v>
      </c>
      <c r="J53" s="56" t="n">
        <f aca="false">I53*gold_cover</f>
        <v>84.7204068654134</v>
      </c>
      <c r="K53" s="56" t="n">
        <f aca="false">F53-J53</f>
        <v>341.00607651278</v>
      </c>
      <c r="L53" s="66" t="n">
        <f aca="false">IF(I53&gt;0,F53/I53,0)</f>
        <v>2.01003040060703</v>
      </c>
      <c r="M53" s="66" t="n">
        <f aca="false">IF(Paths!AD53&gt;0,F53/Paths!AD53,0)</f>
        <v>0.109441255367145</v>
      </c>
    </row>
    <row r="54" customFormat="false" ht="14.25" hidden="false" customHeight="true" outlineLevel="0" collapsed="false">
      <c r="A54" s="61" t="n">
        <v>1894</v>
      </c>
      <c r="B54" s="56" t="n">
        <f aca="false">F53</f>
        <v>425.726483378193</v>
      </c>
      <c r="C54" s="72" t="n">
        <f aca="false">Resources!R54</f>
        <v>7.76</v>
      </c>
      <c r="D54" s="56" t="n">
        <f aca="false">IF($A54&gt;=1850,Economy!O54*ext_gold,0)</f>
        <v>6.36388293599291</v>
      </c>
      <c r="E54" s="56" t="n">
        <f aca="false">SUMPRODUCT((Events!$B$6:$B$400&lt;=$A54)*(Events!$C$6:$C$400&gt;=$A54)*(Events!$E$6:$E$400="Loan")*(Events!$J$6:$J$400="Yes")*Events!$H$6:$H$400)+SUMPRODUCT((Events!$B$6:$B$400&lt;=$A54)*(Events!$C$6:$C$400&gt;=$A54)*(Events!$E$6:$E$400="Purchase")*(Events!$J$6:$J$400="Yes")*Events!$H$6:$H$400)</f>
        <v>0</v>
      </c>
      <c r="F54" s="56" t="n">
        <f aca="false">MAX(0,B54+C54+D54-E54)</f>
        <v>439.850366314186</v>
      </c>
      <c r="G54" s="56" t="n">
        <f aca="false">IF(OR($A54=1931,$A54=1932),cb_buy/2,0)</f>
        <v>0</v>
      </c>
      <c r="H54" s="56" t="n">
        <f aca="false">H53+G54</f>
        <v>0</v>
      </c>
      <c r="I54" s="56" t="n">
        <f aca="false">Economy!O54*money_ratio+H54</f>
        <v>222.735902759752</v>
      </c>
      <c r="J54" s="56" t="n">
        <f aca="false">I54*gold_cover</f>
        <v>89.0943611039007</v>
      </c>
      <c r="K54" s="56" t="n">
        <f aca="false">F54-J54</f>
        <v>350.756005210285</v>
      </c>
      <c r="L54" s="66" t="n">
        <f aca="false">IF(I54&gt;0,F54/I54,0)</f>
        <v>1.97476186310484</v>
      </c>
      <c r="M54" s="66" t="n">
        <f aca="false">IF(Paths!AD54&gt;0,F54/Paths!AD54,0)</f>
        <v>0.109415514008504</v>
      </c>
    </row>
    <row r="55" customFormat="false" ht="14.25" hidden="false" customHeight="true" outlineLevel="0" collapsed="false">
      <c r="A55" s="61" t="n">
        <v>1895</v>
      </c>
      <c r="B55" s="56" t="n">
        <f aca="false">F54</f>
        <v>439.850366314186</v>
      </c>
      <c r="C55" s="72" t="n">
        <f aca="false">Resources!R55</f>
        <v>7.8</v>
      </c>
      <c r="D55" s="56" t="n">
        <f aca="false">IF($A55&gt;=1850,Economy!O55*ext_gold,0)</f>
        <v>6.97135728029332</v>
      </c>
      <c r="E55" s="56" t="n">
        <f aca="false">SUMPRODUCT((Events!$B$6:$B$400&lt;=$A55)*(Events!$C$6:$C$400&gt;=$A55)*(Events!$E$6:$E$400="Loan")*(Events!$J$6:$J$400="Yes")*Events!$H$6:$H$400)+SUMPRODUCT((Events!$B$6:$B$400&lt;=$A55)*(Events!$C$6:$C$400&gt;=$A55)*(Events!$E$6:$E$400="Purchase")*(Events!$J$6:$J$400="Yes")*Events!$H$6:$H$400)</f>
        <v>65</v>
      </c>
      <c r="F55" s="56" t="n">
        <f aca="false">MAX(0,B55+C55+D55-E55)</f>
        <v>389.621723594479</v>
      </c>
      <c r="G55" s="56" t="n">
        <f aca="false">IF(OR($A55=1931,$A55=1932),cb_buy/2,0)</f>
        <v>0</v>
      </c>
      <c r="H55" s="56" t="n">
        <f aca="false">H54+G55</f>
        <v>0</v>
      </c>
      <c r="I55" s="56" t="n">
        <f aca="false">Economy!O55*money_ratio+H55</f>
        <v>243.997504810266</v>
      </c>
      <c r="J55" s="56" t="n">
        <f aca="false">I55*gold_cover</f>
        <v>97.5990019241064</v>
      </c>
      <c r="K55" s="56" t="n">
        <f aca="false">F55-J55</f>
        <v>292.022721670373</v>
      </c>
      <c r="L55" s="66" t="n">
        <f aca="false">IF(I55&gt;0,F55/I55,0)</f>
        <v>1.59682667204917</v>
      </c>
      <c r="M55" s="66" t="n">
        <f aca="false">IF(Paths!AD55&gt;0,F55/Paths!AD55,0)</f>
        <v>0.0938847526733685</v>
      </c>
    </row>
    <row r="56" customFormat="false" ht="14.25" hidden="false" customHeight="true" outlineLevel="0" collapsed="false">
      <c r="A56" s="61" t="n">
        <v>1896</v>
      </c>
      <c r="B56" s="56" t="n">
        <f aca="false">F55</f>
        <v>389.621723594479</v>
      </c>
      <c r="C56" s="72" t="n">
        <f aca="false">Resources!R56</f>
        <v>7.96</v>
      </c>
      <c r="D56" s="56" t="n">
        <f aca="false">IF($A56&gt;=1850,Economy!O56*ext_gold,0)</f>
        <v>7.43240134657276</v>
      </c>
      <c r="E56" s="56" t="n">
        <f aca="false">SUMPRODUCT((Events!$B$6:$B$400&lt;=$A56)*(Events!$C$6:$C$400&gt;=$A56)*(Events!$E$6:$E$400="Loan")*(Events!$J$6:$J$400="Yes")*Events!$H$6:$H$400)+SUMPRODUCT((Events!$B$6:$B$400&lt;=$A56)*(Events!$C$6:$C$400&gt;=$A56)*(Events!$E$6:$E$400="Purchase")*(Events!$J$6:$J$400="Yes")*Events!$H$6:$H$400)</f>
        <v>0</v>
      </c>
      <c r="F56" s="56" t="n">
        <f aca="false">MAX(0,B56+C56+D56-E56)</f>
        <v>405.014124941052</v>
      </c>
      <c r="G56" s="56" t="n">
        <f aca="false">IF(OR($A56=1931,$A56=1932),cb_buy/2,0)</f>
        <v>0</v>
      </c>
      <c r="H56" s="56" t="n">
        <f aca="false">H55+G56</f>
        <v>0</v>
      </c>
      <c r="I56" s="56" t="n">
        <f aca="false">Economy!O56*money_ratio+H56</f>
        <v>260.134047130047</v>
      </c>
      <c r="J56" s="56" t="n">
        <f aca="false">I56*gold_cover</f>
        <v>104.053618852019</v>
      </c>
      <c r="K56" s="56" t="n">
        <f aca="false">F56-J56</f>
        <v>300.960506089033</v>
      </c>
      <c r="L56" s="66" t="n">
        <f aca="false">IF(I56&gt;0,F56/I56,0)</f>
        <v>1.55694392721525</v>
      </c>
      <c r="M56" s="66" t="n">
        <f aca="false">IF(Paths!AD56&gt;0,F56/Paths!AD56,0)</f>
        <v>0.094629468444171</v>
      </c>
    </row>
    <row r="57" customFormat="false" ht="14.25" hidden="false" customHeight="true" outlineLevel="0" collapsed="false">
      <c r="A57" s="61" t="n">
        <v>1897</v>
      </c>
      <c r="B57" s="56" t="n">
        <f aca="false">F56</f>
        <v>405.014124941052</v>
      </c>
      <c r="C57" s="72" t="n">
        <f aca="false">Resources!R57</f>
        <v>8.3</v>
      </c>
      <c r="D57" s="56" t="n">
        <f aca="false">IF($A57&gt;=1850,Economy!O57*ext_gold,0)</f>
        <v>8.35313049350971</v>
      </c>
      <c r="E57" s="56" t="n">
        <f aca="false">SUMPRODUCT((Events!$B$6:$B$400&lt;=$A57)*(Events!$C$6:$C$400&gt;=$A57)*(Events!$E$6:$E$400="Loan")*(Events!$J$6:$J$400="Yes")*Events!$H$6:$H$400)+SUMPRODUCT((Events!$B$6:$B$400&lt;=$A57)*(Events!$C$6:$C$400&gt;=$A57)*(Events!$E$6:$E$400="Purchase")*(Events!$J$6:$J$400="Yes")*Events!$H$6:$H$400)</f>
        <v>20</v>
      </c>
      <c r="F57" s="56" t="n">
        <f aca="false">MAX(0,B57+C57+D57-E57)</f>
        <v>401.667255434562</v>
      </c>
      <c r="G57" s="56" t="n">
        <f aca="false">IF(OR($A57=1931,$A57=1932),cb_buy/2,0)</f>
        <v>0</v>
      </c>
      <c r="H57" s="56" t="n">
        <f aca="false">H56+G57</f>
        <v>0</v>
      </c>
      <c r="I57" s="56" t="n">
        <f aca="false">Economy!O57*money_ratio+H57</f>
        <v>292.35956727284</v>
      </c>
      <c r="J57" s="56" t="n">
        <f aca="false">I57*gold_cover</f>
        <v>116.943826909136</v>
      </c>
      <c r="K57" s="56" t="n">
        <f aca="false">F57-J57</f>
        <v>284.723428525426</v>
      </c>
      <c r="L57" s="66" t="n">
        <f aca="false">IF(I57&gt;0,F57/I57,0)</f>
        <v>1.37388100270279</v>
      </c>
      <c r="M57" s="66" t="n">
        <f aca="false">IF(Paths!AD57&gt;0,F57/Paths!AD57,0)</f>
        <v>0.0910810103026217</v>
      </c>
    </row>
    <row r="58" customFormat="false" ht="14.25" hidden="false" customHeight="true" outlineLevel="0" collapsed="false">
      <c r="A58" s="61" t="n">
        <v>1898</v>
      </c>
      <c r="B58" s="56" t="n">
        <f aca="false">F57</f>
        <v>401.667255434562</v>
      </c>
      <c r="C58" s="72" t="n">
        <f aca="false">Resources!R58</f>
        <v>8.6</v>
      </c>
      <c r="D58" s="56" t="n">
        <f aca="false">IF($A58&gt;=1850,Economy!O58*ext_gold,0)</f>
        <v>9.16572417598475</v>
      </c>
      <c r="E58" s="56" t="n">
        <f aca="false">SUMPRODUCT((Events!$B$6:$B$400&lt;=$A58)*(Events!$C$6:$C$400&gt;=$A58)*(Events!$E$6:$E$400="Loan")*(Events!$J$6:$J$400="Yes")*Events!$H$6:$H$400)+SUMPRODUCT((Events!$B$6:$B$400&lt;=$A58)*(Events!$C$6:$C$400&gt;=$A58)*(Events!$E$6:$E$400="Purchase")*(Events!$J$6:$J$400="Yes")*Events!$H$6:$H$400)</f>
        <v>0</v>
      </c>
      <c r="F58" s="56" t="n">
        <f aca="false">MAX(0,B58+C58+D58-E58)</f>
        <v>419.432979610547</v>
      </c>
      <c r="G58" s="56" t="n">
        <f aca="false">IF(OR($A58=1931,$A58=1932),cb_buy/2,0)</f>
        <v>0</v>
      </c>
      <c r="H58" s="56" t="n">
        <f aca="false">H57+G58</f>
        <v>0</v>
      </c>
      <c r="I58" s="56" t="n">
        <f aca="false">Economy!O58*money_ratio+H58</f>
        <v>320.800346159466</v>
      </c>
      <c r="J58" s="56" t="n">
        <f aca="false">I58*gold_cover</f>
        <v>128.320138463787</v>
      </c>
      <c r="K58" s="56" t="n">
        <f aca="false">F58-J58</f>
        <v>291.11284114676</v>
      </c>
      <c r="L58" s="66" t="n">
        <f aca="false">IF(I58&gt;0,F58/I58,0)</f>
        <v>1.3074580019376</v>
      </c>
      <c r="M58" s="66" t="n">
        <f aca="false">IF(Paths!AD58&gt;0,F58/Paths!AD58,0)</f>
        <v>0.0923861188569486</v>
      </c>
    </row>
    <row r="59" customFormat="false" ht="14.25" hidden="false" customHeight="true" outlineLevel="0" collapsed="false">
      <c r="A59" s="61" t="n">
        <v>1899</v>
      </c>
      <c r="B59" s="56" t="n">
        <f aca="false">F58</f>
        <v>419.432979610547</v>
      </c>
      <c r="C59" s="72" t="n">
        <f aca="false">Resources!R59</f>
        <v>9.5</v>
      </c>
      <c r="D59" s="56" t="n">
        <f aca="false">IF($A59&gt;=1850,Economy!O59*ext_gold,0)</f>
        <v>10.0322962662695</v>
      </c>
      <c r="E59" s="56" t="n">
        <f aca="false">SUMPRODUCT((Events!$B$6:$B$400&lt;=$A59)*(Events!$C$6:$C$400&gt;=$A59)*(Events!$E$6:$E$400="Loan")*(Events!$J$6:$J$400="Yes")*Events!$H$6:$H$400)+SUMPRODUCT((Events!$B$6:$B$400&lt;=$A59)*(Events!$C$6:$C$400&gt;=$A59)*(Events!$E$6:$E$400="Purchase")*(Events!$J$6:$J$400="Yes")*Events!$H$6:$H$400)</f>
        <v>0</v>
      </c>
      <c r="F59" s="56" t="n">
        <f aca="false">MAX(0,B59+C59+D59-E59)</f>
        <v>438.965275876816</v>
      </c>
      <c r="G59" s="56" t="n">
        <f aca="false">IF(OR($A59=1931,$A59=1932),cb_buy/2,0)</f>
        <v>0</v>
      </c>
      <c r="H59" s="56" t="n">
        <f aca="false">H58+G59</f>
        <v>0</v>
      </c>
      <c r="I59" s="56" t="n">
        <f aca="false">Economy!O59*money_ratio+H59</f>
        <v>351.130369319433</v>
      </c>
      <c r="J59" s="56" t="n">
        <f aca="false">I59*gold_cover</f>
        <v>140.452147727773</v>
      </c>
      <c r="K59" s="56" t="n">
        <f aca="false">F59-J59</f>
        <v>298.513128149043</v>
      </c>
      <c r="L59" s="66" t="n">
        <f aca="false">IF(I59&gt;0,F59/I59,0)</f>
        <v>1.25014898804574</v>
      </c>
      <c r="M59" s="66" t="n">
        <f aca="false">IF(Paths!AD59&gt;0,F59/Paths!AD59,0)</f>
        <v>0.09399684708283</v>
      </c>
    </row>
    <row r="60" customFormat="false" ht="14.25" hidden="false" customHeight="true" outlineLevel="0" collapsed="false">
      <c r="A60" s="61" t="n">
        <v>1900</v>
      </c>
      <c r="B60" s="56" t="n">
        <f aca="false">F59</f>
        <v>438.965275876816</v>
      </c>
      <c r="C60" s="72" t="n">
        <f aca="false">Resources!R60</f>
        <v>10.4</v>
      </c>
      <c r="D60" s="56" t="n">
        <f aca="false">IF($A60&gt;=1850,Economy!O60*ext_gold,0)</f>
        <v>10.9927051903209</v>
      </c>
      <c r="E60" s="56" t="n">
        <f aca="false">SUMPRODUCT((Events!$B$6:$B$400&lt;=$A60)*(Events!$C$6:$C$400&gt;=$A60)*(Events!$E$6:$E$400="Loan")*(Events!$J$6:$J$400="Yes")*Events!$H$6:$H$400)+SUMPRODUCT((Events!$B$6:$B$400&lt;=$A60)*(Events!$C$6:$C$400&gt;=$A60)*(Events!$E$6:$E$400="Purchase")*(Events!$J$6:$J$400="Yes")*Events!$H$6:$H$400)</f>
        <v>0</v>
      </c>
      <c r="F60" s="56" t="n">
        <f aca="false">MAX(0,B60+C60+D60-E60)</f>
        <v>460.357981067137</v>
      </c>
      <c r="G60" s="56" t="n">
        <f aca="false">IF(OR($A60=1931,$A60=1932),cb_buy/2,0)</f>
        <v>0</v>
      </c>
      <c r="H60" s="56" t="n">
        <f aca="false">H59+G60</f>
        <v>0</v>
      </c>
      <c r="I60" s="56" t="n">
        <f aca="false">Economy!O60*money_ratio+H60</f>
        <v>384.744681661233</v>
      </c>
      <c r="J60" s="56" t="n">
        <f aca="false">I60*gold_cover</f>
        <v>153.897872664493</v>
      </c>
      <c r="K60" s="56" t="n">
        <f aca="false">F60-J60</f>
        <v>306.460108402644</v>
      </c>
      <c r="L60" s="66" t="n">
        <f aca="false">IF(I60&gt;0,F60/I60,0)</f>
        <v>1.19652851101001</v>
      </c>
      <c r="M60" s="66" t="n">
        <f aca="false">IF(Paths!AD60&gt;0,F60/Paths!AD60,0)</f>
        <v>0.0959079127223202</v>
      </c>
    </row>
    <row r="61" customFormat="false" ht="14.25" hidden="false" customHeight="true" outlineLevel="0" collapsed="false">
      <c r="A61" s="61" t="n">
        <v>1901</v>
      </c>
      <c r="B61" s="56" t="n">
        <f aca="false">F60</f>
        <v>460.357981067137</v>
      </c>
      <c r="C61" s="72" t="n">
        <f aca="false">Resources!R61</f>
        <v>11.24</v>
      </c>
      <c r="D61" s="56" t="n">
        <f aca="false">IF($A61&gt;=1850,Economy!O61*ext_gold,0)</f>
        <v>11.970002382327</v>
      </c>
      <c r="E61" s="56" t="n">
        <f aca="false">SUMPRODUCT((Events!$B$6:$B$400&lt;=$A61)*(Events!$C$6:$C$400&gt;=$A61)*(Events!$E$6:$E$400="Loan")*(Events!$J$6:$J$400="Yes")*Events!$H$6:$H$400)+SUMPRODUCT((Events!$B$6:$B$400&lt;=$A61)*(Events!$C$6:$C$400&gt;=$A61)*(Events!$E$6:$E$400="Purchase")*(Events!$J$6:$J$400="Yes")*Events!$H$6:$H$400)</f>
        <v>0</v>
      </c>
      <c r="F61" s="56" t="n">
        <f aca="false">MAX(0,B61+C61+D61-E61)</f>
        <v>483.567983449464</v>
      </c>
      <c r="G61" s="56" t="n">
        <f aca="false">IF(OR($A61=1931,$A61=1932),cb_buy/2,0)</f>
        <v>0</v>
      </c>
      <c r="H61" s="56" t="n">
        <f aca="false">H60+G61</f>
        <v>0</v>
      </c>
      <c r="I61" s="56" t="n">
        <f aca="false">Economy!O61*money_ratio+H61</f>
        <v>418.950083381446</v>
      </c>
      <c r="J61" s="56" t="n">
        <f aca="false">I61*gold_cover</f>
        <v>167.580033352578</v>
      </c>
      <c r="K61" s="56" t="n">
        <f aca="false">F61-J61</f>
        <v>315.987950096886</v>
      </c>
      <c r="L61" s="66" t="n">
        <f aca="false">IF(I61&gt;0,F61/I61,0)</f>
        <v>1.15423770666537</v>
      </c>
      <c r="M61" s="66" t="n">
        <f aca="false">IF(Paths!AD61&gt;0,F61/Paths!AD61,0)</f>
        <v>0.0958319428159857</v>
      </c>
    </row>
    <row r="62" customFormat="false" ht="14.25" hidden="false" customHeight="true" outlineLevel="0" collapsed="false">
      <c r="A62" s="61" t="n">
        <v>1902</v>
      </c>
      <c r="B62" s="56" t="n">
        <f aca="false">F61</f>
        <v>483.567983449464</v>
      </c>
      <c r="C62" s="72" t="n">
        <f aca="false">Resources!R62</f>
        <v>12.18</v>
      </c>
      <c r="D62" s="56" t="n">
        <f aca="false">IF($A62&gt;=1850,Economy!O62*ext_gold,0)</f>
        <v>13.0549922771505</v>
      </c>
      <c r="E62" s="56" t="n">
        <f aca="false">SUMPRODUCT((Events!$B$6:$B$400&lt;=$A62)*(Events!$C$6:$C$400&gt;=$A62)*(Events!$E$6:$E$400="Loan")*(Events!$J$6:$J$400="Yes")*Events!$H$6:$H$400)+SUMPRODUCT((Events!$B$6:$B$400&lt;=$A62)*(Events!$C$6:$C$400&gt;=$A62)*(Events!$E$6:$E$400="Purchase")*(Events!$J$6:$J$400="Yes")*Events!$H$6:$H$400)</f>
        <v>0</v>
      </c>
      <c r="F62" s="56" t="n">
        <f aca="false">MAX(0,B62+C62+D62-E62)</f>
        <v>508.802975726615</v>
      </c>
      <c r="G62" s="56" t="n">
        <f aca="false">IF(OR($A62=1931,$A62=1932),cb_buy/2,0)</f>
        <v>0</v>
      </c>
      <c r="H62" s="56" t="n">
        <f aca="false">H61+G62</f>
        <v>0</v>
      </c>
      <c r="I62" s="56" t="n">
        <f aca="false">Economy!O62*money_ratio+H62</f>
        <v>456.924729700269</v>
      </c>
      <c r="J62" s="56" t="n">
        <f aca="false">I62*gold_cover</f>
        <v>182.769891880107</v>
      </c>
      <c r="K62" s="56" t="n">
        <f aca="false">F62-J62</f>
        <v>326.033083846507</v>
      </c>
      <c r="L62" s="66" t="n">
        <f aca="false">IF(I62&gt;0,F62/I62,0)</f>
        <v>1.11353783819137</v>
      </c>
      <c r="M62" s="66" t="n">
        <f aca="false">IF(Paths!AD62&gt;0,F62/Paths!AD62,0)</f>
        <v>0.0961456870231698</v>
      </c>
    </row>
    <row r="63" customFormat="false" ht="14.25" hidden="false" customHeight="true" outlineLevel="0" collapsed="false">
      <c r="A63" s="61" t="n">
        <v>1903</v>
      </c>
      <c r="B63" s="56" t="n">
        <f aca="false">F62</f>
        <v>508.802975726615</v>
      </c>
      <c r="C63" s="72" t="n">
        <f aca="false">Resources!R63</f>
        <v>13.12</v>
      </c>
      <c r="D63" s="56" t="n">
        <f aca="false">IF($A63&gt;=1850,Economy!O63*ext_gold,0)</f>
        <v>14.2579800638129</v>
      </c>
      <c r="E63" s="56" t="n">
        <f aca="false">SUMPRODUCT((Events!$B$6:$B$400&lt;=$A63)*(Events!$C$6:$C$400&gt;=$A63)*(Events!$E$6:$E$400="Loan")*(Events!$J$6:$J$400="Yes")*Events!$H$6:$H$400)+SUMPRODUCT((Events!$B$6:$B$400&lt;=$A63)*(Events!$C$6:$C$400&gt;=$A63)*(Events!$E$6:$E$400="Purchase")*(Events!$J$6:$J$400="Yes")*Events!$H$6:$H$400)</f>
        <v>0</v>
      </c>
      <c r="F63" s="56" t="n">
        <f aca="false">MAX(0,B63+C63+D63-E63)</f>
        <v>536.180955790427</v>
      </c>
      <c r="G63" s="56" t="n">
        <f aca="false">IF(OR($A63=1931,$A63=1932),cb_buy/2,0)</f>
        <v>0</v>
      </c>
      <c r="H63" s="56" t="n">
        <f aca="false">H62+G63</f>
        <v>0</v>
      </c>
      <c r="I63" s="56" t="n">
        <f aca="false">Economy!O63*money_ratio+H63</f>
        <v>499.029302233452</v>
      </c>
      <c r="J63" s="56" t="n">
        <f aca="false">I63*gold_cover</f>
        <v>199.611720893381</v>
      </c>
      <c r="K63" s="56" t="n">
        <f aca="false">F63-J63</f>
        <v>336.569234897047</v>
      </c>
      <c r="L63" s="66" t="n">
        <f aca="false">IF(I63&gt;0,F63/I63,0)</f>
        <v>1.07444783981762</v>
      </c>
      <c r="M63" s="66" t="n">
        <f aca="false">IF(Paths!AD63&gt;0,F63/Paths!AD63,0)</f>
        <v>0.0968185185609295</v>
      </c>
    </row>
    <row r="64" customFormat="false" ht="14.25" hidden="false" customHeight="true" outlineLevel="0" collapsed="false">
      <c r="A64" s="61" t="n">
        <v>1904</v>
      </c>
      <c r="B64" s="56" t="n">
        <f aca="false">F63</f>
        <v>536.180955790427</v>
      </c>
      <c r="C64" s="72" t="n">
        <f aca="false">Resources!R64</f>
        <v>14.16</v>
      </c>
      <c r="D64" s="56" t="n">
        <f aca="false">IF($A64&gt;=1850,Economy!O64*ext_gold,0)</f>
        <v>15.5753951402486</v>
      </c>
      <c r="E64" s="56" t="n">
        <f aca="false">SUMPRODUCT((Events!$B$6:$B$400&lt;=$A64)*(Events!$C$6:$C$400&gt;=$A64)*(Events!$E$6:$E$400="Loan")*(Events!$J$6:$J$400="Yes")*Events!$H$6:$H$400)+SUMPRODUCT((Events!$B$6:$B$400&lt;=$A64)*(Events!$C$6:$C$400&gt;=$A64)*(Events!$E$6:$E$400="Purchase")*(Events!$J$6:$J$400="Yes")*Events!$H$6:$H$400)</f>
        <v>0</v>
      </c>
      <c r="F64" s="56" t="n">
        <f aca="false">MAX(0,B64+C64+D64-E64)</f>
        <v>565.916350930676</v>
      </c>
      <c r="G64" s="56" t="n">
        <f aca="false">IF(OR($A64=1931,$A64=1932),cb_buy/2,0)</f>
        <v>0</v>
      </c>
      <c r="H64" s="56" t="n">
        <f aca="false">H63+G64</f>
        <v>0</v>
      </c>
      <c r="I64" s="56" t="n">
        <f aca="false">Economy!O64*money_ratio+H64</f>
        <v>545.1388299087</v>
      </c>
      <c r="J64" s="56" t="n">
        <f aca="false">I64*gold_cover</f>
        <v>218.05553196348</v>
      </c>
      <c r="K64" s="56" t="n">
        <f aca="false">F64-J64</f>
        <v>347.860818967196</v>
      </c>
      <c r="L64" s="66" t="n">
        <f aca="false">IF(I64&gt;0,F64/I64,0)</f>
        <v>1.03811418281368</v>
      </c>
      <c r="M64" s="66" t="n">
        <f aca="false">IF(Paths!AD64&gt;0,F64/Paths!AD64,0)</f>
        <v>0.0978247797632975</v>
      </c>
    </row>
    <row r="65" customFormat="false" ht="14.25" hidden="false" customHeight="true" outlineLevel="0" collapsed="false">
      <c r="A65" s="61" t="n">
        <v>1905</v>
      </c>
      <c r="B65" s="56" t="n">
        <f aca="false">F64</f>
        <v>565.916350930676</v>
      </c>
      <c r="C65" s="72" t="n">
        <f aca="false">Resources!R65</f>
        <v>15.2</v>
      </c>
      <c r="D65" s="56" t="n">
        <f aca="false">IF($A65&gt;=1850,Economy!O65*ext_gold,0)</f>
        <v>16.9843569587169</v>
      </c>
      <c r="E65" s="56" t="n">
        <f aca="false">SUMPRODUCT((Events!$B$6:$B$400&lt;=$A65)*(Events!$C$6:$C$400&gt;=$A65)*(Events!$E$6:$E$400="Loan")*(Events!$J$6:$J$400="Yes")*Events!$H$6:$H$400)+SUMPRODUCT((Events!$B$6:$B$400&lt;=$A65)*(Events!$C$6:$C$400&gt;=$A65)*(Events!$E$6:$E$400="Purchase")*(Events!$J$6:$J$400="Yes")*Events!$H$6:$H$400)</f>
        <v>0</v>
      </c>
      <c r="F65" s="56" t="n">
        <f aca="false">MAX(0,B65+C65+D65-E65)</f>
        <v>598.100707889393</v>
      </c>
      <c r="G65" s="56" t="n">
        <f aca="false">IF(OR($A65=1931,$A65=1932),cb_buy/2,0)</f>
        <v>0</v>
      </c>
      <c r="H65" s="56" t="n">
        <f aca="false">H64+G65</f>
        <v>0</v>
      </c>
      <c r="I65" s="56" t="n">
        <f aca="false">Economy!O65*money_ratio+H65</f>
        <v>594.45249355509</v>
      </c>
      <c r="J65" s="56" t="n">
        <f aca="false">I65*gold_cover</f>
        <v>237.780997422036</v>
      </c>
      <c r="K65" s="56" t="n">
        <f aca="false">F65-J65</f>
        <v>360.319710467357</v>
      </c>
      <c r="L65" s="66" t="n">
        <f aca="false">IF(I65&gt;0,F65/I65,0)</f>
        <v>1.00613709989252</v>
      </c>
      <c r="M65" s="66" t="n">
        <f aca="false">IF(Paths!AD65&gt;0,F65/Paths!AD65,0)</f>
        <v>0.0991710674663228</v>
      </c>
    </row>
    <row r="66" customFormat="false" ht="14.25" hidden="false" customHeight="true" outlineLevel="0" collapsed="false">
      <c r="A66" s="61" t="n">
        <v>1906</v>
      </c>
      <c r="B66" s="56" t="n">
        <f aca="false">F65</f>
        <v>598.100707889393</v>
      </c>
      <c r="C66" s="72" t="n">
        <f aca="false">Resources!R66</f>
        <v>17.34</v>
      </c>
      <c r="D66" s="56" t="n">
        <f aca="false">IF($A66&gt;=1850,Economy!O66*ext_gold,0)</f>
        <v>18.7780984151593</v>
      </c>
      <c r="E66" s="56" t="n">
        <f aca="false">SUMPRODUCT((Events!$B$6:$B$400&lt;=$A66)*(Events!$C$6:$C$400&gt;=$A66)*(Events!$E$6:$E$400="Loan")*(Events!$J$6:$J$400="Yes")*Events!$H$6:$H$400)+SUMPRODUCT((Events!$B$6:$B$400&lt;=$A66)*(Events!$C$6:$C$400&gt;=$A66)*(Events!$E$6:$E$400="Purchase")*(Events!$J$6:$J$400="Yes")*Events!$H$6:$H$400)</f>
        <v>0</v>
      </c>
      <c r="F66" s="56" t="n">
        <f aca="false">MAX(0,B66+C66+D66-E66)</f>
        <v>634.218806304552</v>
      </c>
      <c r="G66" s="56" t="n">
        <f aca="false">IF(OR($A66=1931,$A66=1932),cb_buy/2,0)</f>
        <v>0</v>
      </c>
      <c r="H66" s="56" t="n">
        <f aca="false">H65+G66</f>
        <v>0</v>
      </c>
      <c r="I66" s="56" t="n">
        <f aca="false">Economy!O66*money_ratio+H66</f>
        <v>657.233444530575</v>
      </c>
      <c r="J66" s="56" t="n">
        <f aca="false">I66*gold_cover</f>
        <v>262.89337781223</v>
      </c>
      <c r="K66" s="56" t="n">
        <f aca="false">F66-J66</f>
        <v>371.325428492322</v>
      </c>
      <c r="L66" s="66" t="n">
        <f aca="false">IF(I66&gt;0,F66/I66,0)</f>
        <v>0.96498255160697</v>
      </c>
      <c r="M66" s="66" t="n">
        <f aca="false">IF(Paths!AD66&gt;0,F66/Paths!AD66,0)</f>
        <v>0.101038522591135</v>
      </c>
    </row>
    <row r="67" customFormat="false" ht="14.25" hidden="false" customHeight="true" outlineLevel="0" collapsed="false">
      <c r="A67" s="61" t="n">
        <v>1907</v>
      </c>
      <c r="B67" s="56" t="n">
        <f aca="false">F66</f>
        <v>634.218806304552</v>
      </c>
      <c r="C67" s="72" t="n">
        <f aca="false">Resources!R67</f>
        <v>17.78</v>
      </c>
      <c r="D67" s="56" t="n">
        <f aca="false">IF($A67&gt;=1850,Economy!O67*ext_gold,0)</f>
        <v>20.4342082577221</v>
      </c>
      <c r="E67" s="56" t="n">
        <f aca="false">SUMPRODUCT((Events!$B$6:$B$400&lt;=$A67)*(Events!$C$6:$C$400&gt;=$A67)*(Events!$E$6:$E$400="Loan")*(Events!$J$6:$J$400="Yes")*Events!$H$6:$H$400)+SUMPRODUCT((Events!$B$6:$B$400&lt;=$A67)*(Events!$C$6:$C$400&gt;=$A67)*(Events!$E$6:$E$400="Purchase")*(Events!$J$6:$J$400="Yes")*Events!$H$6:$H$400)</f>
        <v>0</v>
      </c>
      <c r="F67" s="56" t="n">
        <f aca="false">MAX(0,B67+C67+D67-E67)</f>
        <v>672.433014562274</v>
      </c>
      <c r="G67" s="56" t="n">
        <f aca="false">IF(OR($A67=1931,$A67=1932),cb_buy/2,0)</f>
        <v>0</v>
      </c>
      <c r="H67" s="56" t="n">
        <f aca="false">H66+G67</f>
        <v>0</v>
      </c>
      <c r="I67" s="56" t="n">
        <f aca="false">Economy!O67*money_ratio+H67</f>
        <v>715.197289020273</v>
      </c>
      <c r="J67" s="56" t="n">
        <f aca="false">I67*gold_cover</f>
        <v>286.078915608109</v>
      </c>
      <c r="K67" s="56" t="n">
        <f aca="false">F67-J67</f>
        <v>386.354098954165</v>
      </c>
      <c r="L67" s="66" t="n">
        <f aca="false">IF(I67&gt;0,F67/I67,0)</f>
        <v>0.940206324723937</v>
      </c>
      <c r="M67" s="66" t="n">
        <f aca="false">IF(Paths!AD67&gt;0,F67/Paths!AD67,0)</f>
        <v>0.103086465516216</v>
      </c>
    </row>
    <row r="68" customFormat="false" ht="14.25" hidden="false" customHeight="true" outlineLevel="0" collapsed="false">
      <c r="A68" s="61" t="n">
        <v>1908</v>
      </c>
      <c r="B68" s="56" t="n">
        <f aca="false">F67</f>
        <v>672.433014562274</v>
      </c>
      <c r="C68" s="72" t="n">
        <f aca="false">Resources!R68</f>
        <v>17.8533333333333</v>
      </c>
      <c r="D68" s="56" t="n">
        <f aca="false">IF($A68&gt;=1850,Economy!O68*ext_gold,0)</f>
        <v>21.6520343202852</v>
      </c>
      <c r="E68" s="56" t="n">
        <f aca="false">SUMPRODUCT((Events!$B$6:$B$400&lt;=$A68)*(Events!$C$6:$C$400&gt;=$A68)*(Events!$E$6:$E$400="Loan")*(Events!$J$6:$J$400="Yes")*Events!$H$6:$H$400)+SUMPRODUCT((Events!$B$6:$B$400&lt;=$A68)*(Events!$C$6:$C$400&gt;=$A68)*(Events!$E$6:$E$400="Purchase")*(Events!$J$6:$J$400="Yes")*Events!$H$6:$H$400)</f>
        <v>0</v>
      </c>
      <c r="F68" s="56" t="n">
        <f aca="false">MAX(0,B68+C68+D68-E68)</f>
        <v>711.938382215893</v>
      </c>
      <c r="G68" s="56" t="n">
        <f aca="false">IF(OR($A68=1931,$A68=1932),cb_buy/2,0)</f>
        <v>0</v>
      </c>
      <c r="H68" s="56" t="n">
        <f aca="false">H67+G68</f>
        <v>0</v>
      </c>
      <c r="I68" s="56" t="n">
        <f aca="false">Economy!O68*money_ratio+H68</f>
        <v>757.821201209982</v>
      </c>
      <c r="J68" s="56" t="n">
        <f aca="false">I68*gold_cover</f>
        <v>303.128480483993</v>
      </c>
      <c r="K68" s="56" t="n">
        <f aca="false">F68-J68</f>
        <v>408.8099017319</v>
      </c>
      <c r="L68" s="66" t="n">
        <f aca="false">IF(I68&gt;0,F68/I68,0)</f>
        <v>0.939454294864237</v>
      </c>
      <c r="M68" s="66" t="n">
        <f aca="false">IF(Paths!AD68&gt;0,F68/Paths!AD68,0)</f>
        <v>0.10517630111034</v>
      </c>
    </row>
    <row r="69" customFormat="false" ht="14.25" hidden="false" customHeight="true" outlineLevel="0" collapsed="false">
      <c r="A69" s="61" t="n">
        <v>1909</v>
      </c>
      <c r="B69" s="56" t="n">
        <f aca="false">F68</f>
        <v>711.938382215893</v>
      </c>
      <c r="C69" s="72" t="n">
        <f aca="false">Resources!R69</f>
        <v>17.9266666666667</v>
      </c>
      <c r="D69" s="56" t="n">
        <f aca="false">IF($A69&gt;=1850,Economy!O69*ext_gold,0)</f>
        <v>24.9826801698049</v>
      </c>
      <c r="E69" s="56" t="n">
        <f aca="false">SUMPRODUCT((Events!$B$6:$B$400&lt;=$A69)*(Events!$C$6:$C$400&gt;=$A69)*(Events!$E$6:$E$400="Loan")*(Events!$J$6:$J$400="Yes")*Events!$H$6:$H$400)+SUMPRODUCT((Events!$B$6:$B$400&lt;=$A69)*(Events!$C$6:$C$400&gt;=$A69)*(Events!$E$6:$E$400="Purchase")*(Events!$J$6:$J$400="Yes")*Events!$H$6:$H$400)</f>
        <v>0</v>
      </c>
      <c r="F69" s="56" t="n">
        <f aca="false">MAX(0,B69+C69+D69-E69)</f>
        <v>754.847729052364</v>
      </c>
      <c r="G69" s="56" t="n">
        <f aca="false">IF(OR($A69=1931,$A69=1932),cb_buy/2,0)</f>
        <v>0</v>
      </c>
      <c r="H69" s="56" t="n">
        <f aca="false">H68+G69</f>
        <v>0</v>
      </c>
      <c r="I69" s="56" t="n">
        <f aca="false">Economy!O69*money_ratio+H69</f>
        <v>874.39380594317</v>
      </c>
      <c r="J69" s="56" t="n">
        <f aca="false">I69*gold_cover</f>
        <v>349.757522377268</v>
      </c>
      <c r="K69" s="56" t="n">
        <f aca="false">F69-J69</f>
        <v>405.090206675096</v>
      </c>
      <c r="L69" s="66" t="n">
        <f aca="false">IF(I69&gt;0,F69/I69,0)</f>
        <v>0.863281194264801</v>
      </c>
      <c r="M69" s="66" t="n">
        <f aca="false">IF(Paths!AD69&gt;0,F69/Paths!AD69,0)</f>
        <v>0.10760480813291</v>
      </c>
    </row>
    <row r="70" customFormat="false" ht="14.25" hidden="false" customHeight="true" outlineLevel="0" collapsed="false">
      <c r="A70" s="61" t="n">
        <v>1910</v>
      </c>
      <c r="B70" s="56" t="n">
        <f aca="false">F69</f>
        <v>754.847729052364</v>
      </c>
      <c r="C70" s="72" t="n">
        <f aca="false">Resources!R70</f>
        <v>18</v>
      </c>
      <c r="D70" s="56" t="n">
        <f aca="false">IF($A70&gt;=1850,Economy!O70*ext_gold,0)</f>
        <v>27.3874191626125</v>
      </c>
      <c r="E70" s="56" t="n">
        <f aca="false">SUMPRODUCT((Events!$B$6:$B$400&lt;=$A70)*(Events!$C$6:$C$400&gt;=$A70)*(Events!$E$6:$E$400="Loan")*(Events!$J$6:$J$400="Yes")*Events!$H$6:$H$400)+SUMPRODUCT((Events!$B$6:$B$400&lt;=$A70)*(Events!$C$6:$C$400&gt;=$A70)*(Events!$E$6:$E$400="Purchase")*(Events!$J$6:$J$400="Yes")*Events!$H$6:$H$400)</f>
        <v>0</v>
      </c>
      <c r="F70" s="56" t="n">
        <f aca="false">MAX(0,B70+C70+D70-E70)</f>
        <v>800.235148214977</v>
      </c>
      <c r="G70" s="56" t="n">
        <f aca="false">IF(OR($A70=1931,$A70=1932),cb_buy/2,0)</f>
        <v>0</v>
      </c>
      <c r="H70" s="56" t="n">
        <f aca="false">H69+G70</f>
        <v>0</v>
      </c>
      <c r="I70" s="56" t="n">
        <f aca="false">Economy!O70*money_ratio+H70</f>
        <v>958.559670691438</v>
      </c>
      <c r="J70" s="56" t="n">
        <f aca="false">I70*gold_cover</f>
        <v>383.423868276575</v>
      </c>
      <c r="K70" s="56" t="n">
        <f aca="false">F70-J70</f>
        <v>416.811279938402</v>
      </c>
      <c r="L70" s="66" t="n">
        <f aca="false">IF(I70&gt;0,F70/I70,0)</f>
        <v>0.834830811980378</v>
      </c>
      <c r="M70" s="66" t="n">
        <f aca="false">IF(Paths!AD70&gt;0,F70/Paths!AD70,0)</f>
        <v>0.110194870313271</v>
      </c>
    </row>
    <row r="71" customFormat="false" ht="14.25" hidden="false" customHeight="true" outlineLevel="0" collapsed="false">
      <c r="A71" s="61" t="n">
        <v>1911</v>
      </c>
      <c r="B71" s="56" t="n">
        <f aca="false">F70</f>
        <v>800.235148214977</v>
      </c>
      <c r="C71" s="72" t="n">
        <f aca="false">Resources!R71</f>
        <v>17.94</v>
      </c>
      <c r="D71" s="56" t="n">
        <f aca="false">IF($A71&gt;=1850,Economy!O71*ext_gold,0)</f>
        <v>29.8804554678734</v>
      </c>
      <c r="E71" s="56" t="n">
        <f aca="false">SUMPRODUCT((Events!$B$6:$B$400&lt;=$A71)*(Events!$C$6:$C$400&gt;=$A71)*(Events!$E$6:$E$400="Loan")*(Events!$J$6:$J$400="Yes")*Events!$H$6:$H$400)+SUMPRODUCT((Events!$B$6:$B$400&lt;=$A71)*(Events!$C$6:$C$400&gt;=$A71)*(Events!$E$6:$E$400="Purchase")*(Events!$J$6:$J$400="Yes")*Events!$H$6:$H$400)</f>
        <v>0</v>
      </c>
      <c r="F71" s="56" t="n">
        <f aca="false">MAX(0,B71+C71+D71-E71)</f>
        <v>848.05560368285</v>
      </c>
      <c r="G71" s="56" t="n">
        <f aca="false">IF(OR($A71=1931,$A71=1932),cb_buy/2,0)</f>
        <v>0</v>
      </c>
      <c r="H71" s="56" t="n">
        <f aca="false">H70+G71</f>
        <v>0</v>
      </c>
      <c r="I71" s="56" t="n">
        <f aca="false">Economy!O71*money_ratio+H71</f>
        <v>1045.81594137557</v>
      </c>
      <c r="J71" s="56" t="n">
        <f aca="false">I71*gold_cover</f>
        <v>418.326376550227</v>
      </c>
      <c r="K71" s="56" t="n">
        <f aca="false">F71-J71</f>
        <v>429.729227132623</v>
      </c>
      <c r="L71" s="66" t="n">
        <f aca="false">IF(I71&gt;0,F71/I71,0)</f>
        <v>0.810903305382205</v>
      </c>
      <c r="M71" s="66" t="n">
        <f aca="false">IF(Paths!AD71&gt;0,F71/Paths!AD71,0)</f>
        <v>0.112953596654615</v>
      </c>
    </row>
    <row r="72" customFormat="false" ht="14.25" hidden="false" customHeight="true" outlineLevel="0" collapsed="false">
      <c r="A72" s="61" t="n">
        <v>1912</v>
      </c>
      <c r="B72" s="56" t="n">
        <f aca="false">F71</f>
        <v>848.05560368285</v>
      </c>
      <c r="C72" s="72" t="n">
        <f aca="false">Resources!R72</f>
        <v>17.88</v>
      </c>
      <c r="D72" s="56" t="n">
        <f aca="false">IF($A72&gt;=1850,Economy!O72*ext_gold,0)</f>
        <v>32.6161711639249</v>
      </c>
      <c r="E72" s="56" t="n">
        <f aca="false">SUMPRODUCT((Events!$B$6:$B$400&lt;=$A72)*(Events!$C$6:$C$400&gt;=$A72)*(Events!$E$6:$E$400="Loan")*(Events!$J$6:$J$400="Yes")*Events!$H$6:$H$400)+SUMPRODUCT((Events!$B$6:$B$400&lt;=$A72)*(Events!$C$6:$C$400&gt;=$A72)*(Events!$E$6:$E$400="Purchase")*(Events!$J$6:$J$400="Yes")*Events!$H$6:$H$400)</f>
        <v>0</v>
      </c>
      <c r="F72" s="56" t="n">
        <f aca="false">MAX(0,B72+C72+D72-E72)</f>
        <v>898.551774846775</v>
      </c>
      <c r="G72" s="56" t="n">
        <f aca="false">IF(OR($A72=1931,$A72=1932),cb_buy/2,0)</f>
        <v>0</v>
      </c>
      <c r="H72" s="56" t="n">
        <f aca="false">H71+G72</f>
        <v>0</v>
      </c>
      <c r="I72" s="56" t="n">
        <f aca="false">Economy!O72*money_ratio+H72</f>
        <v>1141.56599073737</v>
      </c>
      <c r="J72" s="56" t="n">
        <f aca="false">I72*gold_cover</f>
        <v>456.626396294948</v>
      </c>
      <c r="K72" s="56" t="n">
        <f aca="false">F72-J72</f>
        <v>441.925378551827</v>
      </c>
      <c r="L72" s="66" t="n">
        <f aca="false">IF(I72&gt;0,F72/I72,0)</f>
        <v>0.787122060518267</v>
      </c>
      <c r="M72" s="66" t="n">
        <f aca="false">IF(Paths!AD72&gt;0,F72/Paths!AD72,0)</f>
        <v>0.115882354249004</v>
      </c>
    </row>
    <row r="73" customFormat="false" ht="14.25" hidden="false" customHeight="true" outlineLevel="0" collapsed="false">
      <c r="A73" s="61" t="n">
        <v>1913</v>
      </c>
      <c r="B73" s="56" t="n">
        <f aca="false">F72</f>
        <v>898.551774846775</v>
      </c>
      <c r="C73" s="72" t="n">
        <f aca="false">Resources!R73</f>
        <v>17.82</v>
      </c>
      <c r="D73" s="56" t="n">
        <f aca="false">IF($A73&gt;=1850,Economy!O73*ext_gold,0)</f>
        <v>35.5696631806761</v>
      </c>
      <c r="E73" s="56" t="n">
        <f aca="false">SUMPRODUCT((Events!$B$6:$B$400&lt;=$A73)*(Events!$C$6:$C$400&gt;=$A73)*(Events!$E$6:$E$400="Loan")*(Events!$J$6:$J$400="Yes")*Events!$H$6:$H$400)+SUMPRODUCT((Events!$B$6:$B$400&lt;=$A73)*(Events!$C$6:$C$400&gt;=$A73)*(Events!$E$6:$E$400="Purchase")*(Events!$J$6:$J$400="Yes")*Events!$H$6:$H$400)</f>
        <v>0</v>
      </c>
      <c r="F73" s="56" t="n">
        <f aca="false">MAX(0,B73+C73+D73-E73)</f>
        <v>951.941438027451</v>
      </c>
      <c r="G73" s="56" t="n">
        <f aca="false">IF(OR($A73=1931,$A73=1932),cb_buy/2,0)</f>
        <v>0</v>
      </c>
      <c r="H73" s="56" t="n">
        <f aca="false">H72+G73</f>
        <v>0</v>
      </c>
      <c r="I73" s="56" t="n">
        <f aca="false">Economy!O73*money_ratio+H73</f>
        <v>1244.93821132366</v>
      </c>
      <c r="J73" s="56" t="n">
        <f aca="false">I73*gold_cover</f>
        <v>497.975284529466</v>
      </c>
      <c r="K73" s="56" t="n">
        <f aca="false">F73-J73</f>
        <v>453.966153497986</v>
      </c>
      <c r="L73" s="66" t="n">
        <f aca="false">IF(I73&gt;0,F73/I73,0)</f>
        <v>0.764649545952415</v>
      </c>
      <c r="M73" s="66" t="n">
        <f aca="false">IF(Paths!AD73&gt;0,F73/Paths!AD73,0)</f>
        <v>0.118992679753431</v>
      </c>
    </row>
    <row r="74" customFormat="false" ht="14.25" hidden="false" customHeight="true" outlineLevel="0" collapsed="false">
      <c r="A74" s="64" t="n">
        <v>1914</v>
      </c>
      <c r="B74" s="56" t="n">
        <f aca="false">F73</f>
        <v>951.941438027451</v>
      </c>
      <c r="C74" s="72" t="n">
        <f aca="false">Resources!R74</f>
        <v>17.66</v>
      </c>
      <c r="D74" s="56" t="n">
        <f aca="false">IF($A74&gt;=1850,Economy!O74*ext_gold,0)</f>
        <v>37.0919529085376</v>
      </c>
      <c r="E74" s="56" t="n">
        <f aca="false">SUMPRODUCT((Events!$B$6:$B$400&lt;=$A74)*(Events!$C$6:$C$400&gt;=$A74)*(Events!$E$6:$E$400="Loan")*(Events!$J$6:$J$400="Yes")*Events!$H$6:$H$400)+SUMPRODUCT((Events!$B$6:$B$400&lt;=$A74)*(Events!$C$6:$C$400&gt;=$A74)*(Events!$E$6:$E$400="Purchase")*(Events!$J$6:$J$400="Yes")*Events!$H$6:$H$400)</f>
        <v>0</v>
      </c>
      <c r="F74" s="56" t="n">
        <f aca="false">MAX(0,B74+C74+D74-E74)</f>
        <v>1006.69339093599</v>
      </c>
      <c r="G74" s="56" t="n">
        <f aca="false">IF(OR($A74=1931,$A74=1932),cb_buy/2,0)</f>
        <v>0</v>
      </c>
      <c r="H74" s="56" t="n">
        <f aca="false">H73+G74</f>
        <v>0</v>
      </c>
      <c r="I74" s="56" t="n">
        <f aca="false">Economy!O74*money_ratio+H74</f>
        <v>1298.21835179881</v>
      </c>
      <c r="J74" s="56" t="n">
        <f aca="false">I74*gold_cover</f>
        <v>519.287340719526</v>
      </c>
      <c r="K74" s="56" t="n">
        <f aca="false">F74-J74</f>
        <v>487.406050216463</v>
      </c>
      <c r="L74" s="66" t="n">
        <f aca="false">IF(I74&gt;0,F74/I74,0)</f>
        <v>0.77544227405283</v>
      </c>
      <c r="M74" s="66" t="n">
        <f aca="false">IF(Paths!AD74&gt;0,F74/Paths!AD74,0)</f>
        <v>0.124729697799032</v>
      </c>
    </row>
    <row r="75" customFormat="false" ht="14.25" hidden="false" customHeight="true" outlineLevel="0" collapsed="false">
      <c r="A75" s="64" t="n">
        <v>1915</v>
      </c>
      <c r="B75" s="56" t="n">
        <f aca="false">F74</f>
        <v>1006.69339093599</v>
      </c>
      <c r="C75" s="72" t="n">
        <f aca="false">Resources!R75</f>
        <v>17.5</v>
      </c>
      <c r="D75" s="56" t="n">
        <f aca="false">IF($A75&gt;=1850,Economy!O75*ext_gold,0)</f>
        <v>41.5780960267279</v>
      </c>
      <c r="E75" s="56" t="n">
        <f aca="false">SUMPRODUCT((Events!$B$6:$B$400&lt;=$A75)*(Events!$C$6:$C$400&gt;=$A75)*(Events!$E$6:$E$400="Loan")*(Events!$J$6:$J$400="Yes")*Events!$H$6:$H$400)+SUMPRODUCT((Events!$B$6:$B$400&lt;=$A75)*(Events!$C$6:$C$400&gt;=$A75)*(Events!$E$6:$E$400="Purchase")*(Events!$J$6:$J$400="Yes")*Events!$H$6:$H$400)</f>
        <v>0</v>
      </c>
      <c r="F75" s="56" t="n">
        <f aca="false">MAX(0,B75+C75+D75-E75)</f>
        <v>1065.77148696272</v>
      </c>
      <c r="G75" s="56" t="n">
        <f aca="false">IF(OR($A75=1931,$A75=1932),cb_buy/2,0)</f>
        <v>0</v>
      </c>
      <c r="H75" s="56" t="n">
        <f aca="false">H74+G75</f>
        <v>0</v>
      </c>
      <c r="I75" s="56" t="n">
        <f aca="false">Economy!O75*money_ratio+H75</f>
        <v>1455.23336093548</v>
      </c>
      <c r="J75" s="56" t="n">
        <f aca="false">I75*gold_cover</f>
        <v>582.09334437419</v>
      </c>
      <c r="K75" s="56" t="n">
        <f aca="false">F75-J75</f>
        <v>483.678142588527</v>
      </c>
      <c r="L75" s="66" t="n">
        <f aca="false">IF(I75&gt;0,F75/I75,0)</f>
        <v>0.73237153268504</v>
      </c>
      <c r="M75" s="66" t="n">
        <f aca="false">IF(Paths!AD75&gt;0,F75/Paths!AD75,0)</f>
        <v>0.130881921523114</v>
      </c>
    </row>
    <row r="76" customFormat="false" ht="14.25" hidden="false" customHeight="true" outlineLevel="0" collapsed="false">
      <c r="A76" s="64" t="n">
        <v>1916</v>
      </c>
      <c r="B76" s="56" t="n">
        <f aca="false">F75</f>
        <v>1065.77148696272</v>
      </c>
      <c r="C76" s="72" t="n">
        <f aca="false">Resources!R76</f>
        <v>16.36</v>
      </c>
      <c r="D76" s="56" t="n">
        <f aca="false">IF($A76&gt;=1850,Economy!O76*ext_gold,0)</f>
        <v>49.4139414481817</v>
      </c>
      <c r="E76" s="56" t="n">
        <f aca="false">SUMPRODUCT((Events!$B$6:$B$400&lt;=$A76)*(Events!$C$6:$C$400&gt;=$A76)*(Events!$E$6:$E$400="Loan")*(Events!$J$6:$J$400="Yes")*Events!$H$6:$H$400)+SUMPRODUCT((Events!$B$6:$B$400&lt;=$A76)*(Events!$C$6:$C$400&gt;=$A76)*(Events!$E$6:$E$400="Purchase")*(Events!$J$6:$J$400="Yes")*Events!$H$6:$H$400)</f>
        <v>0</v>
      </c>
      <c r="F76" s="56" t="n">
        <f aca="false">MAX(0,B76+C76+D76-E76)</f>
        <v>1131.5454284109</v>
      </c>
      <c r="G76" s="56" t="n">
        <f aca="false">IF(OR($A76=1931,$A76=1932),cb_buy/2,0)</f>
        <v>0</v>
      </c>
      <c r="H76" s="56" t="n">
        <f aca="false">H75+G76</f>
        <v>0</v>
      </c>
      <c r="I76" s="56" t="n">
        <f aca="false">Economy!O76*money_ratio+H76</f>
        <v>1729.48795068636</v>
      </c>
      <c r="J76" s="56" t="n">
        <f aca="false">I76*gold_cover</f>
        <v>691.795180274543</v>
      </c>
      <c r="K76" s="56" t="n">
        <f aca="false">F76-J76</f>
        <v>439.750248136355</v>
      </c>
      <c r="L76" s="66" t="n">
        <f aca="false">IF(I76&gt;0,F76/I76,0)</f>
        <v>0.654266153147721</v>
      </c>
      <c r="M76" s="66" t="n">
        <f aca="false">IF(Paths!AD76&gt;0,F76/Paths!AD76,0)</f>
        <v>0.137758148089956</v>
      </c>
    </row>
    <row r="77" customFormat="false" ht="14.25" hidden="false" customHeight="true" outlineLevel="0" collapsed="false">
      <c r="A77" s="64" t="n">
        <v>1917</v>
      </c>
      <c r="B77" s="56" t="n">
        <f aca="false">F76</f>
        <v>1131.5454284109</v>
      </c>
      <c r="C77" s="72" t="n">
        <f aca="false">Resources!R77</f>
        <v>15.22</v>
      </c>
      <c r="D77" s="56" t="n">
        <f aca="false">IF($A77&gt;=1850,Economy!O77*ext_gold,0)</f>
        <v>62.5510537796138</v>
      </c>
      <c r="E77" s="56" t="n">
        <f aca="false">SUMPRODUCT((Events!$B$6:$B$400&lt;=$A77)*(Events!$C$6:$C$400&gt;=$A77)*(Events!$E$6:$E$400="Loan")*(Events!$J$6:$J$400="Yes")*Events!$H$6:$H$400)+SUMPRODUCT((Events!$B$6:$B$400&lt;=$A77)*(Events!$C$6:$C$400&gt;=$A77)*(Events!$E$6:$E$400="Purchase")*(Events!$J$6:$J$400="Yes")*Events!$H$6:$H$400)</f>
        <v>0</v>
      </c>
      <c r="F77" s="56" t="n">
        <f aca="false">MAX(0,B77+C77+D77-E77)</f>
        <v>1209.31648219051</v>
      </c>
      <c r="G77" s="56" t="n">
        <f aca="false">IF(OR($A77=1931,$A77=1932),cb_buy/2,0)</f>
        <v>0</v>
      </c>
      <c r="H77" s="56" t="n">
        <f aca="false">H76+G77</f>
        <v>0</v>
      </c>
      <c r="I77" s="56" t="n">
        <f aca="false">Economy!O77*money_ratio+H77</f>
        <v>2189.28688228648</v>
      </c>
      <c r="J77" s="56" t="n">
        <f aca="false">I77*gold_cover</f>
        <v>875.714752914593</v>
      </c>
      <c r="K77" s="56" t="n">
        <f aca="false">F77-J77</f>
        <v>333.601729275919</v>
      </c>
      <c r="L77" s="66" t="n">
        <f aca="false">IF(I77&gt;0,F77/I77,0)</f>
        <v>0.552379175143783</v>
      </c>
      <c r="M77" s="66" t="n">
        <f aca="false">IF(Paths!AD77&gt;0,F77/Paths!AD77,0)</f>
        <v>0.145946956576214</v>
      </c>
    </row>
    <row r="78" customFormat="false" ht="14.25" hidden="false" customHeight="true" outlineLevel="0" collapsed="false">
      <c r="A78" s="64" t="n">
        <v>1918</v>
      </c>
      <c r="B78" s="56" t="n">
        <f aca="false">F77</f>
        <v>1209.31648219051</v>
      </c>
      <c r="C78" s="72" t="n">
        <f aca="false">Resources!R78</f>
        <v>14.08</v>
      </c>
      <c r="D78" s="56" t="n">
        <f aca="false">IF($A78&gt;=1850,Economy!O78*ext_gold,0)</f>
        <v>76.1090802954498</v>
      </c>
      <c r="E78" s="56" t="n">
        <f aca="false">SUMPRODUCT((Events!$B$6:$B$400&lt;=$A78)*(Events!$C$6:$C$400&gt;=$A78)*(Events!$E$6:$E$400="Loan")*(Events!$J$6:$J$400="Yes")*Events!$H$6:$H$400)+SUMPRODUCT((Events!$B$6:$B$400&lt;=$A78)*(Events!$C$6:$C$400&gt;=$A78)*(Events!$E$6:$E$400="Purchase")*(Events!$J$6:$J$400="Yes")*Events!$H$6:$H$400)</f>
        <v>0</v>
      </c>
      <c r="F78" s="56" t="n">
        <f aca="false">MAX(0,B78+C78+D78-E78)</f>
        <v>1299.50556248596</v>
      </c>
      <c r="G78" s="56" t="n">
        <f aca="false">IF(OR($A78=1931,$A78=1932),cb_buy/2,0)</f>
        <v>0</v>
      </c>
      <c r="H78" s="56" t="n">
        <f aca="false">H77+G78</f>
        <v>0</v>
      </c>
      <c r="I78" s="56" t="n">
        <f aca="false">Economy!O78*money_ratio+H78</f>
        <v>2663.81781034074</v>
      </c>
      <c r="J78" s="56" t="n">
        <f aca="false">I78*gold_cover</f>
        <v>1065.5271241363</v>
      </c>
      <c r="K78" s="56" t="n">
        <f aca="false">F78-J78</f>
        <v>233.978438349665</v>
      </c>
      <c r="L78" s="66" t="n">
        <f aca="false">IF(I78&gt;0,F78/I78,0)</f>
        <v>0.487835751169385</v>
      </c>
      <c r="M78" s="66" t="n">
        <f aca="false">IF(Paths!AD78&gt;0,F78/Paths!AD78,0)</f>
        <v>0.155499050195759</v>
      </c>
    </row>
    <row r="79" customFormat="false" ht="14.25" hidden="false" customHeight="true" outlineLevel="0" collapsed="false">
      <c r="A79" s="64" t="n">
        <v>1919</v>
      </c>
      <c r="B79" s="56" t="n">
        <f aca="false">F78</f>
        <v>1299.50556248596</v>
      </c>
      <c r="C79" s="72" t="n">
        <f aca="false">Resources!R79</f>
        <v>12.94</v>
      </c>
      <c r="D79" s="56" t="n">
        <f aca="false">IF($A79&gt;=1850,Economy!O79*ext_gold,0)</f>
        <v>87.2986430966847</v>
      </c>
      <c r="E79" s="56" t="n">
        <f aca="false">SUMPRODUCT((Events!$B$6:$B$400&lt;=$A79)*(Events!$C$6:$C$400&gt;=$A79)*(Events!$E$6:$E$400="Loan")*(Events!$J$6:$J$400="Yes")*Events!$H$6:$H$400)+SUMPRODUCT((Events!$B$6:$B$400&lt;=$A79)*(Events!$C$6:$C$400&gt;=$A79)*(Events!$E$6:$E$400="Purchase")*(Events!$J$6:$J$400="Yes")*Events!$H$6:$H$400)</f>
        <v>0</v>
      </c>
      <c r="F79" s="56" t="n">
        <f aca="false">MAX(0,B79+C79+D79-E79)</f>
        <v>1399.74420558265</v>
      </c>
      <c r="G79" s="56" t="n">
        <f aca="false">IF(OR($A79=1931,$A79=1932),cb_buy/2,0)</f>
        <v>0</v>
      </c>
      <c r="H79" s="56" t="n">
        <f aca="false">H78+G79</f>
        <v>0</v>
      </c>
      <c r="I79" s="56" t="n">
        <f aca="false">Economy!O79*money_ratio+H79</f>
        <v>3055.45250838396</v>
      </c>
      <c r="J79" s="56" t="n">
        <f aca="false">I79*gold_cover</f>
        <v>1222.18100335359</v>
      </c>
      <c r="K79" s="56" t="n">
        <f aca="false">F79-J79</f>
        <v>177.563202229061</v>
      </c>
      <c r="L79" s="66" t="n">
        <f aca="false">IF(I79&gt;0,F79/I79,0)</f>
        <v>0.458113553308991</v>
      </c>
      <c r="M79" s="66" t="n">
        <f aca="false">IF(Paths!AD79&gt;0,F79/Paths!AD79,0)</f>
        <v>0.166062902548659</v>
      </c>
    </row>
    <row r="80" customFormat="false" ht="14.25" hidden="false" customHeight="true" outlineLevel="0" collapsed="false">
      <c r="A80" s="64" t="n">
        <v>1920</v>
      </c>
      <c r="B80" s="56" t="n">
        <f aca="false">F79</f>
        <v>1399.74420558265</v>
      </c>
      <c r="C80" s="72" t="n">
        <f aca="false">Resources!R80</f>
        <v>11.8</v>
      </c>
      <c r="D80" s="56" t="n">
        <f aca="false">IF($A80&gt;=1850,Economy!O80*ext_gold,0)</f>
        <v>102.539694415296</v>
      </c>
      <c r="E80" s="56" t="n">
        <f aca="false">SUMPRODUCT((Events!$B$6:$B$400&lt;=$A80)*(Events!$C$6:$C$400&gt;=$A80)*(Events!$E$6:$E$400="Loan")*(Events!$J$6:$J$400="Yes")*Events!$H$6:$H$400)+SUMPRODUCT((Events!$B$6:$B$400&lt;=$A80)*(Events!$C$6:$C$400&gt;=$A80)*(Events!$E$6:$E$400="Purchase")*(Events!$J$6:$J$400="Yes")*Events!$H$6:$H$400)</f>
        <v>0</v>
      </c>
      <c r="F80" s="56" t="n">
        <f aca="false">MAX(0,B80+C80+D80-E80)</f>
        <v>1514.08389999794</v>
      </c>
      <c r="G80" s="56" t="n">
        <f aca="false">IF(OR($A80=1931,$A80=1932),cb_buy/2,0)</f>
        <v>0</v>
      </c>
      <c r="H80" s="56" t="n">
        <f aca="false">H79+G80</f>
        <v>0</v>
      </c>
      <c r="I80" s="56" t="n">
        <f aca="false">Economy!O80*money_ratio+H80</f>
        <v>3588.88930453537</v>
      </c>
      <c r="J80" s="56" t="n">
        <f aca="false">I80*gold_cover</f>
        <v>1435.55572181415</v>
      </c>
      <c r="K80" s="56" t="n">
        <f aca="false">F80-J80</f>
        <v>78.5281781837953</v>
      </c>
      <c r="L80" s="66" t="n">
        <f aca="false">IF(I80&gt;0,F80/I80,0)</f>
        <v>0.421880913987667</v>
      </c>
      <c r="M80" s="66" t="n">
        <f aca="false">IF(Paths!AD80&gt;0,F80/Paths!AD80,0)</f>
        <v>0.178127517646817</v>
      </c>
    </row>
    <row r="81" customFormat="false" ht="14.25" hidden="false" customHeight="true" outlineLevel="0" collapsed="false">
      <c r="A81" s="64" t="n">
        <v>1921</v>
      </c>
      <c r="B81" s="56" t="n">
        <f aca="false">F80</f>
        <v>1514.08389999794</v>
      </c>
      <c r="C81" s="72" t="n">
        <f aca="false">Resources!R81</f>
        <v>11.5822222222222</v>
      </c>
      <c r="D81" s="56" t="n">
        <f aca="false">IF($A81&gt;=1850,Economy!O81*ext_gold,0)</f>
        <v>83.8302133265058</v>
      </c>
      <c r="E81" s="56" t="n">
        <f aca="false">SUMPRODUCT((Events!$B$6:$B$400&lt;=$A81)*(Events!$C$6:$C$400&gt;=$A81)*(Events!$E$6:$E$400="Loan")*(Events!$J$6:$J$400="Yes")*Events!$H$6:$H$400)+SUMPRODUCT((Events!$B$6:$B$400&lt;=$A81)*(Events!$C$6:$C$400&gt;=$A81)*(Events!$E$6:$E$400="Purchase")*(Events!$J$6:$J$400="Yes")*Events!$H$6:$H$400)</f>
        <v>0</v>
      </c>
      <c r="F81" s="56" t="n">
        <f aca="false">MAX(0,B81+C81+D81-E81)</f>
        <v>1609.49633554667</v>
      </c>
      <c r="G81" s="56" t="n">
        <f aca="false">IF(OR($A81=1931,$A81=1932),cb_buy/2,0)</f>
        <v>0</v>
      </c>
      <c r="H81" s="56" t="n">
        <f aca="false">H80+G81</f>
        <v>0</v>
      </c>
      <c r="I81" s="56" t="n">
        <f aca="false">Economy!O81*money_ratio+H81</f>
        <v>2934.0574664277</v>
      </c>
      <c r="J81" s="56" t="n">
        <f aca="false">I81*gold_cover</f>
        <v>1173.62298657108</v>
      </c>
      <c r="K81" s="56" t="n">
        <f aca="false">F81-J81</f>
        <v>435.873348975589</v>
      </c>
      <c r="L81" s="66" t="n">
        <f aca="false">IF(I81&gt;0,F81/I81,0)</f>
        <v>0.548556513961629</v>
      </c>
      <c r="M81" s="66" t="n">
        <f aca="false">IF(Paths!AD81&gt;0,F81/Paths!AD81,0)</f>
        <v>0.184999578798468</v>
      </c>
    </row>
    <row r="82" customFormat="false" ht="14.25" hidden="false" customHeight="true" outlineLevel="0" collapsed="false">
      <c r="A82" s="64" t="n">
        <v>1922</v>
      </c>
      <c r="B82" s="56" t="n">
        <f aca="false">F81</f>
        <v>1609.49633554667</v>
      </c>
      <c r="C82" s="72" t="n">
        <f aca="false">Resources!R82</f>
        <v>11.3644444444445</v>
      </c>
      <c r="D82" s="56" t="n">
        <f aca="false">IF($A82&gt;=1850,Economy!O82*ext_gold,0)</f>
        <v>86.7707505528389</v>
      </c>
      <c r="E82" s="56" t="n">
        <f aca="false">SUMPRODUCT((Events!$B$6:$B$400&lt;=$A82)*(Events!$C$6:$C$400&gt;=$A82)*(Events!$E$6:$E$400="Loan")*(Events!$J$6:$J$400="Yes")*Events!$H$6:$H$400)+SUMPRODUCT((Events!$B$6:$B$400&lt;=$A82)*(Events!$C$6:$C$400&gt;=$A82)*(Events!$E$6:$E$400="Purchase")*(Events!$J$6:$J$400="Yes")*Events!$H$6:$H$400)</f>
        <v>0</v>
      </c>
      <c r="F82" s="56" t="n">
        <f aca="false">MAX(0,B82+C82+D82-E82)</f>
        <v>1707.63153054395</v>
      </c>
      <c r="G82" s="56" t="n">
        <f aca="false">IF(OR($A82=1931,$A82=1932),cb_buy/2,0)</f>
        <v>0</v>
      </c>
      <c r="H82" s="56" t="n">
        <f aca="false">H81+G82</f>
        <v>0</v>
      </c>
      <c r="I82" s="56" t="n">
        <f aca="false">Economy!O82*money_ratio+H82</f>
        <v>3036.97626934936</v>
      </c>
      <c r="J82" s="56" t="n">
        <f aca="false">I82*gold_cover</f>
        <v>1214.79050773974</v>
      </c>
      <c r="K82" s="56" t="n">
        <f aca="false">F82-J82</f>
        <v>492.84102280421</v>
      </c>
      <c r="L82" s="66" t="n">
        <f aca="false">IF(I82&gt;0,F82/I82,0)</f>
        <v>0.562280169186108</v>
      </c>
      <c r="M82" s="66" t="n">
        <f aca="false">IF(Paths!AD82&gt;0,F82/Paths!AD82,0)</f>
        <v>0.191868711297074</v>
      </c>
    </row>
    <row r="83" customFormat="false" ht="14.25" hidden="false" customHeight="true" outlineLevel="0" collapsed="false">
      <c r="A83" s="61" t="n">
        <v>1923</v>
      </c>
      <c r="B83" s="56" t="n">
        <f aca="false">F82</f>
        <v>1707.63153054395</v>
      </c>
      <c r="C83" s="72" t="n">
        <f aca="false">Resources!R83</f>
        <v>11.1466666666667</v>
      </c>
      <c r="D83" s="56" t="n">
        <f aca="false">IF($A83&gt;=1850,Economy!O83*ext_gold,0)</f>
        <v>97.9413568607774</v>
      </c>
      <c r="E83" s="56" t="n">
        <f aca="false">SUMPRODUCT((Events!$B$6:$B$400&lt;=$A83)*(Events!$C$6:$C$400&gt;=$A83)*(Events!$E$6:$E$400="Loan")*(Events!$J$6:$J$400="Yes")*Events!$H$6:$H$400)+SUMPRODUCT((Events!$B$6:$B$400&lt;=$A83)*(Events!$C$6:$C$400&gt;=$A83)*(Events!$E$6:$E$400="Purchase")*(Events!$J$6:$J$400="Yes")*Events!$H$6:$H$400)</f>
        <v>0</v>
      </c>
      <c r="F83" s="56" t="n">
        <f aca="false">MAX(0,B83+C83+D83-E83)</f>
        <v>1816.7195540714</v>
      </c>
      <c r="G83" s="56" t="n">
        <f aca="false">IF(OR($A83=1931,$A83=1932),cb_buy/2,0)</f>
        <v>0</v>
      </c>
      <c r="H83" s="56" t="n">
        <f aca="false">H82+G83</f>
        <v>0</v>
      </c>
      <c r="I83" s="56" t="n">
        <f aca="false">Economy!O83*money_ratio+H83</f>
        <v>3427.94749012721</v>
      </c>
      <c r="J83" s="56" t="n">
        <f aca="false">I83*gold_cover</f>
        <v>1371.17899605088</v>
      </c>
      <c r="K83" s="56" t="n">
        <f aca="false">F83-J83</f>
        <v>445.540558020514</v>
      </c>
      <c r="L83" s="66" t="n">
        <f aca="false">IF(I83&gt;0,F83/I83,0)</f>
        <v>0.5299729821719</v>
      </c>
      <c r="M83" s="66" t="n">
        <f aca="false">IF(Paths!AD83&gt;0,F83/Paths!AD83,0)</f>
        <v>0.199639511436417</v>
      </c>
    </row>
    <row r="84" customFormat="false" ht="14.25" hidden="false" customHeight="true" outlineLevel="0" collapsed="false">
      <c r="A84" s="61" t="n">
        <v>1924</v>
      </c>
      <c r="B84" s="56" t="n">
        <f aca="false">F83</f>
        <v>1816.7195540714</v>
      </c>
      <c r="C84" s="72" t="n">
        <f aca="false">Resources!R84</f>
        <v>10.9288888888889</v>
      </c>
      <c r="D84" s="56" t="n">
        <f aca="false">IF($A84&gt;=1850,Economy!O84*ext_gold,0)</f>
        <v>104.520162094903</v>
      </c>
      <c r="E84" s="56" t="n">
        <f aca="false">SUMPRODUCT((Events!$B$6:$B$400&lt;=$A84)*(Events!$C$6:$C$400&gt;=$A84)*(Events!$E$6:$E$400="Loan")*(Events!$J$6:$J$400="Yes")*Events!$H$6:$H$400)+SUMPRODUCT((Events!$B$6:$B$400&lt;=$A84)*(Events!$C$6:$C$400&gt;=$A84)*(Events!$E$6:$E$400="Purchase")*(Events!$J$6:$J$400="Yes")*Events!$H$6:$H$400)</f>
        <v>0</v>
      </c>
      <c r="F84" s="56" t="n">
        <f aca="false">MAX(0,B84+C84+D84-E84)</f>
        <v>1932.16860505519</v>
      </c>
      <c r="G84" s="56" t="n">
        <f aca="false">IF(OR($A84=1931,$A84=1932),cb_buy/2,0)</f>
        <v>0</v>
      </c>
      <c r="H84" s="56" t="n">
        <f aca="false">H83+G84</f>
        <v>0</v>
      </c>
      <c r="I84" s="56" t="n">
        <f aca="false">Economy!O84*money_ratio+H84</f>
        <v>3658.20567332159</v>
      </c>
      <c r="J84" s="56" t="n">
        <f aca="false">I84*gold_cover</f>
        <v>1463.28226932864</v>
      </c>
      <c r="K84" s="56" t="n">
        <f aca="false">F84-J84</f>
        <v>468.886335726554</v>
      </c>
      <c r="L84" s="66" t="n">
        <f aca="false">IF(I84&gt;0,F84/I84,0)</f>
        <v>0.528173858333343</v>
      </c>
      <c r="M84" s="66" t="n">
        <f aca="false">IF(Paths!AD84&gt;0,F84/Paths!AD84,0)</f>
        <v>0.207760065059698</v>
      </c>
    </row>
    <row r="85" customFormat="false" ht="14.25" hidden="false" customHeight="true" outlineLevel="0" collapsed="false">
      <c r="A85" s="61" t="n">
        <v>1925</v>
      </c>
      <c r="B85" s="56" t="n">
        <f aca="false">F84</f>
        <v>1932.16860505519</v>
      </c>
      <c r="C85" s="72" t="n">
        <f aca="false">Resources!R85</f>
        <v>10.7111111111111</v>
      </c>
      <c r="D85" s="56" t="n">
        <f aca="false">IF($A85&gt;=1850,Economy!O85*ext_gold,0)</f>
        <v>112.988085675184</v>
      </c>
      <c r="E85" s="56" t="n">
        <f aca="false">SUMPRODUCT((Events!$B$6:$B$400&lt;=$A85)*(Events!$C$6:$C$400&gt;=$A85)*(Events!$E$6:$E$400="Loan")*(Events!$J$6:$J$400="Yes")*Events!$H$6:$H$400)+SUMPRODUCT((Events!$B$6:$B$400&lt;=$A85)*(Events!$C$6:$C$400&gt;=$A85)*(Events!$E$6:$E$400="Purchase")*(Events!$J$6:$J$400="Yes")*Events!$H$6:$H$400)</f>
        <v>0</v>
      </c>
      <c r="F85" s="56" t="n">
        <f aca="false">MAX(0,B85+C85+D85-E85)</f>
        <v>2055.86780184149</v>
      </c>
      <c r="G85" s="56" t="n">
        <f aca="false">IF(OR($A85=1931,$A85=1932),cb_buy/2,0)</f>
        <v>0</v>
      </c>
      <c r="H85" s="56" t="n">
        <f aca="false">H84+G85</f>
        <v>0</v>
      </c>
      <c r="I85" s="56" t="n">
        <f aca="false">Economy!O85*money_ratio+H85</f>
        <v>3954.58299863145</v>
      </c>
      <c r="J85" s="56" t="n">
        <f aca="false">I85*gold_cover</f>
        <v>1581.83319945258</v>
      </c>
      <c r="K85" s="56" t="n">
        <f aca="false">F85-J85</f>
        <v>474.034602388905</v>
      </c>
      <c r="L85" s="66" t="n">
        <f aca="false">IF(I85&gt;0,F85/I85,0)</f>
        <v>0.519869680963316</v>
      </c>
      <c r="M85" s="66" t="n">
        <f aca="false">IF(Paths!AD85&gt;0,F85/Paths!AD85,0)</f>
        <v>0.216407137035946</v>
      </c>
    </row>
    <row r="86" customFormat="false" ht="14.25" hidden="false" customHeight="true" outlineLevel="0" collapsed="false">
      <c r="A86" s="61" t="n">
        <v>1926</v>
      </c>
      <c r="B86" s="56" t="n">
        <f aca="false">F85</f>
        <v>2055.86780184149</v>
      </c>
      <c r="C86" s="72" t="n">
        <f aca="false">Resources!R86</f>
        <v>10.5333333333333</v>
      </c>
      <c r="D86" s="56" t="n">
        <f aca="false">IF($A86&gt;=1850,Economy!O86*ext_gold,0)</f>
        <v>117.859777556897</v>
      </c>
      <c r="E86" s="56" t="n">
        <f aca="false">SUMPRODUCT((Events!$B$6:$B$400&lt;=$A86)*(Events!$C$6:$C$400&gt;=$A86)*(Events!$E$6:$E$400="Loan")*(Events!$J$6:$J$400="Yes")*Events!$H$6:$H$400)+SUMPRODUCT((Events!$B$6:$B$400&lt;=$A86)*(Events!$C$6:$C$400&gt;=$A86)*(Events!$E$6:$E$400="Purchase")*(Events!$J$6:$J$400="Yes")*Events!$H$6:$H$400)</f>
        <v>0</v>
      </c>
      <c r="F86" s="56" t="n">
        <f aca="false">MAX(0,B86+C86+D86-E86)</f>
        <v>2184.26091273172</v>
      </c>
      <c r="G86" s="56" t="n">
        <f aca="false">IF(OR($A86=1931,$A86=1932),cb_buy/2,0)</f>
        <v>0</v>
      </c>
      <c r="H86" s="56" t="n">
        <f aca="false">H85+G86</f>
        <v>0</v>
      </c>
      <c r="I86" s="56" t="n">
        <f aca="false">Economy!O86*money_ratio+H86</f>
        <v>4125.09221449138</v>
      </c>
      <c r="J86" s="56" t="n">
        <f aca="false">I86*gold_cover</f>
        <v>1650.03688579655</v>
      </c>
      <c r="K86" s="56" t="n">
        <f aca="false">F86-J86</f>
        <v>534.224026935163</v>
      </c>
      <c r="L86" s="66" t="n">
        <f aca="false">IF(I86&gt;0,F86/I86,0)</f>
        <v>0.529505959905197</v>
      </c>
      <c r="M86" s="66" t="n">
        <f aca="false">IF(Paths!AD86&gt;0,F86/Paths!AD86,0)</f>
        <v>0.225181537395022</v>
      </c>
    </row>
    <row r="87" customFormat="false" ht="14.25" hidden="false" customHeight="true" outlineLevel="0" collapsed="false">
      <c r="A87" s="61" t="n">
        <v>1927</v>
      </c>
      <c r="B87" s="56" t="n">
        <f aca="false">F86</f>
        <v>2184.26091273172</v>
      </c>
      <c r="C87" s="72" t="n">
        <f aca="false">Resources!R87</f>
        <v>10.3555555555555</v>
      </c>
      <c r="D87" s="56" t="n">
        <f aca="false">IF($A87&gt;=1850,Economy!O87*ext_gold,0)</f>
        <v>122.132749087133</v>
      </c>
      <c r="E87" s="56" t="n">
        <f aca="false">SUMPRODUCT((Events!$B$6:$B$400&lt;=$A87)*(Events!$C$6:$C$400&gt;=$A87)*(Events!$E$6:$E$400="Loan")*(Events!$J$6:$J$400="Yes")*Events!$H$6:$H$400)+SUMPRODUCT((Events!$B$6:$B$400&lt;=$A87)*(Events!$C$6:$C$400&gt;=$A87)*(Events!$E$6:$E$400="Purchase")*(Events!$J$6:$J$400="Yes")*Events!$H$6:$H$400)+'Japan rescue'!D126</f>
        <v>248.549667473809</v>
      </c>
      <c r="F87" s="56" t="n">
        <f aca="false">MAX(0,B87+C87+D87-E87)</f>
        <v>2068.19954990059</v>
      </c>
      <c r="G87" s="56" t="n">
        <f aca="false">IF(OR($A87=1931,$A87=1932),cb_buy/2,0)</f>
        <v>0</v>
      </c>
      <c r="H87" s="56" t="n">
        <f aca="false">H86+G87</f>
        <v>0</v>
      </c>
      <c r="I87" s="56" t="n">
        <f aca="false">Economy!O87*money_ratio+H87+'Japan rescue'!$D$131</f>
        <v>4523.19588552345</v>
      </c>
      <c r="J87" s="56" t="n">
        <f aca="false">I87*gold_cover</f>
        <v>1809.27835420938</v>
      </c>
      <c r="K87" s="56" t="n">
        <f aca="false">F87-J87</f>
        <v>258.921195691213</v>
      </c>
      <c r="L87" s="66" t="n">
        <f aca="false">IF(I87&gt;0,F87/I87,0)</f>
        <v>0.457242976480389</v>
      </c>
      <c r="M87" s="66" t="n">
        <f aca="false">IF(Paths!AD87&gt;0,F87/Paths!AD87,0)</f>
        <v>0.208909045444504</v>
      </c>
    </row>
    <row r="88" customFormat="false" ht="14.25" hidden="false" customHeight="true" outlineLevel="0" collapsed="false">
      <c r="A88" s="61" t="n">
        <v>1928</v>
      </c>
      <c r="B88" s="56" t="n">
        <f aca="false">F87</f>
        <v>2068.19954990059</v>
      </c>
      <c r="C88" s="72" t="n">
        <f aca="false">Resources!R88</f>
        <v>10.1777777777778</v>
      </c>
      <c r="D88" s="56" t="n">
        <f aca="false">IF($A88&gt;=1850,Economy!O88*ext_gold,0)</f>
        <v>131.037025917065</v>
      </c>
      <c r="E88" s="56" t="n">
        <f aca="false">SUMPRODUCT((Events!$B$6:$B$400&lt;=$A88)*(Events!$C$6:$C$400&gt;=$A88)*(Events!$E$6:$E$400="Loan")*(Events!$J$6:$J$400="Yes")*Events!$H$6:$H$400)+SUMPRODUCT((Events!$B$6:$B$400&lt;=$A88)*(Events!$C$6:$C$400&gt;=$A88)*(Events!$E$6:$E$400="Purchase")*(Events!$J$6:$J$400="Yes")*Events!$H$6:$H$400)</f>
        <v>0</v>
      </c>
      <c r="F88" s="56" t="n">
        <f aca="false">MAX(0,B88+C88+D88-E88)</f>
        <v>2209.41435359544</v>
      </c>
      <c r="G88" s="56" t="n">
        <f aca="false">IF(OR($A88=1931,$A88=1932),cb_buy/2,0)</f>
        <v>0</v>
      </c>
      <c r="H88" s="56" t="n">
        <f aca="false">H87+G88</f>
        <v>0</v>
      </c>
      <c r="I88" s="56" t="n">
        <f aca="false">Economy!O88*money_ratio+H88+'Japan rescue'!$D$131</f>
        <v>4834.8455745711</v>
      </c>
      <c r="J88" s="56" t="n">
        <f aca="false">I88*gold_cover</f>
        <v>1933.93822982844</v>
      </c>
      <c r="K88" s="56" t="n">
        <f aca="false">F88-J88</f>
        <v>275.476123766997</v>
      </c>
      <c r="L88" s="66" t="n">
        <f aca="false">IF(I88&gt;0,F88/I88,0)</f>
        <v>0.456977233195589</v>
      </c>
      <c r="M88" s="66" t="n">
        <f aca="false">IF(Paths!AD88&gt;0,F88/Paths!AD88,0)</f>
        <v>0.218753896395588</v>
      </c>
    </row>
    <row r="89" customFormat="false" ht="14.25" hidden="false" customHeight="true" outlineLevel="0" collapsed="false">
      <c r="A89" s="61" t="n">
        <v>1929</v>
      </c>
      <c r="B89" s="56" t="n">
        <f aca="false">F88</f>
        <v>2209.41435359544</v>
      </c>
      <c r="C89" s="72" t="n">
        <f aca="false">Resources!R89</f>
        <v>10.3</v>
      </c>
      <c r="D89" s="56" t="n">
        <f aca="false">IF($A89&gt;=1850,Economy!O89*ext_gold,0)</f>
        <v>138.944683638301</v>
      </c>
      <c r="E89" s="56" t="n">
        <f aca="false">SUMPRODUCT((Events!$B$6:$B$400&lt;=$A89)*(Events!$C$6:$C$400&gt;=$A89)*(Events!$E$6:$E$400="Loan")*(Events!$J$6:$J$400="Yes")*Events!$H$6:$H$400)+SUMPRODUCT((Events!$B$6:$B$400&lt;=$A89)*(Events!$C$6:$C$400&gt;=$A89)*(Events!$E$6:$E$400="Purchase")*(Events!$J$6:$J$400="Yes")*Events!$H$6:$H$400)</f>
        <v>0</v>
      </c>
      <c r="F89" s="56" t="n">
        <f aca="false">MAX(0,B89+C89+D89-E89)</f>
        <v>2358.65903723374</v>
      </c>
      <c r="G89" s="56" t="n">
        <f aca="false">IF(OR($A89=1931,$A89=1932),cb_buy/2,0)</f>
        <v>0</v>
      </c>
      <c r="H89" s="56" t="n">
        <f aca="false">H88+G89</f>
        <v>0</v>
      </c>
      <c r="I89" s="56" t="n">
        <f aca="false">Economy!O89*money_ratio+H89+'Japan rescue'!$D$131</f>
        <v>5111.61359481436</v>
      </c>
      <c r="J89" s="56" t="n">
        <f aca="false">I89*gold_cover</f>
        <v>2044.64543792574</v>
      </c>
      <c r="K89" s="56" t="n">
        <f aca="false">F89-J89</f>
        <v>314.013599307997</v>
      </c>
      <c r="L89" s="66" t="n">
        <f aca="false">IF(I89&gt;0,F89/I89,0)</f>
        <v>0.461431403896914</v>
      </c>
      <c r="M89" s="66" t="n">
        <f aca="false">IF(Paths!AD89&gt;0,F89/Paths!AD89,0)</f>
        <v>0.228996023032402</v>
      </c>
    </row>
    <row r="90" customFormat="false" ht="14.25" hidden="false" customHeight="true" outlineLevel="0" collapsed="false">
      <c r="A90" s="61" t="n">
        <v>1930</v>
      </c>
      <c r="B90" s="56" t="n">
        <f aca="false">F89</f>
        <v>2358.65903723374</v>
      </c>
      <c r="C90" s="72" t="n">
        <f aca="false">Resources!R90</f>
        <v>11.7</v>
      </c>
      <c r="D90" s="56" t="n">
        <f aca="false">IF($A90&gt;=1850,Economy!O90*ext_gold,0)</f>
        <v>130.778954309458</v>
      </c>
      <c r="E90" s="56" t="n">
        <f aca="false">SUMPRODUCT((Events!$B$6:$B$400&lt;=$A90)*(Events!$C$6:$C$400&gt;=$A90)*(Events!$E$6:$E$400="Loan")*(Events!$J$6:$J$400="Yes")*Events!$H$6:$H$400)+SUMPRODUCT((Events!$B$6:$B$400&lt;=$A90)*(Events!$C$6:$C$400&gt;=$A90)*(Events!$E$6:$E$400="Purchase")*(Events!$J$6:$J$400="Yes")*Events!$H$6:$H$400)</f>
        <v>0</v>
      </c>
      <c r="F90" s="56" t="n">
        <f aca="false">MAX(0,B90+C90+D90-E90)</f>
        <v>2501.1379915432</v>
      </c>
      <c r="G90" s="56" t="n">
        <f aca="false">IF(OR($A90=1931,$A90=1932),cb_buy/2,0)</f>
        <v>0</v>
      </c>
      <c r="H90" s="56" t="n">
        <f aca="false">H89+G90</f>
        <v>0</v>
      </c>
      <c r="I90" s="56" t="n">
        <f aca="false">Economy!O90*money_ratio+H90+'Japan rescue'!$D$131</f>
        <v>4825.81306830485</v>
      </c>
      <c r="J90" s="56" t="n">
        <f aca="false">I90*gold_cover</f>
        <v>1930.32522732194</v>
      </c>
      <c r="K90" s="56" t="n">
        <f aca="false">F90-J90</f>
        <v>570.812764221259</v>
      </c>
      <c r="L90" s="66" t="n">
        <f aca="false">IF(I90&gt;0,F90/I90,0)</f>
        <v>0.518283231476632</v>
      </c>
      <c r="M90" s="66" t="n">
        <f aca="false">IF(Paths!AD90&gt;0,F90/Paths!AD90,0)</f>
        <v>0.230881380184916</v>
      </c>
    </row>
    <row r="91" customFormat="false" ht="14.25" hidden="false" customHeight="true" outlineLevel="0" collapsed="false">
      <c r="A91" s="61" t="n">
        <v>1931</v>
      </c>
      <c r="B91" s="56" t="n">
        <f aca="false">F90</f>
        <v>2501.1379915432</v>
      </c>
      <c r="C91" s="72" t="n">
        <f aca="false">Resources!R91</f>
        <v>14.6</v>
      </c>
      <c r="D91" s="56" t="n">
        <f aca="false">IF($A91&gt;=1850,Economy!O91*ext_gold,0)</f>
        <v>118.660566945007</v>
      </c>
      <c r="E91" s="56" t="n">
        <f aca="false">SUMPRODUCT((Events!$B$6:$B$400&lt;=$A91)*(Events!$C$6:$C$400&gt;=$A91)*(Events!$E$6:$E$400="Loan")*(Events!$J$6:$J$400="Yes")*Events!$H$6:$H$400)+SUMPRODUCT((Events!$B$6:$B$400&lt;=$A91)*(Events!$C$6:$C$400&gt;=$A91)*(Events!$E$6:$E$400="Purchase")*(Events!$J$6:$J$400="Yes")*Events!$H$6:$H$400)</f>
        <v>240</v>
      </c>
      <c r="F91" s="56" t="n">
        <f aca="false">MAX(0,B91+C91+D91-E91)</f>
        <v>2394.3985584882</v>
      </c>
      <c r="G91" s="56" t="n">
        <f aca="false">IF(OR($A91=1931,$A91=1932),cb_buy/2,0)</f>
        <v>0</v>
      </c>
      <c r="H91" s="56" t="n">
        <f aca="false">H90+G91</f>
        <v>0</v>
      </c>
      <c r="I91" s="56" t="n">
        <f aca="false">Economy!O91*money_ratio+H91+'Japan rescue'!$D$131</f>
        <v>4401.66951054905</v>
      </c>
      <c r="J91" s="56" t="n">
        <f aca="false">I91*gold_cover</f>
        <v>1760.66780421962</v>
      </c>
      <c r="K91" s="56" t="n">
        <f aca="false">F91-J91</f>
        <v>633.730754268583</v>
      </c>
      <c r="L91" s="66" t="n">
        <f aca="false">IF(I91&gt;0,F91/I91,0)</f>
        <v>0.543975087804703</v>
      </c>
      <c r="M91" s="66" t="n">
        <f aca="false">IF(Paths!AD91&gt;0,F91/Paths!AD91,0)</f>
        <v>0.210644722309158</v>
      </c>
    </row>
    <row r="92" customFormat="false" ht="14.25" hidden="false" customHeight="true" outlineLevel="0" collapsed="false">
      <c r="A92" s="61" t="n">
        <v>1932</v>
      </c>
      <c r="B92" s="56" t="n">
        <f aca="false">F91</f>
        <v>2394.3985584882</v>
      </c>
      <c r="C92" s="72" t="n">
        <f aca="false">Resources!R92</f>
        <v>19</v>
      </c>
      <c r="D92" s="56" t="n">
        <f aca="false">IF($A92&gt;=1850,Economy!O92*ext_gold,0)</f>
        <v>109.69223802326</v>
      </c>
      <c r="E92" s="56" t="n">
        <f aca="false">SUMPRODUCT((Events!$B$6:$B$400&lt;=$A92)*(Events!$C$6:$C$400&gt;=$A92)*(Events!$E$6:$E$400="Loan")*(Events!$J$6:$J$400="Yes")*Events!$H$6:$H$400)+SUMPRODUCT((Events!$B$6:$B$400&lt;=$A92)*(Events!$C$6:$C$400&gt;=$A92)*(Events!$E$6:$E$400="Purchase")*(Events!$J$6:$J$400="Yes")*Events!$H$6:$H$400)</f>
        <v>160</v>
      </c>
      <c r="F92" s="56" t="n">
        <f aca="false">MAX(0,B92+C92+D92-E92)</f>
        <v>2363.09079651146</v>
      </c>
      <c r="G92" s="56" t="n">
        <f aca="false">IF(OR($A92=1931,$A92=1932),cb_buy/2,0)</f>
        <v>0</v>
      </c>
      <c r="H92" s="56" t="n">
        <f aca="false">H91+G92</f>
        <v>0</v>
      </c>
      <c r="I92" s="56" t="n">
        <f aca="false">Economy!O92*money_ratio+H92+'Japan rescue'!$D$131</f>
        <v>4087.7779982879</v>
      </c>
      <c r="J92" s="56" t="n">
        <f aca="false">I92*gold_cover</f>
        <v>1635.11119931516</v>
      </c>
      <c r="K92" s="56" t="n">
        <f aca="false">F92-J92</f>
        <v>727.979597196304</v>
      </c>
      <c r="L92" s="66" t="n">
        <f aca="false">IF(I92&gt;0,F92/I92,0)</f>
        <v>0.578086872012425</v>
      </c>
      <c r="M92" s="66" t="n">
        <f aca="false">IF(Paths!AD92&gt;0,F92/Paths!AD92,0)</f>
        <v>0.198579058530375</v>
      </c>
    </row>
  </sheetData>
  <mergeCells count="2">
    <mergeCell ref="B4:F4"/>
    <mergeCell ref="G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V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8" min="2" style="1" width="12.44"/>
    <col collapsed="false" customWidth="true" hidden="false" outlineLevel="0" max="21" min="19" style="1" width="19"/>
  </cols>
  <sheetData>
    <row r="1" customFormat="false" ht="18" hidden="false" customHeight="true" outlineLevel="0" collapsed="false">
      <c r="A1" s="19" t="s">
        <v>1565</v>
      </c>
    </row>
    <row r="2" customFormat="false" ht="14.25" hidden="false" customHeight="true" outlineLevel="0" collapsed="false">
      <c r="A2" s="3" t="s">
        <v>1566</v>
      </c>
    </row>
    <row r="3" customFormat="false" ht="14.25" hidden="false" customHeight="true" outlineLevel="0" collapsed="false">
      <c r="A3" s="20" t="s">
        <v>1315</v>
      </c>
    </row>
    <row r="4" customFormat="false" ht="14.25" hidden="false" customHeight="true" outlineLevel="0" collapsed="false">
      <c r="B4" s="58" t="s">
        <v>1567</v>
      </c>
      <c r="C4" s="58"/>
      <c r="D4" s="58"/>
      <c r="E4" s="58" t="s">
        <v>1568</v>
      </c>
      <c r="F4" s="58"/>
      <c r="G4" s="58"/>
      <c r="H4" s="58"/>
      <c r="I4" s="58"/>
      <c r="J4" s="58"/>
      <c r="K4" s="58" t="s">
        <v>1569</v>
      </c>
      <c r="L4" s="58"/>
      <c r="M4" s="58"/>
      <c r="N4" s="58"/>
      <c r="O4" s="58"/>
      <c r="P4" s="58"/>
      <c r="Q4" s="58"/>
      <c r="R4" s="58"/>
    </row>
    <row r="5" customFormat="false" ht="54" hidden="false" customHeight="true" outlineLevel="0" collapsed="false">
      <c r="A5" s="60" t="s">
        <v>103</v>
      </c>
      <c r="B5" s="7" t="s">
        <v>1570</v>
      </c>
      <c r="C5" s="7" t="s">
        <v>1571</v>
      </c>
      <c r="D5" s="7" t="s">
        <v>1572</v>
      </c>
      <c r="E5" s="7" t="s">
        <v>1573</v>
      </c>
      <c r="F5" s="7" t="s">
        <v>1574</v>
      </c>
      <c r="G5" s="7" t="s">
        <v>1575</v>
      </c>
      <c r="H5" s="7" t="s">
        <v>1576</v>
      </c>
      <c r="I5" s="7" t="s">
        <v>1577</v>
      </c>
      <c r="J5" s="7" t="s">
        <v>1578</v>
      </c>
      <c r="K5" s="7" t="s">
        <v>1579</v>
      </c>
      <c r="L5" s="7" t="s">
        <v>1580</v>
      </c>
      <c r="M5" s="7" t="s">
        <v>22</v>
      </c>
      <c r="N5" s="7" t="s">
        <v>1581</v>
      </c>
      <c r="O5" s="7" t="s">
        <v>1582</v>
      </c>
      <c r="P5" s="7" t="s">
        <v>1583</v>
      </c>
      <c r="Q5" s="7" t="s">
        <v>1584</v>
      </c>
      <c r="R5" s="7" t="s">
        <v>1585</v>
      </c>
      <c r="S5" s="87" t="s">
        <v>1586</v>
      </c>
      <c r="T5" s="87" t="s">
        <v>1587</v>
      </c>
      <c r="U5" s="87" t="s">
        <v>1588</v>
      </c>
      <c r="V5" s="1" t="s">
        <v>1589</v>
      </c>
    </row>
    <row r="6" customFormat="false" ht="14.25" hidden="false" customHeight="true" outlineLevel="0" collapsed="false">
      <c r="A6" s="61" t="n">
        <v>1846</v>
      </c>
      <c r="B6" s="62" t="n">
        <v>0.002</v>
      </c>
      <c r="C6" s="56" t="n">
        <f aca="false">Economy!O6*B6</f>
        <v>0.03775405371</v>
      </c>
      <c r="D6" s="56" t="n">
        <f aca="false">IF(AND($A6&gt;=1914,$A6&lt;=1918),entente_total*entente_private*CHOOSE($A6-1913,0.05,0.1333,0.2333,0.3,0.2834),0)</f>
        <v>0</v>
      </c>
      <c r="E6" s="56" t="n">
        <f aca="false">0</f>
        <v>0</v>
      </c>
      <c r="F6" s="56" t="n">
        <f aca="false">(E6-0-'War credit'!Q6)*abroad_repat+0+'War credit'!R6</f>
        <v>0</v>
      </c>
      <c r="G6" s="56" t="n">
        <f aca="false">'War credit'!S6+IF(OR(A6=1931,A6=1932),(E6-0-'War credit'!Q6)*abroad_loss/2,0)</f>
        <v>0</v>
      </c>
      <c r="H6" s="56" t="n">
        <f aca="false">E6+C6+D6-F6-G6</f>
        <v>0.03775405371</v>
      </c>
      <c r="I6" s="72" t="n">
        <f aca="false">Champions!AY6</f>
        <v>0</v>
      </c>
      <c r="J6" s="56" t="n">
        <f aca="false">H6+I6</f>
        <v>0.03775405371</v>
      </c>
      <c r="K6" s="56" t="n">
        <f aca="false">(E6-0-'War credit'!Q6)*abroad_return*IF(OR(A6=1931,A6=1932),abroad_slump,1)+0+'War credit'!U6</f>
        <v>0</v>
      </c>
      <c r="L6" s="72" t="n">
        <f aca="false">Champions!AZ6</f>
        <v>0</v>
      </c>
      <c r="M6" s="56" t="n">
        <f aca="false">K6+L6</f>
        <v>0</v>
      </c>
      <c r="N6" s="56" t="n">
        <f aca="false">M6*abroad_tax</f>
        <v>0</v>
      </c>
      <c r="O6" s="72" t="n">
        <f aca="false">Labour!R6</f>
        <v>0</v>
      </c>
      <c r="P6" s="49" t="n">
        <f aca="false">Economy!O6+M6-O6-V6</f>
        <v>18.877026855</v>
      </c>
      <c r="Q6" s="66" t="n">
        <f aca="false">M6/P6</f>
        <v>0</v>
      </c>
      <c r="R6" s="66" t="n">
        <f aca="false">J6/Economy!O6</f>
        <v>0.002</v>
      </c>
      <c r="S6" s="88" t="n">
        <f aca="false">0</f>
        <v>0</v>
      </c>
      <c r="T6" s="88" t="n">
        <f aca="false">C6-S6</f>
        <v>0.03775405371</v>
      </c>
      <c r="U6" s="88" t="n">
        <f aca="false">0</f>
        <v>0</v>
      </c>
      <c r="V6" s="89" t="n">
        <f aca="false">'Champion funding'!P6</f>
        <v>0</v>
      </c>
    </row>
    <row r="7" customFormat="false" ht="14.25" hidden="false" customHeight="true" outlineLevel="0" collapsed="false">
      <c r="A7" s="61" t="n">
        <v>1847</v>
      </c>
      <c r="B7" s="62" t="n">
        <v>0.002</v>
      </c>
      <c r="C7" s="56" t="n">
        <f aca="false">Economy!O7*B7</f>
        <v>0.0393958461169699</v>
      </c>
      <c r="D7" s="56" t="n">
        <f aca="false">IF(AND($A7&gt;=1914,$A7&lt;=1918),entente_total*entente_private*CHOOSE($A7-1913,0.05,0.1333,0.2333,0.3,0.2834),0)</f>
        <v>0</v>
      </c>
      <c r="E7" s="56" t="n">
        <f aca="false">H6</f>
        <v>0.03775405371</v>
      </c>
      <c r="F7" s="56" t="n">
        <f aca="false">(E7-0-'War credit'!Q7)*abroad_repat+0+'War credit'!R7</f>
        <v>0.0011326216113</v>
      </c>
      <c r="G7" s="56" t="n">
        <f aca="false">'War credit'!S7+IF(OR(A7=1931,A7=1932),(E7-0-'War credit'!Q7)*abroad_loss/2,0)</f>
        <v>0</v>
      </c>
      <c r="H7" s="56" t="n">
        <f aca="false">E7+C7+D7-F7-G7</f>
        <v>0.0760172782156699</v>
      </c>
      <c r="I7" s="72" t="n">
        <f aca="false">Champions!AY7</f>
        <v>0</v>
      </c>
      <c r="J7" s="56" t="n">
        <f aca="false">H7+I7</f>
        <v>0.0760172782156699</v>
      </c>
      <c r="K7" s="56" t="n">
        <f aca="false">(E7-0-'War credit'!Q7)*abroad_return*IF(OR(A7=1931,A7=1932),abroad_slump,1)+0+'War credit'!U7</f>
        <v>0.0022652432226</v>
      </c>
      <c r="L7" s="72" t="n">
        <f aca="false">Champions!AZ7</f>
        <v>0</v>
      </c>
      <c r="M7" s="56" t="n">
        <f aca="false">K7+L7</f>
        <v>0.0022652432226</v>
      </c>
      <c r="N7" s="56" t="n">
        <f aca="false">M7*abroad_tax</f>
        <v>0.00022652432226</v>
      </c>
      <c r="O7" s="72" t="n">
        <f aca="false">Labour!R7</f>
        <v>0</v>
      </c>
      <c r="P7" s="49" t="n">
        <f aca="false">Economy!O7+M7-O7-V7</f>
        <v>19.7001883017075</v>
      </c>
      <c r="Q7" s="66" t="n">
        <f aca="false">M7/P7</f>
        <v>0.000114985866526142</v>
      </c>
      <c r="R7" s="66" t="n">
        <f aca="false">J7/Economy!O7</f>
        <v>0.00385915195170413</v>
      </c>
      <c r="S7" s="88" t="n">
        <f aca="false">0</f>
        <v>0</v>
      </c>
      <c r="T7" s="88" t="n">
        <f aca="false">C7-S7</f>
        <v>0.0393958461169699</v>
      </c>
      <c r="U7" s="88" t="n">
        <f aca="false">0</f>
        <v>0</v>
      </c>
      <c r="V7" s="89" t="n">
        <f aca="false">'Champion funding'!P7</f>
        <v>0</v>
      </c>
    </row>
    <row r="8" customFormat="false" ht="14.25" hidden="false" customHeight="true" outlineLevel="0" collapsed="false">
      <c r="A8" s="61" t="n">
        <v>1848</v>
      </c>
      <c r="B8" s="62" t="n">
        <v>0.002</v>
      </c>
      <c r="C8" s="56" t="n">
        <f aca="false">Economy!O8*B8</f>
        <v>0.057961808672188</v>
      </c>
      <c r="D8" s="56" t="n">
        <f aca="false">IF(AND($A8&gt;=1914,$A8&lt;=1918),entente_total*entente_private*CHOOSE($A8-1913,0.05,0.1333,0.2333,0.3,0.2834),0)</f>
        <v>0</v>
      </c>
      <c r="E8" s="56" t="n">
        <f aca="false">H7</f>
        <v>0.0760172782156699</v>
      </c>
      <c r="F8" s="56" t="n">
        <f aca="false">(E8-0-'War credit'!Q8)*abroad_repat+0+'War credit'!R8</f>
        <v>0.0022805183464701</v>
      </c>
      <c r="G8" s="56" t="n">
        <f aca="false">'War credit'!S8+IF(OR(A8=1931,A8=1932),(E8-0-'War credit'!Q8)*abroad_loss/2,0)</f>
        <v>0</v>
      </c>
      <c r="H8" s="56" t="n">
        <f aca="false">E8+C8+D8-F8-G8</f>
        <v>0.131698568541388</v>
      </c>
      <c r="I8" s="72" t="n">
        <f aca="false">Champions!AY8</f>
        <v>0</v>
      </c>
      <c r="J8" s="56" t="n">
        <f aca="false">H8+I8</f>
        <v>0.131698568541388</v>
      </c>
      <c r="K8" s="56" t="n">
        <f aca="false">(E8-0-'War credit'!Q8)*abroad_return*IF(OR(A8=1931,A8=1932),abroad_slump,1)+0+'War credit'!U8</f>
        <v>0.00456103669294019</v>
      </c>
      <c r="L8" s="72" t="n">
        <f aca="false">Champions!AZ8</f>
        <v>0</v>
      </c>
      <c r="M8" s="56" t="n">
        <f aca="false">K8+L8</f>
        <v>0.00456103669294019</v>
      </c>
      <c r="N8" s="56" t="n">
        <f aca="false">M8*abroad_tax</f>
        <v>0.000456103669294019</v>
      </c>
      <c r="O8" s="72" t="n">
        <f aca="false">Labour!R8</f>
        <v>0</v>
      </c>
      <c r="P8" s="49" t="n">
        <f aca="false">Economy!O8+M8-O8-V8</f>
        <v>28.9854653727869</v>
      </c>
      <c r="Q8" s="66" t="n">
        <f aca="false">M8/P8</f>
        <v>0.000157355993229018</v>
      </c>
      <c r="R8" s="66" t="n">
        <f aca="false">J8/Economy!O8</f>
        <v>0.0045443222548913</v>
      </c>
      <c r="S8" s="88" t="n">
        <f aca="false">0</f>
        <v>0</v>
      </c>
      <c r="T8" s="88" t="n">
        <f aca="false">C8-S8</f>
        <v>0.057961808672188</v>
      </c>
      <c r="U8" s="88" t="n">
        <f aca="false">0</f>
        <v>0</v>
      </c>
      <c r="V8" s="89" t="n">
        <f aca="false">'Champion funding'!P8</f>
        <v>0</v>
      </c>
    </row>
    <row r="9" customFormat="false" ht="14.25" hidden="false" customHeight="true" outlineLevel="0" collapsed="false">
      <c r="A9" s="61" t="n">
        <v>1849</v>
      </c>
      <c r="B9" s="62" t="n">
        <v>0.002</v>
      </c>
      <c r="C9" s="56" t="n">
        <f aca="false">Economy!O9*B9</f>
        <v>0.149931612367717</v>
      </c>
      <c r="D9" s="56" t="n">
        <f aca="false">IF(AND($A9&gt;=1914,$A9&lt;=1918),entente_total*entente_private*CHOOSE($A9-1913,0.05,0.1333,0.2333,0.3,0.2834),0)</f>
        <v>0</v>
      </c>
      <c r="E9" s="56" t="n">
        <f aca="false">H8</f>
        <v>0.131698568541388</v>
      </c>
      <c r="F9" s="56" t="n">
        <f aca="false">(E9-0-'War credit'!Q9)*abroad_repat+0+'War credit'!R9</f>
        <v>0.00395095705624163</v>
      </c>
      <c r="G9" s="56" t="n">
        <f aca="false">'War credit'!S9+IF(OR(A9=1931,A9=1932),(E9-0-'War credit'!Q9)*abroad_loss/2,0)</f>
        <v>0</v>
      </c>
      <c r="H9" s="56" t="n">
        <f aca="false">E9+C9+D9-F9-G9</f>
        <v>0.277679223852863</v>
      </c>
      <c r="I9" s="72" t="n">
        <f aca="false">Champions!AY9</f>
        <v>0</v>
      </c>
      <c r="J9" s="56" t="n">
        <f aca="false">H9+I9</f>
        <v>0.277679223852863</v>
      </c>
      <c r="K9" s="56" t="n">
        <f aca="false">(E9-0-'War credit'!Q9)*abroad_return*IF(OR(A9=1931,A9=1932),abroad_slump,1)+0+'War credit'!U9</f>
        <v>0.00790191411248327</v>
      </c>
      <c r="L9" s="72" t="n">
        <f aca="false">Champions!AZ9</f>
        <v>0</v>
      </c>
      <c r="M9" s="56" t="n">
        <f aca="false">K9+L9</f>
        <v>0.00790191411248327</v>
      </c>
      <c r="N9" s="56" t="n">
        <f aca="false">M9*abroad_tax</f>
        <v>0.000790191411248327</v>
      </c>
      <c r="O9" s="72" t="n">
        <f aca="false">Labour!R9</f>
        <v>0</v>
      </c>
      <c r="P9" s="49" t="n">
        <f aca="false">Economy!O9+M9-O9-V9</f>
        <v>74.9737080979708</v>
      </c>
      <c r="Q9" s="66" t="n">
        <f aca="false">M9/P9</f>
        <v>0.00010539580224787</v>
      </c>
      <c r="R9" s="66" t="n">
        <f aca="false">J9/Economy!O9</f>
        <v>0.0037040784057179</v>
      </c>
      <c r="S9" s="88" t="n">
        <f aca="false">0</f>
        <v>0</v>
      </c>
      <c r="T9" s="88" t="n">
        <f aca="false">C9-S9</f>
        <v>0.149931612367717</v>
      </c>
      <c r="U9" s="88" t="n">
        <f aca="false">0</f>
        <v>0</v>
      </c>
      <c r="V9" s="89" t="n">
        <f aca="false">'Champion funding'!P9</f>
        <v>0</v>
      </c>
    </row>
    <row r="10" customFormat="false" ht="14.25" hidden="false" customHeight="true" outlineLevel="0" collapsed="false">
      <c r="A10" s="61" t="n">
        <v>1850</v>
      </c>
      <c r="B10" s="62" t="n">
        <v>0.002</v>
      </c>
      <c r="C10" s="56" t="n">
        <f aca="false">Economy!O10*B10</f>
        <v>0.178919822136117</v>
      </c>
      <c r="D10" s="56" t="n">
        <f aca="false">IF(AND($A10&gt;=1914,$A10&lt;=1918),entente_total*entente_private*CHOOSE($A10-1913,0.05,0.1333,0.2333,0.3,0.2834),0)</f>
        <v>0</v>
      </c>
      <c r="E10" s="56" t="n">
        <f aca="false">H9</f>
        <v>0.277679223852863</v>
      </c>
      <c r="F10" s="56" t="n">
        <f aca="false">(E10-0-'War credit'!Q10)*abroad_repat+0+'War credit'!R10</f>
        <v>0.00833037671558589</v>
      </c>
      <c r="G10" s="56" t="n">
        <f aca="false">'War credit'!S10+IF(OR(A10=1931,A10=1932),(E10-0-'War credit'!Q10)*abroad_loss/2,0)</f>
        <v>0</v>
      </c>
      <c r="H10" s="56" t="n">
        <f aca="false">E10+C10+D10-F10-G10</f>
        <v>0.448268669273394</v>
      </c>
      <c r="I10" s="72" t="n">
        <f aca="false">Champions!AY10</f>
        <v>0</v>
      </c>
      <c r="J10" s="56" t="n">
        <f aca="false">H10+I10</f>
        <v>0.448268669273394</v>
      </c>
      <c r="K10" s="56" t="n">
        <f aca="false">(E10-0-'War credit'!Q10)*abroad_return*IF(OR(A10=1931,A10=1932),abroad_slump,1)+0+'War credit'!U10</f>
        <v>0.0166607534311718</v>
      </c>
      <c r="L10" s="72" t="n">
        <f aca="false">Champions!AZ10</f>
        <v>0</v>
      </c>
      <c r="M10" s="56" t="n">
        <f aca="false">K10+L10</f>
        <v>0.0166607534311718</v>
      </c>
      <c r="N10" s="56" t="n">
        <f aca="false">M10*abroad_tax</f>
        <v>0.00166607534311718</v>
      </c>
      <c r="O10" s="72" t="n">
        <f aca="false">Labour!R10</f>
        <v>0</v>
      </c>
      <c r="P10" s="49" t="n">
        <f aca="false">Economy!O10+M10-O10-V10</f>
        <v>89.4765718214898</v>
      </c>
      <c r="Q10" s="66" t="n">
        <f aca="false">M10/P10</f>
        <v>0.000186202411335235</v>
      </c>
      <c r="R10" s="66" t="n">
        <f aca="false">J10/Economy!O10</f>
        <v>0.00501083294094004</v>
      </c>
      <c r="S10" s="88" t="n">
        <f aca="false">0</f>
        <v>0</v>
      </c>
      <c r="T10" s="88" t="n">
        <f aca="false">C10-S10</f>
        <v>0.178919822136117</v>
      </c>
      <c r="U10" s="88" t="n">
        <f aca="false">0</f>
        <v>0</v>
      </c>
      <c r="V10" s="89" t="n">
        <f aca="false">'Champion funding'!P10</f>
        <v>0</v>
      </c>
    </row>
    <row r="11" customFormat="false" ht="14.25" hidden="false" customHeight="true" outlineLevel="0" collapsed="false">
      <c r="A11" s="61" t="n">
        <v>1851</v>
      </c>
      <c r="B11" s="62" t="n">
        <v>0.002</v>
      </c>
      <c r="C11" s="56" t="n">
        <f aca="false">Economy!O11*B11</f>
        <v>0.248012872898598</v>
      </c>
      <c r="D11" s="56" t="n">
        <f aca="false">IF(AND($A11&gt;=1914,$A11&lt;=1918),entente_total*entente_private*CHOOSE($A11-1913,0.05,0.1333,0.2333,0.3,0.2834),0)</f>
        <v>0</v>
      </c>
      <c r="E11" s="56" t="n">
        <f aca="false">H10</f>
        <v>0.448268669273394</v>
      </c>
      <c r="F11" s="56" t="n">
        <f aca="false">(E11-0-'War credit'!Q11)*abroad_repat+0+'War credit'!R11</f>
        <v>0.0134480600782018</v>
      </c>
      <c r="G11" s="56" t="n">
        <f aca="false">'War credit'!S11+IF(OR(A11=1931,A11=1932),(E11-0-'War credit'!Q11)*abroad_loss/2,0)</f>
        <v>0</v>
      </c>
      <c r="H11" s="56" t="n">
        <f aca="false">E11+C11+D11-F11-G11</f>
        <v>0.682833482093791</v>
      </c>
      <c r="I11" s="72" t="n">
        <f aca="false">Champions!AY11</f>
        <v>0</v>
      </c>
      <c r="J11" s="56" t="n">
        <f aca="false">H11+I11</f>
        <v>0.682833482093791</v>
      </c>
      <c r="K11" s="56" t="n">
        <f aca="false">(E11-0-'War credit'!Q11)*abroad_return*IF(OR(A11=1931,A11=1932),abroad_slump,1)+0+'War credit'!U11</f>
        <v>0.0268961201564037</v>
      </c>
      <c r="L11" s="72" t="n">
        <f aca="false">Champions!AZ11</f>
        <v>0</v>
      </c>
      <c r="M11" s="56" t="n">
        <f aca="false">K11+L11</f>
        <v>0.0268961201564037</v>
      </c>
      <c r="N11" s="56" t="n">
        <f aca="false">M11*abroad_tax</f>
        <v>0.00268961201564037</v>
      </c>
      <c r="O11" s="72" t="n">
        <f aca="false">Labour!R11</f>
        <v>0</v>
      </c>
      <c r="P11" s="49" t="n">
        <f aca="false">Economy!O11+M11-O11-V11</f>
        <v>124.033332569456</v>
      </c>
      <c r="Q11" s="66" t="n">
        <f aca="false">M11/P11</f>
        <v>0.000216845904235803</v>
      </c>
      <c r="R11" s="66" t="n">
        <f aca="false">J11/Economy!O11</f>
        <v>0.00550643580805559</v>
      </c>
      <c r="S11" s="88" t="n">
        <f aca="false">0</f>
        <v>0</v>
      </c>
      <c r="T11" s="88" t="n">
        <f aca="false">C11-S11</f>
        <v>0.248012872898598</v>
      </c>
      <c r="U11" s="88" t="n">
        <f aca="false">0</f>
        <v>0</v>
      </c>
      <c r="V11" s="89" t="n">
        <f aca="false">'Champion funding'!P11</f>
        <v>0</v>
      </c>
    </row>
    <row r="12" customFormat="false" ht="14.25" hidden="false" customHeight="true" outlineLevel="0" collapsed="false">
      <c r="A12" s="61" t="n">
        <v>1852</v>
      </c>
      <c r="B12" s="62" t="n">
        <v>0.002</v>
      </c>
      <c r="C12" s="56" t="n">
        <f aca="false">Economy!O12*B12</f>
        <v>0.292022396007147</v>
      </c>
      <c r="D12" s="56" t="n">
        <f aca="false">IF(AND($A12&gt;=1914,$A12&lt;=1918),entente_total*entente_private*CHOOSE($A12-1913,0.05,0.1333,0.2333,0.3,0.2834),0)</f>
        <v>0</v>
      </c>
      <c r="E12" s="56" t="n">
        <f aca="false">H11</f>
        <v>0.682833482093791</v>
      </c>
      <c r="F12" s="56" t="n">
        <f aca="false">(E12-0-'War credit'!Q12)*abroad_repat+0+'War credit'!R12</f>
        <v>0.0204850044628137</v>
      </c>
      <c r="G12" s="56" t="n">
        <f aca="false">'War credit'!S12+IF(OR(A12=1931,A12=1932),(E12-0-'War credit'!Q12)*abroad_loss/2,0)</f>
        <v>0</v>
      </c>
      <c r="H12" s="56" t="n">
        <f aca="false">E12+C12+D12-F12-G12</f>
        <v>0.954370873638124</v>
      </c>
      <c r="I12" s="72" t="n">
        <f aca="false">Champions!AY12</f>
        <v>0</v>
      </c>
      <c r="J12" s="56" t="n">
        <f aca="false">H12+I12</f>
        <v>0.954370873638124</v>
      </c>
      <c r="K12" s="56" t="n">
        <f aca="false">(E12-0-'War credit'!Q12)*abroad_return*IF(OR(A12=1931,A12=1932),abroad_slump,1)+0+'War credit'!U12</f>
        <v>0.0409700089256274</v>
      </c>
      <c r="L12" s="72" t="n">
        <f aca="false">Champions!AZ12</f>
        <v>0</v>
      </c>
      <c r="M12" s="56" t="n">
        <f aca="false">K12+L12</f>
        <v>0.0409700089256274</v>
      </c>
      <c r="N12" s="56" t="n">
        <f aca="false">M12*abroad_tax</f>
        <v>0.00409700089256274</v>
      </c>
      <c r="O12" s="72" t="n">
        <f aca="false">Labour!R12</f>
        <v>0</v>
      </c>
      <c r="P12" s="49" t="n">
        <f aca="false">Economy!O12+M12-O12-V12</f>
        <v>146.052168012499</v>
      </c>
      <c r="Q12" s="66" t="n">
        <f aca="false">M12/P12</f>
        <v>0.000280516266777506</v>
      </c>
      <c r="R12" s="66" t="n">
        <f aca="false">J12/Economy!O12</f>
        <v>0.00653628548143798</v>
      </c>
      <c r="S12" s="88" t="n">
        <f aca="false">0</f>
        <v>0</v>
      </c>
      <c r="T12" s="88" t="n">
        <f aca="false">C12-S12</f>
        <v>0.292022396007147</v>
      </c>
      <c r="U12" s="88" t="n">
        <f aca="false">0</f>
        <v>0</v>
      </c>
      <c r="V12" s="89" t="n">
        <f aca="false">'Champion funding'!P12</f>
        <v>0</v>
      </c>
    </row>
    <row r="13" customFormat="false" ht="14.25" hidden="false" customHeight="true" outlineLevel="0" collapsed="false">
      <c r="A13" s="61" t="n">
        <v>1853</v>
      </c>
      <c r="B13" s="62" t="n">
        <v>0.002</v>
      </c>
      <c r="C13" s="56" t="n">
        <f aca="false">Economy!O13*B13</f>
        <v>0.313626771168262</v>
      </c>
      <c r="D13" s="56" t="n">
        <f aca="false">IF(AND($A13&gt;=1914,$A13&lt;=1918),entente_total*entente_private*CHOOSE($A13-1913,0.05,0.1333,0.2333,0.3,0.2834),0)</f>
        <v>0</v>
      </c>
      <c r="E13" s="56" t="n">
        <f aca="false">H12</f>
        <v>0.954370873638124</v>
      </c>
      <c r="F13" s="56" t="n">
        <f aca="false">(E13-0-'War credit'!Q13)*abroad_repat+0+'War credit'!R13</f>
        <v>0.0286311262091437</v>
      </c>
      <c r="G13" s="56" t="n">
        <f aca="false">'War credit'!S13+IF(OR(A13=1931,A13=1932),(E13-0-'War credit'!Q13)*abroad_loss/2,0)</f>
        <v>0</v>
      </c>
      <c r="H13" s="56" t="n">
        <f aca="false">E13+C13+D13-F13-G13</f>
        <v>1.23936651859724</v>
      </c>
      <c r="I13" s="72" t="n">
        <f aca="false">Champions!AY13</f>
        <v>0</v>
      </c>
      <c r="J13" s="56" t="n">
        <f aca="false">H13+I13</f>
        <v>1.23936651859724</v>
      </c>
      <c r="K13" s="56" t="n">
        <f aca="false">(E13-0-'War credit'!Q13)*abroad_return*IF(OR(A13=1931,A13=1932),abroad_slump,1)+0+'War credit'!U13</f>
        <v>0.0572622524182875</v>
      </c>
      <c r="L13" s="72" t="n">
        <f aca="false">Champions!AZ13</f>
        <v>0</v>
      </c>
      <c r="M13" s="56" t="n">
        <f aca="false">K13+L13</f>
        <v>0.0572622524182875</v>
      </c>
      <c r="N13" s="56" t="n">
        <f aca="false">M13*abroad_tax</f>
        <v>0.00572622524182875</v>
      </c>
      <c r="O13" s="72" t="n">
        <f aca="false">Labour!R13</f>
        <v>0</v>
      </c>
      <c r="P13" s="49" t="n">
        <f aca="false">Economy!O13+M13-O13-V13</f>
        <v>156.870647836549</v>
      </c>
      <c r="Q13" s="66" t="n">
        <f aca="false">M13/P13</f>
        <v>0.000365028469047643</v>
      </c>
      <c r="R13" s="66" t="n">
        <f aca="false">J13/Economy!O13</f>
        <v>0.00790344850970849</v>
      </c>
      <c r="S13" s="88" t="n">
        <f aca="false">0</f>
        <v>0</v>
      </c>
      <c r="T13" s="88" t="n">
        <f aca="false">C13-S13</f>
        <v>0.313626771168262</v>
      </c>
      <c r="U13" s="88" t="n">
        <f aca="false">0</f>
        <v>0</v>
      </c>
      <c r="V13" s="89" t="n">
        <f aca="false">'Champion funding'!P13</f>
        <v>0</v>
      </c>
    </row>
    <row r="14" customFormat="false" ht="14.25" hidden="false" customHeight="true" outlineLevel="0" collapsed="false">
      <c r="A14" s="61" t="n">
        <v>1854</v>
      </c>
      <c r="B14" s="62" t="n">
        <v>0.002</v>
      </c>
      <c r="C14" s="56" t="n">
        <f aca="false">Economy!O14*B14</f>
        <v>0.349028769195458</v>
      </c>
      <c r="D14" s="56" t="n">
        <f aca="false">IF(AND($A14&gt;=1914,$A14&lt;=1918),entente_total*entente_private*CHOOSE($A14-1913,0.05,0.1333,0.2333,0.3,0.2834),0)</f>
        <v>0</v>
      </c>
      <c r="E14" s="56" t="n">
        <f aca="false">H13</f>
        <v>1.23936651859724</v>
      </c>
      <c r="F14" s="56" t="n">
        <f aca="false">(E14-0-'War credit'!Q14)*abroad_repat+0+'War credit'!R14</f>
        <v>0.0371809955579173</v>
      </c>
      <c r="G14" s="56" t="n">
        <f aca="false">'War credit'!S14+IF(OR(A14=1931,A14=1932),(E14-0-'War credit'!Q14)*abroad_loss/2,0)</f>
        <v>0</v>
      </c>
      <c r="H14" s="56" t="n">
        <f aca="false">E14+C14+D14-F14-G14</f>
        <v>1.55121429223478</v>
      </c>
      <c r="I14" s="72" t="n">
        <f aca="false">Champions!AY14</f>
        <v>0</v>
      </c>
      <c r="J14" s="56" t="n">
        <f aca="false">H14+I14</f>
        <v>1.55121429223478</v>
      </c>
      <c r="K14" s="56" t="n">
        <f aca="false">(E14-0-'War credit'!Q14)*abroad_return*IF(OR(A14=1931,A14=1932),abroad_slump,1)+0+'War credit'!U14</f>
        <v>0.0743619911158345</v>
      </c>
      <c r="L14" s="72" t="n">
        <f aca="false">Champions!AZ14</f>
        <v>0</v>
      </c>
      <c r="M14" s="56" t="n">
        <f aca="false">K14+L14</f>
        <v>0.0743619911158345</v>
      </c>
      <c r="N14" s="56" t="n">
        <f aca="false">M14*abroad_tax</f>
        <v>0.00743619911158345</v>
      </c>
      <c r="O14" s="72" t="n">
        <f aca="false">Labour!R14</f>
        <v>0</v>
      </c>
      <c r="P14" s="49" t="n">
        <f aca="false">Economy!O14+M14-O14-V14</f>
        <v>174.588746588845</v>
      </c>
      <c r="Q14" s="66" t="n">
        <f aca="false">M14/P14</f>
        <v>0.000425926599329775</v>
      </c>
      <c r="R14" s="66" t="n">
        <f aca="false">J14/Economy!O14</f>
        <v>0.0088887474566092</v>
      </c>
      <c r="S14" s="88" t="n">
        <f aca="false">0</f>
        <v>0</v>
      </c>
      <c r="T14" s="88" t="n">
        <f aca="false">C14-S14</f>
        <v>0.349028769195458</v>
      </c>
      <c r="U14" s="88" t="n">
        <f aca="false">0</f>
        <v>0</v>
      </c>
      <c r="V14" s="89" t="n">
        <f aca="false">'Champion funding'!P14</f>
        <v>0</v>
      </c>
    </row>
    <row r="15" customFormat="false" ht="14.25" hidden="false" customHeight="true" outlineLevel="0" collapsed="false">
      <c r="A15" s="61" t="n">
        <v>1855</v>
      </c>
      <c r="B15" s="62" t="n">
        <v>0.002</v>
      </c>
      <c r="C15" s="56" t="n">
        <f aca="false">Economy!O15*B15</f>
        <v>0.361217859977385</v>
      </c>
      <c r="D15" s="56" t="n">
        <f aca="false">IF(AND($A15&gt;=1914,$A15&lt;=1918),entente_total*entente_private*CHOOSE($A15-1913,0.05,0.1333,0.2333,0.3,0.2834),0)</f>
        <v>0</v>
      </c>
      <c r="E15" s="56" t="n">
        <f aca="false">H14</f>
        <v>1.55121429223478</v>
      </c>
      <c r="F15" s="56" t="n">
        <f aca="false">(E15-0-'War credit'!Q15)*abroad_repat+0+'War credit'!R15</f>
        <v>0.0465364287670435</v>
      </c>
      <c r="G15" s="56" t="n">
        <f aca="false">'War credit'!S15+IF(OR(A15=1931,A15=1932),(E15-0-'War credit'!Q15)*abroad_loss/2,0)</f>
        <v>0</v>
      </c>
      <c r="H15" s="56" t="n">
        <f aca="false">E15+C15+D15-F15-G15</f>
        <v>1.86589572344512</v>
      </c>
      <c r="I15" s="72" t="n">
        <f aca="false">Champions!AY15</f>
        <v>0</v>
      </c>
      <c r="J15" s="56" t="n">
        <f aca="false">H15+I15</f>
        <v>1.86589572344512</v>
      </c>
      <c r="K15" s="56" t="n">
        <f aca="false">(E15-0-'War credit'!Q15)*abroad_return*IF(OR(A15=1931,A15=1932),abroad_slump,1)+0+'War credit'!U15</f>
        <v>0.093072857534087</v>
      </c>
      <c r="L15" s="72" t="n">
        <f aca="false">Champions!AZ15</f>
        <v>0</v>
      </c>
      <c r="M15" s="56" t="n">
        <f aca="false">K15+L15</f>
        <v>0.093072857534087</v>
      </c>
      <c r="N15" s="56" t="n">
        <f aca="false">M15*abroad_tax</f>
        <v>0.0093072857534087</v>
      </c>
      <c r="O15" s="72" t="n">
        <f aca="false">Labour!R15</f>
        <v>0</v>
      </c>
      <c r="P15" s="49" t="n">
        <f aca="false">Economy!O15+M15-O15-V15</f>
        <v>180.702002846227</v>
      </c>
      <c r="Q15" s="66" t="n">
        <f aca="false">M15/P15</f>
        <v>0.000515062678155759</v>
      </c>
      <c r="R15" s="66" t="n">
        <f aca="false">J15/Economy!O15</f>
        <v>0.0103311376882746</v>
      </c>
      <c r="S15" s="88" t="n">
        <f aca="false">0</f>
        <v>0</v>
      </c>
      <c r="T15" s="88" t="n">
        <f aca="false">C15-S15</f>
        <v>0.361217859977385</v>
      </c>
      <c r="U15" s="88" t="n">
        <f aca="false">0</f>
        <v>0</v>
      </c>
      <c r="V15" s="89" t="n">
        <f aca="false">'Champion funding'!P15</f>
        <v>0</v>
      </c>
    </row>
    <row r="16" customFormat="false" ht="14.25" hidden="false" customHeight="true" outlineLevel="0" collapsed="false">
      <c r="A16" s="61" t="n">
        <v>1856</v>
      </c>
      <c r="B16" s="62" t="n">
        <v>0.002</v>
      </c>
      <c r="C16" s="56" t="n">
        <f aca="false">Economy!O16*B16</f>
        <v>0.410736696300456</v>
      </c>
      <c r="D16" s="56" t="n">
        <f aca="false">IF(AND($A16&gt;=1914,$A16&lt;=1918),entente_total*entente_private*CHOOSE($A16-1913,0.05,0.1333,0.2333,0.3,0.2834),0)</f>
        <v>0</v>
      </c>
      <c r="E16" s="56" t="n">
        <f aca="false">H15</f>
        <v>1.86589572344512</v>
      </c>
      <c r="F16" s="56" t="n">
        <f aca="false">(E16-0-'War credit'!Q16)*abroad_repat+0+'War credit'!R16</f>
        <v>0.0559768717033537</v>
      </c>
      <c r="G16" s="56" t="n">
        <f aca="false">'War credit'!S16+IF(OR(A16=1931,A16=1932),(E16-0-'War credit'!Q16)*abroad_loss/2,0)</f>
        <v>0</v>
      </c>
      <c r="H16" s="56" t="n">
        <f aca="false">E16+C16+D16-F16-G16</f>
        <v>2.22065554804223</v>
      </c>
      <c r="I16" s="72" t="n">
        <f aca="false">Champions!AY16</f>
        <v>0</v>
      </c>
      <c r="J16" s="56" t="n">
        <f aca="false">H16+I16</f>
        <v>2.22065554804223</v>
      </c>
      <c r="K16" s="56" t="n">
        <f aca="false">(E16-0-'War credit'!Q16)*abroad_return*IF(OR(A16=1931,A16=1932),abroad_slump,1)+0+'War credit'!U16</f>
        <v>0.111953743406707</v>
      </c>
      <c r="L16" s="72" t="n">
        <f aca="false">Champions!AZ16</f>
        <v>0</v>
      </c>
      <c r="M16" s="56" t="n">
        <f aca="false">K16+L16</f>
        <v>0.111953743406707</v>
      </c>
      <c r="N16" s="56" t="n">
        <f aca="false">M16*abroad_tax</f>
        <v>0.0111953743406708</v>
      </c>
      <c r="O16" s="72" t="n">
        <f aca="false">Labour!R16</f>
        <v>0</v>
      </c>
      <c r="P16" s="49" t="n">
        <f aca="false">Economy!O16+M16-O16-V16</f>
        <v>205.480301893635</v>
      </c>
      <c r="Q16" s="66" t="n">
        <f aca="false">M16/P16</f>
        <v>0.000544839297854738</v>
      </c>
      <c r="R16" s="66" t="n">
        <f aca="false">J16/Economy!O16</f>
        <v>0.0108130370042116</v>
      </c>
      <c r="S16" s="88" t="n">
        <f aca="false">0</f>
        <v>0</v>
      </c>
      <c r="T16" s="88" t="n">
        <f aca="false">C16-S16</f>
        <v>0.410736696300456</v>
      </c>
      <c r="U16" s="88" t="n">
        <f aca="false">0</f>
        <v>0</v>
      </c>
      <c r="V16" s="89" t="n">
        <f aca="false">'Champion funding'!P16</f>
        <v>0</v>
      </c>
    </row>
    <row r="17" customFormat="false" ht="14.25" hidden="false" customHeight="true" outlineLevel="0" collapsed="false">
      <c r="A17" s="61" t="n">
        <v>1857</v>
      </c>
      <c r="B17" s="62" t="n">
        <v>0.002</v>
      </c>
      <c r="C17" s="56" t="n">
        <f aca="false">Economy!O17*B17</f>
        <v>0.434202294241487</v>
      </c>
      <c r="D17" s="56" t="n">
        <f aca="false">IF(AND($A17&gt;=1914,$A17&lt;=1918),entente_total*entente_private*CHOOSE($A17-1913,0.05,0.1333,0.2333,0.3,0.2834),0)</f>
        <v>0</v>
      </c>
      <c r="E17" s="56" t="n">
        <f aca="false">H16</f>
        <v>2.22065554804223</v>
      </c>
      <c r="F17" s="56" t="n">
        <f aca="false">(E17-0-'War credit'!Q17)*abroad_repat+0+'War credit'!R17</f>
        <v>0.0666196664412668</v>
      </c>
      <c r="G17" s="56" t="n">
        <f aca="false">'War credit'!S17+IF(OR(A17=1931,A17=1932),(E17-0-'War credit'!Q17)*abroad_loss/2,0)</f>
        <v>0</v>
      </c>
      <c r="H17" s="56" t="n">
        <f aca="false">E17+C17+D17-F17-G17</f>
        <v>2.58823817584245</v>
      </c>
      <c r="I17" s="72" t="n">
        <f aca="false">Champions!AY17</f>
        <v>0</v>
      </c>
      <c r="J17" s="56" t="n">
        <f aca="false">H17+I17</f>
        <v>2.58823817584245</v>
      </c>
      <c r="K17" s="56" t="n">
        <f aca="false">(E17-0-'War credit'!Q17)*abroad_return*IF(OR(A17=1931,A17=1932),abroad_slump,1)+0+'War credit'!U17</f>
        <v>0.133239332882534</v>
      </c>
      <c r="L17" s="72" t="n">
        <f aca="false">Champions!AZ17</f>
        <v>0</v>
      </c>
      <c r="M17" s="56" t="n">
        <f aca="false">K17+L17</f>
        <v>0.133239332882534</v>
      </c>
      <c r="N17" s="56" t="n">
        <f aca="false">M17*abroad_tax</f>
        <v>0.0133239332882534</v>
      </c>
      <c r="O17" s="72" t="n">
        <f aca="false">Labour!R17</f>
        <v>0</v>
      </c>
      <c r="P17" s="49" t="n">
        <f aca="false">Economy!O17+M17-O17-V17</f>
        <v>217.234386453626</v>
      </c>
      <c r="Q17" s="66" t="n">
        <f aca="false">M17/P17</f>
        <v>0.000613343656396575</v>
      </c>
      <c r="R17" s="66" t="n">
        <f aca="false">J17/Economy!O17</f>
        <v>0.0119218079230275</v>
      </c>
      <c r="S17" s="88" t="n">
        <f aca="false">0</f>
        <v>0</v>
      </c>
      <c r="T17" s="88" t="n">
        <f aca="false">C17-S17</f>
        <v>0.434202294241487</v>
      </c>
      <c r="U17" s="88" t="n">
        <f aca="false">0</f>
        <v>0</v>
      </c>
      <c r="V17" s="89" t="n">
        <f aca="false">'Champion funding'!P17</f>
        <v>0</v>
      </c>
    </row>
    <row r="18" customFormat="false" ht="14.25" hidden="false" customHeight="true" outlineLevel="0" collapsed="false">
      <c r="A18" s="61" t="n">
        <v>1858</v>
      </c>
      <c r="B18" s="62" t="n">
        <v>0.002</v>
      </c>
      <c r="C18" s="56" t="n">
        <f aca="false">Economy!O18*B18</f>
        <v>0.485932222380429</v>
      </c>
      <c r="D18" s="56" t="n">
        <f aca="false">IF(AND($A18&gt;=1914,$A18&lt;=1918),entente_total*entente_private*CHOOSE($A18-1913,0.05,0.1333,0.2333,0.3,0.2834),0)</f>
        <v>0</v>
      </c>
      <c r="E18" s="56" t="n">
        <f aca="false">H17</f>
        <v>2.58823817584245</v>
      </c>
      <c r="F18" s="56" t="n">
        <f aca="false">(E18-0-'War credit'!Q18)*abroad_repat+0+'War credit'!R18</f>
        <v>0.0776471452752734</v>
      </c>
      <c r="G18" s="56" t="n">
        <f aca="false">'War credit'!S18+IF(OR(A18=1931,A18=1932),(E18-0-'War credit'!Q18)*abroad_loss/2,0)</f>
        <v>0</v>
      </c>
      <c r="H18" s="56" t="n">
        <f aca="false">E18+C18+D18-F18-G18</f>
        <v>2.9965232529476</v>
      </c>
      <c r="I18" s="72" t="n">
        <f aca="false">Champions!AY18</f>
        <v>0</v>
      </c>
      <c r="J18" s="56" t="n">
        <f aca="false">H18+I18</f>
        <v>2.9965232529476</v>
      </c>
      <c r="K18" s="56" t="n">
        <f aca="false">(E18-0-'War credit'!Q18)*abroad_return*IF(OR(A18=1931,A18=1932),abroad_slump,1)+0+'War credit'!U18</f>
        <v>0.155294290550547</v>
      </c>
      <c r="L18" s="72" t="n">
        <f aca="false">Champions!AZ18</f>
        <v>0</v>
      </c>
      <c r="M18" s="56" t="n">
        <f aca="false">K18+L18</f>
        <v>0.155294290550547</v>
      </c>
      <c r="N18" s="56" t="n">
        <f aca="false">M18*abroad_tax</f>
        <v>0.0155294290550547</v>
      </c>
      <c r="O18" s="72" t="n">
        <f aca="false">Labour!R18</f>
        <v>0</v>
      </c>
      <c r="P18" s="49" t="n">
        <f aca="false">Economy!O18+M18-O18-V18</f>
        <v>243.121405480765</v>
      </c>
      <c r="Q18" s="66" t="n">
        <f aca="false">M18/P18</f>
        <v>0.000638752026969641</v>
      </c>
      <c r="R18" s="66" t="n">
        <f aca="false">J18/Economy!O18</f>
        <v>0.0123330913857434</v>
      </c>
      <c r="S18" s="88" t="n">
        <f aca="false">0</f>
        <v>0</v>
      </c>
      <c r="T18" s="88" t="n">
        <f aca="false">C18-S18</f>
        <v>0.485932222380429</v>
      </c>
      <c r="U18" s="88" t="n">
        <f aca="false">0</f>
        <v>0</v>
      </c>
      <c r="V18" s="89" t="n">
        <f aca="false">'Champion funding'!P18</f>
        <v>0</v>
      </c>
    </row>
    <row r="19" customFormat="false" ht="14.25" hidden="false" customHeight="true" outlineLevel="0" collapsed="false">
      <c r="A19" s="61" t="n">
        <v>1859</v>
      </c>
      <c r="B19" s="62" t="n">
        <v>0.002</v>
      </c>
      <c r="C19" s="56" t="n">
        <f aca="false">Economy!O19*B19</f>
        <v>0.538764190974562</v>
      </c>
      <c r="D19" s="56" t="n">
        <f aca="false">IF(AND($A19&gt;=1914,$A19&lt;=1918),entente_total*entente_private*CHOOSE($A19-1913,0.05,0.1333,0.2333,0.3,0.2834),0)</f>
        <v>0</v>
      </c>
      <c r="E19" s="56" t="n">
        <f aca="false">H18</f>
        <v>2.9965232529476</v>
      </c>
      <c r="F19" s="56" t="n">
        <f aca="false">(E19-0-'War credit'!Q19)*abroad_repat+0+'War credit'!R19</f>
        <v>0.0898956975884281</v>
      </c>
      <c r="G19" s="56" t="n">
        <f aca="false">'War credit'!S19+IF(OR(A19=1931,A19=1932),(E19-0-'War credit'!Q19)*abroad_loss/2,0)</f>
        <v>0</v>
      </c>
      <c r="H19" s="56" t="n">
        <f aca="false">E19+C19+D19-F19-G19</f>
        <v>3.44539174633374</v>
      </c>
      <c r="I19" s="72" t="n">
        <f aca="false">Champions!AY19</f>
        <v>0</v>
      </c>
      <c r="J19" s="56" t="n">
        <f aca="false">H19+I19</f>
        <v>3.44539174633374</v>
      </c>
      <c r="K19" s="56" t="n">
        <f aca="false">(E19-0-'War credit'!Q19)*abroad_return*IF(OR(A19=1931,A19=1932),abroad_slump,1)+0+'War credit'!U19</f>
        <v>0.179791395176856</v>
      </c>
      <c r="L19" s="72" t="n">
        <f aca="false">Champions!AZ19</f>
        <v>0</v>
      </c>
      <c r="M19" s="56" t="n">
        <f aca="false">K19+L19</f>
        <v>0.179791395176856</v>
      </c>
      <c r="N19" s="56" t="n">
        <f aca="false">M19*abroad_tax</f>
        <v>0.0179791395176856</v>
      </c>
      <c r="O19" s="72" t="n">
        <f aca="false">Labour!R19</f>
        <v>0</v>
      </c>
      <c r="P19" s="49" t="n">
        <f aca="false">Economy!O19+M19-O19-V19</f>
        <v>269.561886882458</v>
      </c>
      <c r="Q19" s="66" t="n">
        <f aca="false">M19/P19</f>
        <v>0.00066697631944999</v>
      </c>
      <c r="R19" s="66" t="n">
        <f aca="false">J19/Economy!O19</f>
        <v>0.0127899804925841</v>
      </c>
      <c r="S19" s="88" t="n">
        <f aca="false">0</f>
        <v>0</v>
      </c>
      <c r="T19" s="88" t="n">
        <f aca="false">C19-S19</f>
        <v>0.538764190974562</v>
      </c>
      <c r="U19" s="88" t="n">
        <f aca="false">0</f>
        <v>0</v>
      </c>
      <c r="V19" s="89" t="n">
        <f aca="false">'Champion funding'!P19</f>
        <v>0</v>
      </c>
    </row>
    <row r="20" customFormat="false" ht="14.25" hidden="false" customHeight="true" outlineLevel="0" collapsed="false">
      <c r="A20" s="61" t="n">
        <v>1860</v>
      </c>
      <c r="B20" s="62" t="n">
        <v>0.002</v>
      </c>
      <c r="C20" s="56" t="n">
        <f aca="false">Economy!O20*B20</f>
        <v>0.587416498750638</v>
      </c>
      <c r="D20" s="56" t="n">
        <f aca="false">IF(AND($A20&gt;=1914,$A20&lt;=1918),entente_total*entente_private*CHOOSE($A20-1913,0.05,0.1333,0.2333,0.3,0.2834),0)</f>
        <v>0</v>
      </c>
      <c r="E20" s="56" t="n">
        <f aca="false">H19</f>
        <v>3.44539174633374</v>
      </c>
      <c r="F20" s="56" t="n">
        <f aca="false">(E20-0-'War credit'!Q20)*abroad_repat+0+'War credit'!R20</f>
        <v>0.103361752390012</v>
      </c>
      <c r="G20" s="56" t="n">
        <f aca="false">'War credit'!S20+IF(OR(A20=1931,A20=1932),(E20-0-'War credit'!Q20)*abroad_loss/2,0)</f>
        <v>0</v>
      </c>
      <c r="H20" s="56" t="n">
        <f aca="false">E20+C20+D20-F20-G20</f>
        <v>3.92944649269436</v>
      </c>
      <c r="I20" s="72" t="n">
        <f aca="false">Champions!AY20</f>
        <v>0</v>
      </c>
      <c r="J20" s="56" t="n">
        <f aca="false">H20+I20</f>
        <v>3.92944649269436</v>
      </c>
      <c r="K20" s="56" t="n">
        <f aca="false">(E20-0-'War credit'!Q20)*abroad_return*IF(OR(A20=1931,A20=1932),abroad_slump,1)+0+'War credit'!U20</f>
        <v>0.206723504780024</v>
      </c>
      <c r="L20" s="72" t="n">
        <f aca="false">Champions!AZ20</f>
        <v>0</v>
      </c>
      <c r="M20" s="56" t="n">
        <f aca="false">K20+L20</f>
        <v>0.206723504780024</v>
      </c>
      <c r="N20" s="56" t="n">
        <f aca="false">M20*abroad_tax</f>
        <v>0.0206723504780024</v>
      </c>
      <c r="O20" s="72" t="n">
        <f aca="false">Labour!R20</f>
        <v>0</v>
      </c>
      <c r="P20" s="49" t="n">
        <f aca="false">Economy!O20+M20-O20-V20</f>
        <v>293.914972880099</v>
      </c>
      <c r="Q20" s="66" t="n">
        <f aca="false">M20/P20</f>
        <v>0.000703344585525269</v>
      </c>
      <c r="R20" s="66" t="n">
        <f aca="false">J20/Economy!O20</f>
        <v>0.0133787406416122</v>
      </c>
      <c r="S20" s="88" t="n">
        <f aca="false">0</f>
        <v>0</v>
      </c>
      <c r="T20" s="88" t="n">
        <f aca="false">C20-S20</f>
        <v>0.587416498750638</v>
      </c>
      <c r="U20" s="88" t="n">
        <f aca="false">0</f>
        <v>0</v>
      </c>
      <c r="V20" s="89" t="n">
        <f aca="false">'Champion funding'!P20</f>
        <v>0</v>
      </c>
    </row>
    <row r="21" customFormat="false" ht="14.25" hidden="false" customHeight="true" outlineLevel="0" collapsed="false">
      <c r="A21" s="64" t="n">
        <v>1861</v>
      </c>
      <c r="B21" s="62" t="n">
        <v>0.002</v>
      </c>
      <c r="C21" s="56" t="n">
        <f aca="false">Economy!O21*B21</f>
        <v>0.620977817089097</v>
      </c>
      <c r="D21" s="56" t="n">
        <f aca="false">IF(AND($A21&gt;=1914,$A21&lt;=1918),entente_total*entente_private*CHOOSE($A21-1913,0.05,0.1333,0.2333,0.3,0.2834),0)</f>
        <v>0</v>
      </c>
      <c r="E21" s="56" t="n">
        <f aca="false">H20</f>
        <v>3.92944649269436</v>
      </c>
      <c r="F21" s="56" t="n">
        <f aca="false">(E21-0-'War credit'!Q21)*abroad_repat+0+'War credit'!R21</f>
        <v>0.117883394780831</v>
      </c>
      <c r="G21" s="56" t="n">
        <f aca="false">'War credit'!S21+IF(OR(A21=1931,A21=1932),(E21-0-'War credit'!Q21)*abroad_loss/2,0)</f>
        <v>0</v>
      </c>
      <c r="H21" s="56" t="n">
        <f aca="false">E21+C21+D21-F21-G21</f>
        <v>4.43254091500263</v>
      </c>
      <c r="I21" s="72" t="n">
        <f aca="false">Champions!AY21</f>
        <v>0</v>
      </c>
      <c r="J21" s="56" t="n">
        <f aca="false">H21+I21</f>
        <v>4.43254091500263</v>
      </c>
      <c r="K21" s="56" t="n">
        <f aca="false">(E21-0-'War credit'!Q21)*abroad_return*IF(OR(A21=1931,A21=1932),abroad_slump,1)+0+'War credit'!U21</f>
        <v>0.235766789561662</v>
      </c>
      <c r="L21" s="72" t="n">
        <f aca="false">Champions!AZ21</f>
        <v>0</v>
      </c>
      <c r="M21" s="56" t="n">
        <f aca="false">K21+L21</f>
        <v>0.235766789561662</v>
      </c>
      <c r="N21" s="56" t="n">
        <f aca="false">M21*abroad_tax</f>
        <v>0.0235766789561662</v>
      </c>
      <c r="O21" s="72" t="n">
        <f aca="false">Labour!R21</f>
        <v>0</v>
      </c>
      <c r="P21" s="49" t="n">
        <f aca="false">Economy!O21+M21-O21-V21</f>
        <v>310.72467533411</v>
      </c>
      <c r="Q21" s="66" t="n">
        <f aca="false">M21/P21</f>
        <v>0.000758764296102815</v>
      </c>
      <c r="R21" s="66" t="n">
        <f aca="false">J21/Economy!O21</f>
        <v>0.014276004047232</v>
      </c>
      <c r="S21" s="88" t="n">
        <f aca="false">0</f>
        <v>0</v>
      </c>
      <c r="T21" s="88" t="n">
        <f aca="false">C21-S21</f>
        <v>0.620977817089097</v>
      </c>
      <c r="U21" s="88" t="n">
        <f aca="false">0</f>
        <v>0</v>
      </c>
      <c r="V21" s="89" t="n">
        <f aca="false">'Champion funding'!P21</f>
        <v>0</v>
      </c>
    </row>
    <row r="22" customFormat="false" ht="14.25" hidden="false" customHeight="true" outlineLevel="0" collapsed="false">
      <c r="A22" s="64" t="n">
        <v>1862</v>
      </c>
      <c r="B22" s="62" t="n">
        <v>0.002</v>
      </c>
      <c r="C22" s="56" t="n">
        <f aca="false">Economy!O22*B22</f>
        <v>0.695018807642527</v>
      </c>
      <c r="D22" s="56" t="n">
        <f aca="false">IF(AND($A22&gt;=1914,$A22&lt;=1918),entente_total*entente_private*CHOOSE($A22-1913,0.05,0.1333,0.2333,0.3,0.2834),0)</f>
        <v>0</v>
      </c>
      <c r="E22" s="56" t="n">
        <f aca="false">H21</f>
        <v>4.43254091500263</v>
      </c>
      <c r="F22" s="56" t="n">
        <f aca="false">(E22-0-'War credit'!Q22)*abroad_repat+0+'War credit'!R22</f>
        <v>0.132976227450079</v>
      </c>
      <c r="G22" s="56" t="n">
        <f aca="false">'War credit'!S22+IF(OR(A22=1931,A22=1932),(E22-0-'War credit'!Q22)*abroad_loss/2,0)</f>
        <v>0</v>
      </c>
      <c r="H22" s="56" t="n">
        <f aca="false">E22+C22+D22-F22-G22</f>
        <v>4.99458349519508</v>
      </c>
      <c r="I22" s="72" t="n">
        <f aca="false">Champions!AY22</f>
        <v>0</v>
      </c>
      <c r="J22" s="56" t="n">
        <f aca="false">H22+I22</f>
        <v>4.99458349519508</v>
      </c>
      <c r="K22" s="56" t="n">
        <f aca="false">(E22-0-'War credit'!Q22)*abroad_return*IF(OR(A22=1931,A22=1932),abroad_slump,1)+0+'War credit'!U22</f>
        <v>0.265952454900158</v>
      </c>
      <c r="L22" s="72" t="n">
        <f aca="false">Champions!AZ22</f>
        <v>0</v>
      </c>
      <c r="M22" s="56" t="n">
        <f aca="false">K22+L22</f>
        <v>0.265952454900158</v>
      </c>
      <c r="N22" s="56" t="n">
        <f aca="false">M22*abroad_tax</f>
        <v>0.0265952454900158</v>
      </c>
      <c r="O22" s="72" t="n">
        <f aca="false">Labour!R22</f>
        <v>0</v>
      </c>
      <c r="P22" s="49" t="n">
        <f aca="false">Economy!O22+M22-O22-V22</f>
        <v>347.775356276164</v>
      </c>
      <c r="Q22" s="66" t="n">
        <f aca="false">M22/P22</f>
        <v>0.000764724843496296</v>
      </c>
      <c r="R22" s="66" t="n">
        <f aca="false">J22/Economy!O22</f>
        <v>0.0143725132047476</v>
      </c>
      <c r="S22" s="88" t="n">
        <f aca="false">0</f>
        <v>0</v>
      </c>
      <c r="T22" s="88" t="n">
        <f aca="false">C22-S22</f>
        <v>0.695018807642527</v>
      </c>
      <c r="U22" s="88" t="n">
        <f aca="false">0</f>
        <v>0</v>
      </c>
      <c r="V22" s="89" t="n">
        <f aca="false">'Champion funding'!P22</f>
        <v>0</v>
      </c>
    </row>
    <row r="23" customFormat="false" ht="14.25" hidden="false" customHeight="true" outlineLevel="0" collapsed="false">
      <c r="A23" s="64" t="n">
        <v>1863</v>
      </c>
      <c r="B23" s="62" t="n">
        <v>0.002</v>
      </c>
      <c r="C23" s="56" t="n">
        <f aca="false">Economy!O23*B23</f>
        <v>0.82835537269393</v>
      </c>
      <c r="D23" s="56" t="n">
        <f aca="false">IF(AND($A23&gt;=1914,$A23&lt;=1918),entente_total*entente_private*CHOOSE($A23-1913,0.05,0.1333,0.2333,0.3,0.2834),0)</f>
        <v>0</v>
      </c>
      <c r="E23" s="56" t="n">
        <f aca="false">H22</f>
        <v>4.99458349519508</v>
      </c>
      <c r="F23" s="56" t="n">
        <f aca="false">(E23-0-'War credit'!Q23)*abroad_repat+0+'War credit'!R23</f>
        <v>0.149837504855852</v>
      </c>
      <c r="G23" s="56" t="n">
        <f aca="false">'War credit'!S23+IF(OR(A23=1931,A23=1932),(E23-0-'War credit'!Q23)*abroad_loss/2,0)</f>
        <v>0</v>
      </c>
      <c r="H23" s="56" t="n">
        <f aca="false">E23+C23+D23-F23-G23</f>
        <v>5.67310136303316</v>
      </c>
      <c r="I23" s="72" t="n">
        <f aca="false">Champions!AY23</f>
        <v>0</v>
      </c>
      <c r="J23" s="56" t="n">
        <f aca="false">H23+I23</f>
        <v>5.67310136303316</v>
      </c>
      <c r="K23" s="56" t="n">
        <f aca="false">(E23-0-'War credit'!Q23)*abroad_return*IF(OR(A23=1931,A23=1932),abroad_slump,1)+0+'War credit'!U23</f>
        <v>0.299675009711705</v>
      </c>
      <c r="L23" s="72" t="n">
        <f aca="false">Champions!AZ23</f>
        <v>0</v>
      </c>
      <c r="M23" s="56" t="n">
        <f aca="false">K23+L23</f>
        <v>0.299675009711705</v>
      </c>
      <c r="N23" s="56" t="n">
        <f aca="false">M23*abroad_tax</f>
        <v>0.0299675009711705</v>
      </c>
      <c r="O23" s="72" t="n">
        <f aca="false">Labour!R23</f>
        <v>0</v>
      </c>
      <c r="P23" s="49" t="n">
        <f aca="false">Economy!O23+M23-O23-V23</f>
        <v>414.477361356677</v>
      </c>
      <c r="Q23" s="66" t="n">
        <f aca="false">M23/P23</f>
        <v>0.000723019005744491</v>
      </c>
      <c r="R23" s="66" t="n">
        <f aca="false">J23/Economy!O23</f>
        <v>0.01369726460416</v>
      </c>
      <c r="S23" s="88" t="n">
        <f aca="false">0</f>
        <v>0</v>
      </c>
      <c r="T23" s="88" t="n">
        <f aca="false">C23-S23</f>
        <v>0.82835537269393</v>
      </c>
      <c r="U23" s="88" t="n">
        <f aca="false">0</f>
        <v>0</v>
      </c>
      <c r="V23" s="89" t="n">
        <f aca="false">'Champion funding'!P23</f>
        <v>0</v>
      </c>
    </row>
    <row r="24" customFormat="false" ht="14.25" hidden="false" customHeight="true" outlineLevel="0" collapsed="false">
      <c r="A24" s="64" t="n">
        <v>1864</v>
      </c>
      <c r="B24" s="62" t="n">
        <v>0.002</v>
      </c>
      <c r="C24" s="56" t="n">
        <f aca="false">Economy!O24*B24</f>
        <v>0.972545618777634</v>
      </c>
      <c r="D24" s="56" t="n">
        <f aca="false">IF(AND($A24&gt;=1914,$A24&lt;=1918),entente_total*entente_private*CHOOSE($A24-1913,0.05,0.1333,0.2333,0.3,0.2834),0)</f>
        <v>0</v>
      </c>
      <c r="E24" s="56" t="n">
        <f aca="false">H23</f>
        <v>5.67310136303316</v>
      </c>
      <c r="F24" s="56" t="n">
        <f aca="false">(E24-0-'War credit'!Q24)*abroad_repat+0+'War credit'!R24</f>
        <v>0.170193040890995</v>
      </c>
      <c r="G24" s="56" t="n">
        <f aca="false">'War credit'!S24+IF(OR(A24=1931,A24=1932),(E24-0-'War credit'!Q24)*abroad_loss/2,0)</f>
        <v>0</v>
      </c>
      <c r="H24" s="56" t="n">
        <f aca="false">E24+C24+D24-F24-G24</f>
        <v>6.4754539409198</v>
      </c>
      <c r="I24" s="72" t="n">
        <f aca="false">Champions!AY24</f>
        <v>0</v>
      </c>
      <c r="J24" s="56" t="n">
        <f aca="false">H24+I24</f>
        <v>6.4754539409198</v>
      </c>
      <c r="K24" s="56" t="n">
        <f aca="false">(E24-0-'War credit'!Q24)*abroad_return*IF(OR(A24=1931,A24=1932),abroad_slump,1)+0+'War credit'!U24</f>
        <v>0.340386081781989</v>
      </c>
      <c r="L24" s="72" t="n">
        <f aca="false">Champions!AZ24</f>
        <v>0</v>
      </c>
      <c r="M24" s="56" t="n">
        <f aca="false">K24+L24</f>
        <v>0.340386081781989</v>
      </c>
      <c r="N24" s="56" t="n">
        <f aca="false">M24*abroad_tax</f>
        <v>0.0340386081781989</v>
      </c>
      <c r="O24" s="72" t="n">
        <f aca="false">Labour!R24</f>
        <v>0</v>
      </c>
      <c r="P24" s="49" t="n">
        <f aca="false">Economy!O24+M24-O24-V24</f>
        <v>486.613195470599</v>
      </c>
      <c r="Q24" s="66" t="n">
        <f aca="false">M24/P24</f>
        <v>0.000699500311438956</v>
      </c>
      <c r="R24" s="66" t="n">
        <f aca="false">J24/Economy!O24</f>
        <v>0.0133165042665219</v>
      </c>
      <c r="S24" s="88" t="n">
        <f aca="false">0</f>
        <v>0</v>
      </c>
      <c r="T24" s="88" t="n">
        <f aca="false">C24-S24</f>
        <v>0.972545618777634</v>
      </c>
      <c r="U24" s="88" t="n">
        <f aca="false">0</f>
        <v>0</v>
      </c>
      <c r="V24" s="89" t="n">
        <f aca="false">'Champion funding'!P24</f>
        <v>0</v>
      </c>
    </row>
    <row r="25" customFormat="false" ht="14.25" hidden="false" customHeight="true" outlineLevel="0" collapsed="false">
      <c r="A25" s="64" t="n">
        <v>1865</v>
      </c>
      <c r="B25" s="62" t="n">
        <v>0.002</v>
      </c>
      <c r="C25" s="56" t="n">
        <f aca="false">Economy!O25*B25</f>
        <v>1.06144558119699</v>
      </c>
      <c r="D25" s="56" t="n">
        <f aca="false">IF(AND($A25&gt;=1914,$A25&lt;=1918),entente_total*entente_private*CHOOSE($A25-1913,0.05,0.1333,0.2333,0.3,0.2834),0)</f>
        <v>0</v>
      </c>
      <c r="E25" s="56" t="n">
        <f aca="false">H24</f>
        <v>6.4754539409198</v>
      </c>
      <c r="F25" s="56" t="n">
        <f aca="false">(E25-0-'War credit'!Q25)*abroad_repat+0+'War credit'!R25</f>
        <v>0.194263618227594</v>
      </c>
      <c r="G25" s="56" t="n">
        <f aca="false">'War credit'!S25+IF(OR(A25=1931,A25=1932),(E25-0-'War credit'!Q25)*abroad_loss/2,0)</f>
        <v>0</v>
      </c>
      <c r="H25" s="56" t="n">
        <f aca="false">E25+C25+D25-F25-G25</f>
        <v>7.34263590388919</v>
      </c>
      <c r="I25" s="72" t="n">
        <f aca="false">Champions!AY25</f>
        <v>0</v>
      </c>
      <c r="J25" s="56" t="n">
        <f aca="false">H25+I25</f>
        <v>7.34263590388919</v>
      </c>
      <c r="K25" s="56" t="n">
        <f aca="false">(E25-0-'War credit'!Q25)*abroad_return*IF(OR(A25=1931,A25=1932),abroad_slump,1)+0+'War credit'!U25</f>
        <v>0.388527236455188</v>
      </c>
      <c r="L25" s="72" t="n">
        <f aca="false">Champions!AZ25</f>
        <v>0</v>
      </c>
      <c r="M25" s="56" t="n">
        <f aca="false">K25+L25</f>
        <v>0.388527236455188</v>
      </c>
      <c r="N25" s="56" t="n">
        <f aca="false">M25*abroad_tax</f>
        <v>0.0388527236455188</v>
      </c>
      <c r="O25" s="72" t="n">
        <f aca="false">Labour!R25</f>
        <v>0</v>
      </c>
      <c r="P25" s="49" t="n">
        <f aca="false">Economy!O25+M25-O25-V25</f>
        <v>531.111317834951</v>
      </c>
      <c r="Q25" s="66" t="n">
        <f aca="false">M25/P25</f>
        <v>0.000731536352941978</v>
      </c>
      <c r="R25" s="66" t="n">
        <f aca="false">J25/Economy!O25</f>
        <v>0.0138351622239718</v>
      </c>
      <c r="S25" s="88" t="n">
        <f aca="false">0</f>
        <v>0</v>
      </c>
      <c r="T25" s="88" t="n">
        <f aca="false">C25-S25</f>
        <v>1.06144558119699</v>
      </c>
      <c r="U25" s="88" t="n">
        <f aca="false">0</f>
        <v>0</v>
      </c>
      <c r="V25" s="89" t="n">
        <f aca="false">'Champion funding'!P25</f>
        <v>0</v>
      </c>
    </row>
    <row r="26" customFormat="false" ht="14.25" hidden="false" customHeight="true" outlineLevel="0" collapsed="false">
      <c r="A26" s="61" t="n">
        <v>1866</v>
      </c>
      <c r="B26" s="62" t="n">
        <v>0.002</v>
      </c>
      <c r="C26" s="56" t="n">
        <f aca="false">Economy!O26*B26</f>
        <v>1.13678470506989</v>
      </c>
      <c r="D26" s="56" t="n">
        <f aca="false">IF(AND($A26&gt;=1914,$A26&lt;=1918),entente_total*entente_private*CHOOSE($A26-1913,0.05,0.1333,0.2333,0.3,0.2834),0)</f>
        <v>0</v>
      </c>
      <c r="E26" s="56" t="n">
        <f aca="false">H25</f>
        <v>7.34263590388919</v>
      </c>
      <c r="F26" s="56" t="n">
        <f aca="false">(E26-0-'War credit'!Q26)*abroad_repat+0+'War credit'!R26</f>
        <v>0.220279077116676</v>
      </c>
      <c r="G26" s="56" t="n">
        <f aca="false">'War credit'!S26+IF(OR(A26=1931,A26=1932),(E26-0-'War credit'!Q26)*abroad_loss/2,0)</f>
        <v>0</v>
      </c>
      <c r="H26" s="56" t="n">
        <f aca="false">E26+C26+D26-F26-G26</f>
        <v>8.25914153184241</v>
      </c>
      <c r="I26" s="72" t="n">
        <f aca="false">Champions!AY26</f>
        <v>0</v>
      </c>
      <c r="J26" s="56" t="n">
        <f aca="false">H26+I26</f>
        <v>8.25914153184241</v>
      </c>
      <c r="K26" s="56" t="n">
        <f aca="false">(E26-0-'War credit'!Q26)*abroad_return*IF(OR(A26=1931,A26=1932),abroad_slump,1)+0+'War credit'!U26</f>
        <v>0.440558154233352</v>
      </c>
      <c r="L26" s="72" t="n">
        <f aca="false">Champions!AZ26</f>
        <v>0</v>
      </c>
      <c r="M26" s="56" t="n">
        <f aca="false">K26+L26</f>
        <v>0.440558154233352</v>
      </c>
      <c r="N26" s="56" t="n">
        <f aca="false">M26*abroad_tax</f>
        <v>0.0440558154233352</v>
      </c>
      <c r="O26" s="72" t="n">
        <f aca="false">Labour!R26</f>
        <v>0</v>
      </c>
      <c r="P26" s="49" t="n">
        <f aca="false">Economy!O26+M26-O26-V26</f>
        <v>568.832910689179</v>
      </c>
      <c r="Q26" s="66" t="n">
        <f aca="false">M26/P26</f>
        <v>0.00077449484014486</v>
      </c>
      <c r="R26" s="66" t="n">
        <f aca="false">J26/Economy!O26</f>
        <v>0.0145307048819497</v>
      </c>
      <c r="S26" s="88" t="n">
        <f aca="false">0</f>
        <v>0</v>
      </c>
      <c r="T26" s="88" t="n">
        <f aca="false">C26-S26</f>
        <v>1.13678470506989</v>
      </c>
      <c r="U26" s="88" t="n">
        <f aca="false">0</f>
        <v>0</v>
      </c>
      <c r="V26" s="89" t="n">
        <f aca="false">'Champion funding'!P26</f>
        <v>0</v>
      </c>
    </row>
    <row r="27" customFormat="false" ht="14.25" hidden="false" customHeight="true" outlineLevel="0" collapsed="false">
      <c r="A27" s="61" t="n">
        <v>1867</v>
      </c>
      <c r="B27" s="62" t="n">
        <v>0.002</v>
      </c>
      <c r="C27" s="56" t="n">
        <f aca="false">Economy!O27*B27</f>
        <v>1.23281426124482</v>
      </c>
      <c r="D27" s="56" t="n">
        <f aca="false">IF(AND($A27&gt;=1914,$A27&lt;=1918),entente_total*entente_private*CHOOSE($A27-1913,0.05,0.1333,0.2333,0.3,0.2834),0)</f>
        <v>0</v>
      </c>
      <c r="E27" s="56" t="n">
        <f aca="false">H26</f>
        <v>8.25914153184241</v>
      </c>
      <c r="F27" s="56" t="n">
        <f aca="false">(E27-0-'War credit'!Q27)*abroad_repat+0+'War credit'!R27</f>
        <v>0.247774245955272</v>
      </c>
      <c r="G27" s="56" t="n">
        <f aca="false">'War credit'!S27+IF(OR(A27=1931,A27=1932),(E27-0-'War credit'!Q27)*abroad_loss/2,0)</f>
        <v>0</v>
      </c>
      <c r="H27" s="56" t="n">
        <f aca="false">E27+C27+D27-F27-G27</f>
        <v>9.24418154713196</v>
      </c>
      <c r="I27" s="72" t="n">
        <f aca="false">Champions!AY27</f>
        <v>0</v>
      </c>
      <c r="J27" s="56" t="n">
        <f aca="false">H27+I27</f>
        <v>9.24418154713196</v>
      </c>
      <c r="K27" s="56" t="n">
        <f aca="false">(E27-0-'War credit'!Q27)*abroad_return*IF(OR(A27=1931,A27=1932),abroad_slump,1)+0+'War credit'!U27</f>
        <v>0.495548491910545</v>
      </c>
      <c r="L27" s="72" t="n">
        <f aca="false">Champions!AZ27</f>
        <v>0.0193500513323894</v>
      </c>
      <c r="M27" s="56" t="n">
        <f aca="false">K27+L27</f>
        <v>0.514898543242934</v>
      </c>
      <c r="N27" s="56" t="n">
        <f aca="false">M27*abroad_tax</f>
        <v>0.0514898543242934</v>
      </c>
      <c r="O27" s="72" t="n">
        <f aca="false">Labour!R27</f>
        <v>0</v>
      </c>
      <c r="P27" s="49" t="n">
        <f aca="false">Economy!O27+M27-O27-V27</f>
        <v>616.922029165653</v>
      </c>
      <c r="Q27" s="66" t="n">
        <f aca="false">M27/P27</f>
        <v>0.000834624991328809</v>
      </c>
      <c r="R27" s="66" t="n">
        <f aca="false">J27/Economy!O27</f>
        <v>0.01499687639531</v>
      </c>
      <c r="S27" s="88" t="n">
        <f aca="false">0</f>
        <v>0</v>
      </c>
      <c r="T27" s="88" t="n">
        <f aca="false">C27-S27</f>
        <v>1.23281426124482</v>
      </c>
      <c r="U27" s="88" t="n">
        <f aca="false">0</f>
        <v>0</v>
      </c>
      <c r="V27" s="89" t="n">
        <f aca="false">'Champion funding'!P27</f>
        <v>0</v>
      </c>
    </row>
    <row r="28" customFormat="false" ht="14.25" hidden="false" customHeight="true" outlineLevel="0" collapsed="false">
      <c r="A28" s="61" t="n">
        <v>1868</v>
      </c>
      <c r="B28" s="62" t="n">
        <v>0.002</v>
      </c>
      <c r="C28" s="56" t="n">
        <f aca="false">Economy!O28*B28</f>
        <v>1.33357255531088</v>
      </c>
      <c r="D28" s="56" t="n">
        <f aca="false">IF(AND($A28&gt;=1914,$A28&lt;=1918),entente_total*entente_private*CHOOSE($A28-1913,0.05,0.1333,0.2333,0.3,0.2834),0)</f>
        <v>0</v>
      </c>
      <c r="E28" s="56" t="n">
        <f aca="false">H27</f>
        <v>9.24418154713196</v>
      </c>
      <c r="F28" s="56" t="n">
        <f aca="false">(E28-0-'War credit'!Q28)*abroad_repat+0+'War credit'!R28</f>
        <v>0.277325446413959</v>
      </c>
      <c r="G28" s="56" t="n">
        <f aca="false">'War credit'!S28+IF(OR(A28=1931,A28=1932),(E28-0-'War credit'!Q28)*abroad_loss/2,0)</f>
        <v>0</v>
      </c>
      <c r="H28" s="56" t="n">
        <f aca="false">E28+C28+D28-F28-G28</f>
        <v>10.3004286560289</v>
      </c>
      <c r="I28" s="72" t="n">
        <f aca="false">Champions!AY28</f>
        <v>0</v>
      </c>
      <c r="J28" s="56" t="n">
        <f aca="false">H28+I28</f>
        <v>10.3004286560289</v>
      </c>
      <c r="K28" s="56" t="n">
        <f aca="false">(E28-0-'War credit'!Q28)*abroad_return*IF(OR(A28=1931,A28=1932),abroad_slump,1)+0+'War credit'!U28</f>
        <v>0.554650892827917</v>
      </c>
      <c r="L28" s="72" t="n">
        <f aca="false">Champions!AZ28</f>
        <v>0.0209364156783288</v>
      </c>
      <c r="M28" s="56" t="n">
        <f aca="false">K28+L28</f>
        <v>0.575587308506246</v>
      </c>
      <c r="N28" s="56" t="n">
        <f aca="false">M28*abroad_tax</f>
        <v>0.0575587308506246</v>
      </c>
      <c r="O28" s="72" t="n">
        <f aca="false">Labour!R28</f>
        <v>0</v>
      </c>
      <c r="P28" s="49" t="n">
        <f aca="false">Economy!O28+M28-O28-V28</f>
        <v>667.361864963945</v>
      </c>
      <c r="Q28" s="66" t="n">
        <f aca="false">M28/P28</f>
        <v>0.000862481569181875</v>
      </c>
      <c r="R28" s="66" t="n">
        <f aca="false">J28/Economy!O28</f>
        <v>0.0154478713812878</v>
      </c>
      <c r="S28" s="88" t="n">
        <f aca="false">0</f>
        <v>0</v>
      </c>
      <c r="T28" s="88" t="n">
        <f aca="false">C28-S28</f>
        <v>1.33357255531088</v>
      </c>
      <c r="U28" s="88" t="n">
        <f aca="false">0</f>
        <v>0</v>
      </c>
      <c r="V28" s="89" t="n">
        <f aca="false">'Champion funding'!P28</f>
        <v>0</v>
      </c>
    </row>
    <row r="29" customFormat="false" ht="14.25" hidden="false" customHeight="true" outlineLevel="0" collapsed="false">
      <c r="A29" s="61" t="n">
        <v>1869</v>
      </c>
      <c r="B29" s="62" t="n">
        <v>0.002</v>
      </c>
      <c r="C29" s="56" t="n">
        <f aca="false">Economy!O29*B29</f>
        <v>1.43593310893731</v>
      </c>
      <c r="D29" s="56" t="n">
        <f aca="false">IF(AND($A29&gt;=1914,$A29&lt;=1918),entente_total*entente_private*CHOOSE($A29-1913,0.05,0.1333,0.2333,0.3,0.2834),0)</f>
        <v>0</v>
      </c>
      <c r="E29" s="56" t="n">
        <f aca="false">H28</f>
        <v>10.3004286560289</v>
      </c>
      <c r="F29" s="56" t="n">
        <f aca="false">(E29-0-'War credit'!Q29)*abroad_repat+0+'War credit'!R29</f>
        <v>0.309012859680866</v>
      </c>
      <c r="G29" s="56" t="n">
        <f aca="false">'War credit'!S29+IF(OR(A29=1931,A29=1932),(E29-0-'War credit'!Q29)*abroad_loss/2,0)</f>
        <v>0</v>
      </c>
      <c r="H29" s="56" t="n">
        <f aca="false">E29+C29+D29-F29-G29</f>
        <v>11.4273489052853</v>
      </c>
      <c r="I29" s="72" t="n">
        <f aca="false">Champions!AY29</f>
        <v>0</v>
      </c>
      <c r="J29" s="56" t="n">
        <f aca="false">H29+I29</f>
        <v>11.4273489052853</v>
      </c>
      <c r="K29" s="56" t="n">
        <f aca="false">(E29-0-'War credit'!Q29)*abroad_return*IF(OR(A29=1931,A29=1932),abroad_slump,1)+0+'War credit'!U29</f>
        <v>0.618025719361733</v>
      </c>
      <c r="L29" s="72" t="n">
        <f aca="false">Champions!AZ29</f>
        <v>0.0337909424001769</v>
      </c>
      <c r="M29" s="56" t="n">
        <f aca="false">K29+L29</f>
        <v>0.651816661761909</v>
      </c>
      <c r="N29" s="56" t="n">
        <f aca="false">M29*abroad_tax</f>
        <v>0.065181666176191</v>
      </c>
      <c r="O29" s="72" t="n">
        <f aca="false">Labour!R29</f>
        <v>0</v>
      </c>
      <c r="P29" s="49" t="n">
        <f aca="false">Economy!O29+M29-O29-V29</f>
        <v>718.618371130415</v>
      </c>
      <c r="Q29" s="66" t="n">
        <f aca="false">M29/P29</f>
        <v>0.000907041467276402</v>
      </c>
      <c r="R29" s="66" t="n">
        <f aca="false">J29/Economy!O29</f>
        <v>0.015916269127247</v>
      </c>
      <c r="S29" s="88" t="n">
        <f aca="false">0</f>
        <v>0</v>
      </c>
      <c r="T29" s="88" t="n">
        <f aca="false">C29-S29</f>
        <v>1.43593310893731</v>
      </c>
      <c r="U29" s="88" t="n">
        <f aca="false">0</f>
        <v>0</v>
      </c>
      <c r="V29" s="89" t="n">
        <f aca="false">'Champion funding'!P29</f>
        <v>0</v>
      </c>
    </row>
    <row r="30" customFormat="false" ht="14.25" hidden="false" customHeight="true" outlineLevel="0" collapsed="false">
      <c r="A30" s="64" t="n">
        <v>1870</v>
      </c>
      <c r="B30" s="62" t="n">
        <v>0.006</v>
      </c>
      <c r="C30" s="56" t="n">
        <f aca="false">Economy!O30*B30</f>
        <v>4.65710026784809</v>
      </c>
      <c r="D30" s="56" t="n">
        <f aca="false">IF(AND($A30&gt;=1914,$A30&lt;=1918),entente_total*entente_private*CHOOSE($A30-1913,0.05,0.1333,0.2333,0.3,0.2834),0)</f>
        <v>0</v>
      </c>
      <c r="E30" s="56" t="n">
        <f aca="false">H29</f>
        <v>11.4273489052853</v>
      </c>
      <c r="F30" s="56" t="n">
        <f aca="false">(E30-0-'War credit'!Q30)*abroad_repat+0+'War credit'!R30</f>
        <v>0.342820467158559</v>
      </c>
      <c r="G30" s="56" t="n">
        <f aca="false">'War credit'!S30+IF(OR(A30=1931,A30=1932),(E30-0-'War credit'!Q30)*abroad_loss/2,0)</f>
        <v>0</v>
      </c>
      <c r="H30" s="56" t="n">
        <f aca="false">E30+C30+D30-F30-G30</f>
        <v>15.7416287059748</v>
      </c>
      <c r="I30" s="72" t="n">
        <f aca="false">Champions!AY30</f>
        <v>7.62741913001372</v>
      </c>
      <c r="J30" s="56" t="n">
        <f aca="false">H30+I30</f>
        <v>23.3690478359886</v>
      </c>
      <c r="K30" s="56" t="n">
        <f aca="false">(E30-0-'War credit'!Q30)*abroad_return*IF(OR(A30=1931,A30=1932),abroad_slump,1)+0+'War credit'!U30</f>
        <v>0.685640934317119</v>
      </c>
      <c r="L30" s="72" t="n">
        <f aca="false">Champions!AZ30</f>
        <v>0.526520742544847</v>
      </c>
      <c r="M30" s="56" t="n">
        <f aca="false">K30+L30</f>
        <v>1.21216167686197</v>
      </c>
      <c r="N30" s="56" t="n">
        <f aca="false">M30*abroad_tax</f>
        <v>0.121216167686197</v>
      </c>
      <c r="O30" s="72" t="n">
        <f aca="false">Labour!R30</f>
        <v>0</v>
      </c>
      <c r="P30" s="49" t="n">
        <f aca="false">Economy!O30+M30-O30-V30</f>
        <v>777.395539651543</v>
      </c>
      <c r="Q30" s="66" t="n">
        <f aca="false">M30/P30</f>
        <v>0.00155925988127653</v>
      </c>
      <c r="R30" s="66" t="n">
        <f aca="false">J30/Economy!O30</f>
        <v>0.0301076375752417</v>
      </c>
      <c r="S30" s="88" t="n">
        <f aca="false">0</f>
        <v>0</v>
      </c>
      <c r="T30" s="88" t="n">
        <f aca="false">C30-S30</f>
        <v>4.65710026784809</v>
      </c>
      <c r="U30" s="88" t="n">
        <f aca="false">0</f>
        <v>0</v>
      </c>
      <c r="V30" s="89" t="n">
        <f aca="false">'Champion funding'!P30</f>
        <v>0</v>
      </c>
    </row>
    <row r="31" customFormat="false" ht="14.25" hidden="false" customHeight="true" outlineLevel="0" collapsed="false">
      <c r="A31" s="64" t="n">
        <v>1871</v>
      </c>
      <c r="B31" s="62" t="n">
        <v>0.006</v>
      </c>
      <c r="C31" s="56" t="n">
        <f aca="false">Economy!O31*B31</f>
        <v>4.98007093659479</v>
      </c>
      <c r="D31" s="56" t="n">
        <f aca="false">IF(AND($A31&gt;=1914,$A31&lt;=1918),entente_total*entente_private*CHOOSE($A31-1913,0.05,0.1333,0.2333,0.3,0.2834),0)</f>
        <v>0</v>
      </c>
      <c r="E31" s="56" t="n">
        <f aca="false">H30</f>
        <v>15.7416287059748</v>
      </c>
      <c r="F31" s="56" t="n">
        <f aca="false">(E31-0-'War credit'!Q31)*abroad_repat+0+'War credit'!R31</f>
        <v>0.472248861179245</v>
      </c>
      <c r="G31" s="56" t="n">
        <f aca="false">'War credit'!S31+IF(OR(A31=1931,A31=1932),(E31-0-'War credit'!Q31)*abroad_loss/2,0)</f>
        <v>0</v>
      </c>
      <c r="H31" s="56" t="n">
        <f aca="false">E31+C31+D31-F31-G31</f>
        <v>20.2494507813904</v>
      </c>
      <c r="I31" s="72" t="n">
        <f aca="false">Champions!AY31</f>
        <v>12.0760268788573</v>
      </c>
      <c r="J31" s="56" t="n">
        <f aca="false">H31+I31</f>
        <v>32.3254776602477</v>
      </c>
      <c r="K31" s="56" t="n">
        <f aca="false">(E31-0-'War credit'!Q31)*abroad_return*IF(OR(A31=1931,A31=1932),abroad_slump,1)+0+'War credit'!U31</f>
        <v>0.944497722358491</v>
      </c>
      <c r="L31" s="72" t="n">
        <f aca="false">Champions!AZ31</f>
        <v>0.807205549407838</v>
      </c>
      <c r="M31" s="56" t="n">
        <f aca="false">K31+L31</f>
        <v>1.75170327176633</v>
      </c>
      <c r="N31" s="56" t="n">
        <f aca="false">M31*abroad_tax</f>
        <v>0.175170327176633</v>
      </c>
      <c r="O31" s="72" t="n">
        <f aca="false">Labour!R31</f>
        <v>0</v>
      </c>
      <c r="P31" s="49" t="n">
        <f aca="false">Economy!O31+M31-O31-V31</f>
        <v>831.636064929885</v>
      </c>
      <c r="Q31" s="66" t="n">
        <f aca="false">M31/P31</f>
        <v>0.00210633394297783</v>
      </c>
      <c r="R31" s="66" t="n">
        <f aca="false">J31/Economy!O31</f>
        <v>0.0389458038712406</v>
      </c>
      <c r="S31" s="88" t="n">
        <f aca="false">0</f>
        <v>0</v>
      </c>
      <c r="T31" s="88" t="n">
        <f aca="false">C31-S31</f>
        <v>4.98007093659479</v>
      </c>
      <c r="U31" s="88" t="n">
        <f aca="false">0</f>
        <v>0</v>
      </c>
      <c r="V31" s="89" t="n">
        <f aca="false">'Champion funding'!P31</f>
        <v>0.12746110767992</v>
      </c>
    </row>
    <row r="32" customFormat="false" ht="14.25" hidden="false" customHeight="true" outlineLevel="0" collapsed="false">
      <c r="A32" s="61" t="n">
        <v>1872</v>
      </c>
      <c r="B32" s="62" t="n">
        <v>0.006</v>
      </c>
      <c r="C32" s="56" t="n">
        <f aca="false">Economy!O32*B32</f>
        <v>5.31373650641033</v>
      </c>
      <c r="D32" s="56" t="n">
        <f aca="false">IF(AND($A32&gt;=1914,$A32&lt;=1918),entente_total*entente_private*CHOOSE($A32-1913,0.05,0.1333,0.2333,0.3,0.2834),0)</f>
        <v>0</v>
      </c>
      <c r="E32" s="56" t="n">
        <f aca="false">H31</f>
        <v>20.2494507813904</v>
      </c>
      <c r="F32" s="56" t="n">
        <f aca="false">(E32-0-'War credit'!Q32)*abroad_repat+0+'War credit'!R32</f>
        <v>0.607483523441712</v>
      </c>
      <c r="G32" s="56" t="n">
        <f aca="false">'War credit'!S32+IF(OR(A32=1931,A32=1932),(E32-0-'War credit'!Q32)*abroad_loss/2,0)</f>
        <v>0</v>
      </c>
      <c r="H32" s="56" t="n">
        <f aca="false">E32+C32+D32-F32-G32</f>
        <v>24.955703764359</v>
      </c>
      <c r="I32" s="72" t="n">
        <f aca="false">Champions!AY32</f>
        <v>15.4772360692221</v>
      </c>
      <c r="J32" s="56" t="n">
        <f aca="false">H32+I32</f>
        <v>40.4329398335811</v>
      </c>
      <c r="K32" s="56" t="n">
        <f aca="false">(E32-0-'War credit'!Q32)*abroad_return*IF(OR(A32=1931,A32=1932),abroad_slump,1)+0+'War credit'!U32</f>
        <v>1.21496704688342</v>
      </c>
      <c r="L32" s="72" t="n">
        <f aca="false">Champions!AZ32</f>
        <v>1.05001991561051</v>
      </c>
      <c r="M32" s="56" t="n">
        <f aca="false">K32+L32</f>
        <v>2.26498696249393</v>
      </c>
      <c r="N32" s="56" t="n">
        <f aca="false">M32*abroad_tax</f>
        <v>0.226498696249393</v>
      </c>
      <c r="O32" s="72" t="n">
        <f aca="false">Labour!R32</f>
        <v>0</v>
      </c>
      <c r="P32" s="49" t="n">
        <f aca="false">Economy!O32+M32-O32-V32</f>
        <v>887.682919989283</v>
      </c>
      <c r="Q32" s="66" t="n">
        <f aca="false">M32/P32</f>
        <v>0.00255157208896311</v>
      </c>
      <c r="R32" s="66" t="n">
        <f aca="false">J32/Economy!O32</f>
        <v>0.0456548115829274</v>
      </c>
      <c r="S32" s="88" t="n">
        <f aca="false">0</f>
        <v>0</v>
      </c>
      <c r="T32" s="88" t="n">
        <f aca="false">C32-S32</f>
        <v>5.31373650641033</v>
      </c>
      <c r="U32" s="88" t="n">
        <f aca="false">0</f>
        <v>0</v>
      </c>
      <c r="V32" s="89" t="n">
        <f aca="false">'Champion funding'!P32</f>
        <v>0.204818041598905</v>
      </c>
    </row>
    <row r="33" customFormat="false" ht="14.25" hidden="false" customHeight="true" outlineLevel="0" collapsed="false">
      <c r="A33" s="61" t="n">
        <v>1873</v>
      </c>
      <c r="B33" s="62" t="n">
        <v>0.006</v>
      </c>
      <c r="C33" s="56" t="n">
        <f aca="false">Economy!O33*B33</f>
        <v>5.59412187816632</v>
      </c>
      <c r="D33" s="56" t="n">
        <f aca="false">IF(AND($A33&gt;=1914,$A33&lt;=1918),entente_total*entente_private*CHOOSE($A33-1913,0.05,0.1333,0.2333,0.3,0.2834),0)</f>
        <v>0</v>
      </c>
      <c r="E33" s="56" t="n">
        <f aca="false">H32</f>
        <v>24.955703764359</v>
      </c>
      <c r="F33" s="56" t="n">
        <f aca="false">(E33-0-'War credit'!Q33)*abroad_repat+0+'War credit'!R33</f>
        <v>0.74867111293077</v>
      </c>
      <c r="G33" s="56" t="n">
        <f aca="false">'War credit'!S33+IF(OR(A33=1931,A33=1932),(E33-0-'War credit'!Q33)*abroad_loss/2,0)</f>
        <v>0</v>
      </c>
      <c r="H33" s="56" t="n">
        <f aca="false">E33+C33+D33-F33-G33</f>
        <v>29.8011545295946</v>
      </c>
      <c r="I33" s="72" t="n">
        <f aca="false">Champions!AY33</f>
        <v>17.8149641934081</v>
      </c>
      <c r="J33" s="56" t="n">
        <f aca="false">H33+I33</f>
        <v>47.6161187230027</v>
      </c>
      <c r="K33" s="56" t="n">
        <f aca="false">(E33-0-'War credit'!Q33)*abroad_return*IF(OR(A33=1931,A33=1932),abroad_slump,1)+0+'War credit'!U33</f>
        <v>1.49734222586154</v>
      </c>
      <c r="L33" s="72" t="n">
        <f aca="false">Champions!AZ33</f>
        <v>1.17195741946335</v>
      </c>
      <c r="M33" s="56" t="n">
        <f aca="false">K33+L33</f>
        <v>2.66929964532489</v>
      </c>
      <c r="N33" s="56" t="n">
        <f aca="false">M33*abroad_tax</f>
        <v>0.266929964532489</v>
      </c>
      <c r="O33" s="72" t="n">
        <f aca="false">Labour!R33</f>
        <v>0</v>
      </c>
      <c r="P33" s="49" t="n">
        <f aca="false">Economy!O33+M33-O33-V33</f>
        <v>934.768403512675</v>
      </c>
      <c r="Q33" s="66" t="n">
        <f aca="false">M33/P33</f>
        <v>0.00285557324712109</v>
      </c>
      <c r="R33" s="66" t="n">
        <f aca="false">J33/Economy!O33</f>
        <v>0.0510708773530804</v>
      </c>
      <c r="S33" s="88" t="n">
        <f aca="false">0</f>
        <v>0</v>
      </c>
      <c r="T33" s="88" t="n">
        <f aca="false">C33-S33</f>
        <v>5.59412187816632</v>
      </c>
      <c r="U33" s="88" t="n">
        <f aca="false">0</f>
        <v>0</v>
      </c>
      <c r="V33" s="89" t="n">
        <f aca="false">'Champion funding'!P33</f>
        <v>0.254542493703443</v>
      </c>
    </row>
    <row r="34" customFormat="false" ht="14.25" hidden="false" customHeight="true" outlineLevel="0" collapsed="false">
      <c r="A34" s="61" t="n">
        <v>1874</v>
      </c>
      <c r="B34" s="62" t="n">
        <v>0.006</v>
      </c>
      <c r="C34" s="56" t="n">
        <f aca="false">Economy!O34*B34</f>
        <v>5.93051674227531</v>
      </c>
      <c r="D34" s="56" t="n">
        <f aca="false">IF(AND($A34&gt;=1914,$A34&lt;=1918),entente_total*entente_private*CHOOSE($A34-1913,0.05,0.1333,0.2333,0.3,0.2834),0)</f>
        <v>0</v>
      </c>
      <c r="E34" s="56" t="n">
        <f aca="false">H33</f>
        <v>29.8011545295946</v>
      </c>
      <c r="F34" s="56" t="n">
        <f aca="false">(E34-0-'War credit'!Q34)*abroad_repat+0+'War credit'!R34</f>
        <v>0.894034635887837</v>
      </c>
      <c r="G34" s="56" t="n">
        <f aca="false">'War credit'!S34+IF(OR(A34=1931,A34=1932),(E34-0-'War credit'!Q34)*abroad_loss/2,0)</f>
        <v>0</v>
      </c>
      <c r="H34" s="56" t="n">
        <f aca="false">E34+C34+D34-F34-G34</f>
        <v>34.837636635982</v>
      </c>
      <c r="I34" s="72" t="n">
        <f aca="false">Champions!AY34</f>
        <v>22.4232067360327</v>
      </c>
      <c r="J34" s="56" t="n">
        <f aca="false">H34+I34</f>
        <v>57.2608433720148</v>
      </c>
      <c r="K34" s="56" t="n">
        <f aca="false">(E34-0-'War credit'!Q34)*abroad_return*IF(OR(A34=1931,A34=1932),abroad_slump,1)+0+'War credit'!U34</f>
        <v>1.78806927177567</v>
      </c>
      <c r="L34" s="72" t="n">
        <f aca="false">Champions!AZ34</f>
        <v>1.46360755007433</v>
      </c>
      <c r="M34" s="56" t="n">
        <f aca="false">K34+L34</f>
        <v>3.25167682185</v>
      </c>
      <c r="N34" s="56" t="n">
        <f aca="false">M34*abroad_tax</f>
        <v>0.325167682185</v>
      </c>
      <c r="O34" s="72" t="n">
        <f aca="false">Labour!R34</f>
        <v>0</v>
      </c>
      <c r="P34" s="49" t="n">
        <f aca="false">Economy!O34+M34-O34-V34</f>
        <v>991.380429282028</v>
      </c>
      <c r="Q34" s="66" t="n">
        <f aca="false">M34/P34</f>
        <v>0.00327994857050478</v>
      </c>
      <c r="R34" s="66" t="n">
        <f aca="false">J34/Economy!O34</f>
        <v>0.0579317241924311</v>
      </c>
      <c r="S34" s="88" t="n">
        <f aca="false">0</f>
        <v>0</v>
      </c>
      <c r="T34" s="88" t="n">
        <f aca="false">C34-S34</f>
        <v>5.93051674227531</v>
      </c>
      <c r="U34" s="88" t="n">
        <f aca="false">0</f>
        <v>0</v>
      </c>
      <c r="V34" s="89" t="n">
        <f aca="false">'Champion funding'!P34</f>
        <v>0.290704585708033</v>
      </c>
    </row>
    <row r="35" customFormat="false" ht="14.25" hidden="false" customHeight="true" outlineLevel="0" collapsed="false">
      <c r="A35" s="61" t="n">
        <v>1875</v>
      </c>
      <c r="B35" s="62" t="n">
        <v>0.006</v>
      </c>
      <c r="C35" s="56" t="n">
        <f aca="false">Economy!O35*B35</f>
        <v>6.39097737088628</v>
      </c>
      <c r="D35" s="56" t="n">
        <f aca="false">IF(AND($A35&gt;=1914,$A35&lt;=1918),entente_total*entente_private*CHOOSE($A35-1913,0.05,0.1333,0.2333,0.3,0.2834),0)</f>
        <v>0</v>
      </c>
      <c r="E35" s="56" t="n">
        <f aca="false">H34</f>
        <v>34.837636635982</v>
      </c>
      <c r="F35" s="56" t="n">
        <f aca="false">(E35-0-'War credit'!Q35)*abroad_repat+0+'War credit'!R35</f>
        <v>1.04512909907946</v>
      </c>
      <c r="G35" s="56" t="n">
        <f aca="false">'War credit'!S35+IF(OR(A35=1931,A35=1932),(E35-0-'War credit'!Q35)*abroad_loss/2,0)</f>
        <v>0</v>
      </c>
      <c r="H35" s="56" t="n">
        <f aca="false">E35+C35+D35-F35-G35</f>
        <v>40.1834849077889</v>
      </c>
      <c r="I35" s="72" t="n">
        <f aca="false">Champions!AY35</f>
        <v>27.0656815451107</v>
      </c>
      <c r="J35" s="56" t="n">
        <f aca="false">H35+I35</f>
        <v>67.2491664528995</v>
      </c>
      <c r="K35" s="56" t="n">
        <f aca="false">(E35-0-'War credit'!Q35)*abroad_return*IF(OR(A35=1931,A35=1932),abroad_slump,1)+0+'War credit'!U35</f>
        <v>2.09025819815892</v>
      </c>
      <c r="L35" s="72" t="n">
        <f aca="false">Champions!AZ35</f>
        <v>1.77364794375304</v>
      </c>
      <c r="M35" s="56" t="n">
        <f aca="false">K35+L35</f>
        <v>3.86390614191196</v>
      </c>
      <c r="N35" s="56" t="n">
        <f aca="false">M35*abroad_tax</f>
        <v>0.386390614191196</v>
      </c>
      <c r="O35" s="72" t="n">
        <f aca="false">Labour!R35</f>
        <v>0</v>
      </c>
      <c r="P35" s="49" t="n">
        <f aca="false">Economy!O35+M35-O35-V35</f>
        <v>1068.65944609802</v>
      </c>
      <c r="Q35" s="66" t="n">
        <f aca="false">M35/P35</f>
        <v>0.00361565712633728</v>
      </c>
      <c r="R35" s="66" t="n">
        <f aca="false">J35/Economy!O35</f>
        <v>0.0631351005177229</v>
      </c>
      <c r="S35" s="88" t="n">
        <f aca="false">0</f>
        <v>0</v>
      </c>
      <c r="T35" s="88" t="n">
        <f aca="false">C35-S35</f>
        <v>6.39097737088628</v>
      </c>
      <c r="U35" s="88" t="n">
        <f aca="false">0</f>
        <v>0</v>
      </c>
      <c r="V35" s="89" t="n">
        <f aca="false">'Champion funding'!P35</f>
        <v>0.367355191605161</v>
      </c>
    </row>
    <row r="36" customFormat="false" ht="14.25" hidden="false" customHeight="true" outlineLevel="0" collapsed="false">
      <c r="A36" s="61" t="n">
        <v>1876</v>
      </c>
      <c r="B36" s="62" t="n">
        <v>0.006</v>
      </c>
      <c r="C36" s="56" t="n">
        <f aca="false">Economy!O36*B36</f>
        <v>6.93262723867273</v>
      </c>
      <c r="D36" s="56" t="n">
        <f aca="false">IF(AND($A36&gt;=1914,$A36&lt;=1918),entente_total*entente_private*CHOOSE($A36-1913,0.05,0.1333,0.2333,0.3,0.2834),0)</f>
        <v>0</v>
      </c>
      <c r="E36" s="56" t="n">
        <f aca="false">H35</f>
        <v>40.1834849077889</v>
      </c>
      <c r="F36" s="56" t="n">
        <f aca="false">(E36-0-'War credit'!Q36)*abroad_repat+0+'War credit'!R36</f>
        <v>1.20550454723367</v>
      </c>
      <c r="G36" s="56" t="n">
        <f aca="false">'War credit'!S36+IF(OR(A36=1931,A36=1932),(E36-0-'War credit'!Q36)*abroad_loss/2,0)</f>
        <v>0</v>
      </c>
      <c r="H36" s="56" t="n">
        <f aca="false">E36+C36+D36-F36-G36</f>
        <v>45.9106075992279</v>
      </c>
      <c r="I36" s="72" t="n">
        <f aca="false">Champions!AY36</f>
        <v>30.6221792603133</v>
      </c>
      <c r="J36" s="56" t="n">
        <f aca="false">H36+I36</f>
        <v>76.5327868595412</v>
      </c>
      <c r="K36" s="56" t="n">
        <f aca="false">(E36-0-'War credit'!Q36)*abroad_return*IF(OR(A36=1931,A36=1932),abroad_slump,1)+0+'War credit'!U36</f>
        <v>2.41100909446733</v>
      </c>
      <c r="L36" s="72" t="n">
        <f aca="false">Champions!AZ36</f>
        <v>2.01448573341365</v>
      </c>
      <c r="M36" s="56" t="n">
        <f aca="false">K36+L36</f>
        <v>4.42549482788098</v>
      </c>
      <c r="N36" s="56" t="n">
        <f aca="false">M36*abroad_tax</f>
        <v>0.442549482788098</v>
      </c>
      <c r="O36" s="72" t="n">
        <f aca="false">Labour!R36</f>
        <v>0</v>
      </c>
      <c r="P36" s="49" t="n">
        <f aca="false">Economy!O36+M36-O36-V36</f>
        <v>1159.41823772185</v>
      </c>
      <c r="Q36" s="66" t="n">
        <f aca="false">M36/P36</f>
        <v>0.00381699604499638</v>
      </c>
      <c r="R36" s="66" t="n">
        <f aca="false">J36/Economy!O36</f>
        <v>0.0662370419392637</v>
      </c>
      <c r="S36" s="88" t="n">
        <f aca="false">0</f>
        <v>0</v>
      </c>
      <c r="T36" s="88" t="n">
        <f aca="false">C36-S36</f>
        <v>6.93262723867273</v>
      </c>
      <c r="U36" s="88" t="n">
        <f aca="false">0</f>
        <v>0</v>
      </c>
      <c r="V36" s="89" t="n">
        <f aca="false">'Champion funding'!P36</f>
        <v>0.445130218152089</v>
      </c>
    </row>
    <row r="37" customFormat="false" ht="14.25" hidden="false" customHeight="true" outlineLevel="0" collapsed="false">
      <c r="A37" s="61" t="n">
        <v>1877</v>
      </c>
      <c r="B37" s="62" t="n">
        <v>0.006</v>
      </c>
      <c r="C37" s="56" t="n">
        <f aca="false">Economy!O37*B37</f>
        <v>7.22349520102181</v>
      </c>
      <c r="D37" s="56" t="n">
        <f aca="false">IF(AND($A37&gt;=1914,$A37&lt;=1918),entente_total*entente_private*CHOOSE($A37-1913,0.05,0.1333,0.2333,0.3,0.2834),0)</f>
        <v>0</v>
      </c>
      <c r="E37" s="56" t="n">
        <f aca="false">H36</f>
        <v>45.9106075992279</v>
      </c>
      <c r="F37" s="56" t="n">
        <f aca="false">(E37-0-'War credit'!Q37)*abroad_repat+0+'War credit'!R37</f>
        <v>1.37731822797684</v>
      </c>
      <c r="G37" s="56" t="n">
        <f aca="false">'War credit'!S37+IF(OR(A37=1931,A37=1932),(E37-0-'War credit'!Q37)*abroad_loss/2,0)</f>
        <v>0</v>
      </c>
      <c r="H37" s="56" t="n">
        <f aca="false">E37+C37+D37-F37-G37</f>
        <v>51.7567845722729</v>
      </c>
      <c r="I37" s="72" t="n">
        <f aca="false">Champions!AY37</f>
        <v>34.2479808152714</v>
      </c>
      <c r="J37" s="56" t="n">
        <f aca="false">H37+I37</f>
        <v>86.0047653875443</v>
      </c>
      <c r="K37" s="56" t="n">
        <f aca="false">(E37-0-'War credit'!Q37)*abroad_return*IF(OR(A37=1931,A37=1932),abroad_slump,1)+0+'War credit'!U37</f>
        <v>2.75463645595368</v>
      </c>
      <c r="L37" s="72" t="n">
        <f aca="false">Champions!AZ37</f>
        <v>2.25996717403173</v>
      </c>
      <c r="M37" s="56" t="n">
        <f aca="false">K37+L37</f>
        <v>5.01460362998541</v>
      </c>
      <c r="N37" s="56" t="n">
        <f aca="false">M37*abroad_tax</f>
        <v>0.501460362998541</v>
      </c>
      <c r="O37" s="72" t="n">
        <f aca="false">Labour!R37</f>
        <v>0</v>
      </c>
      <c r="P37" s="49" t="n">
        <f aca="false">Economy!O37+M37-O37-V37</f>
        <v>1208.42529382385</v>
      </c>
      <c r="Q37" s="66" t="n">
        <f aca="false">M37/P37</f>
        <v>0.0041497009832669</v>
      </c>
      <c r="R37" s="66" t="n">
        <f aca="false">J37/Economy!O37</f>
        <v>0.0714375213057898</v>
      </c>
      <c r="S37" s="88" t="n">
        <f aca="false">0</f>
        <v>0</v>
      </c>
      <c r="T37" s="88" t="n">
        <f aca="false">C37-S37</f>
        <v>7.22349520102181</v>
      </c>
      <c r="U37" s="88" t="n">
        <f aca="false">0</f>
        <v>0</v>
      </c>
      <c r="V37" s="89" t="n">
        <f aca="false">'Champion funding'!P37</f>
        <v>0.50517664310566</v>
      </c>
    </row>
    <row r="38" customFormat="false" ht="14.25" hidden="false" customHeight="true" outlineLevel="0" collapsed="false">
      <c r="A38" s="61" t="n">
        <v>1878</v>
      </c>
      <c r="B38" s="62" t="n">
        <v>0.006</v>
      </c>
      <c r="C38" s="56" t="n">
        <f aca="false">Economy!O38*B38</f>
        <v>7.69893236852432</v>
      </c>
      <c r="D38" s="56" t="n">
        <f aca="false">IF(AND($A38&gt;=1914,$A38&lt;=1918),entente_total*entente_private*CHOOSE($A38-1913,0.05,0.1333,0.2333,0.3,0.2834),0)</f>
        <v>0</v>
      </c>
      <c r="E38" s="56" t="n">
        <f aca="false">H37</f>
        <v>51.7567845722729</v>
      </c>
      <c r="F38" s="56" t="n">
        <f aca="false">(E38-0-'War credit'!Q38)*abroad_repat+0+'War credit'!R38</f>
        <v>1.55270353716819</v>
      </c>
      <c r="G38" s="56" t="n">
        <f aca="false">'War credit'!S38+IF(OR(A38=1931,A38=1932),(E38-0-'War credit'!Q38)*abroad_loss/2,0)</f>
        <v>0</v>
      </c>
      <c r="H38" s="56" t="n">
        <f aca="false">E38+C38+D38-F38-G38</f>
        <v>57.903013403629</v>
      </c>
      <c r="I38" s="72" t="n">
        <f aca="false">Champions!AY38</f>
        <v>37.8850901547864</v>
      </c>
      <c r="J38" s="56" t="n">
        <f aca="false">H38+I38</f>
        <v>95.7881035584154</v>
      </c>
      <c r="K38" s="56" t="n">
        <f aca="false">(E38-0-'War credit'!Q38)*abroad_return*IF(OR(A38=1931,A38=1932),abroad_slump,1)+0+'War credit'!U38</f>
        <v>3.10540707433637</v>
      </c>
      <c r="L38" s="72" t="n">
        <f aca="false">Champions!AZ38</f>
        <v>2.46794957598628</v>
      </c>
      <c r="M38" s="56" t="n">
        <f aca="false">K38+L38</f>
        <v>5.57335665032266</v>
      </c>
      <c r="N38" s="56" t="n">
        <f aca="false">M38*abroad_tax</f>
        <v>0.557335665032266</v>
      </c>
      <c r="O38" s="72" t="n">
        <f aca="false">Labour!R38</f>
        <v>0</v>
      </c>
      <c r="P38" s="49" t="n">
        <f aca="false">Economy!O38+M38-O38-V38</f>
        <v>1288.17099709136</v>
      </c>
      <c r="Q38" s="66" t="n">
        <f aca="false">M38/P38</f>
        <v>0.00432656585415064</v>
      </c>
      <c r="R38" s="66" t="n">
        <f aca="false">J38/Economy!O38</f>
        <v>0.0746504312338377</v>
      </c>
      <c r="S38" s="88" t="n">
        <f aca="false">0</f>
        <v>0</v>
      </c>
      <c r="T38" s="88" t="n">
        <f aca="false">C38-S38</f>
        <v>7.69893236852432</v>
      </c>
      <c r="U38" s="88" t="n">
        <f aca="false">0</f>
        <v>0</v>
      </c>
      <c r="V38" s="89" t="n">
        <f aca="false">'Champion funding'!P38</f>
        <v>0.557754313016706</v>
      </c>
    </row>
    <row r="39" customFormat="false" ht="14.25" hidden="false" customHeight="true" outlineLevel="0" collapsed="false">
      <c r="A39" s="61" t="n">
        <v>1879</v>
      </c>
      <c r="B39" s="62" t="n">
        <v>0.006</v>
      </c>
      <c r="C39" s="56" t="n">
        <f aca="false">Economy!O39*B39</f>
        <v>8.03719045014542</v>
      </c>
      <c r="D39" s="56" t="n">
        <f aca="false">IF(AND($A39&gt;=1914,$A39&lt;=1918),entente_total*entente_private*CHOOSE($A39-1913,0.05,0.1333,0.2333,0.3,0.2834),0)</f>
        <v>0</v>
      </c>
      <c r="E39" s="56" t="n">
        <f aca="false">H38</f>
        <v>57.903013403629</v>
      </c>
      <c r="F39" s="56" t="n">
        <f aca="false">(E39-0-'War credit'!Q39)*abroad_repat+0+'War credit'!R39</f>
        <v>1.73709040210887</v>
      </c>
      <c r="G39" s="56" t="n">
        <f aca="false">'War credit'!S39+IF(OR(A39=1931,A39=1932),(E39-0-'War credit'!Q39)*abroad_loss/2,0)</f>
        <v>0</v>
      </c>
      <c r="H39" s="56" t="n">
        <f aca="false">E39+C39+D39-F39-G39</f>
        <v>64.2031134516656</v>
      </c>
      <c r="I39" s="72" t="n">
        <f aca="false">Champions!AY39</f>
        <v>42.5941035427497</v>
      </c>
      <c r="J39" s="56" t="n">
        <f aca="false">H39+I39</f>
        <v>106.797216994415</v>
      </c>
      <c r="K39" s="56" t="n">
        <f aca="false">(E39-0-'War credit'!Q39)*abroad_return*IF(OR(A39=1931,A39=1932),abroad_slump,1)+0+'War credit'!U39</f>
        <v>3.47418080421774</v>
      </c>
      <c r="L39" s="72" t="n">
        <f aca="false">Champions!AZ39</f>
        <v>2.76730437141282</v>
      </c>
      <c r="M39" s="56" t="n">
        <f aca="false">K39+L39</f>
        <v>6.24148517563056</v>
      </c>
      <c r="N39" s="56" t="n">
        <f aca="false">M39*abroad_tax</f>
        <v>0.624148517563056</v>
      </c>
      <c r="O39" s="72" t="n">
        <f aca="false">Labour!R39</f>
        <v>0</v>
      </c>
      <c r="P39" s="49" t="n">
        <f aca="false">Economy!O39+M39-O39-V39</f>
        <v>1345.15788596911</v>
      </c>
      <c r="Q39" s="66" t="n">
        <f aca="false">M39/P39</f>
        <v>0.00463996475115183</v>
      </c>
      <c r="R39" s="66" t="n">
        <f aca="false">J39/Economy!O39</f>
        <v>0.0797272760850027</v>
      </c>
      <c r="S39" s="88" t="n">
        <f aca="false">0</f>
        <v>0</v>
      </c>
      <c r="T39" s="88" t="n">
        <f aca="false">C39-S39</f>
        <v>8.03719045014542</v>
      </c>
      <c r="U39" s="88" t="n">
        <f aca="false">0</f>
        <v>0</v>
      </c>
      <c r="V39" s="89" t="n">
        <f aca="false">'Champion funding'!P39</f>
        <v>0.615340897428952</v>
      </c>
    </row>
    <row r="40" customFormat="false" ht="14.25" hidden="false" customHeight="true" outlineLevel="0" collapsed="false">
      <c r="A40" s="61" t="n">
        <v>1880</v>
      </c>
      <c r="B40" s="62" t="n">
        <v>0.006</v>
      </c>
      <c r="C40" s="56" t="n">
        <f aca="false">Economy!O40*B40</f>
        <v>8.42324872612478</v>
      </c>
      <c r="D40" s="56" t="n">
        <f aca="false">IF(AND($A40&gt;=1914,$A40&lt;=1918),entente_total*entente_private*CHOOSE($A40-1913,0.05,0.1333,0.2333,0.3,0.2834),0)</f>
        <v>0</v>
      </c>
      <c r="E40" s="56" t="n">
        <f aca="false">H39</f>
        <v>64.2031134516656</v>
      </c>
      <c r="F40" s="56" t="n">
        <f aca="false">(E40-0-'War credit'!Q40)*abroad_repat+0+'War credit'!R40</f>
        <v>1.92609340354997</v>
      </c>
      <c r="G40" s="56" t="n">
        <f aca="false">'War credit'!S40+IF(OR(A40=1931,A40=1932),(E40-0-'War credit'!Q40)*abroad_loss/2,0)</f>
        <v>0</v>
      </c>
      <c r="H40" s="56" t="n">
        <f aca="false">E40+C40+D40-F40-G40</f>
        <v>70.7002687742404</v>
      </c>
      <c r="I40" s="72" t="n">
        <f aca="false">Champions!AY40</f>
        <v>52.1211248004613</v>
      </c>
      <c r="J40" s="56" t="n">
        <f aca="false">H40+I40</f>
        <v>122.821393574702</v>
      </c>
      <c r="K40" s="56" t="n">
        <f aca="false">(E40-0-'War credit'!Q40)*abroad_return*IF(OR(A40=1931,A40=1932),abroad_slump,1)+0+'War credit'!U40</f>
        <v>3.85218680709993</v>
      </c>
      <c r="L40" s="72" t="n">
        <f aca="false">Champions!AZ40</f>
        <v>3.85834698191025</v>
      </c>
      <c r="M40" s="56" t="n">
        <f aca="false">K40+L40</f>
        <v>7.71053378901019</v>
      </c>
      <c r="N40" s="56" t="n">
        <f aca="false">M40*abroad_tax</f>
        <v>0.771053378901019</v>
      </c>
      <c r="O40" s="72" t="n">
        <f aca="false">Labour!R40</f>
        <v>0</v>
      </c>
      <c r="P40" s="49" t="n">
        <f aca="false">Economy!O40+M40-O40-V40</f>
        <v>1410.79704785671</v>
      </c>
      <c r="Q40" s="66" t="n">
        <f aca="false">M40/P40</f>
        <v>0.00546537420157215</v>
      </c>
      <c r="R40" s="66" t="n">
        <f aca="false">J40/Economy!O40</f>
        <v>0.0874874274058441</v>
      </c>
      <c r="S40" s="88" t="n">
        <f aca="false">0</f>
        <v>0</v>
      </c>
      <c r="T40" s="88" t="n">
        <f aca="false">C40-S40</f>
        <v>8.42324872612478</v>
      </c>
      <c r="U40" s="88" t="n">
        <f aca="false">0</f>
        <v>0</v>
      </c>
      <c r="V40" s="89" t="n">
        <f aca="false">'Champion funding'!P40</f>
        <v>0.788273619767923</v>
      </c>
    </row>
    <row r="41" customFormat="false" ht="14.25" hidden="false" customHeight="true" outlineLevel="0" collapsed="false">
      <c r="A41" s="61" t="n">
        <v>1881</v>
      </c>
      <c r="B41" s="62" t="n">
        <v>0.006</v>
      </c>
      <c r="C41" s="56" t="n">
        <f aca="false">Economy!O41*B41</f>
        <v>8.91984823196952</v>
      </c>
      <c r="D41" s="56" t="n">
        <f aca="false">IF(AND($A41&gt;=1914,$A41&lt;=1918),entente_total*entente_private*CHOOSE($A41-1913,0.05,0.1333,0.2333,0.3,0.2834),0)</f>
        <v>0</v>
      </c>
      <c r="E41" s="56" t="n">
        <f aca="false">H40</f>
        <v>70.7002687742404</v>
      </c>
      <c r="F41" s="56" t="n">
        <f aca="false">(E41-0-'War credit'!Q41)*abroad_repat+0+'War credit'!R41</f>
        <v>2.12100806322721</v>
      </c>
      <c r="G41" s="56" t="n">
        <f aca="false">'War credit'!S41+IF(OR(A41=1931,A41=1932),(E41-0-'War credit'!Q41)*abroad_loss/2,0)</f>
        <v>0</v>
      </c>
      <c r="H41" s="56" t="n">
        <f aca="false">E41+C41+D41-F41-G41</f>
        <v>77.4991089429827</v>
      </c>
      <c r="I41" s="72" t="n">
        <f aca="false">Champions!AY41</f>
        <v>60.1722873568084</v>
      </c>
      <c r="J41" s="56" t="n">
        <f aca="false">H41+I41</f>
        <v>137.671396299791</v>
      </c>
      <c r="K41" s="56" t="n">
        <f aca="false">(E41-0-'War credit'!Q41)*abroad_return*IF(OR(A41=1931,A41=1932),abroad_slump,1)+0+'War credit'!U41</f>
        <v>4.24201612645442</v>
      </c>
      <c r="L41" s="72" t="n">
        <f aca="false">Champions!AZ41</f>
        <v>4.38187911781089</v>
      </c>
      <c r="M41" s="56" t="n">
        <f aca="false">K41+L41</f>
        <v>8.62389524426531</v>
      </c>
      <c r="N41" s="56" t="n">
        <f aca="false">M41*abroad_tax</f>
        <v>0.862389524426531</v>
      </c>
      <c r="O41" s="72" t="n">
        <f aca="false">Labour!R41</f>
        <v>0</v>
      </c>
      <c r="P41" s="49" t="n">
        <f aca="false">Economy!O41+M41-O41-V41</f>
        <v>1494.18727832173</v>
      </c>
      <c r="Q41" s="66" t="n">
        <f aca="false">M41/P41</f>
        <v>0.00577162941311593</v>
      </c>
      <c r="R41" s="66" t="n">
        <f aca="false">J41/Economy!O41</f>
        <v>0.0926056538538614</v>
      </c>
      <c r="S41" s="88" t="n">
        <f aca="false">0</f>
        <v>0</v>
      </c>
      <c r="T41" s="88" t="n">
        <f aca="false">C41-S41</f>
        <v>8.91984823196952</v>
      </c>
      <c r="U41" s="88" t="n">
        <f aca="false">0</f>
        <v>0</v>
      </c>
      <c r="V41" s="89" t="n">
        <f aca="false">'Champion funding'!P41</f>
        <v>1.07798891745832</v>
      </c>
    </row>
    <row r="42" customFormat="false" ht="14.25" hidden="false" customHeight="true" outlineLevel="0" collapsed="false">
      <c r="A42" s="61" t="n">
        <v>1882</v>
      </c>
      <c r="B42" s="62" t="n">
        <v>0.006</v>
      </c>
      <c r="C42" s="56" t="n">
        <f aca="false">Economy!O42*B42</f>
        <v>9.42341124776232</v>
      </c>
      <c r="D42" s="56" t="n">
        <f aca="false">IF(AND($A42&gt;=1914,$A42&lt;=1918),entente_total*entente_private*CHOOSE($A42-1913,0.05,0.1333,0.2333,0.3,0.2834),0)</f>
        <v>0</v>
      </c>
      <c r="E42" s="56" t="n">
        <f aca="false">H41</f>
        <v>77.4991089429827</v>
      </c>
      <c r="F42" s="56" t="n">
        <f aca="false">(E42-0-'War credit'!Q42)*abroad_repat+0+'War credit'!R42</f>
        <v>2.32497326828948</v>
      </c>
      <c r="G42" s="56" t="n">
        <f aca="false">'War credit'!S42+IF(OR(A42=1931,A42=1932),(E42-0-'War credit'!Q42)*abroad_loss/2,0)</f>
        <v>0</v>
      </c>
      <c r="H42" s="56" t="n">
        <f aca="false">E42+C42+D42-F42-G42</f>
        <v>84.5975469224555</v>
      </c>
      <c r="I42" s="72" t="n">
        <f aca="false">Champions!AY42</f>
        <v>71.7438803222909</v>
      </c>
      <c r="J42" s="56" t="n">
        <f aca="false">H42+I42</f>
        <v>156.341427244746</v>
      </c>
      <c r="K42" s="56" t="n">
        <f aca="false">(E42-0-'War credit'!Q42)*abroad_return*IF(OR(A42=1931,A42=1932),abroad_slump,1)+0+'War credit'!U42</f>
        <v>4.64994653657896</v>
      </c>
      <c r="L42" s="72" t="n">
        <f aca="false">Champions!AZ42</f>
        <v>5.46579480344025</v>
      </c>
      <c r="M42" s="56" t="n">
        <f aca="false">K42+L42</f>
        <v>10.1157413400192</v>
      </c>
      <c r="N42" s="56" t="n">
        <f aca="false">M42*abroad_tax</f>
        <v>1.01157413400192</v>
      </c>
      <c r="O42" s="72" t="n">
        <f aca="false">Labour!R42</f>
        <v>0</v>
      </c>
      <c r="P42" s="49" t="n">
        <f aca="false">Economy!O42+M42-O42-V42</f>
        <v>1579.24145529142</v>
      </c>
      <c r="Q42" s="66" t="n">
        <f aca="false">M42/P42</f>
        <v>0.00640544313608619</v>
      </c>
      <c r="R42" s="66" t="n">
        <f aca="false">J42/Economy!O42</f>
        <v>0.0995444790432156</v>
      </c>
      <c r="S42" s="88" t="n">
        <f aca="false">0</f>
        <v>0</v>
      </c>
      <c r="T42" s="88" t="n">
        <f aca="false">C42-S42</f>
        <v>9.42341124776232</v>
      </c>
      <c r="U42" s="88" t="n">
        <f aca="false">0</f>
        <v>0</v>
      </c>
      <c r="V42" s="89" t="n">
        <f aca="false">'Champion funding'!P42</f>
        <v>1.44282734231656</v>
      </c>
    </row>
    <row r="43" customFormat="false" ht="14.25" hidden="false" customHeight="true" outlineLevel="0" collapsed="false">
      <c r="A43" s="61" t="n">
        <v>1883</v>
      </c>
      <c r="B43" s="62" t="n">
        <v>0.006</v>
      </c>
      <c r="C43" s="56" t="n">
        <f aca="false">Economy!O43*B43</f>
        <v>9.94181647320253</v>
      </c>
      <c r="D43" s="56" t="n">
        <f aca="false">IF(AND($A43&gt;=1914,$A43&lt;=1918),entente_total*entente_private*CHOOSE($A43-1913,0.05,0.1333,0.2333,0.3,0.2834),0)</f>
        <v>0</v>
      </c>
      <c r="E43" s="56" t="n">
        <f aca="false">H42</f>
        <v>84.5975469224555</v>
      </c>
      <c r="F43" s="56" t="n">
        <f aca="false">(E43-0-'War credit'!Q43)*abroad_repat+0+'War credit'!R43</f>
        <v>2.53792640767367</v>
      </c>
      <c r="G43" s="56" t="n">
        <f aca="false">'War credit'!S43+IF(OR(A43=1931,A43=1932),(E43-0-'War credit'!Q43)*abroad_loss/2,0)</f>
        <v>0</v>
      </c>
      <c r="H43" s="56" t="n">
        <f aca="false">E43+C43+D43-F43-G43</f>
        <v>92.0014369879844</v>
      </c>
      <c r="I43" s="72" t="n">
        <f aca="false">Champions!AY43</f>
        <v>79.7396250908734</v>
      </c>
      <c r="J43" s="56" t="n">
        <f aca="false">H43+I43</f>
        <v>171.741062078858</v>
      </c>
      <c r="K43" s="56" t="n">
        <f aca="false">(E43-0-'War credit'!Q43)*abroad_return*IF(OR(A43=1931,A43=1932),abroad_slump,1)+0+'War credit'!U43</f>
        <v>5.07585281534733</v>
      </c>
      <c r="L43" s="72" t="n">
        <f aca="false">Champions!AZ43</f>
        <v>6.03104122357684</v>
      </c>
      <c r="M43" s="56" t="n">
        <f aca="false">K43+L43</f>
        <v>11.1068940389242</v>
      </c>
      <c r="N43" s="56" t="n">
        <f aca="false">M43*abroad_tax</f>
        <v>1.11068940389242</v>
      </c>
      <c r="O43" s="72" t="n">
        <f aca="false">Labour!R43</f>
        <v>0</v>
      </c>
      <c r="P43" s="49" t="n">
        <f aca="false">Economy!O43+M43-O43-V43</f>
        <v>1666.26296147586</v>
      </c>
      <c r="Q43" s="66" t="n">
        <f aca="false">M43/P43</f>
        <v>0.00666575102232752</v>
      </c>
      <c r="R43" s="66" t="n">
        <f aca="false">J43/Economy!O43</f>
        <v>0.103647696097654</v>
      </c>
      <c r="S43" s="88" t="n">
        <f aca="false">0</f>
        <v>0</v>
      </c>
      <c r="T43" s="88" t="n">
        <f aca="false">C43-S43</f>
        <v>9.94181647320253</v>
      </c>
      <c r="U43" s="88" t="n">
        <f aca="false">0</f>
        <v>0</v>
      </c>
      <c r="V43" s="89" t="n">
        <f aca="false">'Champion funding'!P43</f>
        <v>1.81334476348997</v>
      </c>
    </row>
    <row r="44" customFormat="false" ht="14.25" hidden="false" customHeight="true" outlineLevel="0" collapsed="false">
      <c r="A44" s="61" t="n">
        <v>1884</v>
      </c>
      <c r="B44" s="62" t="n">
        <v>0.006</v>
      </c>
      <c r="C44" s="56" t="n">
        <f aca="false">Economy!O44*B44</f>
        <v>10.2717585043004</v>
      </c>
      <c r="D44" s="56" t="n">
        <f aca="false">IF(AND($A44&gt;=1914,$A44&lt;=1918),entente_total*entente_private*CHOOSE($A44-1913,0.05,0.1333,0.2333,0.3,0.2834),0)</f>
        <v>0</v>
      </c>
      <c r="E44" s="56" t="n">
        <f aca="false">H43</f>
        <v>92.0014369879844</v>
      </c>
      <c r="F44" s="56" t="n">
        <f aca="false">(E44-0-'War credit'!Q44)*abroad_repat+0+'War credit'!R44</f>
        <v>2.76004310963953</v>
      </c>
      <c r="G44" s="56" t="n">
        <f aca="false">'War credit'!S44+IF(OR(A44=1931,A44=1932),(E44-0-'War credit'!Q44)*abroad_loss/2,0)</f>
        <v>0</v>
      </c>
      <c r="H44" s="56" t="n">
        <f aca="false">E44+C44+D44-F44-G44</f>
        <v>99.5131523826453</v>
      </c>
      <c r="I44" s="72" t="n">
        <f aca="false">Champions!AY44</f>
        <v>92.5411472633496</v>
      </c>
      <c r="J44" s="56" t="n">
        <f aca="false">H44+I44</f>
        <v>192.054299645995</v>
      </c>
      <c r="K44" s="56" t="n">
        <f aca="false">(E44-0-'War credit'!Q44)*abroad_return*IF(OR(A44=1931,A44=1932),abroad_slump,1)+0+'War credit'!U44</f>
        <v>5.52008621927906</v>
      </c>
      <c r="L44" s="72" t="n">
        <f aca="false">Champions!AZ44</f>
        <v>7.23246075415067</v>
      </c>
      <c r="M44" s="56" t="n">
        <f aca="false">K44+L44</f>
        <v>12.7525469734297</v>
      </c>
      <c r="N44" s="56" t="n">
        <f aca="false">M44*abroad_tax</f>
        <v>1.27525469734297</v>
      </c>
      <c r="O44" s="72" t="n">
        <f aca="false">Labour!R44</f>
        <v>0</v>
      </c>
      <c r="P44" s="49" t="n">
        <f aca="false">Economy!O44+M44-O44-V44</f>
        <v>1722.57748106782</v>
      </c>
      <c r="Q44" s="66" t="n">
        <f aca="false">M44/P44</f>
        <v>0.00740317757174235</v>
      </c>
      <c r="R44" s="66" t="n">
        <f aca="false">J44/Economy!O44</f>
        <v>0.112183887247109</v>
      </c>
      <c r="S44" s="88" t="n">
        <f aca="false">0</f>
        <v>0</v>
      </c>
      <c r="T44" s="88" t="n">
        <f aca="false">C44-S44</f>
        <v>10.2717585043004</v>
      </c>
      <c r="U44" s="88" t="n">
        <f aca="false">0</f>
        <v>0</v>
      </c>
      <c r="V44" s="89" t="n">
        <f aca="false">'Champion funding'!P44</f>
        <v>2.13481662233743</v>
      </c>
    </row>
    <row r="45" customFormat="false" ht="14.25" hidden="false" customHeight="true" outlineLevel="0" collapsed="false">
      <c r="A45" s="61" t="n">
        <v>1885</v>
      </c>
      <c r="B45" s="62" t="n">
        <v>0.006</v>
      </c>
      <c r="C45" s="56" t="n">
        <f aca="false">Economy!O45*B45</f>
        <v>10.8285768409373</v>
      </c>
      <c r="D45" s="56" t="n">
        <f aca="false">IF(AND($A45&gt;=1914,$A45&lt;=1918),entente_total*entente_private*CHOOSE($A45-1913,0.05,0.1333,0.2333,0.3,0.2834),0)</f>
        <v>0</v>
      </c>
      <c r="E45" s="56" t="n">
        <f aca="false">H44</f>
        <v>99.5131523826453</v>
      </c>
      <c r="F45" s="56" t="n">
        <f aca="false">(E45-0-'War credit'!Q45)*abroad_repat+0+'War credit'!R45</f>
        <v>2.98539457147936</v>
      </c>
      <c r="G45" s="56" t="n">
        <f aca="false">'War credit'!S45+IF(OR(A45=1931,A45=1932),(E45-0-'War credit'!Q45)*abroad_loss/2,0)</f>
        <v>0</v>
      </c>
      <c r="H45" s="56" t="n">
        <f aca="false">E45+C45+D45-F45-G45</f>
        <v>107.356334652103</v>
      </c>
      <c r="I45" s="72" t="n">
        <f aca="false">Champions!AY45</f>
        <v>100.704130655992</v>
      </c>
      <c r="J45" s="56" t="n">
        <f aca="false">H45+I45</f>
        <v>208.060465308096</v>
      </c>
      <c r="K45" s="56" t="n">
        <f aca="false">(E45-0-'War credit'!Q45)*abroad_return*IF(OR(A45=1931,A45=1932),abroad_slump,1)+0+'War credit'!U45</f>
        <v>5.97078914295872</v>
      </c>
      <c r="L45" s="72" t="n">
        <f aca="false">Champions!AZ45</f>
        <v>7.76367651048053</v>
      </c>
      <c r="M45" s="56" t="n">
        <f aca="false">K45+L45</f>
        <v>13.7344656534392</v>
      </c>
      <c r="N45" s="56" t="n">
        <f aca="false">M45*abroad_tax</f>
        <v>1.37344656534392</v>
      </c>
      <c r="O45" s="72" t="n">
        <f aca="false">Labour!R45</f>
        <v>0</v>
      </c>
      <c r="P45" s="49" t="n">
        <f aca="false">Economy!O45+M45-O45-V45</f>
        <v>1815.97448316633</v>
      </c>
      <c r="Q45" s="66" t="n">
        <f aca="false">M45/P45</f>
        <v>0.0075631380180474</v>
      </c>
      <c r="R45" s="66" t="n">
        <f aca="false">J45/Economy!O45</f>
        <v>0.115284105214007</v>
      </c>
      <c r="S45" s="88" t="n">
        <f aca="false">0</f>
        <v>0</v>
      </c>
      <c r="T45" s="88" t="n">
        <f aca="false">C45-S45</f>
        <v>10.8285768409373</v>
      </c>
      <c r="U45" s="88" t="n">
        <f aca="false">0</f>
        <v>0</v>
      </c>
      <c r="V45" s="89" t="n">
        <f aca="false">'Champion funding'!P45</f>
        <v>2.52278930999368</v>
      </c>
    </row>
    <row r="46" customFormat="false" ht="14.25" hidden="false" customHeight="true" outlineLevel="0" collapsed="false">
      <c r="A46" s="61" t="n">
        <v>1886</v>
      </c>
      <c r="B46" s="62" t="n">
        <v>0.006</v>
      </c>
      <c r="C46" s="56" t="n">
        <f aca="false">Economy!O46*B46</f>
        <v>11.78029214152</v>
      </c>
      <c r="D46" s="56" t="n">
        <f aca="false">IF(AND($A46&gt;=1914,$A46&lt;=1918),entente_total*entente_private*CHOOSE($A46-1913,0.05,0.1333,0.2333,0.3,0.2834),0)</f>
        <v>0</v>
      </c>
      <c r="E46" s="56" t="n">
        <f aca="false">H45</f>
        <v>107.356334652103</v>
      </c>
      <c r="F46" s="56" t="n">
        <f aca="false">(E46-0-'War credit'!Q46)*abroad_repat+0+'War credit'!R46</f>
        <v>3.2206900395631</v>
      </c>
      <c r="G46" s="56" t="n">
        <f aca="false">'War credit'!S46+IF(OR(A46=1931,A46=1932),(E46-0-'War credit'!Q46)*abroad_loss/2,0)</f>
        <v>0</v>
      </c>
      <c r="H46" s="56" t="n">
        <f aca="false">E46+C46+D46-F46-G46</f>
        <v>115.91593675406</v>
      </c>
      <c r="I46" s="72" t="n">
        <f aca="false">Champions!AY46</f>
        <v>112.402791342284</v>
      </c>
      <c r="J46" s="56" t="n">
        <f aca="false">H46+I46</f>
        <v>228.318728096344</v>
      </c>
      <c r="K46" s="56" t="n">
        <f aca="false">(E46-0-'War credit'!Q46)*abroad_return*IF(OR(A46=1931,A46=1932),abroad_slump,1)+0+'War credit'!U46</f>
        <v>6.44138007912619</v>
      </c>
      <c r="L46" s="72" t="n">
        <f aca="false">Champions!AZ46</f>
        <v>8.89226354428723</v>
      </c>
      <c r="M46" s="56" t="n">
        <f aca="false">K46+L46</f>
        <v>15.3336436234134</v>
      </c>
      <c r="N46" s="56" t="n">
        <f aca="false">M46*abroad_tax</f>
        <v>1.53336436234134</v>
      </c>
      <c r="O46" s="72" t="n">
        <f aca="false">Labour!R46</f>
        <v>0</v>
      </c>
      <c r="P46" s="49" t="n">
        <f aca="false">Economy!O46+M46-O46-V46</f>
        <v>1975.91291302466</v>
      </c>
      <c r="Q46" s="66" t="n">
        <f aca="false">M46/P46</f>
        <v>0.00776028311892614</v>
      </c>
      <c r="R46" s="66" t="n">
        <f aca="false">J46/Economy!O46</f>
        <v>0.116288488614792</v>
      </c>
      <c r="S46" s="88" t="n">
        <f aca="false">0</f>
        <v>0</v>
      </c>
      <c r="T46" s="88" t="n">
        <f aca="false">C46-S46</f>
        <v>11.78029214152</v>
      </c>
      <c r="U46" s="88" t="n">
        <f aca="false">0</f>
        <v>0</v>
      </c>
      <c r="V46" s="89" t="n">
        <f aca="false">'Champion funding'!P46</f>
        <v>2.80275418541664</v>
      </c>
    </row>
    <row r="47" customFormat="false" ht="14.25" hidden="false" customHeight="true" outlineLevel="0" collapsed="false">
      <c r="A47" s="61" t="n">
        <v>1887</v>
      </c>
      <c r="B47" s="62" t="n">
        <v>0.006</v>
      </c>
      <c r="C47" s="56" t="n">
        <f aca="false">Economy!O47*B47</f>
        <v>12.5794093693193</v>
      </c>
      <c r="D47" s="56" t="n">
        <f aca="false">IF(AND($A47&gt;=1914,$A47&lt;=1918),entente_total*entente_private*CHOOSE($A47-1913,0.05,0.1333,0.2333,0.3,0.2834),0)</f>
        <v>0</v>
      </c>
      <c r="E47" s="56" t="n">
        <f aca="false">H46</f>
        <v>115.91593675406</v>
      </c>
      <c r="F47" s="56" t="n">
        <f aca="false">(E47-0-'War credit'!Q47)*abroad_repat+0+'War credit'!R47</f>
        <v>3.4774781026218</v>
      </c>
      <c r="G47" s="56" t="n">
        <f aca="false">'War credit'!S47+IF(OR(A47=1931,A47=1932),(E47-0-'War credit'!Q47)*abroad_loss/2,0)</f>
        <v>0</v>
      </c>
      <c r="H47" s="56" t="n">
        <f aca="false">E47+C47+D47-F47-G47</f>
        <v>125.017868020758</v>
      </c>
      <c r="I47" s="72" t="n">
        <f aca="false">Champions!AY47</f>
        <v>119.541699299374</v>
      </c>
      <c r="J47" s="56" t="n">
        <f aca="false">H47+I47</f>
        <v>244.559567320131</v>
      </c>
      <c r="K47" s="56" t="n">
        <f aca="false">(E47-0-'War credit'!Q47)*abroad_return*IF(OR(A47=1931,A47=1932),abroad_slump,1)+0+'War credit'!U47</f>
        <v>6.9549562052436</v>
      </c>
      <c r="L47" s="72" t="n">
        <f aca="false">Champions!AZ47</f>
        <v>9.34302768661774</v>
      </c>
      <c r="M47" s="56" t="n">
        <f aca="false">K47+L47</f>
        <v>16.2979838918614</v>
      </c>
      <c r="N47" s="56" t="n">
        <f aca="false">M47*abroad_tax</f>
        <v>1.62979838918614</v>
      </c>
      <c r="O47" s="72" t="n">
        <f aca="false">Labour!R47</f>
        <v>0</v>
      </c>
      <c r="P47" s="49" t="n">
        <f aca="false">Economy!O47+M47-O47-V47</f>
        <v>2109.7943024935</v>
      </c>
      <c r="Q47" s="66" t="n">
        <f aca="false">M47/P47</f>
        <v>0.00772491606058432</v>
      </c>
      <c r="R47" s="66" t="n">
        <f aca="false">J47/Economy!O47</f>
        <v>0.116647559582536</v>
      </c>
      <c r="S47" s="88" t="n">
        <f aca="false">0</f>
        <v>0</v>
      </c>
      <c r="T47" s="88" t="n">
        <f aca="false">C47-S47</f>
        <v>12.5794093693193</v>
      </c>
      <c r="U47" s="88" t="n">
        <f aca="false">0</f>
        <v>0</v>
      </c>
      <c r="V47" s="89" t="n">
        <f aca="false">'Champion funding'!P47</f>
        <v>3.07190961824525</v>
      </c>
    </row>
    <row r="48" customFormat="false" ht="14.25" hidden="false" customHeight="true" outlineLevel="0" collapsed="false">
      <c r="A48" s="61" t="n">
        <v>1888</v>
      </c>
      <c r="B48" s="62" t="n">
        <v>0.006</v>
      </c>
      <c r="C48" s="56" t="n">
        <f aca="false">Economy!O48*B48</f>
        <v>13.4733091462046</v>
      </c>
      <c r="D48" s="56" t="n">
        <f aca="false">IF(AND($A48&gt;=1914,$A48&lt;=1918),entente_total*entente_private*CHOOSE($A48-1913,0.05,0.1333,0.2333,0.3,0.2834),0)</f>
        <v>0</v>
      </c>
      <c r="E48" s="56" t="n">
        <f aca="false">H47</f>
        <v>125.017868020758</v>
      </c>
      <c r="F48" s="56" t="n">
        <f aca="false">(E48-0-'War credit'!Q48)*abroad_repat+0+'War credit'!R48</f>
        <v>3.75053604062273</v>
      </c>
      <c r="G48" s="56" t="n">
        <f aca="false">'War credit'!S48+IF(OR(A48=1931,A48=1932),(E48-0-'War credit'!Q48)*abroad_loss/2,0)</f>
        <v>0</v>
      </c>
      <c r="H48" s="56" t="n">
        <f aca="false">E48+C48+D48-F48-G48</f>
        <v>134.740641126339</v>
      </c>
      <c r="I48" s="72" t="n">
        <f aca="false">Champions!AY48</f>
        <v>133.992599924823</v>
      </c>
      <c r="J48" s="56" t="n">
        <f aca="false">H48+I48</f>
        <v>268.733241051163</v>
      </c>
      <c r="K48" s="56" t="n">
        <f aca="false">(E48-0-'War credit'!Q48)*abroad_return*IF(OR(A48=1931,A48=1932),abroad_slump,1)+0+'War credit'!U48</f>
        <v>7.50107208124546</v>
      </c>
      <c r="L48" s="72" t="n">
        <f aca="false">Champions!AZ48</f>
        <v>10.7514825452255</v>
      </c>
      <c r="M48" s="56" t="n">
        <f aca="false">K48+L48</f>
        <v>18.2525546264709</v>
      </c>
      <c r="N48" s="56" t="n">
        <f aca="false">M48*abroad_tax</f>
        <v>1.82525546264709</v>
      </c>
      <c r="O48" s="72" t="n">
        <f aca="false">Labour!R48</f>
        <v>0</v>
      </c>
      <c r="P48" s="49" t="n">
        <f aca="false">Economy!O48+M48-O48-V48</f>
        <v>2260.5467535568</v>
      </c>
      <c r="Q48" s="66" t="n">
        <f aca="false">M48/P48</f>
        <v>0.00807439819492866</v>
      </c>
      <c r="R48" s="66" t="n">
        <f aca="false">J48/Economy!O48</f>
        <v>0.119673602736354</v>
      </c>
      <c r="S48" s="88" t="n">
        <f aca="false">0</f>
        <v>0</v>
      </c>
      <c r="T48" s="88" t="n">
        <f aca="false">C48-S48</f>
        <v>13.4733091462046</v>
      </c>
      <c r="U48" s="88" t="n">
        <f aca="false">0</f>
        <v>0</v>
      </c>
      <c r="V48" s="89" t="n">
        <f aca="false">'Champion funding'!P48</f>
        <v>3.25732543709862</v>
      </c>
    </row>
    <row r="49" customFormat="false" ht="14.25" hidden="false" customHeight="true" outlineLevel="0" collapsed="false">
      <c r="A49" s="61" t="n">
        <v>1889</v>
      </c>
      <c r="B49" s="62" t="n">
        <v>0.006</v>
      </c>
      <c r="C49" s="56" t="n">
        <f aca="false">Economy!O49*B49</f>
        <v>14.3805667985334</v>
      </c>
      <c r="D49" s="56" t="n">
        <f aca="false">IF(AND($A49&gt;=1914,$A49&lt;=1918),entente_total*entente_private*CHOOSE($A49-1913,0.05,0.1333,0.2333,0.3,0.2834),0)</f>
        <v>0</v>
      </c>
      <c r="E49" s="56" t="n">
        <f aca="false">H48</f>
        <v>134.740641126339</v>
      </c>
      <c r="F49" s="56" t="n">
        <f aca="false">(E49-0-'War credit'!Q49)*abroad_repat+0+'War credit'!R49</f>
        <v>4.04221923379018</v>
      </c>
      <c r="G49" s="56" t="n">
        <f aca="false">'War credit'!S49+IF(OR(A49=1931,A49=1932),(E49-0-'War credit'!Q49)*abroad_loss/2,0)</f>
        <v>0</v>
      </c>
      <c r="H49" s="56" t="n">
        <f aca="false">E49+C49+D49-F49-G49</f>
        <v>145.078988691083</v>
      </c>
      <c r="I49" s="72" t="n">
        <f aca="false">Champions!AY49</f>
        <v>142.871211777917</v>
      </c>
      <c r="J49" s="56" t="n">
        <f aca="false">H49+I49</f>
        <v>287.950200469</v>
      </c>
      <c r="K49" s="56" t="n">
        <f aca="false">(E49-0-'War credit'!Q49)*abroad_return*IF(OR(A49=1931,A49=1932),abroad_slump,1)+0+'War credit'!U49</f>
        <v>8.08443846758037</v>
      </c>
      <c r="L49" s="72" t="n">
        <f aca="false">Champions!AZ49</f>
        <v>11.4130989613183</v>
      </c>
      <c r="M49" s="56" t="n">
        <f aca="false">K49+L49</f>
        <v>19.4975374288987</v>
      </c>
      <c r="N49" s="56" t="n">
        <f aca="false">M49*abroad_tax</f>
        <v>1.94975374288987</v>
      </c>
      <c r="O49" s="72" t="n">
        <f aca="false">Labour!R49</f>
        <v>0</v>
      </c>
      <c r="P49" s="49" t="n">
        <f aca="false">Economy!O49+M49-O49-V49</f>
        <v>2412.60539086519</v>
      </c>
      <c r="Q49" s="66" t="n">
        <f aca="false">M49/P49</f>
        <v>0.0080815277553146</v>
      </c>
      <c r="R49" s="66" t="n">
        <f aca="false">J49/Economy!O49</f>
        <v>0.120141384343084</v>
      </c>
      <c r="S49" s="88" t="n">
        <f aca="false">0</f>
        <v>0</v>
      </c>
      <c r="T49" s="88" t="n">
        <f aca="false">C49-S49</f>
        <v>14.3805667985334</v>
      </c>
      <c r="U49" s="88" t="n">
        <f aca="false">0</f>
        <v>0</v>
      </c>
      <c r="V49" s="89" t="n">
        <f aca="false">'Champion funding'!P49</f>
        <v>3.65327965260879</v>
      </c>
    </row>
    <row r="50" customFormat="false" ht="14.25" hidden="false" customHeight="true" outlineLevel="0" collapsed="false">
      <c r="A50" s="61" t="n">
        <v>1890</v>
      </c>
      <c r="B50" s="62" t="n">
        <v>0.006</v>
      </c>
      <c r="C50" s="56" t="n">
        <f aca="false">Economy!O50*B50</f>
        <v>15.6230246574067</v>
      </c>
      <c r="D50" s="56" t="n">
        <f aca="false">IF(AND($A50&gt;=1914,$A50&lt;=1918),entente_total*entente_private*CHOOSE($A50-1913,0.05,0.1333,0.2333,0.3,0.2834),0)</f>
        <v>0</v>
      </c>
      <c r="E50" s="56" t="n">
        <f aca="false">H49</f>
        <v>145.078988691083</v>
      </c>
      <c r="F50" s="56" t="n">
        <f aca="false">(E50-0-'War credit'!Q50)*abroad_repat+0+'War credit'!R50</f>
        <v>4.35236966073248</v>
      </c>
      <c r="G50" s="56" t="n">
        <f aca="false">'War credit'!S50+IF(OR(A50=1931,A50=1932),(E50-0-'War credit'!Q50)*abroad_loss/2,0)</f>
        <v>0</v>
      </c>
      <c r="H50" s="56" t="n">
        <f aca="false">E50+C50+D50-F50-G50</f>
        <v>156.349643687757</v>
      </c>
      <c r="I50" s="72" t="n">
        <f aca="false">Champions!AY50</f>
        <v>161.453511564624</v>
      </c>
      <c r="J50" s="56" t="n">
        <f aca="false">H50+I50</f>
        <v>317.803155252381</v>
      </c>
      <c r="K50" s="56" t="n">
        <f aca="false">(E50-0-'War credit'!Q50)*abroad_return*IF(OR(A50=1931,A50=1932),abroad_slump,1)+0+'War credit'!U50</f>
        <v>8.70473932146496</v>
      </c>
      <c r="L50" s="72" t="n">
        <f aca="false">Champions!AZ50</f>
        <v>13.0434189437552</v>
      </c>
      <c r="M50" s="56" t="n">
        <f aca="false">K50+L50</f>
        <v>21.7481582652202</v>
      </c>
      <c r="N50" s="56" t="n">
        <f aca="false">M50*abroad_tax</f>
        <v>2.17481582652202</v>
      </c>
      <c r="O50" s="72" t="n">
        <f aca="false">Labour!R50</f>
        <v>8.71007422872479</v>
      </c>
      <c r="P50" s="49" t="n">
        <f aca="false">Economy!O50+M50-O50-V50</f>
        <v>2613.01731486075</v>
      </c>
      <c r="Q50" s="66" t="n">
        <f aca="false">M50/P50</f>
        <v>0.0083230057992858</v>
      </c>
      <c r="R50" s="66" t="n">
        <f aca="false">J50/Economy!O50</f>
        <v>0.122051841645803</v>
      </c>
      <c r="S50" s="88" t="n">
        <f aca="false">0</f>
        <v>0</v>
      </c>
      <c r="T50" s="88" t="n">
        <f aca="false">C50-S50</f>
        <v>15.6230246574067</v>
      </c>
      <c r="U50" s="88" t="n">
        <f aca="false">0</f>
        <v>0</v>
      </c>
      <c r="V50" s="89" t="n">
        <f aca="false">'Champion funding'!P50</f>
        <v>3.85821207686783</v>
      </c>
    </row>
    <row r="51" customFormat="false" ht="14.25" hidden="false" customHeight="true" outlineLevel="0" collapsed="false">
      <c r="A51" s="61" t="n">
        <v>1891</v>
      </c>
      <c r="B51" s="62" t="n">
        <v>0.006</v>
      </c>
      <c r="C51" s="56" t="n">
        <f aca="false">Economy!O51*B51</f>
        <v>16.7532238748743</v>
      </c>
      <c r="D51" s="56" t="n">
        <f aca="false">IF(AND($A51&gt;=1914,$A51&lt;=1918),entente_total*entente_private*CHOOSE($A51-1913,0.05,0.1333,0.2333,0.3,0.2834),0)</f>
        <v>0</v>
      </c>
      <c r="E51" s="56" t="n">
        <f aca="false">H50</f>
        <v>156.349643687757</v>
      </c>
      <c r="F51" s="56" t="n">
        <f aca="false">(E51-0-'War credit'!Q51)*abroad_repat+0+'War credit'!R51</f>
        <v>4.69048931063271</v>
      </c>
      <c r="G51" s="56" t="n">
        <f aca="false">'War credit'!S51+IF(OR(A51=1931,A51=1932),(E51-0-'War credit'!Q51)*abroad_loss/2,0)</f>
        <v>0</v>
      </c>
      <c r="H51" s="56" t="n">
        <f aca="false">E51+C51+D51-F51-G51</f>
        <v>168.412378251999</v>
      </c>
      <c r="I51" s="72" t="n">
        <f aca="false">Champions!AY51</f>
        <v>197.120136135941</v>
      </c>
      <c r="J51" s="56" t="n">
        <f aca="false">H51+I51</f>
        <v>365.53251438794</v>
      </c>
      <c r="K51" s="56" t="n">
        <f aca="false">(E51-0-'War credit'!Q51)*abroad_return*IF(OR(A51=1931,A51=1932),abroad_slump,1)+0+'War credit'!U51</f>
        <v>9.38097862126542</v>
      </c>
      <c r="L51" s="72" t="n">
        <f aca="false">Champions!AZ51</f>
        <v>15.800636983342</v>
      </c>
      <c r="M51" s="56" t="n">
        <f aca="false">K51+L51</f>
        <v>25.1816156046074</v>
      </c>
      <c r="N51" s="56" t="n">
        <f aca="false">M51*abroad_tax</f>
        <v>2.51816156046074</v>
      </c>
      <c r="O51" s="72" t="n">
        <f aca="false">Labour!R51</f>
        <v>14.3380470351882</v>
      </c>
      <c r="P51" s="49" t="n">
        <f aca="false">Economy!O51+M51-O51-V51</f>
        <v>2798.63147258412</v>
      </c>
      <c r="Q51" s="66" t="n">
        <f aca="false">M51/P51</f>
        <v>0.00899783192295625</v>
      </c>
      <c r="R51" s="66" t="n">
        <f aca="false">J51/Economy!O51</f>
        <v>0.130911823462044</v>
      </c>
      <c r="S51" s="88" t="n">
        <f aca="false">0</f>
        <v>0</v>
      </c>
      <c r="T51" s="88" t="n">
        <f aca="false">C51-S51</f>
        <v>16.7532238748743</v>
      </c>
      <c r="U51" s="88" t="n">
        <f aca="false">0</f>
        <v>0</v>
      </c>
      <c r="V51" s="89" t="n">
        <f aca="false">'Champion funding'!P51</f>
        <v>4.41607513101213</v>
      </c>
    </row>
    <row r="52" customFormat="false" ht="14.25" hidden="false" customHeight="true" outlineLevel="0" collapsed="false">
      <c r="A52" s="61" t="n">
        <v>1892</v>
      </c>
      <c r="B52" s="62" t="n">
        <v>0.006</v>
      </c>
      <c r="C52" s="56" t="n">
        <f aca="false">Economy!O52*B52</f>
        <v>17.9158375961667</v>
      </c>
      <c r="D52" s="56" t="n">
        <f aca="false">IF(AND($A52&gt;=1914,$A52&lt;=1918),entente_total*entente_private*CHOOSE($A52-1913,0.05,0.1333,0.2333,0.3,0.2834),0)</f>
        <v>0</v>
      </c>
      <c r="E52" s="56" t="n">
        <f aca="false">H51</f>
        <v>168.412378251999</v>
      </c>
      <c r="F52" s="56" t="n">
        <f aca="false">(E52-0-'War credit'!Q52)*abroad_repat+0+'War credit'!R52</f>
        <v>5.05237134755995</v>
      </c>
      <c r="G52" s="56" t="n">
        <f aca="false">'War credit'!S52+IF(OR(A52=1931,A52=1932),(E52-0-'War credit'!Q52)*abroad_loss/2,0)</f>
        <v>0</v>
      </c>
      <c r="H52" s="56" t="n">
        <f aca="false">E52+C52+D52-F52-G52</f>
        <v>181.275844500605</v>
      </c>
      <c r="I52" s="72" t="n">
        <f aca="false">Champions!AY52</f>
        <v>233.431943696517</v>
      </c>
      <c r="J52" s="56" t="n">
        <f aca="false">H52+I52</f>
        <v>414.707788197122</v>
      </c>
      <c r="K52" s="56" t="n">
        <f aca="false">(E52-0-'War credit'!Q52)*abroad_return*IF(OR(A52=1931,A52=1932),abroad_slump,1)+0+'War credit'!U52</f>
        <v>10.1047426951199</v>
      </c>
      <c r="L52" s="72" t="n">
        <f aca="false">Champions!AZ52</f>
        <v>18.5806653644582</v>
      </c>
      <c r="M52" s="56" t="n">
        <f aca="false">K52+L52</f>
        <v>28.6854080595781</v>
      </c>
      <c r="N52" s="56" t="n">
        <f aca="false">M52*abroad_tax</f>
        <v>2.86854080595781</v>
      </c>
      <c r="O52" s="72" t="n">
        <f aca="false">Labour!R52</f>
        <v>18.3371962117449</v>
      </c>
      <c r="P52" s="49" t="n">
        <f aca="false">Economy!O52+M52-O52-V52</f>
        <v>2990.44329760662</v>
      </c>
      <c r="Q52" s="66" t="n">
        <f aca="false">M52/P52</f>
        <v>0.00959235979579893</v>
      </c>
      <c r="R52" s="66" t="n">
        <f aca="false">J52/Economy!O52</f>
        <v>0.138885313947874</v>
      </c>
      <c r="S52" s="88" t="n">
        <f aca="false">0</f>
        <v>0</v>
      </c>
      <c r="T52" s="88" t="n">
        <f aca="false">C52-S52</f>
        <v>17.9158375961667</v>
      </c>
      <c r="U52" s="88" t="n">
        <f aca="false">0</f>
        <v>0</v>
      </c>
      <c r="V52" s="89" t="n">
        <f aca="false">'Champion funding'!P52</f>
        <v>5.87784693565664</v>
      </c>
    </row>
    <row r="53" customFormat="false" ht="14.25" hidden="false" customHeight="true" outlineLevel="0" collapsed="false">
      <c r="A53" s="61" t="n">
        <v>1893</v>
      </c>
      <c r="B53" s="62" t="n">
        <v>0.006</v>
      </c>
      <c r="C53" s="56" t="n">
        <f aca="false">Economy!O53*B53</f>
        <v>18.1543728997314</v>
      </c>
      <c r="D53" s="56" t="n">
        <f aca="false">IF(AND($A53&gt;=1914,$A53&lt;=1918),entente_total*entente_private*CHOOSE($A53-1913,0.05,0.1333,0.2333,0.3,0.2834),0)</f>
        <v>0</v>
      </c>
      <c r="E53" s="56" t="n">
        <f aca="false">H52</f>
        <v>181.275844500605</v>
      </c>
      <c r="F53" s="56" t="n">
        <f aca="false">(E53-0-'War credit'!Q53)*abroad_repat+0+'War credit'!R53</f>
        <v>5.43827533501816</v>
      </c>
      <c r="G53" s="56" t="n">
        <f aca="false">'War credit'!S53+IF(OR(A53=1931,A53=1932),(E53-0-'War credit'!Q53)*abroad_loss/2,0)</f>
        <v>0</v>
      </c>
      <c r="H53" s="56" t="n">
        <f aca="false">E53+C53+D53-F53-G53</f>
        <v>193.991942065318</v>
      </c>
      <c r="I53" s="72" t="n">
        <f aca="false">Champions!AY53</f>
        <v>271.659341106535</v>
      </c>
      <c r="J53" s="56" t="n">
        <f aca="false">H53+I53</f>
        <v>465.651283171854</v>
      </c>
      <c r="K53" s="56" t="n">
        <f aca="false">(E53-0-'War credit'!Q53)*abroad_return*IF(OR(A53=1931,A53=1932),abroad_slump,1)+0+'War credit'!U53</f>
        <v>10.8765506700363</v>
      </c>
      <c r="L53" s="72" t="n">
        <f aca="false">Champions!AZ53</f>
        <v>21.5768220972745</v>
      </c>
      <c r="M53" s="56" t="n">
        <f aca="false">K53+L53</f>
        <v>32.4533727673108</v>
      </c>
      <c r="N53" s="56" t="n">
        <f aca="false">M53*abroad_tax</f>
        <v>3.24533727673108</v>
      </c>
      <c r="O53" s="72" t="n">
        <f aca="false">Labour!R53</f>
        <v>18.7474142782238</v>
      </c>
      <c r="P53" s="49" t="n">
        <f aca="false">Economy!O53+M53-O53-V53</f>
        <v>3032.1368241863</v>
      </c>
      <c r="Q53" s="66" t="n">
        <f aca="false">M53/P53</f>
        <v>0.0107031359892606</v>
      </c>
      <c r="R53" s="66" t="n">
        <f aca="false">J53/Economy!O53</f>
        <v>0.153897229855428</v>
      </c>
      <c r="S53" s="88" t="n">
        <f aca="false">0</f>
        <v>0</v>
      </c>
      <c r="T53" s="88" t="n">
        <f aca="false">C53-S53</f>
        <v>18.1543728997314</v>
      </c>
      <c r="U53" s="88" t="n">
        <f aca="false">0</f>
        <v>0</v>
      </c>
      <c r="V53" s="89" t="n">
        <f aca="false">'Champion funding'!P53</f>
        <v>7.2979509246986</v>
      </c>
    </row>
    <row r="54" customFormat="false" ht="14.25" hidden="false" customHeight="true" outlineLevel="0" collapsed="false">
      <c r="A54" s="61" t="n">
        <v>1894</v>
      </c>
      <c r="B54" s="62" t="n">
        <v>0.006</v>
      </c>
      <c r="C54" s="56" t="n">
        <f aca="false">Economy!O54*B54</f>
        <v>19.0916488079787</v>
      </c>
      <c r="D54" s="56" t="n">
        <f aca="false">IF(AND($A54&gt;=1914,$A54&lt;=1918),entente_total*entente_private*CHOOSE($A54-1913,0.05,0.1333,0.2333,0.3,0.2834),0)</f>
        <v>0</v>
      </c>
      <c r="E54" s="56" t="n">
        <f aca="false">H53</f>
        <v>193.991942065318</v>
      </c>
      <c r="F54" s="56" t="n">
        <f aca="false">(E54-0-'War credit'!Q54)*abroad_repat+0+'War credit'!R54</f>
        <v>5.81975826195956</v>
      </c>
      <c r="G54" s="56" t="n">
        <f aca="false">'War credit'!S54+IF(OR(A54=1931,A54=1932),(E54-0-'War credit'!Q54)*abroad_loss/2,0)</f>
        <v>0</v>
      </c>
      <c r="H54" s="56" t="n">
        <f aca="false">E54+C54+D54-F54-G54</f>
        <v>207.263832611338</v>
      </c>
      <c r="I54" s="72" t="n">
        <f aca="false">Champions!AY54</f>
        <v>309.107264793303</v>
      </c>
      <c r="J54" s="56" t="n">
        <f aca="false">H54+I54</f>
        <v>516.37109740464</v>
      </c>
      <c r="K54" s="56" t="n">
        <f aca="false">(E54-0-'War credit'!Q54)*abroad_return*IF(OR(A54=1931,A54=1932),abroad_slump,1)+0+'War credit'!U54</f>
        <v>11.6395165239191</v>
      </c>
      <c r="L54" s="72" t="n">
        <f aca="false">Champions!AZ54</f>
        <v>24.5052388410855</v>
      </c>
      <c r="M54" s="56" t="n">
        <f aca="false">K54+L54</f>
        <v>36.1447553650046</v>
      </c>
      <c r="N54" s="56" t="n">
        <f aca="false">M54*abroad_tax</f>
        <v>3.61447553650046</v>
      </c>
      <c r="O54" s="72" t="n">
        <f aca="false">Labour!R54</f>
        <v>19.7133741782042</v>
      </c>
      <c r="P54" s="49" t="n">
        <f aca="false">Economy!O54+M54-O54-V54</f>
        <v>3189.64247021758</v>
      </c>
      <c r="Q54" s="66" t="n">
        <f aca="false">M54/P54</f>
        <v>0.0113319143767668</v>
      </c>
      <c r="R54" s="66" t="n">
        <f aca="false">J54/Economy!O54</f>
        <v>0.162281771238796</v>
      </c>
      <c r="S54" s="88" t="n">
        <f aca="false">0</f>
        <v>0</v>
      </c>
      <c r="T54" s="88" t="n">
        <f aca="false">C54-S54</f>
        <v>19.0916488079787</v>
      </c>
      <c r="U54" s="88" t="n">
        <f aca="false">0</f>
        <v>0</v>
      </c>
      <c r="V54" s="89" t="n">
        <f aca="false">'Champion funding'!P54</f>
        <v>8.73037896567473</v>
      </c>
    </row>
    <row r="55" customFormat="false" ht="14.25" hidden="false" customHeight="true" outlineLevel="0" collapsed="false">
      <c r="A55" s="61" t="n">
        <v>1895</v>
      </c>
      <c r="B55" s="62" t="n">
        <v>0.006</v>
      </c>
      <c r="C55" s="56" t="n">
        <f aca="false">Economy!O55*B55</f>
        <v>20.9140718408799</v>
      </c>
      <c r="D55" s="56" t="n">
        <f aca="false">IF(AND($A55&gt;=1914,$A55&lt;=1918),entente_total*entente_private*CHOOSE($A55-1913,0.05,0.1333,0.2333,0.3,0.2834),0)</f>
        <v>0</v>
      </c>
      <c r="E55" s="56" t="n">
        <f aca="false">H54</f>
        <v>207.263832611338</v>
      </c>
      <c r="F55" s="56" t="n">
        <f aca="false">(E55-0-'War credit'!Q55)*abroad_repat+0+'War credit'!R55</f>
        <v>6.21791497834013</v>
      </c>
      <c r="G55" s="56" t="n">
        <f aca="false">'War credit'!S55+IF(OR(A55=1931,A55=1932),(E55-0-'War credit'!Q55)*abroad_loss/2,0)</f>
        <v>0</v>
      </c>
      <c r="H55" s="56" t="n">
        <f aca="false">E55+C55+D55-F55-G55</f>
        <v>221.959989473877</v>
      </c>
      <c r="I55" s="72" t="n">
        <f aca="false">Champions!AY55</f>
        <v>348.391715573911</v>
      </c>
      <c r="J55" s="56" t="n">
        <f aca="false">H55+I55</f>
        <v>570.351705047788</v>
      </c>
      <c r="K55" s="56" t="n">
        <f aca="false">(E55-0-'War credit'!Q55)*abroad_return*IF(OR(A55=1931,A55=1932),abroad_slump,1)+0+'War credit'!U55</f>
        <v>12.4358299566803</v>
      </c>
      <c r="L55" s="72" t="n">
        <f aca="false">Champions!AZ55</f>
        <v>27.1646925118819</v>
      </c>
      <c r="M55" s="56" t="n">
        <f aca="false">K55+L55</f>
        <v>39.6005224685622</v>
      </c>
      <c r="N55" s="56" t="n">
        <f aca="false">M55*abroad_tax</f>
        <v>3.96005224685622</v>
      </c>
      <c r="O55" s="72" t="n">
        <f aca="false">Labour!R55</f>
        <v>22.9034592457773</v>
      </c>
      <c r="P55" s="49" t="n">
        <f aca="false">Economy!O55+M55-O55-V55</f>
        <v>3492.43393314271</v>
      </c>
      <c r="Q55" s="66" t="n">
        <f aca="false">M55/P55</f>
        <v>0.0113389467708347</v>
      </c>
      <c r="R55" s="66" t="n">
        <f aca="false">J55/Economy!O55</f>
        <v>0.163627162435086</v>
      </c>
      <c r="S55" s="88" t="n">
        <f aca="false">0</f>
        <v>0</v>
      </c>
      <c r="T55" s="88" t="n">
        <f aca="false">C55-S55</f>
        <v>20.9140718408799</v>
      </c>
      <c r="U55" s="88" t="n">
        <f aca="false">0</f>
        <v>0</v>
      </c>
      <c r="V55" s="89" t="n">
        <f aca="false">'Champion funding'!P55</f>
        <v>9.94177022673484</v>
      </c>
    </row>
    <row r="56" customFormat="false" ht="14.25" hidden="false" customHeight="true" outlineLevel="0" collapsed="false">
      <c r="A56" s="61" t="n">
        <v>1896</v>
      </c>
      <c r="B56" s="62" t="n">
        <v>0.02</v>
      </c>
      <c r="C56" s="56" t="n">
        <f aca="false">Economy!O56*B56</f>
        <v>74.3240134657276</v>
      </c>
      <c r="D56" s="56" t="n">
        <f aca="false">IF(AND($A56&gt;=1914,$A56&lt;=1918),entente_total*entente_private*CHOOSE($A56-1913,0.05,0.1333,0.2333,0.3,0.2834),0)</f>
        <v>0</v>
      </c>
      <c r="E56" s="56" t="n">
        <f aca="false">H55</f>
        <v>221.959989473877</v>
      </c>
      <c r="F56" s="56" t="n">
        <f aca="false">(E56-0-'War credit'!Q56)*abroad_repat+0+'War credit'!R56</f>
        <v>6.65879968421632</v>
      </c>
      <c r="G56" s="56" t="n">
        <f aca="false">'War credit'!S56+IF(OR(A56=1931,A56=1932),(E56-0-'War credit'!Q56)*abroad_loss/2,0)</f>
        <v>0</v>
      </c>
      <c r="H56" s="56" t="n">
        <f aca="false">E56+C56+D56-F56-G56</f>
        <v>289.625203255389</v>
      </c>
      <c r="I56" s="72" t="n">
        <f aca="false">Champions!AY56</f>
        <v>388.306373573766</v>
      </c>
      <c r="J56" s="56" t="n">
        <f aca="false">H56+I56</f>
        <v>677.931576829154</v>
      </c>
      <c r="K56" s="56" t="n">
        <f aca="false">(E56-0-'War credit'!Q56)*abroad_return*IF(OR(A56=1931,A56=1932),abroad_slump,1)+0+'War credit'!U56</f>
        <v>13.3175993684326</v>
      </c>
      <c r="L56" s="72" t="n">
        <f aca="false">Champions!AZ56</f>
        <v>30.2549595516238</v>
      </c>
      <c r="M56" s="56" t="n">
        <f aca="false">K56+L56</f>
        <v>43.5725589200564</v>
      </c>
      <c r="N56" s="56" t="n">
        <f aca="false">M56*abroad_tax</f>
        <v>4.35725589200564</v>
      </c>
      <c r="O56" s="72" t="n">
        <f aca="false">Labour!R56</f>
        <v>25.5593880168162</v>
      </c>
      <c r="P56" s="49" t="n">
        <f aca="false">Economy!O56+M56-O56-V56</f>
        <v>3722.84598666837</v>
      </c>
      <c r="Q56" s="66" t="n">
        <f aca="false">M56/P56</f>
        <v>0.0117040992498995</v>
      </c>
      <c r="R56" s="66" t="n">
        <f aca="false">J56/Economy!O56</f>
        <v>0.18242598729999</v>
      </c>
      <c r="S56" s="88" t="n">
        <f aca="false">0</f>
        <v>0</v>
      </c>
      <c r="T56" s="88" t="n">
        <f aca="false">C56-S56</f>
        <v>74.3240134657276</v>
      </c>
      <c r="U56" s="88" t="n">
        <f aca="false">0</f>
        <v>0</v>
      </c>
      <c r="V56" s="89" t="n">
        <f aca="false">'Champion funding'!P56</f>
        <v>11.36785752125</v>
      </c>
    </row>
    <row r="57" customFormat="false" ht="14.25" hidden="false" customHeight="true" outlineLevel="0" collapsed="false">
      <c r="A57" s="61" t="n">
        <v>1897</v>
      </c>
      <c r="B57" s="62" t="n">
        <v>0.02</v>
      </c>
      <c r="C57" s="56" t="n">
        <f aca="false">Economy!O57*B57</f>
        <v>83.5313049350971</v>
      </c>
      <c r="D57" s="56" t="n">
        <f aca="false">IF(AND($A57&gt;=1914,$A57&lt;=1918),entente_total*entente_private*CHOOSE($A57-1913,0.05,0.1333,0.2333,0.3,0.2834),0)</f>
        <v>0</v>
      </c>
      <c r="E57" s="56" t="n">
        <f aca="false">H56</f>
        <v>289.625203255389</v>
      </c>
      <c r="F57" s="56" t="n">
        <f aca="false">(E57-0-'War credit'!Q57)*abroad_repat+0+'War credit'!R57</f>
        <v>8.68875609766166</v>
      </c>
      <c r="G57" s="56" t="n">
        <f aca="false">'War credit'!S57+IF(OR(A57=1931,A57=1932),(E57-0-'War credit'!Q57)*abroad_loss/2,0)</f>
        <v>0</v>
      </c>
      <c r="H57" s="56" t="n">
        <f aca="false">E57+C57+D57-F57-G57</f>
        <v>364.467752092824</v>
      </c>
      <c r="I57" s="72" t="n">
        <f aca="false">Champions!AY57</f>
        <v>428.627626894893</v>
      </c>
      <c r="J57" s="56" t="n">
        <f aca="false">H57+I57</f>
        <v>793.095378987718</v>
      </c>
      <c r="K57" s="56" t="n">
        <f aca="false">(E57-0-'War credit'!Q57)*abroad_return*IF(OR(A57=1931,A57=1932),abroad_slump,1)+0+'War credit'!U57</f>
        <v>17.3775121953233</v>
      </c>
      <c r="L57" s="72" t="n">
        <f aca="false">Champions!AZ57</f>
        <v>33.3832333528356</v>
      </c>
      <c r="M57" s="56" t="n">
        <f aca="false">K57+L57</f>
        <v>50.7607455481589</v>
      </c>
      <c r="N57" s="56" t="n">
        <f aca="false">M57*abroad_tax</f>
        <v>5.07607455481589</v>
      </c>
      <c r="O57" s="72" t="n">
        <f aca="false">Labour!R57</f>
        <v>30.5360335956942</v>
      </c>
      <c r="P57" s="49" t="n">
        <f aca="false">Economy!O57+M57-O57-V57</f>
        <v>4184.17477077489</v>
      </c>
      <c r="Q57" s="66" t="n">
        <f aca="false">M57/P57</f>
        <v>0.012131602604821</v>
      </c>
      <c r="R57" s="66" t="n">
        <f aca="false">J57/Economy!O57</f>
        <v>0.189891772815939</v>
      </c>
      <c r="S57" s="88" t="n">
        <f aca="false">0</f>
        <v>0</v>
      </c>
      <c r="T57" s="88" t="n">
        <f aca="false">C57-S57</f>
        <v>83.5313049350971</v>
      </c>
      <c r="U57" s="88" t="n">
        <f aca="false">0</f>
        <v>0</v>
      </c>
      <c r="V57" s="89" t="n">
        <f aca="false">'Champion funding'!P57</f>
        <v>12.6151879324296</v>
      </c>
    </row>
    <row r="58" customFormat="false" ht="14.25" hidden="false" customHeight="true" outlineLevel="0" collapsed="false">
      <c r="A58" s="61" t="n">
        <v>1898</v>
      </c>
      <c r="B58" s="62" t="n">
        <v>0.02</v>
      </c>
      <c r="C58" s="56" t="n">
        <f aca="false">Economy!O58*B58</f>
        <v>91.6572417598475</v>
      </c>
      <c r="D58" s="56" t="n">
        <f aca="false">IF(AND($A58&gt;=1914,$A58&lt;=1918),entente_total*entente_private*CHOOSE($A58-1913,0.05,0.1333,0.2333,0.3,0.2834),0)</f>
        <v>0</v>
      </c>
      <c r="E58" s="56" t="n">
        <f aca="false">H57</f>
        <v>364.467752092824</v>
      </c>
      <c r="F58" s="56" t="n">
        <f aca="false">(E58-0-'War credit'!Q58)*abroad_repat+0+'War credit'!R58</f>
        <v>10.9340325627847</v>
      </c>
      <c r="G58" s="56" t="n">
        <f aca="false">'War credit'!S58+IF(OR(A58=1931,A58=1932),(E58-0-'War credit'!Q58)*abroad_loss/2,0)</f>
        <v>0</v>
      </c>
      <c r="H58" s="56" t="n">
        <f aca="false">E58+C58+D58-F58-G58</f>
        <v>445.190961289887</v>
      </c>
      <c r="I58" s="72" t="n">
        <f aca="false">Champions!AY58</f>
        <v>470.861077730601</v>
      </c>
      <c r="J58" s="56" t="n">
        <f aca="false">H58+I58</f>
        <v>916.052039020488</v>
      </c>
      <c r="K58" s="56" t="n">
        <f aca="false">(E58-0-'War credit'!Q58)*abroad_return*IF(OR(A58=1931,A58=1932),abroad_slump,1)+0+'War credit'!U58</f>
        <v>21.8680651255695</v>
      </c>
      <c r="L58" s="72" t="n">
        <f aca="false">Champions!AZ58</f>
        <v>36.7710474758349</v>
      </c>
      <c r="M58" s="56" t="n">
        <f aca="false">K58+L58</f>
        <v>58.6391126014044</v>
      </c>
      <c r="N58" s="56" t="n">
        <f aca="false">M58*abroad_tax</f>
        <v>5.86391126014044</v>
      </c>
      <c r="O58" s="72" t="n">
        <f aca="false">Labour!R58</f>
        <v>34.5885108574998</v>
      </c>
      <c r="P58" s="49" t="n">
        <f aca="false">Economy!O58+M58-O58-V58</f>
        <v>4593.09692331807</v>
      </c>
      <c r="Q58" s="66" t="n">
        <f aca="false">M58/P58</f>
        <v>0.0127667919010608</v>
      </c>
      <c r="R58" s="66" t="n">
        <f aca="false">J58/Economy!O58</f>
        <v>0.199886451180944</v>
      </c>
      <c r="S58" s="88" t="n">
        <f aca="false">0</f>
        <v>0</v>
      </c>
      <c r="T58" s="88" t="n">
        <f aca="false">C58-S58</f>
        <v>91.6572417598475</v>
      </c>
      <c r="U58" s="88" t="n">
        <f aca="false">0</f>
        <v>0</v>
      </c>
      <c r="V58" s="89" t="n">
        <f aca="false">'Champion funding'!P58</f>
        <v>13.8157664182071</v>
      </c>
    </row>
    <row r="59" customFormat="false" ht="14.25" hidden="false" customHeight="true" outlineLevel="0" collapsed="false">
      <c r="A59" s="61" t="n">
        <v>1899</v>
      </c>
      <c r="B59" s="62" t="n">
        <v>0.02</v>
      </c>
      <c r="C59" s="56" t="n">
        <f aca="false">Economy!O59*B59</f>
        <v>100.322962662695</v>
      </c>
      <c r="D59" s="56" t="n">
        <f aca="false">IF(AND($A59&gt;=1914,$A59&lt;=1918),entente_total*entente_private*CHOOSE($A59-1913,0.05,0.1333,0.2333,0.3,0.2834),0)</f>
        <v>0</v>
      </c>
      <c r="E59" s="56" t="n">
        <f aca="false">H58</f>
        <v>445.190961289887</v>
      </c>
      <c r="F59" s="56" t="n">
        <f aca="false">(E59-0-'War credit'!Q59)*abroad_repat+0+'War credit'!R59</f>
        <v>13.3557288386966</v>
      </c>
      <c r="G59" s="56" t="n">
        <f aca="false">'War credit'!S59+IF(OR(A59=1931,A59=1932),(E59-0-'War credit'!Q59)*abroad_loss/2,0)</f>
        <v>0</v>
      </c>
      <c r="H59" s="56" t="n">
        <f aca="false">E59+C59+D59-F59-G59</f>
        <v>532.158195113885</v>
      </c>
      <c r="I59" s="72" t="n">
        <f aca="false">Champions!AY59</f>
        <v>512.32977540668</v>
      </c>
      <c r="J59" s="56" t="n">
        <f aca="false">H59+I59</f>
        <v>1044.48797052057</v>
      </c>
      <c r="K59" s="56" t="n">
        <f aca="false">(E59-0-'War credit'!Q59)*abroad_return*IF(OR(A59=1931,A59=1932),abroad_slump,1)+0+'War credit'!U59</f>
        <v>26.7114576773932</v>
      </c>
      <c r="L59" s="72" t="n">
        <f aca="false">Champions!AZ59</f>
        <v>40.0529946001035</v>
      </c>
      <c r="M59" s="56" t="n">
        <f aca="false">K59+L59</f>
        <v>66.7644522774968</v>
      </c>
      <c r="N59" s="56" t="n">
        <f aca="false">M59*abroad_tax</f>
        <v>6.67644522774968</v>
      </c>
      <c r="O59" s="72" t="n">
        <f aca="false">Labour!R59</f>
        <v>38.482935093885</v>
      </c>
      <c r="P59" s="49" t="n">
        <f aca="false">Economy!O59+M59-O59-V59</f>
        <v>5029.40765951477</v>
      </c>
      <c r="Q59" s="66" t="n">
        <f aca="false">M59/P59</f>
        <v>0.0132748142122045</v>
      </c>
      <c r="R59" s="66" t="n">
        <f aca="false">J59/Economy!O59</f>
        <v>0.208225104761376</v>
      </c>
      <c r="S59" s="88" t="n">
        <f aca="false">0</f>
        <v>0</v>
      </c>
      <c r="T59" s="88" t="n">
        <f aca="false">C59-S59</f>
        <v>100.322962662695</v>
      </c>
      <c r="U59" s="88" t="n">
        <f aca="false">0</f>
        <v>0</v>
      </c>
      <c r="V59" s="89" t="n">
        <f aca="false">'Champion funding'!P59</f>
        <v>15.0219908035914</v>
      </c>
    </row>
    <row r="60" customFormat="false" ht="14.25" hidden="false" customHeight="true" outlineLevel="0" collapsed="false">
      <c r="A60" s="61" t="n">
        <v>1900</v>
      </c>
      <c r="B60" s="62" t="n">
        <v>0.02</v>
      </c>
      <c r="C60" s="56" t="n">
        <f aca="false">Economy!O60*B60</f>
        <v>109.927051903209</v>
      </c>
      <c r="D60" s="56" t="n">
        <f aca="false">IF(AND($A60&gt;=1914,$A60&lt;=1918),entente_total*entente_private*CHOOSE($A60-1913,0.05,0.1333,0.2333,0.3,0.2834),0)</f>
        <v>0</v>
      </c>
      <c r="E60" s="56" t="n">
        <f aca="false">H59</f>
        <v>532.158195113885</v>
      </c>
      <c r="F60" s="56" t="n">
        <f aca="false">(E60-0-'War credit'!Q60)*abroad_repat+0+'War credit'!R60</f>
        <v>15.9647458534166</v>
      </c>
      <c r="G60" s="56" t="n">
        <f aca="false">'War credit'!S60+IF(OR(A60=1931,A60=1932),(E60-0-'War credit'!Q60)*abroad_loss/2,0)</f>
        <v>0</v>
      </c>
      <c r="H60" s="56" t="n">
        <f aca="false">E60+C60+D60-F60-G60</f>
        <v>626.120501163678</v>
      </c>
      <c r="I60" s="72" t="n">
        <f aca="false">Champions!AY60</f>
        <v>554.52632529333</v>
      </c>
      <c r="J60" s="56" t="n">
        <f aca="false">H60+I60</f>
        <v>1180.64682645701</v>
      </c>
      <c r="K60" s="56" t="n">
        <f aca="false">(E60-0-'War credit'!Q60)*abroad_return*IF(OR(A60=1931,A60=1932),abroad_slump,1)+0+'War credit'!U60</f>
        <v>31.9294917068331</v>
      </c>
      <c r="L60" s="72" t="n">
        <f aca="false">Champions!AZ60</f>
        <v>43.3754271777683</v>
      </c>
      <c r="M60" s="56" t="n">
        <f aca="false">K60+L60</f>
        <v>75.3049188846014</v>
      </c>
      <c r="N60" s="56" t="n">
        <f aca="false">M60*abroad_tax</f>
        <v>7.53049188846014</v>
      </c>
      <c r="O60" s="72" t="n">
        <f aca="false">Labour!R60</f>
        <v>42.411537897923</v>
      </c>
      <c r="P60" s="49" t="n">
        <f aca="false">Economy!O60+M60-O60-V60</f>
        <v>5513.15390241792</v>
      </c>
      <c r="Q60" s="66" t="n">
        <f aca="false">M60/P60</f>
        <v>0.0136591359895784</v>
      </c>
      <c r="R60" s="66" t="n">
        <f aca="false">J60/Economy!O60</f>
        <v>0.214805510748449</v>
      </c>
      <c r="S60" s="88" t="n">
        <f aca="false">0</f>
        <v>0</v>
      </c>
      <c r="T60" s="88" t="n">
        <f aca="false">C60-S60</f>
        <v>109.927051903209</v>
      </c>
      <c r="U60" s="88" t="n">
        <f aca="false">0</f>
        <v>0</v>
      </c>
      <c r="V60" s="89" t="n">
        <f aca="false">'Champion funding'!P60</f>
        <v>16.0920737292263</v>
      </c>
    </row>
    <row r="61" customFormat="false" ht="14.25" hidden="false" customHeight="true" outlineLevel="0" collapsed="false">
      <c r="A61" s="61" t="n">
        <v>1901</v>
      </c>
      <c r="B61" s="62" t="n">
        <v>0.02</v>
      </c>
      <c r="C61" s="56" t="n">
        <f aca="false">Economy!O61*B61</f>
        <v>119.70002382327</v>
      </c>
      <c r="D61" s="56" t="n">
        <f aca="false">IF(AND($A61&gt;=1914,$A61&lt;=1918),entente_total*entente_private*CHOOSE($A61-1913,0.05,0.1333,0.2333,0.3,0.2834),0)</f>
        <v>0</v>
      </c>
      <c r="E61" s="56" t="n">
        <f aca="false">H60</f>
        <v>626.120501163678</v>
      </c>
      <c r="F61" s="56" t="n">
        <f aca="false">(E61-0-'War credit'!Q61)*abroad_repat+0+'War credit'!R61</f>
        <v>18.7836150349103</v>
      </c>
      <c r="G61" s="56" t="n">
        <f aca="false">'War credit'!S61+IF(OR(A61=1931,A61=1932),(E61-0-'War credit'!Q61)*abroad_loss/2,0)</f>
        <v>0</v>
      </c>
      <c r="H61" s="56" t="n">
        <f aca="false">E61+C61+D61-F61-G61</f>
        <v>727.036909952038</v>
      </c>
      <c r="I61" s="72" t="n">
        <f aca="false">Champions!AY61</f>
        <v>1284.22917092261</v>
      </c>
      <c r="J61" s="56" t="n">
        <f aca="false">H61+I61</f>
        <v>2011.26608087465</v>
      </c>
      <c r="K61" s="56" t="n">
        <f aca="false">(E61-0-'War credit'!Q61)*abroad_return*IF(OR(A61=1931,A61=1932),abroad_slump,1)+0+'War credit'!U61</f>
        <v>37.5672300698207</v>
      </c>
      <c r="L61" s="72" t="n">
        <f aca="false">Champions!AZ61</f>
        <v>89.5614163926572</v>
      </c>
      <c r="M61" s="56" t="n">
        <f aca="false">K61+L61</f>
        <v>127.128646462478</v>
      </c>
      <c r="N61" s="56" t="n">
        <f aca="false">M61*abroad_tax</f>
        <v>12.7128646462478</v>
      </c>
      <c r="O61" s="72" t="n">
        <f aca="false">Labour!R61</f>
        <v>46.1407987373573</v>
      </c>
      <c r="P61" s="49" t="n">
        <f aca="false">Economy!O61+M61-O61-V61</f>
        <v>6050.0014728494</v>
      </c>
      <c r="Q61" s="66" t="n">
        <f aca="false">M61/P61</f>
        <v>0.0210129942997524</v>
      </c>
      <c r="R61" s="66" t="n">
        <f aca="false">J61/Economy!O61</f>
        <v>0.336051074449937</v>
      </c>
      <c r="S61" s="88" t="n">
        <f aca="false">0</f>
        <v>0</v>
      </c>
      <c r="T61" s="88" t="n">
        <f aca="false">C61-S61</f>
        <v>119.70002382327</v>
      </c>
      <c r="U61" s="88" t="n">
        <f aca="false">0</f>
        <v>0</v>
      </c>
      <c r="V61" s="89" t="n">
        <f aca="false">'Champion funding'!P61</f>
        <v>15.9875660392349</v>
      </c>
    </row>
    <row r="62" customFormat="false" ht="14.25" hidden="false" customHeight="true" outlineLevel="0" collapsed="false">
      <c r="A62" s="61" t="n">
        <v>1902</v>
      </c>
      <c r="B62" s="62" t="n">
        <v>0.02</v>
      </c>
      <c r="C62" s="56" t="n">
        <f aca="false">Economy!O62*B62</f>
        <v>130.549922771505</v>
      </c>
      <c r="D62" s="56" t="n">
        <f aca="false">IF(AND($A62&gt;=1914,$A62&lt;=1918),entente_total*entente_private*CHOOSE($A62-1913,0.05,0.1333,0.2333,0.3,0.2834),0)</f>
        <v>0</v>
      </c>
      <c r="E62" s="56" t="n">
        <f aca="false">H61</f>
        <v>727.036909952038</v>
      </c>
      <c r="F62" s="56" t="n">
        <f aca="false">(E62-0-'War credit'!Q62)*abroad_repat+0+'War credit'!R62</f>
        <v>21.8111072985611</v>
      </c>
      <c r="G62" s="56" t="n">
        <f aca="false">'War credit'!S62+IF(OR(A62=1931,A62=1932),(E62-0-'War credit'!Q62)*abroad_loss/2,0)</f>
        <v>0</v>
      </c>
      <c r="H62" s="56" t="n">
        <f aca="false">E62+C62+D62-F62-G62</f>
        <v>835.775725424982</v>
      </c>
      <c r="I62" s="72" t="n">
        <f aca="false">Champions!AY62</f>
        <v>1415.5676071704</v>
      </c>
      <c r="J62" s="56" t="n">
        <f aca="false">H62+I62</f>
        <v>2251.34333259539</v>
      </c>
      <c r="K62" s="56" t="n">
        <f aca="false">(E62-0-'War credit'!Q62)*abroad_return*IF(OR(A62=1931,A62=1932),abroad_slump,1)+0+'War credit'!U62</f>
        <v>43.6222145971223</v>
      </c>
      <c r="L62" s="72" t="n">
        <f aca="false">Champions!AZ62</f>
        <v>100.25507847488</v>
      </c>
      <c r="M62" s="56" t="n">
        <f aca="false">K62+L62</f>
        <v>143.877293072002</v>
      </c>
      <c r="N62" s="56" t="n">
        <f aca="false">M62*abroad_tax</f>
        <v>14.3877293072002</v>
      </c>
      <c r="O62" s="72" t="n">
        <f aca="false">Labour!R62</f>
        <v>50.4405136509189</v>
      </c>
      <c r="P62" s="49" t="n">
        <f aca="false">Economy!O62+M62-O62-V62</f>
        <v>6567.0079391227</v>
      </c>
      <c r="Q62" s="66" t="n">
        <f aca="false">M62/P62</f>
        <v>0.0219091090502356</v>
      </c>
      <c r="R62" s="66" t="n">
        <f aca="false">J62/Economy!O62</f>
        <v>0.344901518867352</v>
      </c>
      <c r="S62" s="88" t="n">
        <f aca="false">0</f>
        <v>0</v>
      </c>
      <c r="T62" s="88" t="n">
        <f aca="false">C62-S62</f>
        <v>130.549922771505</v>
      </c>
      <c r="U62" s="88" t="n">
        <f aca="false">0</f>
        <v>0</v>
      </c>
      <c r="V62" s="89" t="n">
        <f aca="false">'Champion funding'!P62</f>
        <v>53.924978873647</v>
      </c>
    </row>
    <row r="63" customFormat="false" ht="14.25" hidden="false" customHeight="true" outlineLevel="0" collapsed="false">
      <c r="A63" s="61" t="n">
        <v>1903</v>
      </c>
      <c r="B63" s="62" t="n">
        <v>0.02</v>
      </c>
      <c r="C63" s="56" t="n">
        <f aca="false">Economy!O63*B63</f>
        <v>142.579800638129</v>
      </c>
      <c r="D63" s="56" t="n">
        <f aca="false">IF(AND($A63&gt;=1914,$A63&lt;=1918),entente_total*entente_private*CHOOSE($A63-1913,0.05,0.1333,0.2333,0.3,0.2834),0)</f>
        <v>0</v>
      </c>
      <c r="E63" s="56" t="n">
        <f aca="false">H62</f>
        <v>835.775725424982</v>
      </c>
      <c r="F63" s="56" t="n">
        <f aca="false">(E63-0-'War credit'!Q63)*abroad_repat+0+'War credit'!R63</f>
        <v>25.0732717627495</v>
      </c>
      <c r="G63" s="56" t="n">
        <f aca="false">'War credit'!S63+IF(OR(A63=1931,A63=1932),(E63-0-'War credit'!Q63)*abroad_loss/2,0)</f>
        <v>0</v>
      </c>
      <c r="H63" s="56" t="n">
        <f aca="false">E63+C63+D63-F63-G63</f>
        <v>953.282254300362</v>
      </c>
      <c r="I63" s="72" t="n">
        <f aca="false">Champions!AY63</f>
        <v>1554.67228448848</v>
      </c>
      <c r="J63" s="56" t="n">
        <f aca="false">H63+I63</f>
        <v>2507.95453878884</v>
      </c>
      <c r="K63" s="56" t="n">
        <f aca="false">(E63-0-'War credit'!Q63)*abroad_return*IF(OR(A63=1931,A63=1932),abroad_slump,1)+0+'War credit'!U63</f>
        <v>50.1465435254989</v>
      </c>
      <c r="L63" s="72" t="n">
        <f aca="false">Champions!AZ63</f>
        <v>111.991173258555</v>
      </c>
      <c r="M63" s="56" t="n">
        <f aca="false">K63+L63</f>
        <v>162.137716784054</v>
      </c>
      <c r="N63" s="56" t="n">
        <f aca="false">M63*abroad_tax</f>
        <v>16.2137716784054</v>
      </c>
      <c r="O63" s="72" t="n">
        <f aca="false">Labour!R63</f>
        <v>55.2761012292816</v>
      </c>
      <c r="P63" s="49" t="n">
        <f aca="false">Economy!O63+M63-O63-V63</f>
        <v>7177.85117080976</v>
      </c>
      <c r="Q63" s="66" t="n">
        <f aca="false">M63/P63</f>
        <v>0.0225886150221979</v>
      </c>
      <c r="R63" s="66" t="n">
        <f aca="false">J63/Economy!O63</f>
        <v>0.351796611801147</v>
      </c>
      <c r="S63" s="88" t="n">
        <f aca="false">0</f>
        <v>0</v>
      </c>
      <c r="T63" s="88" t="n">
        <f aca="false">C63-S63</f>
        <v>142.579800638129</v>
      </c>
      <c r="U63" s="88" t="n">
        <f aca="false">0</f>
        <v>0</v>
      </c>
      <c r="V63" s="89" t="n">
        <f aca="false">'Champion funding'!P63</f>
        <v>58.0004766514729</v>
      </c>
    </row>
    <row r="64" customFormat="false" ht="14.25" hidden="false" customHeight="true" outlineLevel="0" collapsed="false">
      <c r="A64" s="61" t="n">
        <v>1904</v>
      </c>
      <c r="B64" s="62" t="n">
        <v>0.02</v>
      </c>
      <c r="C64" s="56" t="n">
        <f aca="false">Economy!O64*B64</f>
        <v>155.753951402486</v>
      </c>
      <c r="D64" s="56" t="n">
        <f aca="false">IF(AND($A64&gt;=1914,$A64&lt;=1918),entente_total*entente_private*CHOOSE($A64-1913,0.05,0.1333,0.2333,0.3,0.2834),0)</f>
        <v>0</v>
      </c>
      <c r="E64" s="56" t="n">
        <f aca="false">H63</f>
        <v>953.282254300362</v>
      </c>
      <c r="F64" s="56" t="n">
        <f aca="false">(E64-0-'War credit'!Q64)*abroad_repat+0+'War credit'!R64</f>
        <v>28.5984676290109</v>
      </c>
      <c r="G64" s="56" t="n">
        <f aca="false">'War credit'!S64+IF(OR(A64=1931,A64=1932),(E64-0-'War credit'!Q64)*abroad_loss/2,0)</f>
        <v>0</v>
      </c>
      <c r="H64" s="56" t="n">
        <f aca="false">E64+C64+D64-F64-G64</f>
        <v>1080.43773807384</v>
      </c>
      <c r="I64" s="72" t="n">
        <f aca="false">Champions!AY64</f>
        <v>1701.05018515751</v>
      </c>
      <c r="J64" s="56" t="n">
        <f aca="false">H64+I64</f>
        <v>2781.48792323135</v>
      </c>
      <c r="K64" s="56" t="n">
        <f aca="false">(E64-0-'War credit'!Q64)*abroad_return*IF(OR(A64=1931,A64=1932),abroad_slump,1)+0+'War credit'!U64</f>
        <v>57.1969352580217</v>
      </c>
      <c r="L64" s="72" t="n">
        <f aca="false">Champions!AZ64</f>
        <v>124.908773660293</v>
      </c>
      <c r="M64" s="56" t="n">
        <f aca="false">K64+L64</f>
        <v>182.105708918314</v>
      </c>
      <c r="N64" s="56" t="n">
        <f aca="false">M64*abroad_tax</f>
        <v>18.2105708918314</v>
      </c>
      <c r="O64" s="72" t="n">
        <f aca="false">Labour!R64</f>
        <v>60.5770671336988</v>
      </c>
      <c r="P64" s="49" t="n">
        <f aca="false">Economy!O64+M64-O64-V64</f>
        <v>7847.03834709735</v>
      </c>
      <c r="Q64" s="66" t="n">
        <f aca="false">M64/P64</f>
        <v>0.0232069350069732</v>
      </c>
      <c r="R64" s="66" t="n">
        <f aca="false">J64/Economy!O64</f>
        <v>0.357164347765877</v>
      </c>
      <c r="S64" s="88" t="n">
        <f aca="false">0</f>
        <v>0</v>
      </c>
      <c r="T64" s="88" t="n">
        <f aca="false">C64-S64</f>
        <v>155.753951402486</v>
      </c>
      <c r="U64" s="88" t="n">
        <f aca="false">0</f>
        <v>0</v>
      </c>
      <c r="V64" s="89" t="n">
        <f aca="false">'Champion funding'!P64</f>
        <v>62.1878648115467</v>
      </c>
    </row>
    <row r="65" customFormat="false" ht="14.25" hidden="false" customHeight="true" outlineLevel="0" collapsed="false">
      <c r="A65" s="61" t="n">
        <v>1905</v>
      </c>
      <c r="B65" s="62" t="n">
        <v>0.02</v>
      </c>
      <c r="C65" s="56" t="n">
        <f aca="false">Economy!O65*B65</f>
        <v>169.843569587169</v>
      </c>
      <c r="D65" s="56" t="n">
        <f aca="false">IF(AND($A65&gt;=1914,$A65&lt;=1918),entente_total*entente_private*CHOOSE($A65-1913,0.05,0.1333,0.2333,0.3,0.2834),0)</f>
        <v>0</v>
      </c>
      <c r="E65" s="56" t="n">
        <f aca="false">H64</f>
        <v>1080.43773807384</v>
      </c>
      <c r="F65" s="56" t="n">
        <f aca="false">(E65-0-'War credit'!Q65)*abroad_repat+0+'War credit'!R65</f>
        <v>32.4131321422151</v>
      </c>
      <c r="G65" s="56" t="n">
        <f aca="false">'War credit'!S65+IF(OR(A65=1931,A65=1932),(E65-0-'War credit'!Q65)*abroad_loss/2,0)</f>
        <v>0</v>
      </c>
      <c r="H65" s="56" t="n">
        <f aca="false">E65+C65+D65-F65-G65</f>
        <v>1217.86817551879</v>
      </c>
      <c r="I65" s="72" t="n">
        <f aca="false">Champions!AY65</f>
        <v>1850.05666009181</v>
      </c>
      <c r="J65" s="56" t="n">
        <f aca="false">H65+I65</f>
        <v>3067.9248356106</v>
      </c>
      <c r="K65" s="56" t="n">
        <f aca="false">(E65-0-'War credit'!Q65)*abroad_return*IF(OR(A65=1931,A65=1932),abroad_slump,1)+0+'War credit'!U65</f>
        <v>64.8262642844302</v>
      </c>
      <c r="L65" s="72" t="n">
        <f aca="false">Champions!AZ65</f>
        <v>138.556811821726</v>
      </c>
      <c r="M65" s="56" t="n">
        <f aca="false">K65+L65</f>
        <v>203.383076106156</v>
      </c>
      <c r="N65" s="56" t="n">
        <f aca="false">M65*abroad_tax</f>
        <v>20.3383076106156</v>
      </c>
      <c r="O65" s="72" t="n">
        <f aca="false">Labour!R65</f>
        <v>66.3230251703174</v>
      </c>
      <c r="P65" s="49" t="n">
        <f aca="false">Economy!O65+M65-O65-V65</f>
        <v>8562.9106697336</v>
      </c>
      <c r="Q65" s="66" t="n">
        <f aca="false">M65/P65</f>
        <v>0.0237516288503432</v>
      </c>
      <c r="R65" s="66" t="n">
        <f aca="false">J65/Economy!O65</f>
        <v>0.361264761812021</v>
      </c>
      <c r="S65" s="88" t="n">
        <f aca="false">0</f>
        <v>0</v>
      </c>
      <c r="T65" s="88" t="n">
        <f aca="false">C65-S65</f>
        <v>169.843569587169</v>
      </c>
      <c r="U65" s="88" t="n">
        <f aca="false">0</f>
        <v>0</v>
      </c>
      <c r="V65" s="89" t="n">
        <f aca="false">'Champion funding'!P65</f>
        <v>66.3278605606661</v>
      </c>
    </row>
    <row r="66" customFormat="false" ht="14.25" hidden="false" customHeight="true" outlineLevel="0" collapsed="false">
      <c r="A66" s="61" t="n">
        <v>1906</v>
      </c>
      <c r="B66" s="62" t="n">
        <v>0.02</v>
      </c>
      <c r="C66" s="56" t="n">
        <f aca="false">Economy!O66*B66</f>
        <v>187.780984151593</v>
      </c>
      <c r="D66" s="56" t="n">
        <f aca="false">IF(AND($A66&gt;=1914,$A66&lt;=1918),entente_total*entente_private*CHOOSE($A66-1913,0.05,0.1333,0.2333,0.3,0.2834),0)</f>
        <v>0</v>
      </c>
      <c r="E66" s="56" t="n">
        <f aca="false">H65</f>
        <v>1217.86817551879</v>
      </c>
      <c r="F66" s="56" t="n">
        <f aca="false">(E66-0-'War credit'!Q66)*abroad_repat+0+'War credit'!R66</f>
        <v>36.5360452655637</v>
      </c>
      <c r="G66" s="56" t="n">
        <f aca="false">'War credit'!S66+IF(OR(A66=1931,A66=1932),(E66-0-'War credit'!Q66)*abroad_loss/2,0)</f>
        <v>0</v>
      </c>
      <c r="H66" s="56" t="n">
        <f aca="false">E66+C66+D66-F66-G66</f>
        <v>1369.11311440482</v>
      </c>
      <c r="I66" s="72" t="n">
        <f aca="false">Champions!AY66</f>
        <v>2003.51098627404</v>
      </c>
      <c r="J66" s="56" t="n">
        <f aca="false">H66+I66</f>
        <v>3372.62410067886</v>
      </c>
      <c r="K66" s="56" t="n">
        <f aca="false">(E66-0-'War credit'!Q66)*abroad_return*IF(OR(A66=1931,A66=1932),abroad_slump,1)+0+'War credit'!U66</f>
        <v>73.0720905311274</v>
      </c>
      <c r="L66" s="72" t="n">
        <f aca="false">Champions!AZ66</f>
        <v>150.703992774099</v>
      </c>
      <c r="M66" s="56" t="n">
        <f aca="false">K66+L66</f>
        <v>223.776083305227</v>
      </c>
      <c r="N66" s="56" t="n">
        <f aca="false">M66*abroad_tax</f>
        <v>22.3776083305227</v>
      </c>
      <c r="O66" s="72" t="n">
        <f aca="false">Labour!R66</f>
        <v>73.50563126189</v>
      </c>
      <c r="P66" s="49" t="n">
        <f aca="false">Economy!O66+M66-O66-V66</f>
        <v>9469.45222139527</v>
      </c>
      <c r="Q66" s="66" t="n">
        <f aca="false">M66/P66</f>
        <v>0.0236313651596053</v>
      </c>
      <c r="R66" s="66" t="n">
        <f aca="false">J66/Economy!O66</f>
        <v>0.359208267643989</v>
      </c>
      <c r="S66" s="88" t="n">
        <f aca="false">0</f>
        <v>0</v>
      </c>
      <c r="T66" s="88" t="n">
        <f aca="false">C66-S66</f>
        <v>187.780984151593</v>
      </c>
      <c r="U66" s="88" t="n">
        <f aca="false">0</f>
        <v>0</v>
      </c>
      <c r="V66" s="89" t="n">
        <f aca="false">'Champion funding'!P66</f>
        <v>69.8674382277134</v>
      </c>
    </row>
    <row r="67" customFormat="false" ht="14.25" hidden="false" customHeight="true" outlineLevel="0" collapsed="false">
      <c r="A67" s="61" t="n">
        <v>1907</v>
      </c>
      <c r="B67" s="62" t="n">
        <v>0.02</v>
      </c>
      <c r="C67" s="56" t="n">
        <f aca="false">Economy!O67*B67</f>
        <v>204.342082577221</v>
      </c>
      <c r="D67" s="56" t="n">
        <f aca="false">IF(AND($A67&gt;=1914,$A67&lt;=1918),entente_total*entente_private*CHOOSE($A67-1913,0.05,0.1333,0.2333,0.3,0.2834),0)</f>
        <v>0</v>
      </c>
      <c r="E67" s="56" t="n">
        <f aca="false">H66</f>
        <v>1369.11311440482</v>
      </c>
      <c r="F67" s="56" t="n">
        <f aca="false">(E67-0-'War credit'!Q67)*abroad_repat+0+'War credit'!R67</f>
        <v>41.0733934321446</v>
      </c>
      <c r="G67" s="56" t="n">
        <f aca="false">'War credit'!S67+IF(OR(A67=1931,A67=1932),(E67-0-'War credit'!Q67)*abroad_loss/2,0)</f>
        <v>0</v>
      </c>
      <c r="H67" s="56" t="n">
        <f aca="false">E67+C67+D67-F67-G67</f>
        <v>1532.3818035499</v>
      </c>
      <c r="I67" s="72" t="n">
        <f aca="false">Champions!AY67</f>
        <v>2164.76726426477</v>
      </c>
      <c r="J67" s="56" t="n">
        <f aca="false">H67+I67</f>
        <v>3697.14906781467</v>
      </c>
      <c r="K67" s="56" t="n">
        <f aca="false">(E67-0-'War credit'!Q67)*abroad_return*IF(OR(A67=1931,A67=1932),abroad_slump,1)+0+'War credit'!U67</f>
        <v>82.1467868642891</v>
      </c>
      <c r="L67" s="72" t="n">
        <f aca="false">Champions!AZ67</f>
        <v>163.953705224939</v>
      </c>
      <c r="M67" s="56" t="n">
        <f aca="false">K67+L67</f>
        <v>246.100492089229</v>
      </c>
      <c r="N67" s="56" t="n">
        <f aca="false">M67*abroad_tax</f>
        <v>24.6100492089229</v>
      </c>
      <c r="O67" s="72" t="n">
        <f aca="false">Labour!R67</f>
        <v>78.0464844538188</v>
      </c>
      <c r="P67" s="49" t="n">
        <f aca="false">Economy!O67+M67-O67-V67</f>
        <v>10311.2061714153</v>
      </c>
      <c r="Q67" s="66" t="n">
        <f aca="false">M67/P67</f>
        <v>0.0238672845832012</v>
      </c>
      <c r="R67" s="66" t="n">
        <f aca="false">J67/Economy!O67</f>
        <v>0.361858802766925</v>
      </c>
      <c r="S67" s="88" t="n">
        <f aca="false">0</f>
        <v>0</v>
      </c>
      <c r="T67" s="88" t="n">
        <f aca="false">C67-S67</f>
        <v>204.342082577221</v>
      </c>
      <c r="U67" s="88" t="n">
        <f aca="false">0</f>
        <v>0</v>
      </c>
      <c r="V67" s="89" t="n">
        <f aca="false">'Champion funding'!P67</f>
        <v>73.9519650811663</v>
      </c>
    </row>
    <row r="68" customFormat="false" ht="14.25" hidden="false" customHeight="true" outlineLevel="0" collapsed="false">
      <c r="A68" s="61" t="n">
        <v>1908</v>
      </c>
      <c r="B68" s="62" t="n">
        <v>0.02</v>
      </c>
      <c r="C68" s="56" t="n">
        <f aca="false">Economy!O68*B68</f>
        <v>216.520343202852</v>
      </c>
      <c r="D68" s="56" t="n">
        <f aca="false">IF(AND($A68&gt;=1914,$A68&lt;=1918),entente_total*entente_private*CHOOSE($A68-1913,0.05,0.1333,0.2333,0.3,0.2834),0)</f>
        <v>0</v>
      </c>
      <c r="E68" s="56" t="n">
        <f aca="false">H67</f>
        <v>1532.3818035499</v>
      </c>
      <c r="F68" s="56" t="n">
        <f aca="false">(E68-0-'War credit'!Q68)*abroad_repat+0+'War credit'!R68</f>
        <v>45.9714541064969</v>
      </c>
      <c r="G68" s="56" t="n">
        <f aca="false">'War credit'!S68+IF(OR(A68=1931,A68=1932),(E68-0-'War credit'!Q68)*abroad_loss/2,0)</f>
        <v>0</v>
      </c>
      <c r="H68" s="56" t="n">
        <f aca="false">E68+C68+D68-F68-G68</f>
        <v>1702.93069264625</v>
      </c>
      <c r="I68" s="72" t="n">
        <f aca="false">Champions!AY68</f>
        <v>2321.4762258628</v>
      </c>
      <c r="J68" s="56" t="n">
        <f aca="false">H68+I68</f>
        <v>4024.40691850905</v>
      </c>
      <c r="K68" s="56" t="n">
        <f aca="false">(E68-0-'War credit'!Q68)*abroad_return*IF(OR(A68=1931,A68=1932),abroad_slump,1)+0+'War credit'!U68</f>
        <v>91.9429082129937</v>
      </c>
      <c r="L68" s="72" t="n">
        <f aca="false">Champions!AZ68</f>
        <v>176.425837302617</v>
      </c>
      <c r="M68" s="56" t="n">
        <f aca="false">K68+L68</f>
        <v>268.36874551561</v>
      </c>
      <c r="N68" s="56" t="n">
        <f aca="false">M68*abroad_tax</f>
        <v>26.836874551561</v>
      </c>
      <c r="O68" s="72" t="n">
        <f aca="false">Labour!R68</f>
        <v>77.3318270244416</v>
      </c>
      <c r="P68" s="49" t="n">
        <f aca="false">Economy!O68+M68-O68-V68</f>
        <v>10939.1552077931</v>
      </c>
      <c r="Q68" s="66" t="n">
        <f aca="false">M68/P68</f>
        <v>0.0245328583805469</v>
      </c>
      <c r="R68" s="66" t="n">
        <f aca="false">J68/Economy!O68</f>
        <v>0.371734762561196</v>
      </c>
      <c r="S68" s="88" t="n">
        <f aca="false">0</f>
        <v>0</v>
      </c>
      <c r="T68" s="88" t="n">
        <f aca="false">C68-S68</f>
        <v>216.520343202852</v>
      </c>
      <c r="U68" s="88" t="n">
        <f aca="false">0</f>
        <v>0</v>
      </c>
      <c r="V68" s="89" t="n">
        <f aca="false">'Champion funding'!P68</f>
        <v>77.8988708406558</v>
      </c>
    </row>
    <row r="69" customFormat="false" ht="14.25" hidden="false" customHeight="true" outlineLevel="0" collapsed="false">
      <c r="A69" s="61" t="n">
        <v>1909</v>
      </c>
      <c r="B69" s="62" t="n">
        <v>0.02</v>
      </c>
      <c r="C69" s="56" t="n">
        <f aca="false">Economy!O69*B69</f>
        <v>249.826801698049</v>
      </c>
      <c r="D69" s="56" t="n">
        <f aca="false">IF(AND($A69&gt;=1914,$A69&lt;=1918),entente_total*entente_private*CHOOSE($A69-1913,0.05,0.1333,0.2333,0.3,0.2834),0)</f>
        <v>0</v>
      </c>
      <c r="E69" s="56" t="n">
        <f aca="false">H68</f>
        <v>1702.93069264625</v>
      </c>
      <c r="F69" s="56" t="n">
        <f aca="false">(E69-0-'War credit'!Q69)*abroad_repat+0+'War credit'!R69</f>
        <v>51.0879207793875</v>
      </c>
      <c r="G69" s="56" t="n">
        <f aca="false">'War credit'!S69+IF(OR(A69=1931,A69=1932),(E69-0-'War credit'!Q69)*abroad_loss/2,0)</f>
        <v>0</v>
      </c>
      <c r="H69" s="56" t="n">
        <f aca="false">E69+C69+D69-F69-G69</f>
        <v>1901.66957356491</v>
      </c>
      <c r="I69" s="72" t="n">
        <f aca="false">Champions!AY69</f>
        <v>2476.02186814503</v>
      </c>
      <c r="J69" s="56" t="n">
        <f aca="false">H69+I69</f>
        <v>4377.69144170995</v>
      </c>
      <c r="K69" s="56" t="n">
        <f aca="false">(E69-0-'War credit'!Q69)*abroad_return*IF(OR(A69=1931,A69=1932),abroad_slump,1)+0+'War credit'!U69</f>
        <v>102.175841558775</v>
      </c>
      <c r="L69" s="72" t="n">
        <f aca="false">Champions!AZ69</f>
        <v>188.982799626249</v>
      </c>
      <c r="M69" s="56" t="n">
        <f aca="false">K69+L69</f>
        <v>291.158641185024</v>
      </c>
      <c r="N69" s="56" t="n">
        <f aca="false">M69*abroad_tax</f>
        <v>29.1158641185024</v>
      </c>
      <c r="O69" s="72" t="n">
        <f aca="false">Labour!R69</f>
        <v>94.1189407191746</v>
      </c>
      <c r="P69" s="49" t="n">
        <f aca="false">Economy!O69+M69-O69-V69</f>
        <v>12606.872600126</v>
      </c>
      <c r="Q69" s="66" t="n">
        <f aca="false">M69/P69</f>
        <v>0.0230952314995325</v>
      </c>
      <c r="R69" s="66" t="n">
        <f aca="false">J69/Economy!O69</f>
        <v>0.350458110335256</v>
      </c>
      <c r="S69" s="88" t="n">
        <f aca="false">0</f>
        <v>0</v>
      </c>
      <c r="T69" s="88" t="n">
        <f aca="false">C69-S69</f>
        <v>249.826801698049</v>
      </c>
      <c r="U69" s="88" t="n">
        <f aca="false">0</f>
        <v>0</v>
      </c>
      <c r="V69" s="89" t="n">
        <f aca="false">'Champion funding'!P69</f>
        <v>81.5071852422343</v>
      </c>
    </row>
    <row r="70" customFormat="false" ht="14.25" hidden="false" customHeight="true" outlineLevel="0" collapsed="false">
      <c r="A70" s="61" t="n">
        <v>1910</v>
      </c>
      <c r="B70" s="62" t="n">
        <v>0.02</v>
      </c>
      <c r="C70" s="56" t="n">
        <f aca="false">Economy!O70*B70</f>
        <v>273.874191626125</v>
      </c>
      <c r="D70" s="56" t="n">
        <f aca="false">IF(AND($A70&gt;=1914,$A70&lt;=1918),entente_total*entente_private*CHOOSE($A70-1913,0.05,0.1333,0.2333,0.3,0.2834),0)</f>
        <v>0</v>
      </c>
      <c r="E70" s="56" t="n">
        <f aca="false">H69</f>
        <v>1901.66957356491</v>
      </c>
      <c r="F70" s="56" t="n">
        <f aca="false">(E70-0-'War credit'!Q70)*abroad_repat+0+'War credit'!R70</f>
        <v>57.0500872069473</v>
      </c>
      <c r="G70" s="56" t="n">
        <f aca="false">'War credit'!S70+IF(OR(A70=1931,A70=1932),(E70-0-'War credit'!Q70)*abroad_loss/2,0)</f>
        <v>0</v>
      </c>
      <c r="H70" s="56" t="n">
        <f aca="false">E70+C70+D70-F70-G70</f>
        <v>2118.49367798409</v>
      </c>
      <c r="I70" s="72" t="n">
        <f aca="false">Champions!AY70</f>
        <v>2629.06089175196</v>
      </c>
      <c r="J70" s="56" t="n">
        <f aca="false">H70+I70</f>
        <v>4747.55456973605</v>
      </c>
      <c r="K70" s="56" t="n">
        <f aca="false">(E70-0-'War credit'!Q70)*abroad_return*IF(OR(A70=1931,A70=1932),abroad_slump,1)+0+'War credit'!U70</f>
        <v>114.100174413895</v>
      </c>
      <c r="L70" s="72" t="n">
        <f aca="false">Champions!AZ70</f>
        <v>201.173995824982</v>
      </c>
      <c r="M70" s="56" t="n">
        <f aca="false">K70+L70</f>
        <v>315.274170238877</v>
      </c>
      <c r="N70" s="56" t="n">
        <f aca="false">M70*abroad_tax</f>
        <v>31.5274170238877</v>
      </c>
      <c r="O70" s="72" t="n">
        <f aca="false">Labour!R70</f>
        <v>105.202864102002</v>
      </c>
      <c r="P70" s="49" t="n">
        <f aca="false">Economy!O70+M70-O70-V70</f>
        <v>13819.189749346</v>
      </c>
      <c r="Q70" s="66" t="n">
        <f aca="false">M70/P70</f>
        <v>0.0228142297744915</v>
      </c>
      <c r="R70" s="66" t="n">
        <f aca="false">J70/Economy!O70</f>
        <v>0.346696016995796</v>
      </c>
      <c r="S70" s="88" t="n">
        <f aca="false">0</f>
        <v>0</v>
      </c>
      <c r="T70" s="88" t="n">
        <f aca="false">C70-S70</f>
        <v>273.874191626125</v>
      </c>
      <c r="U70" s="88" t="n">
        <f aca="false">0</f>
        <v>0</v>
      </c>
      <c r="V70" s="89" t="n">
        <f aca="false">'Champion funding'!P70</f>
        <v>84.5911380971408</v>
      </c>
    </row>
    <row r="71" customFormat="false" ht="14.25" hidden="false" customHeight="true" outlineLevel="0" collapsed="false">
      <c r="A71" s="61" t="n">
        <v>1911</v>
      </c>
      <c r="B71" s="62" t="n">
        <v>0.02</v>
      </c>
      <c r="C71" s="56" t="n">
        <f aca="false">Economy!O71*B71</f>
        <v>298.804554678734</v>
      </c>
      <c r="D71" s="56" t="n">
        <f aca="false">IF(AND($A71&gt;=1914,$A71&lt;=1918),entente_total*entente_private*CHOOSE($A71-1913,0.05,0.1333,0.2333,0.3,0.2834),0)</f>
        <v>0</v>
      </c>
      <c r="E71" s="56" t="n">
        <f aca="false">H70</f>
        <v>2118.49367798409</v>
      </c>
      <c r="F71" s="56" t="n">
        <f aca="false">(E71-0-'War credit'!Q71)*abroad_repat+0+'War credit'!R71</f>
        <v>63.5548103395227</v>
      </c>
      <c r="G71" s="56" t="n">
        <f aca="false">'War credit'!S71+IF(OR(A71=1931,A71=1932),(E71-0-'War credit'!Q71)*abroad_loss/2,0)</f>
        <v>0</v>
      </c>
      <c r="H71" s="56" t="n">
        <f aca="false">E71+C71+D71-F71-G71</f>
        <v>2353.7434223233</v>
      </c>
      <c r="I71" s="72" t="n">
        <f aca="false">Champions!AY71</f>
        <v>2806.2148606852</v>
      </c>
      <c r="J71" s="56" t="n">
        <f aca="false">H71+I71</f>
        <v>5159.9582830085</v>
      </c>
      <c r="K71" s="56" t="n">
        <f aca="false">(E71-0-'War credit'!Q71)*abroad_return*IF(OR(A71=1931,A71=1932),abroad_slump,1)+0+'War credit'!U71</f>
        <v>127.109620679045</v>
      </c>
      <c r="L71" s="72" t="n">
        <f aca="false">Champions!AZ71</f>
        <v>215.845823744109</v>
      </c>
      <c r="M71" s="56" t="n">
        <f aca="false">K71+L71</f>
        <v>342.955444423155</v>
      </c>
      <c r="N71" s="56" t="n">
        <f aca="false">M71*abroad_tax</f>
        <v>34.2955444423155</v>
      </c>
      <c r="O71" s="72" t="n">
        <f aca="false">Labour!R71</f>
        <v>115.905806714311</v>
      </c>
      <c r="P71" s="49" t="n">
        <f aca="false">Economy!O71+M71-O71-V71</f>
        <v>15079.7303284905</v>
      </c>
      <c r="Q71" s="66" t="n">
        <f aca="false">M71/P71</f>
        <v>0.0227428101797816</v>
      </c>
      <c r="R71" s="66" t="n">
        <f aca="false">J71/Economy!O71</f>
        <v>0.345373469193356</v>
      </c>
      <c r="S71" s="88" t="n">
        <f aca="false">0</f>
        <v>0</v>
      </c>
      <c r="T71" s="88" t="n">
        <f aca="false">C71-S71</f>
        <v>298.804554678734</v>
      </c>
      <c r="U71" s="88" t="n">
        <f aca="false">0</f>
        <v>0</v>
      </c>
      <c r="V71" s="89" t="n">
        <f aca="false">'Champion funding'!P71</f>
        <v>87.5470431550242</v>
      </c>
    </row>
    <row r="72" customFormat="false" ht="14.25" hidden="false" customHeight="true" outlineLevel="0" collapsed="false">
      <c r="A72" s="61" t="n">
        <v>1912</v>
      </c>
      <c r="B72" s="62" t="n">
        <v>0.02</v>
      </c>
      <c r="C72" s="56" t="n">
        <f aca="false">Economy!O72*B72</f>
        <v>326.161711639249</v>
      </c>
      <c r="D72" s="56" t="n">
        <f aca="false">IF(AND($A72&gt;=1914,$A72&lt;=1918),entente_total*entente_private*CHOOSE($A72-1913,0.05,0.1333,0.2333,0.3,0.2834),0)</f>
        <v>0</v>
      </c>
      <c r="E72" s="56" t="n">
        <f aca="false">H71</f>
        <v>2353.7434223233</v>
      </c>
      <c r="F72" s="56" t="n">
        <f aca="false">(E72-0-'War credit'!Q72)*abroad_repat+0+'War credit'!R72</f>
        <v>70.612302669699</v>
      </c>
      <c r="G72" s="56" t="n">
        <f aca="false">'War credit'!S72+IF(OR(A72=1931,A72=1932),(E72-0-'War credit'!Q72)*abroad_loss/2,0)</f>
        <v>0</v>
      </c>
      <c r="H72" s="56" t="n">
        <f aca="false">E72+C72+D72-F72-G72</f>
        <v>2609.29283129285</v>
      </c>
      <c r="I72" s="72" t="n">
        <f aca="false">Champions!AY72</f>
        <v>2978.49785867015</v>
      </c>
      <c r="J72" s="56" t="n">
        <f aca="false">H72+I72</f>
        <v>5587.790689963</v>
      </c>
      <c r="K72" s="56" t="n">
        <f aca="false">(E72-0-'War credit'!Q72)*abroad_return*IF(OR(A72=1931,A72=1932),abroad_slump,1)+0+'War credit'!U72</f>
        <v>141.224605339398</v>
      </c>
      <c r="L72" s="72" t="n">
        <f aca="false">Champions!AZ72</f>
        <v>229.945741395887</v>
      </c>
      <c r="M72" s="56" t="n">
        <f aca="false">K72+L72</f>
        <v>371.170346735285</v>
      </c>
      <c r="N72" s="56" t="n">
        <f aca="false">M72*abroad_tax</f>
        <v>37.1170346735285</v>
      </c>
      <c r="O72" s="72" t="n">
        <f aca="false">Labour!R72</f>
        <v>127.019951882342</v>
      </c>
      <c r="P72" s="49" t="n">
        <f aca="false">Economy!O72+M72-O72-V72</f>
        <v>16460.8536171128</v>
      </c>
      <c r="Q72" s="66" t="n">
        <f aca="false">M72/P72</f>
        <v>0.0225486694292338</v>
      </c>
      <c r="R72" s="66" t="n">
        <f aca="false">J72/Economy!O72</f>
        <v>0.342639279263004</v>
      </c>
      <c r="S72" s="88" t="n">
        <f aca="false">0</f>
        <v>0</v>
      </c>
      <c r="T72" s="88" t="n">
        <f aca="false">C72-S72</f>
        <v>326.161711639249</v>
      </c>
      <c r="U72" s="88" t="n">
        <f aca="false">0</f>
        <v>0</v>
      </c>
      <c r="V72" s="89" t="n">
        <f aca="false">'Champion funding'!P72</f>
        <v>91.3823597025279</v>
      </c>
    </row>
    <row r="73" customFormat="false" ht="14.25" hidden="false" customHeight="true" outlineLevel="0" collapsed="false">
      <c r="A73" s="61" t="n">
        <v>1913</v>
      </c>
      <c r="B73" s="62" t="n">
        <v>0.02</v>
      </c>
      <c r="C73" s="56" t="n">
        <f aca="false">Economy!O73*B73</f>
        <v>355.696631806761</v>
      </c>
      <c r="D73" s="56" t="n">
        <f aca="false">IF(AND($A73&gt;=1914,$A73&lt;=1918),entente_total*entente_private*CHOOSE($A73-1913,0.05,0.1333,0.2333,0.3,0.2834),0)</f>
        <v>0</v>
      </c>
      <c r="E73" s="56" t="n">
        <f aca="false">H72</f>
        <v>2609.29283129285</v>
      </c>
      <c r="F73" s="56" t="n">
        <f aca="false">(E73-0-'War credit'!Q73)*abroad_repat+0+'War credit'!R73</f>
        <v>78.2787849387855</v>
      </c>
      <c r="G73" s="56" t="n">
        <f aca="false">'War credit'!S73+IF(OR(A73=1931,A73=1932),(E73-0-'War credit'!Q73)*abroad_loss/2,0)</f>
        <v>0</v>
      </c>
      <c r="H73" s="56" t="n">
        <f aca="false">E73+C73+D73-F73-G73</f>
        <v>2886.71067816083</v>
      </c>
      <c r="I73" s="72" t="n">
        <f aca="false">Champions!AY73</f>
        <v>3158.32063548341</v>
      </c>
      <c r="J73" s="56" t="n">
        <f aca="false">H73+I73</f>
        <v>6045.03131364424</v>
      </c>
      <c r="K73" s="56" t="n">
        <f aca="false">(E73-0-'War credit'!Q73)*abroad_return*IF(OR(A73=1931,A73=1932),abroad_slump,1)+0+'War credit'!U73</f>
        <v>156.557569877571</v>
      </c>
      <c r="L73" s="72" t="n">
        <f aca="false">Champions!AZ73</f>
        <v>245.028819435625</v>
      </c>
      <c r="M73" s="56" t="n">
        <f aca="false">K73+L73</f>
        <v>401.586389313196</v>
      </c>
      <c r="N73" s="56" t="n">
        <f aca="false">M73*abroad_tax</f>
        <v>40.1586389313196</v>
      </c>
      <c r="O73" s="72" t="n">
        <f aca="false">Labour!R73</f>
        <v>139.320653546814</v>
      </c>
      <c r="P73" s="49" t="n">
        <f aca="false">Economy!O73+M73-O73-V73</f>
        <v>17952.3439421235</v>
      </c>
      <c r="Q73" s="66" t="n">
        <f aca="false">M73/P73</f>
        <v>0.0223695797388837</v>
      </c>
      <c r="R73" s="66" t="n">
        <f aca="false">J73/Economy!O73</f>
        <v>0.339898147639942</v>
      </c>
      <c r="S73" s="88" t="n">
        <f aca="false">0</f>
        <v>0</v>
      </c>
      <c r="T73" s="88" t="n">
        <f aca="false">C73-S73</f>
        <v>355.696631806761</v>
      </c>
      <c r="U73" s="88" t="n">
        <f aca="false">0</f>
        <v>0</v>
      </c>
      <c r="V73" s="89" t="n">
        <f aca="false">'Champion funding'!P73</f>
        <v>94.7533839809832</v>
      </c>
    </row>
    <row r="74" customFormat="false" ht="14.25" hidden="false" customHeight="true" outlineLevel="0" collapsed="false">
      <c r="A74" s="64" t="n">
        <v>1914</v>
      </c>
      <c r="B74" s="62" t="n">
        <v>0.01</v>
      </c>
      <c r="C74" s="56" t="n">
        <f aca="false">Economy!O74*B74</f>
        <v>185.459764542688</v>
      </c>
      <c r="D74" s="56" t="n">
        <f aca="false">'War credit'!B74-'War credit'!C74-'War credit'!E74</f>
        <v>340</v>
      </c>
      <c r="E74" s="56" t="n">
        <f aca="false">H73</f>
        <v>2886.71067816083</v>
      </c>
      <c r="F74" s="56" t="n">
        <f aca="false">(E74-0-'War credit'!Q74)*abroad_repat+0+'War credit'!R74</f>
        <v>86.6013203448248</v>
      </c>
      <c r="G74" s="56" t="n">
        <f aca="false">'War credit'!S74+IF(OR(A74=1931,A74=1932),(E74-0-'War credit'!Q74)*abroad_loss/2,0)</f>
        <v>0</v>
      </c>
      <c r="H74" s="56" t="n">
        <f aca="false">E74+C74+D74-F74-G74</f>
        <v>3325.56912235869</v>
      </c>
      <c r="I74" s="72" t="n">
        <f aca="false">Champions!AY74</f>
        <v>3409.98466702865</v>
      </c>
      <c r="J74" s="56" t="n">
        <f aca="false">H74+I74</f>
        <v>6735.55378938734</v>
      </c>
      <c r="K74" s="56" t="n">
        <f aca="false">(E74-0-'War credit'!Q74)*abroad_return*IF(OR(A74=1931,A74=1932),abroad_slump,1)+0+'War credit'!U74</f>
        <v>173.20264068965</v>
      </c>
      <c r="L74" s="72" t="n">
        <f aca="false">Champions!AZ74</f>
        <v>274.263416542411</v>
      </c>
      <c r="M74" s="56" t="n">
        <f aca="false">K74+L74</f>
        <v>447.46605723206</v>
      </c>
      <c r="N74" s="56" t="n">
        <f aca="false">M74*abroad_tax</f>
        <v>44.746605723206</v>
      </c>
      <c r="O74" s="72" t="n">
        <f aca="false">Labour!R74</f>
        <v>138.490630492634</v>
      </c>
      <c r="P74" s="49" t="n">
        <f aca="false">Economy!O74+M74-O74-V74</f>
        <v>18755.3921620014</v>
      </c>
      <c r="Q74" s="66" t="n">
        <f aca="false">M74/P74</f>
        <v>0.0238579952563525</v>
      </c>
      <c r="R74" s="66" t="n">
        <f aca="false">J74/Economy!O74</f>
        <v>0.363181405195681</v>
      </c>
      <c r="S74" s="88" t="n">
        <f aca="false">0</f>
        <v>0</v>
      </c>
      <c r="T74" s="88" t="n">
        <f aca="false">C74-S74</f>
        <v>185.459764542688</v>
      </c>
      <c r="U74" s="88" t="n">
        <f aca="false">0</f>
        <v>0</v>
      </c>
      <c r="V74" s="89" t="n">
        <f aca="false">'Champion funding'!P74</f>
        <v>99.5597190068359</v>
      </c>
    </row>
    <row r="75" customFormat="false" ht="14.25" hidden="false" customHeight="true" outlineLevel="0" collapsed="false">
      <c r="A75" s="64" t="n">
        <v>1915</v>
      </c>
      <c r="B75" s="62" t="n">
        <v>0.01</v>
      </c>
      <c r="C75" s="56" t="n">
        <f aca="false">Economy!O75*B75</f>
        <v>207.890480133639</v>
      </c>
      <c r="D75" s="56" t="n">
        <f aca="false">'War credit'!B75-'War credit'!C75-'War credit'!E75</f>
        <v>381.44</v>
      </c>
      <c r="E75" s="56" t="n">
        <f aca="false">H74</f>
        <v>3325.56912235869</v>
      </c>
      <c r="F75" s="56" t="n">
        <f aca="false">(E75-0-'War credit'!Q75)*abroad_repat+0+'War credit'!R75</f>
        <v>89.5670736707607</v>
      </c>
      <c r="G75" s="56" t="n">
        <f aca="false">'War credit'!S75+IF(OR(A75=1931,A75=1932),(E75-0-'War credit'!Q75)*abroad_loss/2,0)</f>
        <v>0</v>
      </c>
      <c r="H75" s="56" t="n">
        <f aca="false">E75+C75+D75-F75-G75</f>
        <v>3825.33252882157</v>
      </c>
      <c r="I75" s="72" t="n">
        <f aca="false">Champions!AY75</f>
        <v>3670.70095169515</v>
      </c>
      <c r="J75" s="56" t="n">
        <f aca="false">H75+I75</f>
        <v>7496.03348051671</v>
      </c>
      <c r="K75" s="56" t="n">
        <f aca="false">(E75-0-'War credit'!Q75)*abroad_return*IF(OR(A75=1931,A75=1932),abroad_slump,1)+0+'War credit'!U75</f>
        <v>196.134147341521</v>
      </c>
      <c r="L75" s="72" t="n">
        <f aca="false">Champions!AZ75</f>
        <v>305.381318316678</v>
      </c>
      <c r="M75" s="56" t="n">
        <f aca="false">K75+L75</f>
        <v>501.5154656582</v>
      </c>
      <c r="N75" s="56" t="n">
        <f aca="false">M75*abroad_tax</f>
        <v>50.15154656582</v>
      </c>
      <c r="O75" s="72" t="n">
        <f aca="false">Labour!R75</f>
        <v>162.666133203869</v>
      </c>
      <c r="P75" s="49" t="n">
        <f aca="false">Economy!O75+M75-O75-V75</f>
        <v>21023.7616397074</v>
      </c>
      <c r="Q75" s="66" t="n">
        <f aca="false">M75/P75</f>
        <v>0.0238546970924076</v>
      </c>
      <c r="R75" s="66" t="n">
        <f aca="false">J75/Economy!O75</f>
        <v>0.36057608196864</v>
      </c>
      <c r="S75" s="88" t="n">
        <f aca="false">0</f>
        <v>0</v>
      </c>
      <c r="T75" s="88" t="n">
        <f aca="false">C75-S75</f>
        <v>207.890480133639</v>
      </c>
      <c r="U75" s="88" t="n">
        <f aca="false">0</f>
        <v>0</v>
      </c>
      <c r="V75" s="89" t="n">
        <f aca="false">'Champion funding'!P75</f>
        <v>104.135706110832</v>
      </c>
    </row>
    <row r="76" customFormat="false" ht="14.25" hidden="false" customHeight="true" outlineLevel="0" collapsed="false">
      <c r="A76" s="64" t="n">
        <v>1916</v>
      </c>
      <c r="B76" s="62" t="n">
        <v>0.01</v>
      </c>
      <c r="C76" s="56" t="n">
        <f aca="false">Economy!O76*B76</f>
        <v>247.069707240908</v>
      </c>
      <c r="D76" s="56" t="n">
        <f aca="false">'War credit'!B76-'War credit'!C76-'War credit'!E76</f>
        <v>536.44</v>
      </c>
      <c r="E76" s="56" t="n">
        <f aca="false">H75</f>
        <v>3825.33252882157</v>
      </c>
      <c r="F76" s="56" t="n">
        <f aca="false">(E76-0-'War credit'!Q76)*abroad_repat+0+'War credit'!R76</f>
        <v>93.116775864647</v>
      </c>
      <c r="G76" s="56" t="n">
        <f aca="false">'War credit'!S76+IF(OR(A76=1931,A76=1932),(E76-0-'War credit'!Q76)*abroad_loss/2,0)</f>
        <v>0</v>
      </c>
      <c r="H76" s="56" t="n">
        <f aca="false">E76+C76+D76-F76-G76</f>
        <v>4515.72546019783</v>
      </c>
      <c r="I76" s="72" t="n">
        <f aca="false">Champions!AY76</f>
        <v>3949.67684678759</v>
      </c>
      <c r="J76" s="56" t="n">
        <f aca="false">H76+I76</f>
        <v>8465.40230698542</v>
      </c>
      <c r="K76" s="56" t="n">
        <f aca="false">(E76-0-'War credit'!Q76)*abroad_return*IF(OR(A76=1931,A76=1932),abroad_slump,1)+0+'War credit'!U76</f>
        <v>222.305551729294</v>
      </c>
      <c r="L76" s="72" t="n">
        <f aca="false">Champions!AZ76</f>
        <v>338.991549465621</v>
      </c>
      <c r="M76" s="56" t="n">
        <f aca="false">K76+L76</f>
        <v>561.297101194915</v>
      </c>
      <c r="N76" s="56" t="n">
        <f aca="false">M76*abroad_tax</f>
        <v>56.1297101194915</v>
      </c>
      <c r="O76" s="72" t="n">
        <f aca="false">Labour!R76</f>
        <v>200.770086039661</v>
      </c>
      <c r="P76" s="49" t="n">
        <f aca="false">Economy!O76+M76-O76-V76</f>
        <v>24958.4739443092</v>
      </c>
      <c r="Q76" s="66" t="n">
        <f aca="false">M76/P76</f>
        <v>0.0224892396244803</v>
      </c>
      <c r="R76" s="66" t="n">
        <f aca="false">J76/Economy!O76</f>
        <v>0.342632142220945</v>
      </c>
      <c r="S76" s="88" t="n">
        <f aca="false">0</f>
        <v>0</v>
      </c>
      <c r="T76" s="88" t="n">
        <f aca="false">C76-S76</f>
        <v>247.069707240908</v>
      </c>
      <c r="U76" s="88" t="n">
        <f aca="false">0</f>
        <v>0</v>
      </c>
      <c r="V76" s="89" t="n">
        <f aca="false">'Champion funding'!P76</f>
        <v>109.023794936936</v>
      </c>
    </row>
    <row r="77" customFormat="false" ht="14.25" hidden="false" customHeight="true" outlineLevel="0" collapsed="false">
      <c r="A77" s="64" t="n">
        <v>1917</v>
      </c>
      <c r="B77" s="62" t="n">
        <v>0.01</v>
      </c>
      <c r="C77" s="56" t="n">
        <f aca="false">Economy!O77*B77</f>
        <v>312.755268898069</v>
      </c>
      <c r="D77" s="56" t="n">
        <f aca="false">'War credit'!B77-'War credit'!C77-'War credit'!E77</f>
        <v>840</v>
      </c>
      <c r="E77" s="56" t="n">
        <f aca="false">H76</f>
        <v>4515.72546019783</v>
      </c>
      <c r="F77" s="56" t="n">
        <f aca="false">(E77-0-'War credit'!Q77)*abroad_repat+0+'War credit'!R77</f>
        <v>97.7353638059348</v>
      </c>
      <c r="G77" s="56" t="n">
        <f aca="false">'War credit'!S77+IF(OR(A77=1931,A77=1932),(E77-0-'War credit'!Q77)*abroad_loss/2,0)</f>
        <v>0</v>
      </c>
      <c r="H77" s="56" t="n">
        <f aca="false">E77+C77+D77-F77-G77</f>
        <v>5570.74536528996</v>
      </c>
      <c r="I77" s="72" t="n">
        <f aca="false">Champions!AY77</f>
        <v>4237.84082696496</v>
      </c>
      <c r="J77" s="56" t="n">
        <f aca="false">H77+I77</f>
        <v>9808.58619225492</v>
      </c>
      <c r="K77" s="56" t="n">
        <f aca="false">(E77-0-'War credit'!Q77)*abroad_return*IF(OR(A77=1931,A77=1932),abroad_slump,1)+0+'War credit'!U77</f>
        <v>258.36472761187</v>
      </c>
      <c r="L77" s="72" t="n">
        <f aca="false">Champions!AZ77</f>
        <v>374.082475973688</v>
      </c>
      <c r="M77" s="56" t="n">
        <f aca="false">K77+L77</f>
        <v>632.447203585558</v>
      </c>
      <c r="N77" s="56" t="n">
        <f aca="false">M77*abroad_tax</f>
        <v>63.2447203585558</v>
      </c>
      <c r="O77" s="72" t="n">
        <f aca="false">Labour!R77</f>
        <v>262.85101212763</v>
      </c>
      <c r="P77" s="49" t="n">
        <f aca="false">Economy!O77+M77-O77-V77</f>
        <v>31530.7993875366</v>
      </c>
      <c r="Q77" s="66" t="n">
        <f aca="false">M77/P77</f>
        <v>0.0200580770507058</v>
      </c>
      <c r="R77" s="66" t="n">
        <f aca="false">J77/Economy!O77</f>
        <v>0.313618575533948</v>
      </c>
      <c r="S77" s="88" t="n">
        <f aca="false">0</f>
        <v>0</v>
      </c>
      <c r="T77" s="88" t="n">
        <f aca="false">C77-S77</f>
        <v>312.755268898069</v>
      </c>
      <c r="U77" s="88" t="n">
        <f aca="false">0</f>
        <v>0</v>
      </c>
      <c r="V77" s="89" t="n">
        <f aca="false">'Champion funding'!P77</f>
        <v>114.32369372819</v>
      </c>
    </row>
    <row r="78" customFormat="false" ht="14.25" hidden="false" customHeight="true" outlineLevel="0" collapsed="false">
      <c r="A78" s="64" t="n">
        <v>1918</v>
      </c>
      <c r="B78" s="62" t="n">
        <v>0.01</v>
      </c>
      <c r="C78" s="56" t="n">
        <f aca="false">Economy!O78*B78</f>
        <v>380.545401477249</v>
      </c>
      <c r="D78" s="56" t="n">
        <f aca="false">'War credit'!B78-'War credit'!C78-'War credit'!E78</f>
        <v>752.12</v>
      </c>
      <c r="E78" s="56" t="n">
        <f aca="false">H77</f>
        <v>5570.74536528996</v>
      </c>
      <c r="F78" s="56" t="n">
        <f aca="false">(E78-0-'War credit'!Q78)*abroad_repat+0+'War credit'!R78</f>
        <v>104.185960958699</v>
      </c>
      <c r="G78" s="56" t="n">
        <f aca="false">'War credit'!S78+IF(OR(A78=1931,A78=1932),(E78-0-'War credit'!Q78)*abroad_loss/2,0)</f>
        <v>342</v>
      </c>
      <c r="H78" s="56" t="n">
        <f aca="false">E78+C78+D78-F78-G78</f>
        <v>6257.22480580851</v>
      </c>
      <c r="I78" s="72" t="n">
        <f aca="false">Champions!AY78</f>
        <v>4601.51822935757</v>
      </c>
      <c r="J78" s="56" t="n">
        <f aca="false">H78+I78</f>
        <v>10858.7430351661</v>
      </c>
      <c r="K78" s="56" t="n">
        <f aca="false">(E78-0-'War credit'!Q78)*abroad_return*IF(OR(A78=1931,A78=1932),abroad_slump,1)+0+'War credit'!U78</f>
        <v>313.265921917398</v>
      </c>
      <c r="L78" s="72" t="n">
        <f aca="false">Champions!AZ78</f>
        <v>420.197984122081</v>
      </c>
      <c r="M78" s="56" t="n">
        <f aca="false">K78+L78</f>
        <v>733.463906039479</v>
      </c>
      <c r="N78" s="56" t="n">
        <f aca="false">M78*abroad_tax</f>
        <v>73.3463906039479</v>
      </c>
      <c r="O78" s="72" t="n">
        <f aca="false">Labour!R78</f>
        <v>323.380667311632</v>
      </c>
      <c r="P78" s="49" t="n">
        <f aca="false">Economy!O78+M78-O78-V78</f>
        <v>38344.6491391388</v>
      </c>
      <c r="Q78" s="66" t="n">
        <f aca="false">M78/P78</f>
        <v>0.0191281944810084</v>
      </c>
      <c r="R78" s="66" t="n">
        <f aca="false">J78/Economy!O78</f>
        <v>0.285346846736638</v>
      </c>
      <c r="S78" s="88" t="n">
        <f aca="false">0</f>
        <v>0</v>
      </c>
      <c r="T78" s="88" t="n">
        <f aca="false">C78-S78</f>
        <v>380.545401477249</v>
      </c>
      <c r="U78" s="88" t="n">
        <f aca="false">0</f>
        <v>0</v>
      </c>
      <c r="V78" s="89" t="n">
        <f aca="false">'Champion funding'!P78</f>
        <v>119.974247313914</v>
      </c>
    </row>
    <row r="79" customFormat="false" ht="14.25" hidden="false" customHeight="true" outlineLevel="0" collapsed="false">
      <c r="A79" s="64" t="n">
        <v>1919</v>
      </c>
      <c r="B79" s="62" t="n">
        <v>0.035</v>
      </c>
      <c r="C79" s="56" t="n">
        <f aca="false">Economy!O79*B79</f>
        <v>1527.72625419198</v>
      </c>
      <c r="D79" s="56" t="n">
        <f aca="false">IF(AND($A79&gt;=1914,$A79&lt;=1918),entente_total*entente_private*CHOOSE($A79-1913,0.05,0.1333,0.2333,0.3,0.2834),0)</f>
        <v>0</v>
      </c>
      <c r="E79" s="56" t="n">
        <f aca="false">H78</f>
        <v>6257.22480580851</v>
      </c>
      <c r="F79" s="56" t="n">
        <f aca="false">(E79-0-'War credit'!Q79)*abroad_repat+0+'War credit'!R79</f>
        <v>112.476744174255</v>
      </c>
      <c r="G79" s="56" t="n">
        <f aca="false">'War credit'!S79+IF(OR(A79=1931,A79=1932),(E79-0-'War credit'!Q79)*abroad_loss/2,0)</f>
        <v>0</v>
      </c>
      <c r="H79" s="56" t="n">
        <f aca="false">E79+C79+D79-F79-G79</f>
        <v>7672.47431582624</v>
      </c>
      <c r="I79" s="72" t="n">
        <f aca="false">Champions!AY79</f>
        <v>5031.78351963974</v>
      </c>
      <c r="J79" s="56" t="n">
        <f aca="false">H79+I79</f>
        <v>12704.257835466</v>
      </c>
      <c r="K79" s="56" t="n">
        <f aca="false">(E79-0-'War credit'!Q79)*abroad_return*IF(OR(A79=1931,A79=1932),abroad_slump,1)+0+'War credit'!U79</f>
        <v>350.353488348511</v>
      </c>
      <c r="L79" s="72" t="n">
        <f aca="false">Champions!AZ79</f>
        <v>471.51209574201</v>
      </c>
      <c r="M79" s="56" t="n">
        <f aca="false">K79+L79</f>
        <v>821.865584090521</v>
      </c>
      <c r="N79" s="56" t="n">
        <f aca="false">M79*abroad_tax</f>
        <v>82.1865584090521</v>
      </c>
      <c r="O79" s="72" t="n">
        <f aca="false">Labour!R79</f>
        <v>370.659540830711</v>
      </c>
      <c r="P79" s="49" t="n">
        <f aca="false">Economy!O79+M79-O79-V79</f>
        <v>43973.518452306</v>
      </c>
      <c r="Q79" s="66" t="n">
        <f aca="false">M79/P79</f>
        <v>0.0186900119211957</v>
      </c>
      <c r="R79" s="66" t="n">
        <f aca="false">J79/Economy!O79</f>
        <v>0.29105281330423</v>
      </c>
      <c r="S79" s="88" t="n">
        <f aca="false">0</f>
        <v>0</v>
      </c>
      <c r="T79" s="88" t="n">
        <f aca="false">C79-S79</f>
        <v>1527.72625419198</v>
      </c>
      <c r="U79" s="88" t="n">
        <f aca="false">0</f>
        <v>0</v>
      </c>
      <c r="V79" s="89" t="n">
        <f aca="false">'Champion funding'!P79</f>
        <v>127.009139296131</v>
      </c>
    </row>
    <row r="80" customFormat="false" ht="14.25" hidden="false" customHeight="true" outlineLevel="0" collapsed="false">
      <c r="A80" s="64" t="n">
        <v>1920</v>
      </c>
      <c r="B80" s="62" t="n">
        <v>0.035</v>
      </c>
      <c r="C80" s="56" t="n">
        <f aca="false">Economy!O80*B80</f>
        <v>1794.44465226768</v>
      </c>
      <c r="D80" s="56" t="n">
        <f aca="false">IF(AND($A80&gt;=1914,$A80&lt;=1918),entente_total*entente_private*CHOOSE($A80-1913,0.05,0.1333,0.2333,0.3,0.2834),0)</f>
        <v>0</v>
      </c>
      <c r="E80" s="56" t="n">
        <f aca="false">H79</f>
        <v>7672.47431582624</v>
      </c>
      <c r="F80" s="56" t="n">
        <f aca="false">(E80-0-'War credit'!Q80)*abroad_repat+0+'War credit'!R80</f>
        <v>154.934229474787</v>
      </c>
      <c r="G80" s="56" t="n">
        <f aca="false">'War credit'!S80+IF(OR(A80=1931,A80=1932),(E80-0-'War credit'!Q80)*abroad_loss/2,0)</f>
        <v>0</v>
      </c>
      <c r="H80" s="56" t="n">
        <f aca="false">E80+C80+D80-F80-G80</f>
        <v>9311.98473861914</v>
      </c>
      <c r="I80" s="72" t="n">
        <f aca="false">Champions!AY80</f>
        <v>5499.42479563807</v>
      </c>
      <c r="J80" s="56" t="n">
        <f aca="false">H80+I80</f>
        <v>14811.4095342572</v>
      </c>
      <c r="K80" s="56" t="n">
        <f aca="false">(E80-0-'War credit'!Q80)*abroad_return*IF(OR(A80=1931,A80=1932),abroad_slump,1)+0+'War credit'!U80</f>
        <v>435.268458949574</v>
      </c>
      <c r="L80" s="72" t="n">
        <f aca="false">Champions!AZ80</f>
        <v>526.95736007711</v>
      </c>
      <c r="M80" s="56" t="n">
        <f aca="false">K80+L80</f>
        <v>962.225819026684</v>
      </c>
      <c r="N80" s="56" t="n">
        <f aca="false">M80*abroad_tax</f>
        <v>96.2225819026684</v>
      </c>
      <c r="O80" s="72" t="n">
        <f aca="false">Labour!R80</f>
        <v>430.23153942835</v>
      </c>
      <c r="P80" s="49" t="n">
        <f aca="false">Economy!O80+M80-O80-V80</f>
        <v>51664.8046499125</v>
      </c>
      <c r="Q80" s="66" t="n">
        <f aca="false">M80/P80</f>
        <v>0.018624396734815</v>
      </c>
      <c r="R80" s="66" t="n">
        <f aca="false">J80/Economy!O80</f>
        <v>0.28889123609574</v>
      </c>
      <c r="S80" s="88" t="n">
        <f aca="false">0</f>
        <v>0</v>
      </c>
      <c r="T80" s="88" t="n">
        <f aca="false">C80-S80</f>
        <v>1794.44465226768</v>
      </c>
      <c r="U80" s="88" t="n">
        <f aca="false">0</f>
        <v>0</v>
      </c>
      <c r="V80" s="89" t="n">
        <f aca="false">'Champion funding'!P80</f>
        <v>137.03683733396</v>
      </c>
    </row>
    <row r="81" customFormat="false" ht="14.25" hidden="false" customHeight="true" outlineLevel="0" collapsed="false">
      <c r="A81" s="64" t="n">
        <v>1921</v>
      </c>
      <c r="B81" s="62" t="n">
        <v>0.035</v>
      </c>
      <c r="C81" s="56" t="n">
        <f aca="false">Economy!O81*B81</f>
        <v>1467.02873321385</v>
      </c>
      <c r="D81" s="56" t="n">
        <f aca="false">IF(AND($A81&gt;=1914,$A81&lt;=1918),entente_total*entente_private*CHOOSE($A81-1913,0.05,0.1333,0.2333,0.3,0.2834),0)</f>
        <v>0</v>
      </c>
      <c r="E81" s="56" t="n">
        <f aca="false">H80</f>
        <v>9311.98473861914</v>
      </c>
      <c r="F81" s="56" t="n">
        <f aca="false">(E81-0-'War credit'!Q81)*abroad_repat+0+'War credit'!R81</f>
        <v>204.119542158574</v>
      </c>
      <c r="G81" s="56" t="n">
        <f aca="false">'War credit'!S81+IF(OR(A81=1931,A81=1932),(E81-0-'War credit'!Q81)*abroad_loss/2,0)</f>
        <v>0</v>
      </c>
      <c r="H81" s="56" t="n">
        <f aca="false">E81+C81+D81-F81-G81</f>
        <v>10574.8939296744</v>
      </c>
      <c r="I81" s="72" t="n">
        <f aca="false">Champions!AY81</f>
        <v>6034.04592580544</v>
      </c>
      <c r="J81" s="56" t="n">
        <f aca="false">H81+I81</f>
        <v>16608.9398554799</v>
      </c>
      <c r="K81" s="56" t="n">
        <f aca="false">(E81-0-'War credit'!Q81)*abroad_return*IF(OR(A81=1931,A81=1932),abroad_slump,1)+0+'War credit'!U81</f>
        <v>533.639084317148</v>
      </c>
      <c r="L81" s="72" t="n">
        <f aca="false">Champions!AZ81</f>
        <v>571.783591632593</v>
      </c>
      <c r="M81" s="56" t="n">
        <f aca="false">K81+L81</f>
        <v>1105.42267594974</v>
      </c>
      <c r="N81" s="56" t="n">
        <f aca="false">M81*abroad_tax</f>
        <v>110.542267594974</v>
      </c>
      <c r="O81" s="72" t="n">
        <f aca="false">Labour!R81</f>
        <v>306.891275298327</v>
      </c>
      <c r="P81" s="49" t="n">
        <f aca="false">Economy!O81+M81-O81-V81</f>
        <v>42569.0304935232</v>
      </c>
      <c r="Q81" s="66" t="n">
        <f aca="false">M81/P81</f>
        <v>0.0259677672508405</v>
      </c>
      <c r="R81" s="66" t="n">
        <f aca="false">J81/Economy!O81</f>
        <v>0.396251880948712</v>
      </c>
      <c r="S81" s="88" t="n">
        <f aca="false">0</f>
        <v>0</v>
      </c>
      <c r="T81" s="88" t="n">
        <f aca="false">C81-S81</f>
        <v>1467.02873321385</v>
      </c>
      <c r="U81" s="88" t="n">
        <f aca="false">0</f>
        <v>0</v>
      </c>
      <c r="V81" s="89" t="n">
        <f aca="false">'Champion funding'!P81</f>
        <v>144.607570381134</v>
      </c>
    </row>
    <row r="82" customFormat="false" ht="14.25" hidden="false" customHeight="true" outlineLevel="0" collapsed="false">
      <c r="A82" s="64" t="n">
        <v>1922</v>
      </c>
      <c r="B82" s="62" t="n">
        <v>0.035</v>
      </c>
      <c r="C82" s="56" t="n">
        <f aca="false">Economy!O82*B82</f>
        <v>1518.48813467468</v>
      </c>
      <c r="D82" s="56" t="n">
        <f aca="false">IF(AND($A82&gt;=1914,$A82&lt;=1918),entente_total*entente_private*CHOOSE($A82-1913,0.05,0.1333,0.2333,0.3,0.2834),0)</f>
        <v>0</v>
      </c>
      <c r="E82" s="56" t="n">
        <f aca="false">H81</f>
        <v>10574.8939296744</v>
      </c>
      <c r="F82" s="56" t="n">
        <f aca="false">(E82-0-'War credit'!Q82)*abroad_repat+0+'War credit'!R82</f>
        <v>242.006817890232</v>
      </c>
      <c r="G82" s="56" t="n">
        <f aca="false">'War credit'!S82+IF(OR(A82=1931,A82=1932),(E82-0-'War credit'!Q82)*abroad_loss/2,0)</f>
        <v>-256.5</v>
      </c>
      <c r="H82" s="56" t="n">
        <f aca="false">E82+C82+D82-F82-G82</f>
        <v>12107.8752464589</v>
      </c>
      <c r="I82" s="72" t="n">
        <f aca="false">Champions!AY82</f>
        <v>6566.44132411023</v>
      </c>
      <c r="J82" s="56" t="n">
        <f aca="false">H82+I82</f>
        <v>18674.3165705691</v>
      </c>
      <c r="K82" s="56" t="n">
        <f aca="false">(E82-0-'War credit'!Q82)*abroad_return*IF(OR(A82=1931,A82=1932),abroad_slump,1)+0+'War credit'!U82</f>
        <v>609.413635780465</v>
      </c>
      <c r="L82" s="72" t="n">
        <f aca="false">Champions!AZ82</f>
        <v>625.474054566431</v>
      </c>
      <c r="M82" s="56" t="n">
        <f aca="false">K82+L82</f>
        <v>1234.8876903469</v>
      </c>
      <c r="N82" s="56" t="n">
        <f aca="false">M82*abroad_tax</f>
        <v>123.48876903469</v>
      </c>
      <c r="O82" s="72" t="n">
        <f aca="false">Labour!R82</f>
        <v>316.795470548822</v>
      </c>
      <c r="P82" s="49" t="n">
        <f aca="false">Economy!O82+M82-O82-V82</f>
        <v>44142.541582641</v>
      </c>
      <c r="Q82" s="66" t="n">
        <f aca="false">M82/P82</f>
        <v>0.0279750020291653</v>
      </c>
      <c r="R82" s="66" t="n">
        <f aca="false">J82/Economy!O82</f>
        <v>0.430428835790637</v>
      </c>
      <c r="S82" s="88" t="n">
        <f aca="false">0</f>
        <v>0</v>
      </c>
      <c r="T82" s="88" t="n">
        <f aca="false">C82-S82</f>
        <v>1518.48813467468</v>
      </c>
      <c r="U82" s="88" t="n">
        <f aca="false">0</f>
        <v>0</v>
      </c>
      <c r="V82" s="89" t="n">
        <f aca="false">'Champion funding'!P82</f>
        <v>160.925913576497</v>
      </c>
    </row>
    <row r="83" customFormat="false" ht="14.25" hidden="false" customHeight="true" outlineLevel="0" collapsed="false">
      <c r="A83" s="61" t="n">
        <v>1923</v>
      </c>
      <c r="B83" s="62" t="n">
        <v>0.035</v>
      </c>
      <c r="C83" s="56" t="n">
        <f aca="false">Economy!O83*B83</f>
        <v>1713.97374506361</v>
      </c>
      <c r="D83" s="56" t="n">
        <f aca="false">IF(AND($A83&gt;=1914,$A83&lt;=1918),entente_total*entente_private*CHOOSE($A83-1913,0.05,0.1333,0.2333,0.3,0.2834),0)</f>
        <v>0</v>
      </c>
      <c r="E83" s="56" t="n">
        <f aca="false">H82</f>
        <v>12107.8752464589</v>
      </c>
      <c r="F83" s="56" t="n">
        <f aca="false">(E83-0-'War credit'!Q83)*abroad_repat+0+'War credit'!R83</f>
        <v>324.533257393766</v>
      </c>
      <c r="G83" s="56" t="n">
        <f aca="false">'War credit'!S83+IF(OR(A83=1931,A83=1932),(E83-0-'War credit'!Q83)*abroad_loss/2,0)</f>
        <v>0</v>
      </c>
      <c r="H83" s="56" t="n">
        <f aca="false">E83+C83+D83-F83-G83</f>
        <v>13497.3157341287</v>
      </c>
      <c r="I83" s="72" t="n">
        <f aca="false">Champions!AY83</f>
        <v>7109.82082275562</v>
      </c>
      <c r="J83" s="56" t="n">
        <f aca="false">H83+I83</f>
        <v>20607.1365568843</v>
      </c>
      <c r="K83" s="56" t="n">
        <f aca="false">(E83-0-'War credit'!Q83)*abroad_return*IF(OR(A83=1931,A83=1932),abroad_slump,1)+0+'War credit'!U83</f>
        <v>651.831014787532</v>
      </c>
      <c r="L83" s="72" t="n">
        <f aca="false">Champions!AZ83</f>
        <v>679.970057508276</v>
      </c>
      <c r="M83" s="56" t="n">
        <f aca="false">K83+L83</f>
        <v>1331.80107229581</v>
      </c>
      <c r="N83" s="56" t="n">
        <f aca="false">M83*abroad_tax</f>
        <v>133.180107229581</v>
      </c>
      <c r="O83" s="72" t="n">
        <f aca="false">Labour!R83</f>
        <v>381.076581928479</v>
      </c>
      <c r="P83" s="49" t="n">
        <f aca="false">Economy!O83+M83-O83-V83</f>
        <v>49745.7895591554</v>
      </c>
      <c r="Q83" s="66" t="n">
        <f aca="false">M83/P83</f>
        <v>0.0267721365787569</v>
      </c>
      <c r="R83" s="66" t="n">
        <f aca="false">J83/Economy!O83</f>
        <v>0.420805617103654</v>
      </c>
      <c r="S83" s="88" t="n">
        <f aca="false">0</f>
        <v>0</v>
      </c>
      <c r="T83" s="88" t="n">
        <f aca="false">C83-S83</f>
        <v>1713.97374506361</v>
      </c>
      <c r="U83" s="88" t="n">
        <f aca="false">0</f>
        <v>0</v>
      </c>
      <c r="V83" s="89" t="n">
        <f aca="false">'Champion funding'!P83</f>
        <v>175.613361600658</v>
      </c>
    </row>
    <row r="84" customFormat="false" ht="14.25" hidden="false" customHeight="true" outlineLevel="0" collapsed="false">
      <c r="A84" s="61" t="n">
        <v>1924</v>
      </c>
      <c r="B84" s="62" t="n">
        <v>0.035</v>
      </c>
      <c r="C84" s="56" t="n">
        <f aca="false">Economy!O84*B84</f>
        <v>1829.1028366608</v>
      </c>
      <c r="D84" s="56" t="n">
        <f aca="false">IF(AND($A84&gt;=1914,$A84&lt;=1918),entente_total*entente_private*CHOOSE($A84-1913,0.05,0.1333,0.2333,0.3,0.2834),0)</f>
        <v>0</v>
      </c>
      <c r="E84" s="56" t="n">
        <f aca="false">H83</f>
        <v>13497.3157341287</v>
      </c>
      <c r="F84" s="56" t="n">
        <f aca="false">(E84-0-'War credit'!Q84)*abroad_repat+0+'War credit'!R84</f>
        <v>366.835720023861</v>
      </c>
      <c r="G84" s="56" t="n">
        <f aca="false">'War credit'!S84+IF(OR(A84=1931,A84=1932),(E84-0-'War credit'!Q84)*abroad_loss/2,0)</f>
        <v>0</v>
      </c>
      <c r="H84" s="56" t="n">
        <f aca="false">E84+C84+D84-F84-G84</f>
        <v>14959.5828507656</v>
      </c>
      <c r="I84" s="72" t="n">
        <f aca="false">Champions!AY84</f>
        <v>7629.1252437573</v>
      </c>
      <c r="J84" s="56" t="n">
        <f aca="false">H84+I84</f>
        <v>22588.7080945229</v>
      </c>
      <c r="K84" s="56" t="n">
        <f aca="false">(E84-0-'War credit'!Q84)*abroad_return*IF(OR(A84=1931,A84=1932),abroad_slump,1)+0+'War credit'!U84</f>
        <v>736.391708047722</v>
      </c>
      <c r="L84" s="72" t="n">
        <f aca="false">Champions!AZ84</f>
        <v>731.19215857449</v>
      </c>
      <c r="M84" s="56" t="n">
        <f aca="false">K84+L84</f>
        <v>1467.58386662221</v>
      </c>
      <c r="N84" s="56" t="n">
        <f aca="false">M84*abroad_tax</f>
        <v>146.758386662221</v>
      </c>
      <c r="O84" s="72" t="n">
        <f aca="false">Labour!R84</f>
        <v>422.06909981597</v>
      </c>
      <c r="P84" s="49" t="n">
        <f aca="false">Economy!O84+M84-O84-V84</f>
        <v>53116.4095319958</v>
      </c>
      <c r="Q84" s="66" t="n">
        <f aca="false">M84/P84</f>
        <v>0.0276295758608869</v>
      </c>
      <c r="R84" s="66" t="n">
        <f aca="false">J84/Economy!O84</f>
        <v>0.432236377016193</v>
      </c>
      <c r="S84" s="88" t="n">
        <f aca="false">0</f>
        <v>0</v>
      </c>
      <c r="T84" s="88" t="n">
        <f aca="false">C84-S84</f>
        <v>1829.1028366608</v>
      </c>
      <c r="U84" s="88" t="n">
        <f aca="false">0</f>
        <v>0</v>
      </c>
      <c r="V84" s="89" t="n">
        <f aca="false">'Champion funding'!P84</f>
        <v>189.186282261767</v>
      </c>
    </row>
    <row r="85" customFormat="false" ht="14.25" hidden="false" customHeight="true" outlineLevel="0" collapsed="false">
      <c r="A85" s="61" t="n">
        <v>1925</v>
      </c>
      <c r="B85" s="62" t="n">
        <v>0.035</v>
      </c>
      <c r="C85" s="56" t="n">
        <f aca="false">Economy!O85*B85</f>
        <v>1977.29149931573</v>
      </c>
      <c r="D85" s="56" t="n">
        <f aca="false">IF(AND($A85&gt;=1914,$A85&lt;=1918),entente_total*entente_private*CHOOSE($A85-1913,0.05,0.1333,0.2333,0.3,0.2834),0)</f>
        <v>0</v>
      </c>
      <c r="E85" s="56" t="n">
        <f aca="false">H84</f>
        <v>14959.5828507656</v>
      </c>
      <c r="F85" s="56" t="n">
        <f aca="false">(E85-0-'War credit'!Q85)*abroad_repat+0+'War credit'!R85</f>
        <v>411.313073554969</v>
      </c>
      <c r="G85" s="56" t="n">
        <f aca="false">'War credit'!S85+IF(OR(A85=1931,A85=1932),(E85-0-'War credit'!Q85)*abroad_loss/2,0)</f>
        <v>0</v>
      </c>
      <c r="H85" s="56" t="n">
        <f aca="false">E85+C85+D85-F85-G85</f>
        <v>16525.5612765264</v>
      </c>
      <c r="I85" s="72" t="n">
        <f aca="false">Champions!AY85</f>
        <v>8133.88743792849</v>
      </c>
      <c r="J85" s="56" t="n">
        <f aca="false">H85+I85</f>
        <v>24659.4487144549</v>
      </c>
      <c r="K85" s="56" t="n">
        <f aca="false">(E85-0-'War credit'!Q85)*abroad_return*IF(OR(A85=1931,A85=1932),abroad_slump,1)+0+'War credit'!U85</f>
        <v>825.302890821938</v>
      </c>
      <c r="L85" s="72" t="n">
        <f aca="false">Champions!AZ85</f>
        <v>780.749539815839</v>
      </c>
      <c r="M85" s="56" t="n">
        <f aca="false">K85+L85</f>
        <v>1606.05243063778</v>
      </c>
      <c r="N85" s="56" t="n">
        <f aca="false">M85*abroad_tax</f>
        <v>160.605243063778</v>
      </c>
      <c r="O85" s="72" t="n">
        <f aca="false">Labour!R85</f>
        <v>469.449437670339</v>
      </c>
      <c r="P85" s="49" t="n">
        <f aca="false">Economy!O85+M85-O85-V85</f>
        <v>57430.2560174556</v>
      </c>
      <c r="Q85" s="66" t="n">
        <f aca="false">M85/P85</f>
        <v>0.0279652667776655</v>
      </c>
      <c r="R85" s="66" t="n">
        <f aca="false">J85/Economy!O85</f>
        <v>0.436496442383232</v>
      </c>
      <c r="S85" s="88" t="n">
        <f aca="false">0</f>
        <v>0</v>
      </c>
      <c r="T85" s="88" t="n">
        <f aca="false">C85-S85</f>
        <v>1977.29149931573</v>
      </c>
      <c r="U85" s="88" t="n">
        <f aca="false">0</f>
        <v>0</v>
      </c>
      <c r="V85" s="89" t="n">
        <f aca="false">'Champion funding'!P85</f>
        <v>200.389813104006</v>
      </c>
    </row>
    <row r="86" customFormat="false" ht="14.25" hidden="false" customHeight="true" outlineLevel="0" collapsed="false">
      <c r="A86" s="61" t="n">
        <v>1926</v>
      </c>
      <c r="B86" s="62" t="n">
        <v>0.035</v>
      </c>
      <c r="C86" s="56" t="n">
        <f aca="false">Economy!O86*B86</f>
        <v>2062.54610724569</v>
      </c>
      <c r="D86" s="56" t="n">
        <f aca="false">IF(AND($A86&gt;=1914,$A86&lt;=1918),entente_total*entente_private*CHOOSE($A86-1913,0.05,0.1333,0.2333,0.3,0.2834),0)</f>
        <v>0</v>
      </c>
      <c r="E86" s="56" t="n">
        <f aca="false">H85</f>
        <v>16525.5612765264</v>
      </c>
      <c r="F86" s="56" t="n">
        <f aca="false">(E86-0-'War credit'!Q86)*abroad_repat+0+'War credit'!R86</f>
        <v>458.89201691928</v>
      </c>
      <c r="G86" s="56" t="n">
        <f aca="false">'War credit'!S86+IF(OR(A86=1931,A86=1932),(E86-0-'War credit'!Q86)*abroad_loss/2,0)</f>
        <v>0</v>
      </c>
      <c r="H86" s="56" t="n">
        <f aca="false">E86+C86+D86-F86-G86</f>
        <v>18129.2153668528</v>
      </c>
      <c r="I86" s="72" t="n">
        <f aca="false">Champions!AY86</f>
        <v>8847.58153387433</v>
      </c>
      <c r="J86" s="56" t="n">
        <f aca="false">H86+I86</f>
        <v>26976.7969007271</v>
      </c>
      <c r="K86" s="56" t="n">
        <f aca="false">(E86-0-'War credit'!Q86)*abroad_return*IF(OR(A86=1931,A86=1932),abroad_slump,1)+0+'War credit'!U86</f>
        <v>920.417949651168</v>
      </c>
      <c r="L86" s="72" t="n">
        <f aca="false">Champions!AZ86</f>
        <v>845.220321122428</v>
      </c>
      <c r="M86" s="56" t="n">
        <f aca="false">K86+L86</f>
        <v>1765.6382707736</v>
      </c>
      <c r="N86" s="56" t="n">
        <f aca="false">M86*abroad_tax</f>
        <v>176.56382707736</v>
      </c>
      <c r="O86" s="72" t="n">
        <f aca="false">Labour!R86</f>
        <v>497.711804691843</v>
      </c>
      <c r="P86" s="49" t="n">
        <f aca="false">Economy!O86+M86-O86-V86</f>
        <v>59989.1801572791</v>
      </c>
      <c r="Q86" s="66" t="n">
        <f aca="false">M86/P86</f>
        <v>0.0294326121167928</v>
      </c>
      <c r="R86" s="66" t="n">
        <f aca="false">J86/Economy!O86</f>
        <v>0.457777834981983</v>
      </c>
      <c r="S86" s="88" t="n">
        <f aca="false">0</f>
        <v>0</v>
      </c>
      <c r="T86" s="88" t="n">
        <f aca="false">C86-S86</f>
        <v>2062.54610724569</v>
      </c>
      <c r="U86" s="88" t="n">
        <f aca="false">0</f>
        <v>0</v>
      </c>
      <c r="V86" s="89" t="n">
        <f aca="false">'Champion funding'!P86</f>
        <v>208.635087250999</v>
      </c>
    </row>
    <row r="87" customFormat="false" ht="14.25" hidden="false" customHeight="true" outlineLevel="0" collapsed="false">
      <c r="A87" s="61" t="n">
        <v>1927</v>
      </c>
      <c r="B87" s="62" t="n">
        <v>0.035</v>
      </c>
      <c r="C87" s="56" t="n">
        <f aca="false">Economy!O87*B87</f>
        <v>2137.32310902482</v>
      </c>
      <c r="D87" s="56" t="n">
        <f aca="false">IF(AND($A87&gt;=1914,$A87&lt;=1918),entente_total*entente_private*CHOOSE($A87-1913,0.05,0.1333,0.2333,0.3,0.2834),0)</f>
        <v>0</v>
      </c>
      <c r="E87" s="56" t="n">
        <f aca="false">H86</f>
        <v>18129.2153668528</v>
      </c>
      <c r="F87" s="56" t="n">
        <f aca="false">(E87-0-'War credit'!Q87)*abroad_repat+'Japan rescue'!N89+'War credit'!R87</f>
        <v>507.591636771096</v>
      </c>
      <c r="G87" s="56" t="n">
        <f aca="false">'War credit'!S87+IF(OR(A87=1931,A87=1932),(E87-0-'War credit'!Q87)*abroad_loss/2,0)</f>
        <v>0</v>
      </c>
      <c r="H87" s="56" t="n">
        <f aca="false">E87+C87+D87-F87-G87</f>
        <v>19758.9468391065</v>
      </c>
      <c r="I87" s="72" t="n">
        <f aca="false">Champions!AY87</f>
        <v>9772.81662734873</v>
      </c>
      <c r="J87" s="56" t="n">
        <f aca="false">H87+I87</f>
        <v>29531.7634664553</v>
      </c>
      <c r="K87" s="56" t="n">
        <f aca="false">(E87-0-'War credit'!Q87)*abroad_return*IF(OR(A87=1931,A87=1932),abroad_slump,1)+'Japan rescue'!L89+'War credit'!U87</f>
        <v>1028.40744914373</v>
      </c>
      <c r="L87" s="72" t="n">
        <f aca="false">Champions!AZ87</f>
        <v>939.282453644783</v>
      </c>
      <c r="M87" s="56" t="n">
        <f aca="false">K87+L87</f>
        <v>1967.68990278852</v>
      </c>
      <c r="N87" s="56" t="n">
        <f aca="false">M87*abroad_tax</f>
        <v>196.768990278852</v>
      </c>
      <c r="O87" s="72" t="n">
        <f aca="false">Labour!R87</f>
        <v>522.268182430777</v>
      </c>
      <c r="P87" s="49" t="n">
        <f aca="false">Economy!O87+M87-O87-V87</f>
        <v>62281.6105543611</v>
      </c>
      <c r="Q87" s="66" t="n">
        <f aca="false">M87/P87</f>
        <v>0.0315934332024228</v>
      </c>
      <c r="R87" s="66" t="n">
        <f aca="false">J87/Economy!O87</f>
        <v>0.483601060111838</v>
      </c>
      <c r="S87" s="88" t="n">
        <f aca="false">'Japan rescue'!E89</f>
        <v>331.399556631746</v>
      </c>
      <c r="T87" s="88" t="n">
        <f aca="false">C87-S87</f>
        <v>1805.92355239308</v>
      </c>
      <c r="U87" s="88" t="n">
        <f aca="false">'Japan rescue'!M89</f>
        <v>331.399556631746</v>
      </c>
      <c r="V87" s="89" t="n">
        <f aca="false">'Champion funding'!P87</f>
        <v>230.185709562993</v>
      </c>
    </row>
    <row r="88" customFormat="false" ht="14.25" hidden="false" customHeight="true" outlineLevel="0" collapsed="false">
      <c r="A88" s="61" t="n">
        <v>1928</v>
      </c>
      <c r="B88" s="62" t="n">
        <v>0.035</v>
      </c>
      <c r="C88" s="56" t="n">
        <f aca="false">Economy!O88*B88</f>
        <v>2293.14795354865</v>
      </c>
      <c r="D88" s="56" t="n">
        <f aca="false">IF(AND($A88&gt;=1914,$A88&lt;=1918),entente_total*entente_private*CHOOSE($A88-1913,0.05,0.1333,0.2333,0.3,0.2834),0)</f>
        <v>0</v>
      </c>
      <c r="E88" s="56" t="n">
        <f aca="false">H87</f>
        <v>19758.9468391065</v>
      </c>
      <c r="F88" s="56" t="n">
        <f aca="false">(E88-'Japan rescue'!M89-'War credit'!Q88)*abroad_repat+'Japan rescue'!N90+'War credit'!R88</f>
        <v>547.122151427508</v>
      </c>
      <c r="G88" s="56" t="n">
        <f aca="false">'War credit'!S88+IF(OR(A88=1931,A88=1932),(E88-'Japan rescue'!M89-'War credit'!Q88)*abroad_loss/2,0)</f>
        <v>0</v>
      </c>
      <c r="H88" s="56" t="n">
        <f aca="false">E88+C88+D88-F88-G88</f>
        <v>21504.9726412277</v>
      </c>
      <c r="I88" s="72" t="n">
        <f aca="false">Champions!AY88</f>
        <v>10679.7215027162</v>
      </c>
      <c r="J88" s="56" t="n">
        <f aca="false">H88+I88</f>
        <v>32184.6941439439</v>
      </c>
      <c r="K88" s="56" t="n">
        <f aca="false">(E88-'Japan rescue'!M89-'War credit'!Q88)*abroad_return*IF(OR(A88=1931,A88=1932),abroad_slump,1)+'Japan rescue'!L90+'War credit'!U88</f>
        <v>1115.02158325881</v>
      </c>
      <c r="L88" s="72" t="n">
        <f aca="false">Champions!AZ88</f>
        <v>1030.74667285799</v>
      </c>
      <c r="M88" s="56" t="n">
        <f aca="false">K88+L88</f>
        <v>2145.7682561168</v>
      </c>
      <c r="N88" s="56" t="n">
        <f aca="false">M88*abroad_tax</f>
        <v>214.57682561168</v>
      </c>
      <c r="O88" s="72" t="n">
        <f aca="false">Labour!R88</f>
        <v>568.428355523814</v>
      </c>
      <c r="P88" s="49" t="n">
        <f aca="false">Economy!O88+M88-O88-V88</f>
        <v>66838.5608936659</v>
      </c>
      <c r="Q88" s="66" t="n">
        <f aca="false">M88/P88</f>
        <v>0.0321037471098536</v>
      </c>
      <c r="R88" s="66" t="n">
        <f aca="false">J88/Economy!O88</f>
        <v>0.491230534556147</v>
      </c>
      <c r="S88" s="88" t="n">
        <f aca="false">'Japan rescue'!E90</f>
        <v>0</v>
      </c>
      <c r="T88" s="88" t="n">
        <f aca="false">C88-S88</f>
        <v>2293.14795354865</v>
      </c>
      <c r="U88" s="88" t="n">
        <f aca="false">'Japan rescue'!M90</f>
        <v>331.399556631746</v>
      </c>
      <c r="V88" s="89" t="n">
        <f aca="false">'Champion funding'!P88</f>
        <v>257.291965459874</v>
      </c>
    </row>
    <row r="89" customFormat="false" ht="14.25" hidden="false" customHeight="true" outlineLevel="0" collapsed="false">
      <c r="A89" s="61" t="n">
        <v>1929</v>
      </c>
      <c r="B89" s="62" t="n">
        <v>0.035</v>
      </c>
      <c r="C89" s="56" t="n">
        <f aca="false">Economy!O89*B89</f>
        <v>2431.53196367027</v>
      </c>
      <c r="D89" s="56" t="n">
        <f aca="false">IF(AND($A89&gt;=1914,$A89&lt;=1918),entente_total*entente_private*CHOOSE($A89-1913,0.05,0.1333,0.2333,0.3,0.2834),0)</f>
        <v>0</v>
      </c>
      <c r="E89" s="56" t="n">
        <f aca="false">H88</f>
        <v>21504.9726412277</v>
      </c>
      <c r="F89" s="56" t="n">
        <f aca="false">(E89-'Japan rescue'!M90-'War credit'!Q89)*abroad_repat+'Japan rescue'!N91+'War credit'!R89</f>
        <v>666.354105090239</v>
      </c>
      <c r="G89" s="56" t="n">
        <f aca="false">'War credit'!S89+IF(OR(A89=1931,A89=1932),(E89-'Japan rescue'!M90-'War credit'!Q89)*abroad_loss/2,0)</f>
        <v>0</v>
      </c>
      <c r="H89" s="56" t="n">
        <f aca="false">E89+C89+D89-F89-G89</f>
        <v>23270.1504998077</v>
      </c>
      <c r="I89" s="72" t="n">
        <f aca="false">Champions!AY89</f>
        <v>11602.6535744262</v>
      </c>
      <c r="J89" s="56" t="n">
        <f aca="false">H89+I89</f>
        <v>34872.8040742339</v>
      </c>
      <c r="K89" s="56" t="n">
        <f aca="false">(E89-'Japan rescue'!M90-'War credit'!Q89)*abroad_return*IF(OR(A89=1931,A89=1932),abroad_slump,1)+'Japan rescue'!L91+'War credit'!U89</f>
        <v>1220.88486305495</v>
      </c>
      <c r="L89" s="72" t="n">
        <f aca="false">Champions!AZ89</f>
        <v>1123.58773241938</v>
      </c>
      <c r="M89" s="56" t="n">
        <f aca="false">K89+L89</f>
        <v>2344.47259547433</v>
      </c>
      <c r="N89" s="56" t="n">
        <f aca="false">M89*abroad_tax</f>
        <v>234.447259547433</v>
      </c>
      <c r="O89" s="72" t="n">
        <f aca="false">Labour!R89</f>
        <v>608.149408837855</v>
      </c>
      <c r="P89" s="49" t="n">
        <f aca="false">Economy!O89+M89-O89-V89</f>
        <v>70926.9925898857</v>
      </c>
      <c r="Q89" s="66" t="n">
        <f aca="false">M89/P89</f>
        <v>0.0330547300804159</v>
      </c>
      <c r="R89" s="66" t="n">
        <f aca="false">J89/Economy!O89</f>
        <v>0.501966727492997</v>
      </c>
      <c r="S89" s="88" t="n">
        <f aca="false">'Japan rescue'!E91</f>
        <v>0</v>
      </c>
      <c r="T89" s="88" t="n">
        <f aca="false">C89-S89</f>
        <v>2431.53196367027</v>
      </c>
      <c r="U89" s="88" t="n">
        <f aca="false">'Japan rescue'!M91</f>
        <v>265.119645305397</v>
      </c>
      <c r="V89" s="89" t="n">
        <f aca="false">'Champion funding'!P89</f>
        <v>281.67241590144</v>
      </c>
    </row>
    <row r="90" customFormat="false" ht="14.25" hidden="false" customHeight="true" outlineLevel="0" collapsed="false">
      <c r="A90" s="61" t="n">
        <v>1930</v>
      </c>
      <c r="B90" s="62" t="n">
        <v>0.005</v>
      </c>
      <c r="C90" s="56" t="n">
        <f aca="false">Economy!O90*B90</f>
        <v>326.947385773646</v>
      </c>
      <c r="D90" s="56" t="n">
        <f aca="false">IF(AND($A90&gt;=1914,$A90&lt;=1918),entente_total*entente_private*CHOOSE($A90-1913,0.05,0.1333,0.2333,0.3,0.2834),0)</f>
        <v>0</v>
      </c>
      <c r="E90" s="56" t="n">
        <f aca="false">H89</f>
        <v>23270.1504998077</v>
      </c>
      <c r="F90" s="56" t="n">
        <f aca="false">(E90-'Japan rescue'!M91-'War credit'!Q90)*abroad_repat+'Japan rescue'!N92+'War credit'!R90</f>
        <v>721.859966167814</v>
      </c>
      <c r="G90" s="56" t="n">
        <f aca="false">'War credit'!S90+IF(OR(A90=1931,A90=1932),(E90-'Japan rescue'!M91-'War credit'!Q90)*abroad_loss/2,0)</f>
        <v>0</v>
      </c>
      <c r="H90" s="56" t="n">
        <f aca="false">E90+C90+D90-F90-G90</f>
        <v>22875.2379194135</v>
      </c>
      <c r="I90" s="72" t="n">
        <f aca="false">Champions!AY90</f>
        <v>10976.5594159185</v>
      </c>
      <c r="J90" s="56" t="n">
        <f aca="false">H90+I90</f>
        <v>33851.797335332</v>
      </c>
      <c r="K90" s="56" t="n">
        <f aca="false">(E90-'Japan rescue'!M91-'War credit'!Q90)*abroad_return*IF(OR(A90=1931,A90=1932),abroad_slump,1)+'Japan rescue'!L92+'War credit'!U90</f>
        <v>1328.21103808856</v>
      </c>
      <c r="L90" s="72" t="n">
        <f aca="false">Champions!AZ90</f>
        <v>1033.06890934616</v>
      </c>
      <c r="M90" s="56" t="n">
        <f aca="false">K90+L90</f>
        <v>2361.27994743472</v>
      </c>
      <c r="N90" s="56" t="n">
        <f aca="false">M90*abroad_tax</f>
        <v>236.127994743472</v>
      </c>
      <c r="O90" s="72" t="n">
        <f aca="false">Labour!R90</f>
        <v>528.033028524261</v>
      </c>
      <c r="P90" s="49" t="n">
        <f aca="false">Economy!O90+M90-O90-V90</f>
        <v>66924.8225872637</v>
      </c>
      <c r="Q90" s="66" t="n">
        <f aca="false">M90/P90</f>
        <v>0.0352825731342931</v>
      </c>
      <c r="R90" s="66" t="n">
        <f aca="false">J90/Economy!O90</f>
        <v>0.517694877040071</v>
      </c>
      <c r="S90" s="88" t="n">
        <f aca="false">'Japan rescue'!E92</f>
        <v>0</v>
      </c>
      <c r="T90" s="88" t="n">
        <f aca="false">C90-S90</f>
        <v>326.947385773646</v>
      </c>
      <c r="U90" s="88" t="n">
        <f aca="false">'Japan rescue'!M92</f>
        <v>198.839733979047</v>
      </c>
      <c r="V90" s="89" t="n">
        <f aca="false">'Champion funding'!P90</f>
        <v>297.901486375911</v>
      </c>
    </row>
    <row r="91" customFormat="false" ht="14.25" hidden="false" customHeight="true" outlineLevel="0" collapsed="false">
      <c r="A91" s="61" t="n">
        <v>1931</v>
      </c>
      <c r="B91" s="62" t="n">
        <v>0.005</v>
      </c>
      <c r="C91" s="56" t="n">
        <f aca="false">Economy!O91*B91</f>
        <v>296.651417362517</v>
      </c>
      <c r="D91" s="56" t="n">
        <f aca="false">IF(AND($A91&gt;=1914,$A91&lt;=1918),entente_total*entente_private*CHOOSE($A91-1913,0.05,0.1333,0.2333,0.3,0.2834),0)</f>
        <v>0</v>
      </c>
      <c r="E91" s="56" t="n">
        <f aca="false">H90</f>
        <v>22875.2379194135</v>
      </c>
      <c r="F91" s="56" t="n">
        <f aca="false">(E91-'Japan rescue'!M92-'War credit'!Q91)*abroad_repat+'Japan rescue'!N93+'War credit'!R91</f>
        <v>673.676706473155</v>
      </c>
      <c r="G91" s="56" t="n">
        <f aca="false">'War credit'!S91+IF(OR(A91=1931,A91=1932),(E91-'Japan rescue'!M92-'War credit'!Q91)*abroad_loss/2,0)</f>
        <v>809.862393529075</v>
      </c>
      <c r="H91" s="56" t="n">
        <f aca="false">E91+C91+D91-F91-G91</f>
        <v>21688.3502367738</v>
      </c>
      <c r="I91" s="72" t="n">
        <f aca="false">Champions!AY91</f>
        <v>10363.8128337468</v>
      </c>
      <c r="J91" s="56" t="n">
        <f aca="false">H91+I91</f>
        <v>32052.1630705207</v>
      </c>
      <c r="K91" s="56" t="n">
        <f aca="false">(E91-'Japan rescue'!M92-'War credit'!Q91)*abroad_return*IF(OR(A91=1931,A91=1932),abroad_slump,1)+'Japan rescue'!L93+'War credit'!U91</f>
        <v>861.291698574376</v>
      </c>
      <c r="L91" s="72" t="n">
        <f aca="false">Champions!AZ91</f>
        <v>778.425607104726</v>
      </c>
      <c r="M91" s="56" t="n">
        <f aca="false">K91+L91</f>
        <v>1639.7173056791</v>
      </c>
      <c r="N91" s="56" t="n">
        <f aca="false">M91*abroad_tax</f>
        <v>163.97173056791</v>
      </c>
      <c r="O91" s="72" t="n">
        <f aca="false">Labour!R91</f>
        <v>415.584087495857</v>
      </c>
      <c r="P91" s="49" t="n">
        <f aca="false">Economy!O91+M91-O91-V91</f>
        <v>60304.021888396</v>
      </c>
      <c r="Q91" s="66" t="n">
        <f aca="false">M91/P91</f>
        <v>0.0271908448944535</v>
      </c>
      <c r="R91" s="66" t="n">
        <f aca="false">J91/Economy!O91</f>
        <v>0.54023276469554</v>
      </c>
      <c r="S91" s="88" t="n">
        <f aca="false">'Japan rescue'!E93</f>
        <v>0</v>
      </c>
      <c r="T91" s="88" t="n">
        <f aca="false">C91-S91</f>
        <v>296.651417362517</v>
      </c>
      <c r="U91" s="88" t="n">
        <f aca="false">'Japan rescue'!M93</f>
        <v>132.559822652698</v>
      </c>
      <c r="V91" s="89" t="n">
        <f aca="false">'Champion funding'!P91</f>
        <v>250.394802290707</v>
      </c>
    </row>
    <row r="92" customFormat="false" ht="14.25" hidden="false" customHeight="true" outlineLevel="0" collapsed="false">
      <c r="A92" s="61" t="n">
        <v>1932</v>
      </c>
      <c r="B92" s="62" t="n">
        <v>0.005</v>
      </c>
      <c r="C92" s="56" t="n">
        <f aca="false">Economy!O92*B92</f>
        <v>274.230595058149</v>
      </c>
      <c r="D92" s="56" t="n">
        <f aca="false">IF(AND($A92&gt;=1914,$A92&lt;=1918),entente_total*entente_private*CHOOSE($A92-1913,0.05,0.1333,0.2333,0.3,0.2834),0)</f>
        <v>0</v>
      </c>
      <c r="E92" s="56" t="n">
        <f aca="false">H91</f>
        <v>21688.3502367738</v>
      </c>
      <c r="F92" s="56" t="n">
        <f aca="false">(E92-'Japan rescue'!M93-'War credit'!Q92)*abroad_repat+'Japan rescue'!N94+'War credit'!R92</f>
        <v>640.058473333754</v>
      </c>
      <c r="G92" s="56" t="n">
        <f aca="false">'War credit'!S92+IF(OR(A92=1931,A92=1932),(E92-'Japan rescue'!M93-'War credit'!Q92)*abroad_loss/2,0)</f>
        <v>765.03808267654</v>
      </c>
      <c r="H92" s="56" t="n">
        <f aca="false">E92+C92+D92-F92-G92</f>
        <v>20557.4842758217</v>
      </c>
      <c r="I92" s="72" t="n">
        <f aca="false">Champions!AY92</f>
        <v>9716.7071772776</v>
      </c>
      <c r="J92" s="56" t="n">
        <f aca="false">H92+I92</f>
        <v>30274.1914530993</v>
      </c>
      <c r="K92" s="56" t="n">
        <f aca="false">(E92-'Japan rescue'!M93-'War credit'!Q92)*abroad_return*IF(OR(A92=1931,A92=1932),abroad_slump,1)+'Japan rescue'!L94+'War credit'!U92</f>
        <v>810.580777056266</v>
      </c>
      <c r="L92" s="72" t="n">
        <f aca="false">Champions!AZ92</f>
        <v>689.143578844425</v>
      </c>
      <c r="M92" s="56" t="n">
        <f aca="false">K92+L92</f>
        <v>1499.72435590069</v>
      </c>
      <c r="N92" s="56" t="n">
        <f aca="false">M92*abroad_tax</f>
        <v>149.972435590069</v>
      </c>
      <c r="O92" s="72" t="n">
        <f aca="false">Labour!R92</f>
        <v>334.03131286035</v>
      </c>
      <c r="P92" s="49" t="n">
        <f aca="false">Economy!O92+M92-O92-V92</f>
        <v>55773.407435985</v>
      </c>
      <c r="Q92" s="66" t="n">
        <f aca="false">M92/P92</f>
        <v>0.0268895953259092</v>
      </c>
      <c r="R92" s="66" t="n">
        <f aca="false">J92/Economy!O92</f>
        <v>0.551984205968699</v>
      </c>
      <c r="S92" s="88" t="n">
        <f aca="false">'Japan rescue'!E94</f>
        <v>0</v>
      </c>
      <c r="T92" s="88" t="n">
        <f aca="false">C92-S92</f>
        <v>274.230595058149</v>
      </c>
      <c r="U92" s="88" t="n">
        <f aca="false">'Japan rescue'!M94</f>
        <v>66.2799113263491</v>
      </c>
      <c r="V92" s="89" t="n">
        <f aca="false">'Champion funding'!P92</f>
        <v>238.404618685237</v>
      </c>
    </row>
  </sheetData>
  <mergeCells count="3">
    <mergeCell ref="B4:D4"/>
    <mergeCell ref="E4:J4"/>
    <mergeCell ref="K4:R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E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57" min="2" style="1" width="12.44"/>
  </cols>
  <sheetData>
    <row r="1" customFormat="false" ht="18" hidden="false" customHeight="true" outlineLevel="0" collapsed="false">
      <c r="A1" s="19" t="s">
        <v>1590</v>
      </c>
    </row>
    <row r="2" customFormat="false" ht="14.25" hidden="false" customHeight="true" outlineLevel="0" collapsed="false">
      <c r="A2" s="3" t="s">
        <v>1591</v>
      </c>
    </row>
    <row r="3" customFormat="false" ht="14.25" hidden="false" customHeight="true" outlineLevel="0" collapsed="false">
      <c r="A3" s="20" t="s">
        <v>1315</v>
      </c>
    </row>
    <row r="4" customFormat="false" ht="14.25" hidden="false" customHeight="true" outlineLevel="0" collapsed="false">
      <c r="B4" s="58" t="s">
        <v>1592</v>
      </c>
      <c r="C4" s="58"/>
      <c r="D4" s="58"/>
      <c r="E4" s="58"/>
      <c r="F4" s="58"/>
      <c r="G4" s="58"/>
      <c r="H4" s="58"/>
      <c r="I4" s="58"/>
      <c r="J4" s="58" t="s">
        <v>1593</v>
      </c>
      <c r="K4" s="58"/>
      <c r="L4" s="58"/>
      <c r="M4" s="58"/>
      <c r="N4" s="58"/>
      <c r="O4" s="58"/>
      <c r="P4" s="58"/>
      <c r="Q4" s="58"/>
      <c r="R4" s="58" t="s">
        <v>1594</v>
      </c>
      <c r="S4" s="58"/>
      <c r="T4" s="58"/>
      <c r="U4" s="58" t="s">
        <v>1595</v>
      </c>
      <c r="V4" s="58"/>
      <c r="W4" s="58"/>
      <c r="X4" s="58" t="s">
        <v>1596</v>
      </c>
      <c r="Y4" s="58"/>
      <c r="Z4" s="58"/>
      <c r="AA4" s="58"/>
      <c r="AB4" s="58"/>
      <c r="AC4" s="58" t="s">
        <v>1597</v>
      </c>
      <c r="AD4" s="58"/>
      <c r="AE4" s="58"/>
      <c r="AF4" s="58"/>
      <c r="AG4" s="58"/>
      <c r="AH4" s="58" t="s">
        <v>1598</v>
      </c>
      <c r="AI4" s="58"/>
      <c r="AJ4" s="58"/>
      <c r="AK4" s="58"/>
      <c r="AL4" s="58"/>
      <c r="AM4" s="58"/>
      <c r="AN4" s="58"/>
      <c r="AO4" s="58"/>
      <c r="AP4" s="58" t="s">
        <v>1599</v>
      </c>
      <c r="AQ4" s="58"/>
      <c r="AR4" s="58"/>
      <c r="AS4" s="58" t="s">
        <v>1600</v>
      </c>
      <c r="AT4" s="58"/>
      <c r="AU4" s="58"/>
      <c r="AV4" s="58"/>
      <c r="AW4" s="58"/>
      <c r="AX4" s="58"/>
      <c r="AY4" s="58"/>
      <c r="AZ4" s="59" t="s">
        <v>1601</v>
      </c>
      <c r="BA4" s="58" t="s">
        <v>1602</v>
      </c>
      <c r="BB4" s="58"/>
      <c r="BC4" s="58"/>
      <c r="BD4" s="58"/>
      <c r="BE4" s="58"/>
    </row>
    <row r="5" customFormat="false" ht="54" hidden="false" customHeight="true" outlineLevel="0" collapsed="false">
      <c r="A5" s="60" t="s">
        <v>103</v>
      </c>
      <c r="B5" s="7" t="s">
        <v>1603</v>
      </c>
      <c r="C5" s="7" t="s">
        <v>1604</v>
      </c>
      <c r="D5" s="7" t="s">
        <v>1605</v>
      </c>
      <c r="E5" s="7" t="s">
        <v>1606</v>
      </c>
      <c r="F5" s="7" t="s">
        <v>1607</v>
      </c>
      <c r="G5" s="7" t="s">
        <v>1608</v>
      </c>
      <c r="H5" s="7" t="s">
        <v>1609</v>
      </c>
      <c r="I5" s="7" t="s">
        <v>17</v>
      </c>
      <c r="J5" s="7" t="s">
        <v>1610</v>
      </c>
      <c r="K5" s="7" t="s">
        <v>1611</v>
      </c>
      <c r="L5" s="7" t="s">
        <v>1612</v>
      </c>
      <c r="M5" s="7" t="s">
        <v>1613</v>
      </c>
      <c r="N5" s="7" t="s">
        <v>1614</v>
      </c>
      <c r="O5" s="7" t="s">
        <v>1615</v>
      </c>
      <c r="P5" s="7" t="s">
        <v>1616</v>
      </c>
      <c r="Q5" s="7" t="s">
        <v>1617</v>
      </c>
      <c r="R5" s="7" t="s">
        <v>1618</v>
      </c>
      <c r="S5" s="7" t="s">
        <v>1619</v>
      </c>
      <c r="T5" s="7" t="s">
        <v>1620</v>
      </c>
      <c r="U5" s="7" t="s">
        <v>1621</v>
      </c>
      <c r="V5" s="7" t="s">
        <v>1622</v>
      </c>
      <c r="W5" s="7" t="s">
        <v>1623</v>
      </c>
      <c r="X5" s="7" t="s">
        <v>1624</v>
      </c>
      <c r="Y5" s="7" t="s">
        <v>1625</v>
      </c>
      <c r="Z5" s="7" t="s">
        <v>1626</v>
      </c>
      <c r="AA5" s="7" t="s">
        <v>1627</v>
      </c>
      <c r="AB5" s="7" t="s">
        <v>1628</v>
      </c>
      <c r="AC5" s="7" t="s">
        <v>1629</v>
      </c>
      <c r="AD5" s="7" t="s">
        <v>1630</v>
      </c>
      <c r="AE5" s="7" t="s">
        <v>1631</v>
      </c>
      <c r="AF5" s="7" t="s">
        <v>1632</v>
      </c>
      <c r="AG5" s="7" t="s">
        <v>1633</v>
      </c>
      <c r="AH5" s="7" t="s">
        <v>1634</v>
      </c>
      <c r="AI5" s="7" t="s">
        <v>1635</v>
      </c>
      <c r="AJ5" s="7" t="s">
        <v>1636</v>
      </c>
      <c r="AK5" s="7" t="s">
        <v>1637</v>
      </c>
      <c r="AL5" s="7" t="s">
        <v>1638</v>
      </c>
      <c r="AM5" s="7" t="s">
        <v>1639</v>
      </c>
      <c r="AN5" s="7" t="s">
        <v>1640</v>
      </c>
      <c r="AO5" s="7" t="s">
        <v>1641</v>
      </c>
      <c r="AP5" s="7" t="s">
        <v>1642</v>
      </c>
      <c r="AQ5" s="7" t="s">
        <v>1643</v>
      </c>
      <c r="AR5" s="7" t="s">
        <v>1644</v>
      </c>
      <c r="AS5" s="7" t="s">
        <v>1645</v>
      </c>
      <c r="AT5" s="7" t="s">
        <v>1646</v>
      </c>
      <c r="AU5" s="7" t="s">
        <v>1647</v>
      </c>
      <c r="AV5" s="7" t="s">
        <v>1648</v>
      </c>
      <c r="AW5" s="7" t="s">
        <v>1649</v>
      </c>
      <c r="AX5" s="7" t="s">
        <v>1650</v>
      </c>
      <c r="AY5" s="7" t="s">
        <v>16</v>
      </c>
      <c r="AZ5" s="7" t="s">
        <v>1651</v>
      </c>
      <c r="BA5" s="7" t="s">
        <v>1652</v>
      </c>
      <c r="BB5" s="7" t="s">
        <v>1653</v>
      </c>
      <c r="BC5" s="7" t="s">
        <v>1654</v>
      </c>
      <c r="BD5" s="7" t="s">
        <v>1655</v>
      </c>
      <c r="BE5" s="7" t="s">
        <v>1656</v>
      </c>
    </row>
    <row r="6" customFormat="false" ht="14.25" hidden="false" customHeight="true" outlineLevel="0" collapsed="false">
      <c r="A6" s="61" t="n">
        <v>1846</v>
      </c>
      <c r="B6" s="68" t="n">
        <f aca="false">champ_scale*(1+Labour!AP6)*(1+Partners!BX6)*(1-IF(union_resp=2,tariff_cut*Labour!S6,0))</f>
        <v>1</v>
      </c>
      <c r="C6" s="47" t="n">
        <v>0</v>
      </c>
      <c r="D6" s="47" t="n">
        <v>0</v>
      </c>
      <c r="E6" s="47" t="n">
        <v>0</v>
      </c>
      <c r="F6" s="49" t="n">
        <f aca="false">E6*B6</f>
        <v>0</v>
      </c>
      <c r="G6" s="49" t="n">
        <f aca="false">F6/Economy!B6*1000000</f>
        <v>0</v>
      </c>
      <c r="H6" s="47" t="n">
        <v>0</v>
      </c>
      <c r="I6" s="70" t="n">
        <f aca="false">IF(H6&gt;0,G6/H6,0)</f>
        <v>0</v>
      </c>
      <c r="J6" s="71" t="n">
        <v>0</v>
      </c>
      <c r="K6" s="56" t="n">
        <f aca="false">Resources!K6*J6*B6</f>
        <v>0</v>
      </c>
      <c r="L6" s="47" t="n">
        <v>0</v>
      </c>
      <c r="M6" s="62" t="n">
        <v>0</v>
      </c>
      <c r="N6" s="47" t="n">
        <v>0</v>
      </c>
      <c r="O6" s="71" t="n">
        <v>0</v>
      </c>
      <c r="P6" s="56" t="n">
        <f aca="false">(IF(Gulf!E6=1,0,L6*M6)+N6)*O6*B6</f>
        <v>0</v>
      </c>
      <c r="Q6" s="56" t="n">
        <f aca="false">P6*oil_book</f>
        <v>0</v>
      </c>
      <c r="R6" s="71" t="n">
        <v>0</v>
      </c>
      <c r="S6" s="47" t="n">
        <v>0</v>
      </c>
      <c r="T6" s="56" t="n">
        <f aca="false">R6*S6*B6</f>
        <v>0</v>
      </c>
      <c r="U6" s="47" t="n">
        <v>0</v>
      </c>
      <c r="V6" s="47" t="n">
        <v>0</v>
      </c>
      <c r="W6" s="56" t="n">
        <f aca="false">U6/1000*V6*B6</f>
        <v>0</v>
      </c>
      <c r="X6" s="47" t="n">
        <v>0</v>
      </c>
      <c r="Y6" s="62" t="n">
        <v>0</v>
      </c>
      <c r="Z6" s="56" t="n">
        <f aca="false">X6*Y6*chem_va*B6</f>
        <v>0</v>
      </c>
      <c r="AA6" s="62" t="n">
        <v>0</v>
      </c>
      <c r="AB6" s="56" t="n">
        <f aca="false">X6*AA6*roy_rate*B6*(1-IF(union_resp=2,lic_cut*Labour!S6,0))</f>
        <v>0</v>
      </c>
      <c r="AC6" s="47" t="n">
        <v>0</v>
      </c>
      <c r="AD6" s="62" t="n">
        <v>0</v>
      </c>
      <c r="AE6" s="62" t="n">
        <v>0</v>
      </c>
      <c r="AF6" s="56" t="n">
        <f aca="false">AC6*AD6*elec_va*B6</f>
        <v>0</v>
      </c>
      <c r="AG6" s="56" t="n">
        <f aca="false">MAX(0,AE6-AD6)*AC6*roy_rate*B6*(1-IF(union_resp=2,lic_cut*Labour!S6,0))</f>
        <v>0</v>
      </c>
      <c r="AH6" s="55" t="n">
        <v>0</v>
      </c>
      <c r="AI6" s="56" t="n">
        <f aca="false">AH6*B6</f>
        <v>0</v>
      </c>
      <c r="AJ6" s="55" t="n">
        <v>0</v>
      </c>
      <c r="AK6" s="56" t="n">
        <f aca="false">AJ6*B6</f>
        <v>0</v>
      </c>
      <c r="AL6" s="47" t="n">
        <v>0</v>
      </c>
      <c r="AM6" s="56" t="n">
        <f aca="false">AL6*uw_fee*B6</f>
        <v>0</v>
      </c>
      <c r="AN6" s="55" t="n">
        <v>0</v>
      </c>
      <c r="AO6" s="55" t="n">
        <v>0</v>
      </c>
      <c r="AP6" s="56" t="n">
        <f aca="false">K6+T6+W6+Z6+AF6+AI6+AK6+AM6+AN6+AO6</f>
        <v>0</v>
      </c>
      <c r="AQ6" s="56" t="n">
        <f aca="false">AP6*(1-1/champ_prem+champ_spill)</f>
        <v>0</v>
      </c>
      <c r="AR6" s="66" t="n">
        <f aca="false">AP6/Economy!O6</f>
        <v>0</v>
      </c>
      <c r="AS6" s="55" t="n">
        <v>0</v>
      </c>
      <c r="AT6" s="55" t="n">
        <v>0</v>
      </c>
      <c r="AU6" s="55" t="n">
        <v>0</v>
      </c>
      <c r="AV6" s="55" t="n">
        <v>0</v>
      </c>
      <c r="AW6" s="55" t="n">
        <v>0</v>
      </c>
      <c r="AX6" s="55" t="n">
        <v>0</v>
      </c>
      <c r="AY6" s="56" t="n">
        <f aca="false">Q6+(AS6+AT6+AU6+AV6+AW6+AX6)*B6</f>
        <v>0</v>
      </c>
      <c r="AZ6" s="56" t="n">
        <f aca="false">P6+(AS6*ret_rail+AT6*ret_tel+AU6*ret_elec+AV6*ret_auto+AW6*ret_chem+AX6*ret_steel)*B6*IF(OR($A6=1931,$A6=1932),abroad_slump,1)+AB6+AG6</f>
        <v>0</v>
      </c>
      <c r="BA6" s="56" t="n">
        <f aca="false">AP6*champ_profit+AZ6</f>
        <v>0</v>
      </c>
      <c r="BB6" s="56" t="n">
        <f aca="false">(K6+AI6+AK6)*champ_profit+P6+(AS6*ret_rail+AT6*ret_tel+AU6*ret_elec)*B6*IF(OR($A6=1931,$A6=1932),abroad_slump,1)</f>
        <v>0</v>
      </c>
      <c r="BC6" s="56" t="n">
        <f aca="false">(T6+W6+Z6+AF6+AN6+AO6)*champ_profit+(AV6*ret_auto+AW6*ret_chem+AX6*ret_steel)*B6*IF(OR($A6=1931,$A6=1932),abroad_slump,1)+AB6+AG6</f>
        <v>0</v>
      </c>
      <c r="BD6" s="56" t="n">
        <f aca="false">IF($A6&gt;=crown_start,(BB6*crown_charter+BC6*crown_comp)*crown_payout,0)</f>
        <v>0</v>
      </c>
      <c r="BE6" s="66" t="n">
        <f aca="false">IF(BB6+BC6&gt;0,(BB6*crown_charter+BC6*crown_comp)/(BA6),0)</f>
        <v>0</v>
      </c>
    </row>
    <row r="7" customFormat="false" ht="14.25" hidden="false" customHeight="true" outlineLevel="0" collapsed="false">
      <c r="A7" s="61" t="n">
        <v>1847</v>
      </c>
      <c r="B7" s="68" t="n">
        <f aca="false">champ_scale*(1+Labour!AP7)*(1+Partners!BX7)*(1-IF(union_resp=2,tariff_cut*Labour!S7,0))</f>
        <v>1</v>
      </c>
      <c r="C7" s="47" t="n">
        <v>0</v>
      </c>
      <c r="D7" s="47" t="n">
        <v>0</v>
      </c>
      <c r="E7" s="47" t="n">
        <v>0</v>
      </c>
      <c r="F7" s="49" t="n">
        <f aca="false">E7*B7</f>
        <v>0</v>
      </c>
      <c r="G7" s="49" t="n">
        <f aca="false">F7/Economy!B7*1000000</f>
        <v>0</v>
      </c>
      <c r="H7" s="47" t="n">
        <v>0</v>
      </c>
      <c r="I7" s="70" t="n">
        <f aca="false">IF(H7&gt;0,G7/H7,0)</f>
        <v>0</v>
      </c>
      <c r="J7" s="71" t="n">
        <v>0</v>
      </c>
      <c r="K7" s="56" t="n">
        <f aca="false">Resources!K7*J7*B7</f>
        <v>0</v>
      </c>
      <c r="L7" s="47" t="n">
        <v>0</v>
      </c>
      <c r="M7" s="62" t="n">
        <v>0</v>
      </c>
      <c r="N7" s="47" t="n">
        <v>0</v>
      </c>
      <c r="O7" s="71" t="n">
        <v>0</v>
      </c>
      <c r="P7" s="56" t="n">
        <f aca="false">(IF(Gulf!E7=1,0,L7*M7)+N7)*O7*B7</f>
        <v>0</v>
      </c>
      <c r="Q7" s="56" t="n">
        <f aca="false">P7*oil_book</f>
        <v>0</v>
      </c>
      <c r="R7" s="71" t="n">
        <v>0</v>
      </c>
      <c r="S7" s="47" t="n">
        <v>0</v>
      </c>
      <c r="T7" s="56" t="n">
        <f aca="false">R7*S7*B7</f>
        <v>0</v>
      </c>
      <c r="U7" s="47" t="n">
        <v>0</v>
      </c>
      <c r="V7" s="47" t="n">
        <v>0</v>
      </c>
      <c r="W7" s="56" t="n">
        <f aca="false">U7/1000*V7*B7</f>
        <v>0</v>
      </c>
      <c r="X7" s="47" t="n">
        <v>0</v>
      </c>
      <c r="Y7" s="62" t="n">
        <v>0</v>
      </c>
      <c r="Z7" s="56" t="n">
        <f aca="false">X7*Y7*chem_va*B7</f>
        <v>0</v>
      </c>
      <c r="AA7" s="62" t="n">
        <v>0</v>
      </c>
      <c r="AB7" s="56" t="n">
        <f aca="false">X7*AA7*roy_rate*B7*(1-IF(union_resp=2,lic_cut*Labour!S7,0))</f>
        <v>0</v>
      </c>
      <c r="AC7" s="47" t="n">
        <v>0</v>
      </c>
      <c r="AD7" s="62" t="n">
        <v>0</v>
      </c>
      <c r="AE7" s="62" t="n">
        <v>0</v>
      </c>
      <c r="AF7" s="56" t="n">
        <f aca="false">AC7*AD7*elec_va*B7</f>
        <v>0</v>
      </c>
      <c r="AG7" s="56" t="n">
        <f aca="false">MAX(0,AE7-AD7)*AC7*roy_rate*B7*(1-IF(union_resp=2,lic_cut*Labour!S7,0))</f>
        <v>0</v>
      </c>
      <c r="AH7" s="55" t="n">
        <v>0</v>
      </c>
      <c r="AI7" s="56" t="n">
        <f aca="false">AH7*B7</f>
        <v>0</v>
      </c>
      <c r="AJ7" s="55" t="n">
        <v>0</v>
      </c>
      <c r="AK7" s="56" t="n">
        <f aca="false">AJ7*B7</f>
        <v>0</v>
      </c>
      <c r="AL7" s="47" t="n">
        <v>0</v>
      </c>
      <c r="AM7" s="56" t="n">
        <f aca="false">AL7*uw_fee*B7</f>
        <v>0</v>
      </c>
      <c r="AN7" s="55" t="n">
        <v>0</v>
      </c>
      <c r="AO7" s="55" t="n">
        <v>0</v>
      </c>
      <c r="AP7" s="56" t="n">
        <f aca="false">K7+T7+W7+Z7+AF7+AI7+AK7+AM7+AN7+AO7</f>
        <v>0</v>
      </c>
      <c r="AQ7" s="56" t="n">
        <f aca="false">AP7*(1-1/champ_prem+champ_spill)</f>
        <v>0</v>
      </c>
      <c r="AR7" s="66" t="n">
        <f aca="false">AP7/Economy!O7</f>
        <v>0</v>
      </c>
      <c r="AS7" s="55" t="n">
        <v>0</v>
      </c>
      <c r="AT7" s="55" t="n">
        <v>0</v>
      </c>
      <c r="AU7" s="55" t="n">
        <v>0</v>
      </c>
      <c r="AV7" s="55" t="n">
        <v>0</v>
      </c>
      <c r="AW7" s="55" t="n">
        <v>0</v>
      </c>
      <c r="AX7" s="55" t="n">
        <v>0</v>
      </c>
      <c r="AY7" s="56" t="n">
        <f aca="false">Q7+(AS7+AT7+AU7+AV7+AW7+AX7)*B7</f>
        <v>0</v>
      </c>
      <c r="AZ7" s="56" t="n">
        <f aca="false">P7+(AS7*ret_rail+AT7*ret_tel+AU7*ret_elec+AV7*ret_auto+AW7*ret_chem+AX7*ret_steel)*B7*IF(OR($A7=1931,$A7=1932),abroad_slump,1)+AB7+AG7</f>
        <v>0</v>
      </c>
      <c r="BA7" s="56" t="n">
        <f aca="false">AP7*champ_profit+AZ7</f>
        <v>0</v>
      </c>
      <c r="BB7" s="56" t="n">
        <f aca="false">(K7+AI7+AK7)*champ_profit+P7+(AS7*ret_rail+AT7*ret_tel+AU7*ret_elec)*B7*IF(OR($A7=1931,$A7=1932),abroad_slump,1)</f>
        <v>0</v>
      </c>
      <c r="BC7" s="56" t="n">
        <f aca="false">(T7+W7+Z7+AF7+AN7+AO7)*champ_profit+(AV7*ret_auto+AW7*ret_chem+AX7*ret_steel)*B7*IF(OR($A7=1931,$A7=1932),abroad_slump,1)+AB7+AG7</f>
        <v>0</v>
      </c>
      <c r="BD7" s="56" t="n">
        <f aca="false">IF($A7&gt;=crown_start,(BB7*crown_charter+BC7*crown_comp)*crown_payout,0)</f>
        <v>0</v>
      </c>
      <c r="BE7" s="66" t="n">
        <f aca="false">IF(BB7+BC7&gt;0,(BB7*crown_charter+BC7*crown_comp)/(BA7),0)</f>
        <v>0</v>
      </c>
    </row>
    <row r="8" customFormat="false" ht="14.25" hidden="false" customHeight="true" outlineLevel="0" collapsed="false">
      <c r="A8" s="61" t="n">
        <v>1848</v>
      </c>
      <c r="B8" s="68" t="n">
        <f aca="false">champ_scale*(1+Labour!AP8)*(1+Partners!BX8)*(1-IF(union_resp=2,tariff_cut*Labour!S8,0))</f>
        <v>1</v>
      </c>
      <c r="C8" s="47" t="n">
        <v>0</v>
      </c>
      <c r="D8" s="47" t="n">
        <v>0</v>
      </c>
      <c r="E8" s="47" t="n">
        <v>0</v>
      </c>
      <c r="F8" s="49" t="n">
        <f aca="false">E8*B8</f>
        <v>0</v>
      </c>
      <c r="G8" s="49" t="n">
        <f aca="false">F8/Economy!B8*1000000</f>
        <v>0</v>
      </c>
      <c r="H8" s="47" t="n">
        <v>0</v>
      </c>
      <c r="I8" s="70" t="n">
        <f aca="false">IF(H8&gt;0,G8/H8,0)</f>
        <v>0</v>
      </c>
      <c r="J8" s="71" t="n">
        <v>0</v>
      </c>
      <c r="K8" s="56" t="n">
        <f aca="false">Resources!K8*J8*B8</f>
        <v>0</v>
      </c>
      <c r="L8" s="47" t="n">
        <v>0</v>
      </c>
      <c r="M8" s="62" t="n">
        <v>0</v>
      </c>
      <c r="N8" s="47" t="n">
        <v>0</v>
      </c>
      <c r="O8" s="71" t="n">
        <v>0</v>
      </c>
      <c r="P8" s="56" t="n">
        <f aca="false">(IF(Gulf!E8=1,0,L8*M8)+N8)*O8*B8</f>
        <v>0</v>
      </c>
      <c r="Q8" s="56" t="n">
        <f aca="false">P8*oil_book</f>
        <v>0</v>
      </c>
      <c r="R8" s="71" t="n">
        <v>0</v>
      </c>
      <c r="S8" s="47" t="n">
        <v>0</v>
      </c>
      <c r="T8" s="56" t="n">
        <f aca="false">R8*S8*B8</f>
        <v>0</v>
      </c>
      <c r="U8" s="47" t="n">
        <v>0</v>
      </c>
      <c r="V8" s="47" t="n">
        <v>0</v>
      </c>
      <c r="W8" s="56" t="n">
        <f aca="false">U8/1000*V8*B8</f>
        <v>0</v>
      </c>
      <c r="X8" s="47" t="n">
        <v>0</v>
      </c>
      <c r="Y8" s="62" t="n">
        <v>0</v>
      </c>
      <c r="Z8" s="56" t="n">
        <f aca="false">X8*Y8*chem_va*B8</f>
        <v>0</v>
      </c>
      <c r="AA8" s="62" t="n">
        <v>0</v>
      </c>
      <c r="AB8" s="56" t="n">
        <f aca="false">X8*AA8*roy_rate*B8*(1-IF(union_resp=2,lic_cut*Labour!S8,0))</f>
        <v>0</v>
      </c>
      <c r="AC8" s="47" t="n">
        <v>0</v>
      </c>
      <c r="AD8" s="62" t="n">
        <v>0</v>
      </c>
      <c r="AE8" s="62" t="n">
        <v>0</v>
      </c>
      <c r="AF8" s="56" t="n">
        <f aca="false">AC8*AD8*elec_va*B8</f>
        <v>0</v>
      </c>
      <c r="AG8" s="56" t="n">
        <f aca="false">MAX(0,AE8-AD8)*AC8*roy_rate*B8*(1-IF(union_resp=2,lic_cut*Labour!S8,0))</f>
        <v>0</v>
      </c>
      <c r="AH8" s="55" t="n">
        <v>0</v>
      </c>
      <c r="AI8" s="56" t="n">
        <f aca="false">AH8*B8</f>
        <v>0</v>
      </c>
      <c r="AJ8" s="55" t="n">
        <v>0</v>
      </c>
      <c r="AK8" s="56" t="n">
        <f aca="false">AJ8*B8</f>
        <v>0</v>
      </c>
      <c r="AL8" s="47" t="n">
        <v>0</v>
      </c>
      <c r="AM8" s="56" t="n">
        <f aca="false">AL8*uw_fee*B8</f>
        <v>0</v>
      </c>
      <c r="AN8" s="55" t="n">
        <v>0</v>
      </c>
      <c r="AO8" s="55" t="n">
        <v>0</v>
      </c>
      <c r="AP8" s="56" t="n">
        <f aca="false">K8+T8+W8+Z8+AF8+AI8+AK8+AM8+AN8+AO8</f>
        <v>0</v>
      </c>
      <c r="AQ8" s="56" t="n">
        <f aca="false">AP8*(1-1/champ_prem+champ_spill)</f>
        <v>0</v>
      </c>
      <c r="AR8" s="66" t="n">
        <f aca="false">AP8/Economy!O8</f>
        <v>0</v>
      </c>
      <c r="AS8" s="55" t="n">
        <v>0</v>
      </c>
      <c r="AT8" s="55" t="n">
        <v>0</v>
      </c>
      <c r="AU8" s="55" t="n">
        <v>0</v>
      </c>
      <c r="AV8" s="55" t="n">
        <v>0</v>
      </c>
      <c r="AW8" s="55" t="n">
        <v>0</v>
      </c>
      <c r="AX8" s="55" t="n">
        <v>0</v>
      </c>
      <c r="AY8" s="56" t="n">
        <f aca="false">Q8+(AS8+AT8+AU8+AV8+AW8+AX8)*B8</f>
        <v>0</v>
      </c>
      <c r="AZ8" s="56" t="n">
        <f aca="false">P8+(AS8*ret_rail+AT8*ret_tel+AU8*ret_elec+AV8*ret_auto+AW8*ret_chem+AX8*ret_steel)*B8*IF(OR($A8=1931,$A8=1932),abroad_slump,1)+AB8+AG8</f>
        <v>0</v>
      </c>
      <c r="BA8" s="56" t="n">
        <f aca="false">AP8*champ_profit+AZ8</f>
        <v>0</v>
      </c>
      <c r="BB8" s="56" t="n">
        <f aca="false">(K8+AI8+AK8)*champ_profit+P8+(AS8*ret_rail+AT8*ret_tel+AU8*ret_elec)*B8*IF(OR($A8=1931,$A8=1932),abroad_slump,1)</f>
        <v>0</v>
      </c>
      <c r="BC8" s="56" t="n">
        <f aca="false">(T8+W8+Z8+AF8+AN8+AO8)*champ_profit+(AV8*ret_auto+AW8*ret_chem+AX8*ret_steel)*B8*IF(OR($A8=1931,$A8=1932),abroad_slump,1)+AB8+AG8</f>
        <v>0</v>
      </c>
      <c r="BD8" s="56" t="n">
        <f aca="false">IF($A8&gt;=crown_start,(BB8*crown_charter+BC8*crown_comp)*crown_payout,0)</f>
        <v>0</v>
      </c>
      <c r="BE8" s="66" t="n">
        <f aca="false">IF(BB8+BC8&gt;0,(BB8*crown_charter+BC8*crown_comp)/(BA8),0)</f>
        <v>0</v>
      </c>
    </row>
    <row r="9" customFormat="false" ht="14.25" hidden="false" customHeight="true" outlineLevel="0" collapsed="false">
      <c r="A9" s="61" t="n">
        <v>1849</v>
      </c>
      <c r="B9" s="68" t="n">
        <f aca="false">champ_scale*(1+Labour!AP9)*(1+Partners!BX9)*(1-IF(union_resp=2,tariff_cut*Labour!S9,0))</f>
        <v>1</v>
      </c>
      <c r="C9" s="47" t="n">
        <v>0</v>
      </c>
      <c r="D9" s="47" t="n">
        <v>0</v>
      </c>
      <c r="E9" s="47" t="n">
        <v>0</v>
      </c>
      <c r="F9" s="49" t="n">
        <f aca="false">E9*B9</f>
        <v>0</v>
      </c>
      <c r="G9" s="49" t="n">
        <f aca="false">F9/Economy!B9*1000000</f>
        <v>0</v>
      </c>
      <c r="H9" s="47" t="n">
        <v>0</v>
      </c>
      <c r="I9" s="70" t="n">
        <f aca="false">IF(H9&gt;0,G9/H9,0)</f>
        <v>0</v>
      </c>
      <c r="J9" s="71" t="n">
        <v>0</v>
      </c>
      <c r="K9" s="56" t="n">
        <f aca="false">Resources!K9*J9*B9</f>
        <v>0</v>
      </c>
      <c r="L9" s="47" t="n">
        <v>0</v>
      </c>
      <c r="M9" s="62" t="n">
        <v>0</v>
      </c>
      <c r="N9" s="47" t="n">
        <v>0</v>
      </c>
      <c r="O9" s="71" t="n">
        <v>0</v>
      </c>
      <c r="P9" s="56" t="n">
        <f aca="false">(IF(Gulf!E9=1,0,L9*M9)+N9)*O9*B9</f>
        <v>0</v>
      </c>
      <c r="Q9" s="56" t="n">
        <f aca="false">P9*oil_book</f>
        <v>0</v>
      </c>
      <c r="R9" s="71" t="n">
        <v>0</v>
      </c>
      <c r="S9" s="47" t="n">
        <v>0</v>
      </c>
      <c r="T9" s="56" t="n">
        <f aca="false">R9*S9*B9</f>
        <v>0</v>
      </c>
      <c r="U9" s="47" t="n">
        <v>0</v>
      </c>
      <c r="V9" s="47" t="n">
        <v>0</v>
      </c>
      <c r="W9" s="56" t="n">
        <f aca="false">U9/1000*V9*B9</f>
        <v>0</v>
      </c>
      <c r="X9" s="47" t="n">
        <v>0</v>
      </c>
      <c r="Y9" s="62" t="n">
        <v>0</v>
      </c>
      <c r="Z9" s="56" t="n">
        <f aca="false">X9*Y9*chem_va*B9</f>
        <v>0</v>
      </c>
      <c r="AA9" s="62" t="n">
        <v>0</v>
      </c>
      <c r="AB9" s="56" t="n">
        <f aca="false">X9*AA9*roy_rate*B9*(1-IF(union_resp=2,lic_cut*Labour!S9,0))</f>
        <v>0</v>
      </c>
      <c r="AC9" s="47" t="n">
        <v>0</v>
      </c>
      <c r="AD9" s="62" t="n">
        <v>0</v>
      </c>
      <c r="AE9" s="62" t="n">
        <v>0</v>
      </c>
      <c r="AF9" s="56" t="n">
        <f aca="false">AC9*AD9*elec_va*B9</f>
        <v>0</v>
      </c>
      <c r="AG9" s="56" t="n">
        <f aca="false">MAX(0,AE9-AD9)*AC9*roy_rate*B9*(1-IF(union_resp=2,lic_cut*Labour!S9,0))</f>
        <v>0</v>
      </c>
      <c r="AH9" s="55" t="n">
        <v>0</v>
      </c>
      <c r="AI9" s="56" t="n">
        <f aca="false">AH9*B9</f>
        <v>0</v>
      </c>
      <c r="AJ9" s="55" t="n">
        <v>0</v>
      </c>
      <c r="AK9" s="56" t="n">
        <f aca="false">AJ9*B9</f>
        <v>0</v>
      </c>
      <c r="AL9" s="47" t="n">
        <v>0</v>
      </c>
      <c r="AM9" s="56" t="n">
        <f aca="false">AL9*uw_fee*B9</f>
        <v>0</v>
      </c>
      <c r="AN9" s="55" t="n">
        <v>0</v>
      </c>
      <c r="AO9" s="55" t="n">
        <v>0</v>
      </c>
      <c r="AP9" s="56" t="n">
        <f aca="false">K9+T9+W9+Z9+AF9+AI9+AK9+AM9+AN9+AO9</f>
        <v>0</v>
      </c>
      <c r="AQ9" s="56" t="n">
        <f aca="false">AP9*(1-1/champ_prem+champ_spill)</f>
        <v>0</v>
      </c>
      <c r="AR9" s="66" t="n">
        <f aca="false">AP9/Economy!O9</f>
        <v>0</v>
      </c>
      <c r="AS9" s="55" t="n">
        <v>0</v>
      </c>
      <c r="AT9" s="55" t="n">
        <v>0</v>
      </c>
      <c r="AU9" s="55" t="n">
        <v>0</v>
      </c>
      <c r="AV9" s="55" t="n">
        <v>0</v>
      </c>
      <c r="AW9" s="55" t="n">
        <v>0</v>
      </c>
      <c r="AX9" s="55" t="n">
        <v>0</v>
      </c>
      <c r="AY9" s="56" t="n">
        <f aca="false">Q9+(AS9+AT9+AU9+AV9+AW9+AX9)*B9</f>
        <v>0</v>
      </c>
      <c r="AZ9" s="56" t="n">
        <f aca="false">P9+(AS9*ret_rail+AT9*ret_tel+AU9*ret_elec+AV9*ret_auto+AW9*ret_chem+AX9*ret_steel)*B9*IF(OR($A9=1931,$A9=1932),abroad_slump,1)+AB9+AG9</f>
        <v>0</v>
      </c>
      <c r="BA9" s="56" t="n">
        <f aca="false">AP9*champ_profit+AZ9</f>
        <v>0</v>
      </c>
      <c r="BB9" s="56" t="n">
        <f aca="false">(K9+AI9+AK9)*champ_profit+P9+(AS9*ret_rail+AT9*ret_tel+AU9*ret_elec)*B9*IF(OR($A9=1931,$A9=1932),abroad_slump,1)</f>
        <v>0</v>
      </c>
      <c r="BC9" s="56" t="n">
        <f aca="false">(T9+W9+Z9+AF9+AN9+AO9)*champ_profit+(AV9*ret_auto+AW9*ret_chem+AX9*ret_steel)*B9*IF(OR($A9=1931,$A9=1932),abroad_slump,1)+AB9+AG9</f>
        <v>0</v>
      </c>
      <c r="BD9" s="56" t="n">
        <f aca="false">IF($A9&gt;=crown_start,(BB9*crown_charter+BC9*crown_comp)*crown_payout,0)</f>
        <v>0</v>
      </c>
      <c r="BE9" s="66" t="n">
        <f aca="false">IF(BB9+BC9&gt;0,(BB9*crown_charter+BC9*crown_comp)/(BA9),0)</f>
        <v>0</v>
      </c>
    </row>
    <row r="10" customFormat="false" ht="14.25" hidden="false" customHeight="true" outlineLevel="0" collapsed="false">
      <c r="A10" s="61" t="n">
        <v>1850</v>
      </c>
      <c r="B10" s="68" t="n">
        <f aca="false">champ_scale*(1+Labour!AP10)*(1+Partners!BX10)*(1-IF(union_resp=2,tariff_cut*Labour!S10,0))</f>
        <v>1</v>
      </c>
      <c r="C10" s="47" t="n">
        <v>0</v>
      </c>
      <c r="D10" s="47" t="n">
        <v>0</v>
      </c>
      <c r="E10" s="47" t="n">
        <v>0</v>
      </c>
      <c r="F10" s="49" t="n">
        <f aca="false">E10*B10</f>
        <v>0</v>
      </c>
      <c r="G10" s="49" t="n">
        <f aca="false">F10/Economy!B10*1000000</f>
        <v>0</v>
      </c>
      <c r="H10" s="47" t="n">
        <v>0</v>
      </c>
      <c r="I10" s="70" t="n">
        <f aca="false">IF(H10&gt;0,G10/H10,0)</f>
        <v>0</v>
      </c>
      <c r="J10" s="71" t="n">
        <v>0</v>
      </c>
      <c r="K10" s="56" t="n">
        <f aca="false">Resources!K10*J10*B10</f>
        <v>0</v>
      </c>
      <c r="L10" s="47" t="n">
        <v>0</v>
      </c>
      <c r="M10" s="62" t="n">
        <v>0</v>
      </c>
      <c r="N10" s="47" t="n">
        <v>0</v>
      </c>
      <c r="O10" s="71" t="n">
        <v>0</v>
      </c>
      <c r="P10" s="56" t="n">
        <f aca="false">(IF(Gulf!E10=1,0,L10*M10)+N10)*O10*B10</f>
        <v>0</v>
      </c>
      <c r="Q10" s="56" t="n">
        <f aca="false">P10*oil_book</f>
        <v>0</v>
      </c>
      <c r="R10" s="71" t="n">
        <v>0</v>
      </c>
      <c r="S10" s="47" t="n">
        <v>0</v>
      </c>
      <c r="T10" s="56" t="n">
        <f aca="false">R10*S10*B10</f>
        <v>0</v>
      </c>
      <c r="U10" s="47" t="n">
        <v>0</v>
      </c>
      <c r="V10" s="47" t="n">
        <v>0</v>
      </c>
      <c r="W10" s="56" t="n">
        <f aca="false">U10/1000*V10*B10</f>
        <v>0</v>
      </c>
      <c r="X10" s="47" t="n">
        <v>0</v>
      </c>
      <c r="Y10" s="62" t="n">
        <v>0</v>
      </c>
      <c r="Z10" s="56" t="n">
        <f aca="false">X10*Y10*chem_va*B10</f>
        <v>0</v>
      </c>
      <c r="AA10" s="62" t="n">
        <v>0</v>
      </c>
      <c r="AB10" s="56" t="n">
        <f aca="false">X10*AA10*roy_rate*B10*(1-IF(union_resp=2,lic_cut*Labour!S10,0))</f>
        <v>0</v>
      </c>
      <c r="AC10" s="47" t="n">
        <v>0</v>
      </c>
      <c r="AD10" s="62" t="n">
        <v>0</v>
      </c>
      <c r="AE10" s="62" t="n">
        <v>0</v>
      </c>
      <c r="AF10" s="56" t="n">
        <f aca="false">AC10*AD10*elec_va*B10</f>
        <v>0</v>
      </c>
      <c r="AG10" s="56" t="n">
        <f aca="false">MAX(0,AE10-AD10)*AC10*roy_rate*B10*(1-IF(union_resp=2,lic_cut*Labour!S10,0))</f>
        <v>0</v>
      </c>
      <c r="AH10" s="55" t="n">
        <v>0</v>
      </c>
      <c r="AI10" s="56" t="n">
        <f aca="false">AH10*B10</f>
        <v>0</v>
      </c>
      <c r="AJ10" s="55" t="n">
        <v>0</v>
      </c>
      <c r="AK10" s="56" t="n">
        <f aca="false">AJ10*B10</f>
        <v>0</v>
      </c>
      <c r="AL10" s="47" t="n">
        <v>0</v>
      </c>
      <c r="AM10" s="56" t="n">
        <f aca="false">AL10*uw_fee*B10</f>
        <v>0</v>
      </c>
      <c r="AN10" s="55" t="n">
        <v>0</v>
      </c>
      <c r="AO10" s="55" t="n">
        <v>0</v>
      </c>
      <c r="AP10" s="56" t="n">
        <f aca="false">K10+T10+W10+Z10+AF10+AI10+AK10+AM10+AN10+AO10</f>
        <v>0</v>
      </c>
      <c r="AQ10" s="56" t="n">
        <f aca="false">AP10*(1-1/champ_prem+champ_spill)</f>
        <v>0</v>
      </c>
      <c r="AR10" s="66" t="n">
        <f aca="false">AP10/Economy!O10</f>
        <v>0</v>
      </c>
      <c r="AS10" s="55" t="n">
        <v>0</v>
      </c>
      <c r="AT10" s="55" t="n">
        <v>0</v>
      </c>
      <c r="AU10" s="55" t="n">
        <v>0</v>
      </c>
      <c r="AV10" s="55" t="n">
        <v>0</v>
      </c>
      <c r="AW10" s="55" t="n">
        <v>0</v>
      </c>
      <c r="AX10" s="55" t="n">
        <v>0</v>
      </c>
      <c r="AY10" s="56" t="n">
        <f aca="false">Q10+(AS10+AT10+AU10+AV10+AW10+AX10)*B10</f>
        <v>0</v>
      </c>
      <c r="AZ10" s="56" t="n">
        <f aca="false">P10+(AS10*ret_rail+AT10*ret_tel+AU10*ret_elec+AV10*ret_auto+AW10*ret_chem+AX10*ret_steel)*B10*IF(OR($A10=1931,$A10=1932),abroad_slump,1)+AB10+AG10</f>
        <v>0</v>
      </c>
      <c r="BA10" s="56" t="n">
        <f aca="false">AP10*champ_profit+AZ10</f>
        <v>0</v>
      </c>
      <c r="BB10" s="56" t="n">
        <f aca="false">(K10+AI10+AK10)*champ_profit+P10+(AS10*ret_rail+AT10*ret_tel+AU10*ret_elec)*B10*IF(OR($A10=1931,$A10=1932),abroad_slump,1)</f>
        <v>0</v>
      </c>
      <c r="BC10" s="56" t="n">
        <f aca="false">(T10+W10+Z10+AF10+AN10+AO10)*champ_profit+(AV10*ret_auto+AW10*ret_chem+AX10*ret_steel)*B10*IF(OR($A10=1931,$A10=1932),abroad_slump,1)+AB10+AG10</f>
        <v>0</v>
      </c>
      <c r="BD10" s="56" t="n">
        <f aca="false">IF($A10&gt;=crown_start,(BB10*crown_charter+BC10*crown_comp)*crown_payout,0)</f>
        <v>0</v>
      </c>
      <c r="BE10" s="66" t="n">
        <f aca="false">IF(BB10+BC10&gt;0,(BB10*crown_charter+BC10*crown_comp)/(BA10),0)</f>
        <v>0</v>
      </c>
    </row>
    <row r="11" customFormat="false" ht="14.25" hidden="false" customHeight="true" outlineLevel="0" collapsed="false">
      <c r="A11" s="61" t="n">
        <v>1851</v>
      </c>
      <c r="B11" s="68" t="n">
        <f aca="false">champ_scale*(1+Labour!AP11)*(1+Partners!BX11)*(1-IF(union_resp=2,tariff_cut*Labour!S11,0))</f>
        <v>1</v>
      </c>
      <c r="C11" s="47" t="n">
        <v>0</v>
      </c>
      <c r="D11" s="47" t="n">
        <v>0</v>
      </c>
      <c r="E11" s="47" t="n">
        <v>0</v>
      </c>
      <c r="F11" s="49" t="n">
        <f aca="false">E11*B11</f>
        <v>0</v>
      </c>
      <c r="G11" s="49" t="n">
        <f aca="false">F11/Economy!B11*1000000</f>
        <v>0</v>
      </c>
      <c r="H11" s="47" t="n">
        <v>0</v>
      </c>
      <c r="I11" s="70" t="n">
        <f aca="false">IF(H11&gt;0,G11/H11,0)</f>
        <v>0</v>
      </c>
      <c r="J11" s="71" t="n">
        <v>0</v>
      </c>
      <c r="K11" s="56" t="n">
        <f aca="false">Resources!K11*J11*B11</f>
        <v>0</v>
      </c>
      <c r="L11" s="47" t="n">
        <v>0</v>
      </c>
      <c r="M11" s="62" t="n">
        <v>0</v>
      </c>
      <c r="N11" s="47" t="n">
        <v>0</v>
      </c>
      <c r="O11" s="71" t="n">
        <v>0</v>
      </c>
      <c r="P11" s="56" t="n">
        <f aca="false">(IF(Gulf!E11=1,0,L11*M11)+N11)*O11*B11</f>
        <v>0</v>
      </c>
      <c r="Q11" s="56" t="n">
        <f aca="false">P11*oil_book</f>
        <v>0</v>
      </c>
      <c r="R11" s="71" t="n">
        <v>0</v>
      </c>
      <c r="S11" s="47" t="n">
        <v>0</v>
      </c>
      <c r="T11" s="56" t="n">
        <f aca="false">R11*S11*B11</f>
        <v>0</v>
      </c>
      <c r="U11" s="47" t="n">
        <v>0</v>
      </c>
      <c r="V11" s="47" t="n">
        <v>0</v>
      </c>
      <c r="W11" s="56" t="n">
        <f aca="false">U11/1000*V11*B11</f>
        <v>0</v>
      </c>
      <c r="X11" s="47" t="n">
        <v>0</v>
      </c>
      <c r="Y11" s="62" t="n">
        <v>0</v>
      </c>
      <c r="Z11" s="56" t="n">
        <f aca="false">X11*Y11*chem_va*B11</f>
        <v>0</v>
      </c>
      <c r="AA11" s="62" t="n">
        <v>0</v>
      </c>
      <c r="AB11" s="56" t="n">
        <f aca="false">X11*AA11*roy_rate*B11*(1-IF(union_resp=2,lic_cut*Labour!S11,0))</f>
        <v>0</v>
      </c>
      <c r="AC11" s="47" t="n">
        <v>0</v>
      </c>
      <c r="AD11" s="62" t="n">
        <v>0</v>
      </c>
      <c r="AE11" s="62" t="n">
        <v>0</v>
      </c>
      <c r="AF11" s="56" t="n">
        <f aca="false">AC11*AD11*elec_va*B11</f>
        <v>0</v>
      </c>
      <c r="AG11" s="56" t="n">
        <f aca="false">MAX(0,AE11-AD11)*AC11*roy_rate*B11*(1-IF(union_resp=2,lic_cut*Labour!S11,0))</f>
        <v>0</v>
      </c>
      <c r="AH11" s="55" t="n">
        <v>0</v>
      </c>
      <c r="AI11" s="56" t="n">
        <f aca="false">AH11*B11</f>
        <v>0</v>
      </c>
      <c r="AJ11" s="55" t="n">
        <v>0</v>
      </c>
      <c r="AK11" s="56" t="n">
        <f aca="false">AJ11*B11</f>
        <v>0</v>
      </c>
      <c r="AL11" s="47" t="n">
        <v>0</v>
      </c>
      <c r="AM11" s="56" t="n">
        <f aca="false">AL11*uw_fee*B11</f>
        <v>0</v>
      </c>
      <c r="AN11" s="55" t="n">
        <v>0</v>
      </c>
      <c r="AO11" s="55" t="n">
        <v>0</v>
      </c>
      <c r="AP11" s="56" t="n">
        <f aca="false">K11+T11+W11+Z11+AF11+AI11+AK11+AM11+AN11+AO11</f>
        <v>0</v>
      </c>
      <c r="AQ11" s="56" t="n">
        <f aca="false">AP11*(1-1/champ_prem+champ_spill)</f>
        <v>0</v>
      </c>
      <c r="AR11" s="66" t="n">
        <f aca="false">AP11/Economy!O11</f>
        <v>0</v>
      </c>
      <c r="AS11" s="55" t="n">
        <v>0</v>
      </c>
      <c r="AT11" s="55" t="n">
        <v>0</v>
      </c>
      <c r="AU11" s="55" t="n">
        <v>0</v>
      </c>
      <c r="AV11" s="55" t="n">
        <v>0</v>
      </c>
      <c r="AW11" s="55" t="n">
        <v>0</v>
      </c>
      <c r="AX11" s="55" t="n">
        <v>0</v>
      </c>
      <c r="AY11" s="56" t="n">
        <f aca="false">Q11+(AS11+AT11+AU11+AV11+AW11+AX11)*B11</f>
        <v>0</v>
      </c>
      <c r="AZ11" s="56" t="n">
        <f aca="false">P11+(AS11*ret_rail+AT11*ret_tel+AU11*ret_elec+AV11*ret_auto+AW11*ret_chem+AX11*ret_steel)*B11*IF(OR($A11=1931,$A11=1932),abroad_slump,1)+AB11+AG11</f>
        <v>0</v>
      </c>
      <c r="BA11" s="56" t="n">
        <f aca="false">AP11*champ_profit+AZ11</f>
        <v>0</v>
      </c>
      <c r="BB11" s="56" t="n">
        <f aca="false">(K11+AI11+AK11)*champ_profit+P11+(AS11*ret_rail+AT11*ret_tel+AU11*ret_elec)*B11*IF(OR($A11=1931,$A11=1932),abroad_slump,1)</f>
        <v>0</v>
      </c>
      <c r="BC11" s="56" t="n">
        <f aca="false">(T11+W11+Z11+AF11+AN11+AO11)*champ_profit+(AV11*ret_auto+AW11*ret_chem+AX11*ret_steel)*B11*IF(OR($A11=1931,$A11=1932),abroad_slump,1)+AB11+AG11</f>
        <v>0</v>
      </c>
      <c r="BD11" s="56" t="n">
        <f aca="false">IF($A11&gt;=crown_start,(BB11*crown_charter+BC11*crown_comp)*crown_payout,0)</f>
        <v>0</v>
      </c>
      <c r="BE11" s="66" t="n">
        <f aca="false">IF(BB11+BC11&gt;0,(BB11*crown_charter+BC11*crown_comp)/(BA11),0)</f>
        <v>0</v>
      </c>
    </row>
    <row r="12" customFormat="false" ht="14.25" hidden="false" customHeight="true" outlineLevel="0" collapsed="false">
      <c r="A12" s="61" t="n">
        <v>1852</v>
      </c>
      <c r="B12" s="68" t="n">
        <f aca="false">champ_scale*(1+Labour!AP12)*(1+Partners!BX12)*(1-IF(union_resp=2,tariff_cut*Labour!S12,0))</f>
        <v>1</v>
      </c>
      <c r="C12" s="47" t="n">
        <v>0</v>
      </c>
      <c r="D12" s="47" t="n">
        <v>0</v>
      </c>
      <c r="E12" s="47" t="n">
        <v>0</v>
      </c>
      <c r="F12" s="49" t="n">
        <f aca="false">E12*B12</f>
        <v>0</v>
      </c>
      <c r="G12" s="49" t="n">
        <f aca="false">F12/Economy!B12*1000000</f>
        <v>0</v>
      </c>
      <c r="H12" s="47" t="n">
        <v>0</v>
      </c>
      <c r="I12" s="70" t="n">
        <f aca="false">IF(H12&gt;0,G12/H12,0)</f>
        <v>0</v>
      </c>
      <c r="J12" s="71" t="n">
        <v>0</v>
      </c>
      <c r="K12" s="56" t="n">
        <f aca="false">Resources!K12*J12*B12</f>
        <v>0</v>
      </c>
      <c r="L12" s="47" t="n">
        <v>0</v>
      </c>
      <c r="M12" s="62" t="n">
        <v>0</v>
      </c>
      <c r="N12" s="47" t="n">
        <v>0</v>
      </c>
      <c r="O12" s="71" t="n">
        <v>0</v>
      </c>
      <c r="P12" s="56" t="n">
        <f aca="false">(IF(Gulf!E12=1,0,L12*M12)+N12)*O12*B12</f>
        <v>0</v>
      </c>
      <c r="Q12" s="56" t="n">
        <f aca="false">P12*oil_book</f>
        <v>0</v>
      </c>
      <c r="R12" s="71" t="n">
        <v>0</v>
      </c>
      <c r="S12" s="47" t="n">
        <v>0</v>
      </c>
      <c r="T12" s="56" t="n">
        <f aca="false">R12*S12*B12</f>
        <v>0</v>
      </c>
      <c r="U12" s="47" t="n">
        <v>0</v>
      </c>
      <c r="V12" s="47" t="n">
        <v>0</v>
      </c>
      <c r="W12" s="56" t="n">
        <f aca="false">U12/1000*V12*B12</f>
        <v>0</v>
      </c>
      <c r="X12" s="47" t="n">
        <v>0</v>
      </c>
      <c r="Y12" s="62" t="n">
        <v>0</v>
      </c>
      <c r="Z12" s="56" t="n">
        <f aca="false">X12*Y12*chem_va*B12</f>
        <v>0</v>
      </c>
      <c r="AA12" s="62" t="n">
        <v>0</v>
      </c>
      <c r="AB12" s="56" t="n">
        <f aca="false">X12*AA12*roy_rate*B12*(1-IF(union_resp=2,lic_cut*Labour!S12,0))</f>
        <v>0</v>
      </c>
      <c r="AC12" s="47" t="n">
        <v>0</v>
      </c>
      <c r="AD12" s="62" t="n">
        <v>0</v>
      </c>
      <c r="AE12" s="62" t="n">
        <v>0</v>
      </c>
      <c r="AF12" s="56" t="n">
        <f aca="false">AC12*AD12*elec_va*B12</f>
        <v>0</v>
      </c>
      <c r="AG12" s="56" t="n">
        <f aca="false">MAX(0,AE12-AD12)*AC12*roy_rate*B12*(1-IF(union_resp=2,lic_cut*Labour!S12,0))</f>
        <v>0</v>
      </c>
      <c r="AH12" s="55" t="n">
        <v>0</v>
      </c>
      <c r="AI12" s="56" t="n">
        <f aca="false">AH12*B12</f>
        <v>0</v>
      </c>
      <c r="AJ12" s="55" t="n">
        <v>0</v>
      </c>
      <c r="AK12" s="56" t="n">
        <f aca="false">AJ12*B12</f>
        <v>0</v>
      </c>
      <c r="AL12" s="47" t="n">
        <v>0</v>
      </c>
      <c r="AM12" s="56" t="n">
        <f aca="false">AL12*uw_fee*B12</f>
        <v>0</v>
      </c>
      <c r="AN12" s="55" t="n">
        <v>0</v>
      </c>
      <c r="AO12" s="55" t="n">
        <v>0</v>
      </c>
      <c r="AP12" s="56" t="n">
        <f aca="false">K12+T12+W12+Z12+AF12+AI12+AK12+AM12+AN12+AO12</f>
        <v>0</v>
      </c>
      <c r="AQ12" s="56" t="n">
        <f aca="false">AP12*(1-1/champ_prem+champ_spill)</f>
        <v>0</v>
      </c>
      <c r="AR12" s="66" t="n">
        <f aca="false">AP12/Economy!O12</f>
        <v>0</v>
      </c>
      <c r="AS12" s="55" t="n">
        <v>0</v>
      </c>
      <c r="AT12" s="55" t="n">
        <v>0</v>
      </c>
      <c r="AU12" s="55" t="n">
        <v>0</v>
      </c>
      <c r="AV12" s="55" t="n">
        <v>0</v>
      </c>
      <c r="AW12" s="55" t="n">
        <v>0</v>
      </c>
      <c r="AX12" s="55" t="n">
        <v>0</v>
      </c>
      <c r="AY12" s="56" t="n">
        <f aca="false">Q12+(AS12+AT12+AU12+AV12+AW12+AX12)*B12</f>
        <v>0</v>
      </c>
      <c r="AZ12" s="56" t="n">
        <f aca="false">P12+(AS12*ret_rail+AT12*ret_tel+AU12*ret_elec+AV12*ret_auto+AW12*ret_chem+AX12*ret_steel)*B12*IF(OR($A12=1931,$A12=1932),abroad_slump,1)+AB12+AG12</f>
        <v>0</v>
      </c>
      <c r="BA12" s="56" t="n">
        <f aca="false">AP12*champ_profit+AZ12</f>
        <v>0</v>
      </c>
      <c r="BB12" s="56" t="n">
        <f aca="false">(K12+AI12+AK12)*champ_profit+P12+(AS12*ret_rail+AT12*ret_tel+AU12*ret_elec)*B12*IF(OR($A12=1931,$A12=1932),abroad_slump,1)</f>
        <v>0</v>
      </c>
      <c r="BC12" s="56" t="n">
        <f aca="false">(T12+W12+Z12+AF12+AN12+AO12)*champ_profit+(AV12*ret_auto+AW12*ret_chem+AX12*ret_steel)*B12*IF(OR($A12=1931,$A12=1932),abroad_slump,1)+AB12+AG12</f>
        <v>0</v>
      </c>
      <c r="BD12" s="56" t="n">
        <f aca="false">IF($A12&gt;=crown_start,(BB12*crown_charter+BC12*crown_comp)*crown_payout,0)</f>
        <v>0</v>
      </c>
      <c r="BE12" s="66" t="n">
        <f aca="false">IF(BB12+BC12&gt;0,(BB12*crown_charter+BC12*crown_comp)/(BA12),0)</f>
        <v>0</v>
      </c>
    </row>
    <row r="13" customFormat="false" ht="14.25" hidden="false" customHeight="true" outlineLevel="0" collapsed="false">
      <c r="A13" s="61" t="n">
        <v>1853</v>
      </c>
      <c r="B13" s="68" t="n">
        <f aca="false">champ_scale*(1+Labour!AP13)*(1+Partners!BX13)*(1-IF(union_resp=2,tariff_cut*Labour!S13,0))</f>
        <v>1</v>
      </c>
      <c r="C13" s="47" t="n">
        <v>0</v>
      </c>
      <c r="D13" s="47" t="n">
        <v>0</v>
      </c>
      <c r="E13" s="47" t="n">
        <v>0</v>
      </c>
      <c r="F13" s="49" t="n">
        <f aca="false">E13*B13</f>
        <v>0</v>
      </c>
      <c r="G13" s="49" t="n">
        <f aca="false">F13/Economy!B13*1000000</f>
        <v>0</v>
      </c>
      <c r="H13" s="47" t="n">
        <v>0</v>
      </c>
      <c r="I13" s="70" t="n">
        <f aca="false">IF(H13&gt;0,G13/H13,0)</f>
        <v>0</v>
      </c>
      <c r="J13" s="71" t="n">
        <v>0</v>
      </c>
      <c r="K13" s="56" t="n">
        <f aca="false">Resources!K13*J13*B13</f>
        <v>0</v>
      </c>
      <c r="L13" s="47" t="n">
        <v>0</v>
      </c>
      <c r="M13" s="62" t="n">
        <v>0</v>
      </c>
      <c r="N13" s="47" t="n">
        <v>0</v>
      </c>
      <c r="O13" s="71" t="n">
        <v>0</v>
      </c>
      <c r="P13" s="56" t="n">
        <f aca="false">(IF(Gulf!E13=1,0,L13*M13)+N13)*O13*B13</f>
        <v>0</v>
      </c>
      <c r="Q13" s="56" t="n">
        <f aca="false">P13*oil_book</f>
        <v>0</v>
      </c>
      <c r="R13" s="71" t="n">
        <v>0</v>
      </c>
      <c r="S13" s="47" t="n">
        <v>0</v>
      </c>
      <c r="T13" s="56" t="n">
        <f aca="false">R13*S13*B13</f>
        <v>0</v>
      </c>
      <c r="U13" s="47" t="n">
        <v>0</v>
      </c>
      <c r="V13" s="47" t="n">
        <v>0</v>
      </c>
      <c r="W13" s="56" t="n">
        <f aca="false">U13/1000*V13*B13</f>
        <v>0</v>
      </c>
      <c r="X13" s="47" t="n">
        <v>0</v>
      </c>
      <c r="Y13" s="62" t="n">
        <v>0</v>
      </c>
      <c r="Z13" s="56" t="n">
        <f aca="false">X13*Y13*chem_va*B13</f>
        <v>0</v>
      </c>
      <c r="AA13" s="62" t="n">
        <v>0</v>
      </c>
      <c r="AB13" s="56" t="n">
        <f aca="false">X13*AA13*roy_rate*B13*(1-IF(union_resp=2,lic_cut*Labour!S13,0))</f>
        <v>0</v>
      </c>
      <c r="AC13" s="47" t="n">
        <v>0</v>
      </c>
      <c r="AD13" s="62" t="n">
        <v>0</v>
      </c>
      <c r="AE13" s="62" t="n">
        <v>0</v>
      </c>
      <c r="AF13" s="56" t="n">
        <f aca="false">AC13*AD13*elec_va*B13</f>
        <v>0</v>
      </c>
      <c r="AG13" s="56" t="n">
        <f aca="false">MAX(0,AE13-AD13)*AC13*roy_rate*B13*(1-IF(union_resp=2,lic_cut*Labour!S13,0))</f>
        <v>0</v>
      </c>
      <c r="AH13" s="55" t="n">
        <v>0</v>
      </c>
      <c r="AI13" s="56" t="n">
        <f aca="false">AH13*B13</f>
        <v>0</v>
      </c>
      <c r="AJ13" s="55" t="n">
        <v>0</v>
      </c>
      <c r="AK13" s="56" t="n">
        <f aca="false">AJ13*B13</f>
        <v>0</v>
      </c>
      <c r="AL13" s="47" t="n">
        <v>0</v>
      </c>
      <c r="AM13" s="56" t="n">
        <f aca="false">AL13*uw_fee*B13</f>
        <v>0</v>
      </c>
      <c r="AN13" s="55" t="n">
        <v>0</v>
      </c>
      <c r="AO13" s="55" t="n">
        <v>0</v>
      </c>
      <c r="AP13" s="56" t="n">
        <f aca="false">K13+T13+W13+Z13+AF13+AI13+AK13+AM13+AN13+AO13</f>
        <v>0</v>
      </c>
      <c r="AQ13" s="56" t="n">
        <f aca="false">AP13*(1-1/champ_prem+champ_spill)</f>
        <v>0</v>
      </c>
      <c r="AR13" s="66" t="n">
        <f aca="false">AP13/Economy!O13</f>
        <v>0</v>
      </c>
      <c r="AS13" s="55" t="n">
        <v>0</v>
      </c>
      <c r="AT13" s="55" t="n">
        <v>0</v>
      </c>
      <c r="AU13" s="55" t="n">
        <v>0</v>
      </c>
      <c r="AV13" s="55" t="n">
        <v>0</v>
      </c>
      <c r="AW13" s="55" t="n">
        <v>0</v>
      </c>
      <c r="AX13" s="55" t="n">
        <v>0</v>
      </c>
      <c r="AY13" s="56" t="n">
        <f aca="false">Q13+(AS13+AT13+AU13+AV13+AW13+AX13)*B13</f>
        <v>0</v>
      </c>
      <c r="AZ13" s="56" t="n">
        <f aca="false">P13+(AS13*ret_rail+AT13*ret_tel+AU13*ret_elec+AV13*ret_auto+AW13*ret_chem+AX13*ret_steel)*B13*IF(OR($A13=1931,$A13=1932),abroad_slump,1)+AB13+AG13</f>
        <v>0</v>
      </c>
      <c r="BA13" s="56" t="n">
        <f aca="false">AP13*champ_profit+AZ13</f>
        <v>0</v>
      </c>
      <c r="BB13" s="56" t="n">
        <f aca="false">(K13+AI13+AK13)*champ_profit+P13+(AS13*ret_rail+AT13*ret_tel+AU13*ret_elec)*B13*IF(OR($A13=1931,$A13=1932),abroad_slump,1)</f>
        <v>0</v>
      </c>
      <c r="BC13" s="56" t="n">
        <f aca="false">(T13+W13+Z13+AF13+AN13+AO13)*champ_profit+(AV13*ret_auto+AW13*ret_chem+AX13*ret_steel)*B13*IF(OR($A13=1931,$A13=1932),abroad_slump,1)+AB13+AG13</f>
        <v>0</v>
      </c>
      <c r="BD13" s="56" t="n">
        <f aca="false">IF($A13&gt;=crown_start,(BB13*crown_charter+BC13*crown_comp)*crown_payout,0)</f>
        <v>0</v>
      </c>
      <c r="BE13" s="66" t="n">
        <f aca="false">IF(BB13+BC13&gt;0,(BB13*crown_charter+BC13*crown_comp)/(BA13),0)</f>
        <v>0</v>
      </c>
    </row>
    <row r="14" customFormat="false" ht="14.25" hidden="false" customHeight="true" outlineLevel="0" collapsed="false">
      <c r="A14" s="61" t="n">
        <v>1854</v>
      </c>
      <c r="B14" s="68" t="n">
        <f aca="false">champ_scale*(1+Labour!AP14)*(1+Partners!BX14)*(1-IF(union_resp=2,tariff_cut*Labour!S14,0))</f>
        <v>1</v>
      </c>
      <c r="C14" s="47" t="n">
        <v>0</v>
      </c>
      <c r="D14" s="47" t="n">
        <v>0</v>
      </c>
      <c r="E14" s="47" t="n">
        <v>0</v>
      </c>
      <c r="F14" s="49" t="n">
        <f aca="false">E14*B14</f>
        <v>0</v>
      </c>
      <c r="G14" s="49" t="n">
        <f aca="false">F14/Economy!B14*1000000</f>
        <v>0</v>
      </c>
      <c r="H14" s="47" t="n">
        <v>0</v>
      </c>
      <c r="I14" s="70" t="n">
        <f aca="false">IF(H14&gt;0,G14/H14,0)</f>
        <v>0</v>
      </c>
      <c r="J14" s="71" t="n">
        <v>0</v>
      </c>
      <c r="K14" s="56" t="n">
        <f aca="false">Resources!K14*J14*B14</f>
        <v>0</v>
      </c>
      <c r="L14" s="47" t="n">
        <v>0</v>
      </c>
      <c r="M14" s="62" t="n">
        <v>0</v>
      </c>
      <c r="N14" s="47" t="n">
        <v>0</v>
      </c>
      <c r="O14" s="71" t="n">
        <v>0</v>
      </c>
      <c r="P14" s="56" t="n">
        <f aca="false">(IF(Gulf!E14=1,0,L14*M14)+N14)*O14*B14</f>
        <v>0</v>
      </c>
      <c r="Q14" s="56" t="n">
        <f aca="false">P14*oil_book</f>
        <v>0</v>
      </c>
      <c r="R14" s="71" t="n">
        <v>0</v>
      </c>
      <c r="S14" s="47" t="n">
        <v>0</v>
      </c>
      <c r="T14" s="56" t="n">
        <f aca="false">R14*S14*B14</f>
        <v>0</v>
      </c>
      <c r="U14" s="47" t="n">
        <v>0</v>
      </c>
      <c r="V14" s="47" t="n">
        <v>0</v>
      </c>
      <c r="W14" s="56" t="n">
        <f aca="false">U14/1000*V14*B14</f>
        <v>0</v>
      </c>
      <c r="X14" s="47" t="n">
        <v>0</v>
      </c>
      <c r="Y14" s="62" t="n">
        <v>0</v>
      </c>
      <c r="Z14" s="56" t="n">
        <f aca="false">X14*Y14*chem_va*B14</f>
        <v>0</v>
      </c>
      <c r="AA14" s="62" t="n">
        <v>0</v>
      </c>
      <c r="AB14" s="56" t="n">
        <f aca="false">X14*AA14*roy_rate*B14*(1-IF(union_resp=2,lic_cut*Labour!S14,0))</f>
        <v>0</v>
      </c>
      <c r="AC14" s="47" t="n">
        <v>0</v>
      </c>
      <c r="AD14" s="62" t="n">
        <v>0</v>
      </c>
      <c r="AE14" s="62" t="n">
        <v>0</v>
      </c>
      <c r="AF14" s="56" t="n">
        <f aca="false">AC14*AD14*elec_va*B14</f>
        <v>0</v>
      </c>
      <c r="AG14" s="56" t="n">
        <f aca="false">MAX(0,AE14-AD14)*AC14*roy_rate*B14*(1-IF(union_resp=2,lic_cut*Labour!S14,0))</f>
        <v>0</v>
      </c>
      <c r="AH14" s="55" t="n">
        <v>0</v>
      </c>
      <c r="AI14" s="56" t="n">
        <f aca="false">AH14*B14</f>
        <v>0</v>
      </c>
      <c r="AJ14" s="55" t="n">
        <v>0</v>
      </c>
      <c r="AK14" s="56" t="n">
        <f aca="false">AJ14*B14</f>
        <v>0</v>
      </c>
      <c r="AL14" s="47" t="n">
        <v>0</v>
      </c>
      <c r="AM14" s="56" t="n">
        <f aca="false">AL14*uw_fee*B14</f>
        <v>0</v>
      </c>
      <c r="AN14" s="55" t="n">
        <v>0</v>
      </c>
      <c r="AO14" s="55" t="n">
        <v>0</v>
      </c>
      <c r="AP14" s="56" t="n">
        <f aca="false">K14+T14+W14+Z14+AF14+AI14+AK14+AM14+AN14+AO14</f>
        <v>0</v>
      </c>
      <c r="AQ14" s="56" t="n">
        <f aca="false">AP14*(1-1/champ_prem+champ_spill)</f>
        <v>0</v>
      </c>
      <c r="AR14" s="66" t="n">
        <f aca="false">AP14/Economy!O14</f>
        <v>0</v>
      </c>
      <c r="AS14" s="55" t="n">
        <v>0</v>
      </c>
      <c r="AT14" s="55" t="n">
        <v>0</v>
      </c>
      <c r="AU14" s="55" t="n">
        <v>0</v>
      </c>
      <c r="AV14" s="55" t="n">
        <v>0</v>
      </c>
      <c r="AW14" s="55" t="n">
        <v>0</v>
      </c>
      <c r="AX14" s="55" t="n">
        <v>0</v>
      </c>
      <c r="AY14" s="56" t="n">
        <f aca="false">Q14+(AS14+AT14+AU14+AV14+AW14+AX14)*B14</f>
        <v>0</v>
      </c>
      <c r="AZ14" s="56" t="n">
        <f aca="false">P14+(AS14*ret_rail+AT14*ret_tel+AU14*ret_elec+AV14*ret_auto+AW14*ret_chem+AX14*ret_steel)*B14*IF(OR($A14=1931,$A14=1932),abroad_slump,1)+AB14+AG14</f>
        <v>0</v>
      </c>
      <c r="BA14" s="56" t="n">
        <f aca="false">AP14*champ_profit+AZ14</f>
        <v>0</v>
      </c>
      <c r="BB14" s="56" t="n">
        <f aca="false">(K14+AI14+AK14)*champ_profit+P14+(AS14*ret_rail+AT14*ret_tel+AU14*ret_elec)*B14*IF(OR($A14=1931,$A14=1932),abroad_slump,1)</f>
        <v>0</v>
      </c>
      <c r="BC14" s="56" t="n">
        <f aca="false">(T14+W14+Z14+AF14+AN14+AO14)*champ_profit+(AV14*ret_auto+AW14*ret_chem+AX14*ret_steel)*B14*IF(OR($A14=1931,$A14=1932),abroad_slump,1)+AB14+AG14</f>
        <v>0</v>
      </c>
      <c r="BD14" s="56" t="n">
        <f aca="false">IF($A14&gt;=crown_start,(BB14*crown_charter+BC14*crown_comp)*crown_payout,0)</f>
        <v>0</v>
      </c>
      <c r="BE14" s="66" t="n">
        <f aca="false">IF(BB14+BC14&gt;0,(BB14*crown_charter+BC14*crown_comp)/(BA14),0)</f>
        <v>0</v>
      </c>
    </row>
    <row r="15" customFormat="false" ht="14.25" hidden="false" customHeight="true" outlineLevel="0" collapsed="false">
      <c r="A15" s="61" t="n">
        <v>1855</v>
      </c>
      <c r="B15" s="68" t="n">
        <f aca="false">champ_scale*(1+Labour!AP15)*(1+Partners!BX15)*(1-IF(union_resp=2,tariff_cut*Labour!S15,0))</f>
        <v>1</v>
      </c>
      <c r="C15" s="47" t="n">
        <v>0</v>
      </c>
      <c r="D15" s="47" t="n">
        <v>0</v>
      </c>
      <c r="E15" s="47" t="n">
        <v>0</v>
      </c>
      <c r="F15" s="49" t="n">
        <f aca="false">E15*B15</f>
        <v>0</v>
      </c>
      <c r="G15" s="49" t="n">
        <f aca="false">F15/Economy!B15*1000000</f>
        <v>0</v>
      </c>
      <c r="H15" s="47" t="n">
        <v>0</v>
      </c>
      <c r="I15" s="70" t="n">
        <f aca="false">IF(H15&gt;0,G15/H15,0)</f>
        <v>0</v>
      </c>
      <c r="J15" s="71" t="n">
        <v>0</v>
      </c>
      <c r="K15" s="56" t="n">
        <f aca="false">Resources!K15*J15*B15</f>
        <v>0</v>
      </c>
      <c r="L15" s="47" t="n">
        <v>0</v>
      </c>
      <c r="M15" s="62" t="n">
        <v>0</v>
      </c>
      <c r="N15" s="47" t="n">
        <v>0</v>
      </c>
      <c r="O15" s="71" t="n">
        <v>0</v>
      </c>
      <c r="P15" s="56" t="n">
        <f aca="false">(IF(Gulf!E15=1,0,L15*M15)+N15)*O15*B15</f>
        <v>0</v>
      </c>
      <c r="Q15" s="56" t="n">
        <f aca="false">P15*oil_book</f>
        <v>0</v>
      </c>
      <c r="R15" s="71" t="n">
        <v>0</v>
      </c>
      <c r="S15" s="47" t="n">
        <v>0</v>
      </c>
      <c r="T15" s="56" t="n">
        <f aca="false">R15*S15*B15</f>
        <v>0</v>
      </c>
      <c r="U15" s="47" t="n">
        <v>0</v>
      </c>
      <c r="V15" s="47" t="n">
        <v>0</v>
      </c>
      <c r="W15" s="56" t="n">
        <f aca="false">U15/1000*V15*B15</f>
        <v>0</v>
      </c>
      <c r="X15" s="47" t="n">
        <v>0</v>
      </c>
      <c r="Y15" s="62" t="n">
        <v>0</v>
      </c>
      <c r="Z15" s="56" t="n">
        <f aca="false">X15*Y15*chem_va*B15</f>
        <v>0</v>
      </c>
      <c r="AA15" s="62" t="n">
        <v>0</v>
      </c>
      <c r="AB15" s="56" t="n">
        <f aca="false">X15*AA15*roy_rate*B15*(1-IF(union_resp=2,lic_cut*Labour!S15,0))</f>
        <v>0</v>
      </c>
      <c r="AC15" s="47" t="n">
        <v>0</v>
      </c>
      <c r="AD15" s="62" t="n">
        <v>0</v>
      </c>
      <c r="AE15" s="62" t="n">
        <v>0</v>
      </c>
      <c r="AF15" s="56" t="n">
        <f aca="false">AC15*AD15*elec_va*B15</f>
        <v>0</v>
      </c>
      <c r="AG15" s="56" t="n">
        <f aca="false">MAX(0,AE15-AD15)*AC15*roy_rate*B15*(1-IF(union_resp=2,lic_cut*Labour!S15,0))</f>
        <v>0</v>
      </c>
      <c r="AH15" s="55" t="n">
        <v>0</v>
      </c>
      <c r="AI15" s="56" t="n">
        <f aca="false">AH15*B15</f>
        <v>0</v>
      </c>
      <c r="AJ15" s="55" t="n">
        <v>0</v>
      </c>
      <c r="AK15" s="56" t="n">
        <f aca="false">AJ15*B15</f>
        <v>0</v>
      </c>
      <c r="AL15" s="47" t="n">
        <v>0</v>
      </c>
      <c r="AM15" s="56" t="n">
        <f aca="false">AL15*uw_fee*B15</f>
        <v>0</v>
      </c>
      <c r="AN15" s="55" t="n">
        <v>0</v>
      </c>
      <c r="AO15" s="55" t="n">
        <v>0</v>
      </c>
      <c r="AP15" s="56" t="n">
        <f aca="false">K15+T15+W15+Z15+AF15+AI15+AK15+AM15+AN15+AO15</f>
        <v>0</v>
      </c>
      <c r="AQ15" s="56" t="n">
        <f aca="false">AP15*(1-1/champ_prem+champ_spill)</f>
        <v>0</v>
      </c>
      <c r="AR15" s="66" t="n">
        <f aca="false">AP15/Economy!O15</f>
        <v>0</v>
      </c>
      <c r="AS15" s="55" t="n">
        <v>0</v>
      </c>
      <c r="AT15" s="55" t="n">
        <v>0</v>
      </c>
      <c r="AU15" s="55" t="n">
        <v>0</v>
      </c>
      <c r="AV15" s="55" t="n">
        <v>0</v>
      </c>
      <c r="AW15" s="55" t="n">
        <v>0</v>
      </c>
      <c r="AX15" s="55" t="n">
        <v>0</v>
      </c>
      <c r="AY15" s="56" t="n">
        <f aca="false">Q15+(AS15+AT15+AU15+AV15+AW15+AX15)*B15</f>
        <v>0</v>
      </c>
      <c r="AZ15" s="56" t="n">
        <f aca="false">P15+(AS15*ret_rail+AT15*ret_tel+AU15*ret_elec+AV15*ret_auto+AW15*ret_chem+AX15*ret_steel)*B15*IF(OR($A15=1931,$A15=1932),abroad_slump,1)+AB15+AG15</f>
        <v>0</v>
      </c>
      <c r="BA15" s="56" t="n">
        <f aca="false">AP15*champ_profit+AZ15</f>
        <v>0</v>
      </c>
      <c r="BB15" s="56" t="n">
        <f aca="false">(K15+AI15+AK15)*champ_profit+P15+(AS15*ret_rail+AT15*ret_tel+AU15*ret_elec)*B15*IF(OR($A15=1931,$A15=1932),abroad_slump,1)</f>
        <v>0</v>
      </c>
      <c r="BC15" s="56" t="n">
        <f aca="false">(T15+W15+Z15+AF15+AN15+AO15)*champ_profit+(AV15*ret_auto+AW15*ret_chem+AX15*ret_steel)*B15*IF(OR($A15=1931,$A15=1932),abroad_slump,1)+AB15+AG15</f>
        <v>0</v>
      </c>
      <c r="BD15" s="56" t="n">
        <f aca="false">IF($A15&gt;=crown_start,(BB15*crown_charter+BC15*crown_comp)*crown_payout,0)</f>
        <v>0</v>
      </c>
      <c r="BE15" s="66" t="n">
        <f aca="false">IF(BB15+BC15&gt;0,(BB15*crown_charter+BC15*crown_comp)/(BA15),0)</f>
        <v>0</v>
      </c>
    </row>
    <row r="16" customFormat="false" ht="14.25" hidden="false" customHeight="true" outlineLevel="0" collapsed="false">
      <c r="A16" s="61" t="n">
        <v>1856</v>
      </c>
      <c r="B16" s="68" t="n">
        <f aca="false">champ_scale*(1+Labour!AP16)*(1+Partners!BX16)*(1-IF(union_resp=2,tariff_cut*Labour!S16,0))</f>
        <v>1</v>
      </c>
      <c r="C16" s="47" t="n">
        <v>0</v>
      </c>
      <c r="D16" s="47" t="n">
        <v>0</v>
      </c>
      <c r="E16" s="47" t="n">
        <v>0</v>
      </c>
      <c r="F16" s="49" t="n">
        <f aca="false">E16*B16</f>
        <v>0</v>
      </c>
      <c r="G16" s="49" t="n">
        <f aca="false">F16/Economy!B16*1000000</f>
        <v>0</v>
      </c>
      <c r="H16" s="47" t="n">
        <v>0</v>
      </c>
      <c r="I16" s="70" t="n">
        <f aca="false">IF(H16&gt;0,G16/H16,0)</f>
        <v>0</v>
      </c>
      <c r="J16" s="71" t="n">
        <v>0</v>
      </c>
      <c r="K16" s="56" t="n">
        <f aca="false">Resources!K16*J16*B16</f>
        <v>0</v>
      </c>
      <c r="L16" s="47" t="n">
        <v>0</v>
      </c>
      <c r="M16" s="62" t="n">
        <v>0</v>
      </c>
      <c r="N16" s="47" t="n">
        <v>0</v>
      </c>
      <c r="O16" s="71" t="n">
        <v>0</v>
      </c>
      <c r="P16" s="56" t="n">
        <f aca="false">(IF(Gulf!E16=1,0,L16*M16)+N16)*O16*B16</f>
        <v>0</v>
      </c>
      <c r="Q16" s="56" t="n">
        <f aca="false">P16*oil_book</f>
        <v>0</v>
      </c>
      <c r="R16" s="71" t="n">
        <v>0</v>
      </c>
      <c r="S16" s="47" t="n">
        <v>0</v>
      </c>
      <c r="T16" s="56" t="n">
        <f aca="false">R16*S16*B16</f>
        <v>0</v>
      </c>
      <c r="U16" s="47" t="n">
        <v>0</v>
      </c>
      <c r="V16" s="47" t="n">
        <v>0</v>
      </c>
      <c r="W16" s="56" t="n">
        <f aca="false">U16/1000*V16*B16</f>
        <v>0</v>
      </c>
      <c r="X16" s="47" t="n">
        <v>0</v>
      </c>
      <c r="Y16" s="62" t="n">
        <v>0</v>
      </c>
      <c r="Z16" s="56" t="n">
        <f aca="false">X16*Y16*chem_va*B16</f>
        <v>0</v>
      </c>
      <c r="AA16" s="62" t="n">
        <v>0</v>
      </c>
      <c r="AB16" s="56" t="n">
        <f aca="false">X16*AA16*roy_rate*B16*(1-IF(union_resp=2,lic_cut*Labour!S16,0))</f>
        <v>0</v>
      </c>
      <c r="AC16" s="47" t="n">
        <v>0</v>
      </c>
      <c r="AD16" s="62" t="n">
        <v>0</v>
      </c>
      <c r="AE16" s="62" t="n">
        <v>0</v>
      </c>
      <c r="AF16" s="56" t="n">
        <f aca="false">AC16*AD16*elec_va*B16</f>
        <v>0</v>
      </c>
      <c r="AG16" s="56" t="n">
        <f aca="false">MAX(0,AE16-AD16)*AC16*roy_rate*B16*(1-IF(union_resp=2,lic_cut*Labour!S16,0))</f>
        <v>0</v>
      </c>
      <c r="AH16" s="55" t="n">
        <v>0</v>
      </c>
      <c r="AI16" s="56" t="n">
        <f aca="false">AH16*B16</f>
        <v>0</v>
      </c>
      <c r="AJ16" s="55" t="n">
        <v>0</v>
      </c>
      <c r="AK16" s="56" t="n">
        <f aca="false">AJ16*B16</f>
        <v>0</v>
      </c>
      <c r="AL16" s="47" t="n">
        <v>0</v>
      </c>
      <c r="AM16" s="56" t="n">
        <f aca="false">AL16*uw_fee*B16</f>
        <v>0</v>
      </c>
      <c r="AN16" s="55" t="n">
        <v>0</v>
      </c>
      <c r="AO16" s="55" t="n">
        <v>0</v>
      </c>
      <c r="AP16" s="56" t="n">
        <f aca="false">K16+T16+W16+Z16+AF16+AI16+AK16+AM16+AN16+AO16</f>
        <v>0</v>
      </c>
      <c r="AQ16" s="56" t="n">
        <f aca="false">AP16*(1-1/champ_prem+champ_spill)</f>
        <v>0</v>
      </c>
      <c r="AR16" s="66" t="n">
        <f aca="false">AP16/Economy!O16</f>
        <v>0</v>
      </c>
      <c r="AS16" s="55" t="n">
        <v>0</v>
      </c>
      <c r="AT16" s="55" t="n">
        <v>0</v>
      </c>
      <c r="AU16" s="55" t="n">
        <v>0</v>
      </c>
      <c r="AV16" s="55" t="n">
        <v>0</v>
      </c>
      <c r="AW16" s="55" t="n">
        <v>0</v>
      </c>
      <c r="AX16" s="55" t="n">
        <v>0</v>
      </c>
      <c r="AY16" s="56" t="n">
        <f aca="false">Q16+(AS16+AT16+AU16+AV16+AW16+AX16)*B16</f>
        <v>0</v>
      </c>
      <c r="AZ16" s="56" t="n">
        <f aca="false">P16+(AS16*ret_rail+AT16*ret_tel+AU16*ret_elec+AV16*ret_auto+AW16*ret_chem+AX16*ret_steel)*B16*IF(OR($A16=1931,$A16=1932),abroad_slump,1)+AB16+AG16</f>
        <v>0</v>
      </c>
      <c r="BA16" s="56" t="n">
        <f aca="false">AP16*champ_profit+AZ16</f>
        <v>0</v>
      </c>
      <c r="BB16" s="56" t="n">
        <f aca="false">(K16+AI16+AK16)*champ_profit+P16+(AS16*ret_rail+AT16*ret_tel+AU16*ret_elec)*B16*IF(OR($A16=1931,$A16=1932),abroad_slump,1)</f>
        <v>0</v>
      </c>
      <c r="BC16" s="56" t="n">
        <f aca="false">(T16+W16+Z16+AF16+AN16+AO16)*champ_profit+(AV16*ret_auto+AW16*ret_chem+AX16*ret_steel)*B16*IF(OR($A16=1931,$A16=1932),abroad_slump,1)+AB16+AG16</f>
        <v>0</v>
      </c>
      <c r="BD16" s="56" t="n">
        <f aca="false">IF($A16&gt;=crown_start,(BB16*crown_charter+BC16*crown_comp)*crown_payout,0)</f>
        <v>0</v>
      </c>
      <c r="BE16" s="66" t="n">
        <f aca="false">IF(BB16+BC16&gt;0,(BB16*crown_charter+BC16*crown_comp)/(BA16),0)</f>
        <v>0</v>
      </c>
    </row>
    <row r="17" customFormat="false" ht="14.25" hidden="false" customHeight="true" outlineLevel="0" collapsed="false">
      <c r="A17" s="61" t="n">
        <v>1857</v>
      </c>
      <c r="B17" s="68" t="n">
        <f aca="false">champ_scale*(1+Labour!AP17)*(1+Partners!BX17)*(1-IF(union_resp=2,tariff_cut*Labour!S17,0))</f>
        <v>1.01294685650439</v>
      </c>
      <c r="C17" s="47" t="n">
        <v>0</v>
      </c>
      <c r="D17" s="47" t="n">
        <v>0</v>
      </c>
      <c r="E17" s="47" t="n">
        <v>0</v>
      </c>
      <c r="F17" s="49" t="n">
        <f aca="false">E17*B17</f>
        <v>0</v>
      </c>
      <c r="G17" s="49" t="n">
        <f aca="false">F17/Economy!B17*1000000</f>
        <v>0</v>
      </c>
      <c r="H17" s="47" t="n">
        <v>0</v>
      </c>
      <c r="I17" s="70" t="n">
        <f aca="false">IF(H17&gt;0,G17/H17,0)</f>
        <v>0</v>
      </c>
      <c r="J17" s="71" t="n">
        <v>0</v>
      </c>
      <c r="K17" s="56" t="n">
        <f aca="false">Resources!K17*J17*B17</f>
        <v>0</v>
      </c>
      <c r="L17" s="47" t="n">
        <v>0</v>
      </c>
      <c r="M17" s="62" t="n">
        <v>0</v>
      </c>
      <c r="N17" s="47" t="n">
        <v>0</v>
      </c>
      <c r="O17" s="71" t="n">
        <v>0</v>
      </c>
      <c r="P17" s="56" t="n">
        <f aca="false">(IF(Gulf!E17=1,0,L17*M17)+N17)*O17*B17</f>
        <v>0</v>
      </c>
      <c r="Q17" s="56" t="n">
        <f aca="false">P17*oil_book</f>
        <v>0</v>
      </c>
      <c r="R17" s="71" t="n">
        <v>0</v>
      </c>
      <c r="S17" s="47" t="n">
        <v>0</v>
      </c>
      <c r="T17" s="56" t="n">
        <f aca="false">R17*S17*B17</f>
        <v>0</v>
      </c>
      <c r="U17" s="47" t="n">
        <v>0</v>
      </c>
      <c r="V17" s="47" t="n">
        <v>0</v>
      </c>
      <c r="W17" s="56" t="n">
        <f aca="false">U17/1000*V17*B17</f>
        <v>0</v>
      </c>
      <c r="X17" s="47" t="n">
        <v>0</v>
      </c>
      <c r="Y17" s="62" t="n">
        <v>0</v>
      </c>
      <c r="Z17" s="56" t="n">
        <f aca="false">X17*Y17*chem_va*B17</f>
        <v>0</v>
      </c>
      <c r="AA17" s="62" t="n">
        <v>0</v>
      </c>
      <c r="AB17" s="56" t="n">
        <f aca="false">X17*AA17*roy_rate*B17*(1-IF(union_resp=2,lic_cut*Labour!S17,0))</f>
        <v>0</v>
      </c>
      <c r="AC17" s="47" t="n">
        <v>0</v>
      </c>
      <c r="AD17" s="62" t="n">
        <v>0</v>
      </c>
      <c r="AE17" s="62" t="n">
        <v>0</v>
      </c>
      <c r="AF17" s="56" t="n">
        <f aca="false">AC17*AD17*elec_va*B17</f>
        <v>0</v>
      </c>
      <c r="AG17" s="56" t="n">
        <f aca="false">MAX(0,AE17-AD17)*AC17*roy_rate*B17*(1-IF(union_resp=2,lic_cut*Labour!S17,0))</f>
        <v>0</v>
      </c>
      <c r="AH17" s="55" t="n">
        <v>0</v>
      </c>
      <c r="AI17" s="56" t="n">
        <f aca="false">AH17*B17</f>
        <v>0</v>
      </c>
      <c r="AJ17" s="55" t="n">
        <v>0</v>
      </c>
      <c r="AK17" s="56" t="n">
        <f aca="false">AJ17*B17</f>
        <v>0</v>
      </c>
      <c r="AL17" s="47" t="n">
        <v>0</v>
      </c>
      <c r="AM17" s="56" t="n">
        <f aca="false">AL17*uw_fee*B17</f>
        <v>0</v>
      </c>
      <c r="AN17" s="55" t="n">
        <v>0</v>
      </c>
      <c r="AO17" s="55" t="n">
        <v>0</v>
      </c>
      <c r="AP17" s="56" t="n">
        <f aca="false">K17+T17+W17+Z17+AF17+AI17+AK17+AM17+AN17+AO17</f>
        <v>0</v>
      </c>
      <c r="AQ17" s="56" t="n">
        <f aca="false">AP17*(1-1/champ_prem+champ_spill)</f>
        <v>0</v>
      </c>
      <c r="AR17" s="66" t="n">
        <f aca="false">AP17/Economy!O17</f>
        <v>0</v>
      </c>
      <c r="AS17" s="55" t="n">
        <v>0</v>
      </c>
      <c r="AT17" s="55" t="n">
        <v>0</v>
      </c>
      <c r="AU17" s="55" t="n">
        <v>0</v>
      </c>
      <c r="AV17" s="55" t="n">
        <v>0</v>
      </c>
      <c r="AW17" s="55" t="n">
        <v>0</v>
      </c>
      <c r="AX17" s="55" t="n">
        <v>0</v>
      </c>
      <c r="AY17" s="56" t="n">
        <f aca="false">Q17+(AS17+AT17+AU17+AV17+AW17+AX17)*B17</f>
        <v>0</v>
      </c>
      <c r="AZ17" s="56" t="n">
        <f aca="false">P17+(AS17*ret_rail+AT17*ret_tel+AU17*ret_elec+AV17*ret_auto+AW17*ret_chem+AX17*ret_steel)*B17*IF(OR($A17=1931,$A17=1932),abroad_slump,1)+AB17+AG17</f>
        <v>0</v>
      </c>
      <c r="BA17" s="56" t="n">
        <f aca="false">AP17*champ_profit+AZ17</f>
        <v>0</v>
      </c>
      <c r="BB17" s="56" t="n">
        <f aca="false">(K17+AI17+AK17)*champ_profit+P17+(AS17*ret_rail+AT17*ret_tel+AU17*ret_elec)*B17*IF(OR($A17=1931,$A17=1932),abroad_slump,1)</f>
        <v>0</v>
      </c>
      <c r="BC17" s="56" t="n">
        <f aca="false">(T17+W17+Z17+AF17+AN17+AO17)*champ_profit+(AV17*ret_auto+AW17*ret_chem+AX17*ret_steel)*B17*IF(OR($A17=1931,$A17=1932),abroad_slump,1)+AB17+AG17</f>
        <v>0</v>
      </c>
      <c r="BD17" s="56" t="n">
        <f aca="false">IF($A17&gt;=crown_start,(BB17*crown_charter+BC17*crown_comp)*crown_payout,0)</f>
        <v>0</v>
      </c>
      <c r="BE17" s="66" t="n">
        <f aca="false">IF(BB17+BC17&gt;0,(BB17*crown_charter+BC17*crown_comp)/(BA17),0)</f>
        <v>0</v>
      </c>
    </row>
    <row r="18" customFormat="false" ht="14.25" hidden="false" customHeight="true" outlineLevel="0" collapsed="false">
      <c r="A18" s="61" t="n">
        <v>1858</v>
      </c>
      <c r="B18" s="68" t="n">
        <f aca="false">champ_scale*(1+Labour!AP18)*(1+Partners!BX18)*(1-IF(union_resp=2,tariff_cut*Labour!S18,0))</f>
        <v>1.02465845952931</v>
      </c>
      <c r="C18" s="47" t="n">
        <v>0</v>
      </c>
      <c r="D18" s="47" t="n">
        <v>0</v>
      </c>
      <c r="E18" s="47" t="n">
        <v>0</v>
      </c>
      <c r="F18" s="49" t="n">
        <f aca="false">E18*B18</f>
        <v>0</v>
      </c>
      <c r="G18" s="49" t="n">
        <f aca="false">F18/Economy!B18*1000000</f>
        <v>0</v>
      </c>
      <c r="H18" s="47" t="n">
        <v>0</v>
      </c>
      <c r="I18" s="70" t="n">
        <f aca="false">IF(H18&gt;0,G18/H18,0)</f>
        <v>0</v>
      </c>
      <c r="J18" s="71" t="n">
        <v>0</v>
      </c>
      <c r="K18" s="56" t="n">
        <f aca="false">Resources!K18*J18*B18</f>
        <v>0</v>
      </c>
      <c r="L18" s="47" t="n">
        <v>0</v>
      </c>
      <c r="M18" s="62" t="n">
        <v>0</v>
      </c>
      <c r="N18" s="47" t="n">
        <v>0</v>
      </c>
      <c r="O18" s="71" t="n">
        <v>0</v>
      </c>
      <c r="P18" s="56" t="n">
        <f aca="false">(IF(Gulf!E18=1,0,L18*M18)+N18)*O18*B18</f>
        <v>0</v>
      </c>
      <c r="Q18" s="56" t="n">
        <f aca="false">P18*oil_book</f>
        <v>0</v>
      </c>
      <c r="R18" s="71" t="n">
        <v>0</v>
      </c>
      <c r="S18" s="47" t="n">
        <v>0</v>
      </c>
      <c r="T18" s="56" t="n">
        <f aca="false">R18*S18*B18</f>
        <v>0</v>
      </c>
      <c r="U18" s="47" t="n">
        <v>0</v>
      </c>
      <c r="V18" s="47" t="n">
        <v>0</v>
      </c>
      <c r="W18" s="56" t="n">
        <f aca="false">U18/1000*V18*B18</f>
        <v>0</v>
      </c>
      <c r="X18" s="47" t="n">
        <v>0</v>
      </c>
      <c r="Y18" s="62" t="n">
        <v>0</v>
      </c>
      <c r="Z18" s="56" t="n">
        <f aca="false">X18*Y18*chem_va*B18</f>
        <v>0</v>
      </c>
      <c r="AA18" s="62" t="n">
        <v>0</v>
      </c>
      <c r="AB18" s="56" t="n">
        <f aca="false">X18*AA18*roy_rate*B18*(1-IF(union_resp=2,lic_cut*Labour!S18,0))</f>
        <v>0</v>
      </c>
      <c r="AC18" s="47" t="n">
        <v>0</v>
      </c>
      <c r="AD18" s="62" t="n">
        <v>0</v>
      </c>
      <c r="AE18" s="62" t="n">
        <v>0</v>
      </c>
      <c r="AF18" s="56" t="n">
        <f aca="false">AC18*AD18*elec_va*B18</f>
        <v>0</v>
      </c>
      <c r="AG18" s="56" t="n">
        <f aca="false">MAX(0,AE18-AD18)*AC18*roy_rate*B18*(1-IF(union_resp=2,lic_cut*Labour!S18,0))</f>
        <v>0</v>
      </c>
      <c r="AH18" s="55" t="n">
        <v>0</v>
      </c>
      <c r="AI18" s="56" t="n">
        <f aca="false">AH18*B18</f>
        <v>0</v>
      </c>
      <c r="AJ18" s="55" t="n">
        <v>0</v>
      </c>
      <c r="AK18" s="56" t="n">
        <f aca="false">AJ18*B18</f>
        <v>0</v>
      </c>
      <c r="AL18" s="47" t="n">
        <v>0</v>
      </c>
      <c r="AM18" s="56" t="n">
        <f aca="false">AL18*uw_fee*B18</f>
        <v>0</v>
      </c>
      <c r="AN18" s="55" t="n">
        <v>0</v>
      </c>
      <c r="AO18" s="55" t="n">
        <v>0</v>
      </c>
      <c r="AP18" s="56" t="n">
        <f aca="false">K18+T18+W18+Z18+AF18+AI18+AK18+AM18+AN18+AO18</f>
        <v>0</v>
      </c>
      <c r="AQ18" s="56" t="n">
        <f aca="false">AP18*(1-1/champ_prem+champ_spill)</f>
        <v>0</v>
      </c>
      <c r="AR18" s="66" t="n">
        <f aca="false">AP18/Economy!O18</f>
        <v>0</v>
      </c>
      <c r="AS18" s="55" t="n">
        <v>0</v>
      </c>
      <c r="AT18" s="55" t="n">
        <v>0</v>
      </c>
      <c r="AU18" s="55" t="n">
        <v>0</v>
      </c>
      <c r="AV18" s="55" t="n">
        <v>0</v>
      </c>
      <c r="AW18" s="55" t="n">
        <v>0</v>
      </c>
      <c r="AX18" s="55" t="n">
        <v>0</v>
      </c>
      <c r="AY18" s="56" t="n">
        <f aca="false">Q18+(AS18+AT18+AU18+AV18+AW18+AX18)*B18</f>
        <v>0</v>
      </c>
      <c r="AZ18" s="56" t="n">
        <f aca="false">P18+(AS18*ret_rail+AT18*ret_tel+AU18*ret_elec+AV18*ret_auto+AW18*ret_chem+AX18*ret_steel)*B18*IF(OR($A18=1931,$A18=1932),abroad_slump,1)+AB18+AG18</f>
        <v>0</v>
      </c>
      <c r="BA18" s="56" t="n">
        <f aca="false">AP18*champ_profit+AZ18</f>
        <v>0</v>
      </c>
      <c r="BB18" s="56" t="n">
        <f aca="false">(K18+AI18+AK18)*champ_profit+P18+(AS18*ret_rail+AT18*ret_tel+AU18*ret_elec)*B18*IF(OR($A18=1931,$A18=1932),abroad_slump,1)</f>
        <v>0</v>
      </c>
      <c r="BC18" s="56" t="n">
        <f aca="false">(T18+W18+Z18+AF18+AN18+AO18)*champ_profit+(AV18*ret_auto+AW18*ret_chem+AX18*ret_steel)*B18*IF(OR($A18=1931,$A18=1932),abroad_slump,1)+AB18+AG18</f>
        <v>0</v>
      </c>
      <c r="BD18" s="56" t="n">
        <f aca="false">IF($A18&gt;=crown_start,(BB18*crown_charter+BC18*crown_comp)*crown_payout,0)</f>
        <v>0</v>
      </c>
      <c r="BE18" s="66" t="n">
        <f aca="false">IF(BB18+BC18&gt;0,(BB18*crown_charter+BC18*crown_comp)/(BA18),0)</f>
        <v>0</v>
      </c>
    </row>
    <row r="19" customFormat="false" ht="14.25" hidden="false" customHeight="true" outlineLevel="0" collapsed="false">
      <c r="A19" s="61" t="n">
        <v>1859</v>
      </c>
      <c r="B19" s="68" t="n">
        <f aca="false">champ_scale*(1+Labour!AP19)*(1+Partners!BX19)*(1-IF(union_resp=2,tariff_cut*Labour!S19,0))</f>
        <v>1.03567677067175</v>
      </c>
      <c r="C19" s="47" t="n">
        <v>0</v>
      </c>
      <c r="D19" s="47" t="n">
        <v>0</v>
      </c>
      <c r="E19" s="47" t="n">
        <v>0</v>
      </c>
      <c r="F19" s="49" t="n">
        <f aca="false">E19*B19</f>
        <v>0</v>
      </c>
      <c r="G19" s="49" t="n">
        <f aca="false">F19/Economy!B19*1000000</f>
        <v>0</v>
      </c>
      <c r="H19" s="47" t="n">
        <v>0</v>
      </c>
      <c r="I19" s="70" t="n">
        <f aca="false">IF(H19&gt;0,G19/H19,0)</f>
        <v>0</v>
      </c>
      <c r="J19" s="71" t="n">
        <v>0</v>
      </c>
      <c r="K19" s="56" t="n">
        <f aca="false">Resources!K19*J19*B19</f>
        <v>0</v>
      </c>
      <c r="L19" s="47" t="n">
        <v>0</v>
      </c>
      <c r="M19" s="62" t="n">
        <v>0</v>
      </c>
      <c r="N19" s="47" t="n">
        <v>0</v>
      </c>
      <c r="O19" s="71" t="n">
        <v>0</v>
      </c>
      <c r="P19" s="56" t="n">
        <f aca="false">(IF(Gulf!E19=1,0,L19*M19)+N19)*O19*B19</f>
        <v>0</v>
      </c>
      <c r="Q19" s="56" t="n">
        <f aca="false">P19*oil_book</f>
        <v>0</v>
      </c>
      <c r="R19" s="71" t="n">
        <v>0</v>
      </c>
      <c r="S19" s="47" t="n">
        <v>0</v>
      </c>
      <c r="T19" s="56" t="n">
        <f aca="false">R19*S19*B19</f>
        <v>0</v>
      </c>
      <c r="U19" s="47" t="n">
        <v>0</v>
      </c>
      <c r="V19" s="47" t="n">
        <v>0</v>
      </c>
      <c r="W19" s="56" t="n">
        <f aca="false">U19/1000*V19*B19</f>
        <v>0</v>
      </c>
      <c r="X19" s="47" t="n">
        <v>0</v>
      </c>
      <c r="Y19" s="62" t="n">
        <v>0</v>
      </c>
      <c r="Z19" s="56" t="n">
        <f aca="false">X19*Y19*chem_va*B19</f>
        <v>0</v>
      </c>
      <c r="AA19" s="62" t="n">
        <v>0</v>
      </c>
      <c r="AB19" s="56" t="n">
        <f aca="false">X19*AA19*roy_rate*B19*(1-IF(union_resp=2,lic_cut*Labour!S19,0))</f>
        <v>0</v>
      </c>
      <c r="AC19" s="47" t="n">
        <v>0</v>
      </c>
      <c r="AD19" s="62" t="n">
        <v>0</v>
      </c>
      <c r="AE19" s="62" t="n">
        <v>0</v>
      </c>
      <c r="AF19" s="56" t="n">
        <f aca="false">AC19*AD19*elec_va*B19</f>
        <v>0</v>
      </c>
      <c r="AG19" s="56" t="n">
        <f aca="false">MAX(0,AE19-AD19)*AC19*roy_rate*B19*(1-IF(union_resp=2,lic_cut*Labour!S19,0))</f>
        <v>0</v>
      </c>
      <c r="AH19" s="55" t="n">
        <v>0</v>
      </c>
      <c r="AI19" s="56" t="n">
        <f aca="false">AH19*B19</f>
        <v>0</v>
      </c>
      <c r="AJ19" s="55" t="n">
        <v>0</v>
      </c>
      <c r="AK19" s="56" t="n">
        <f aca="false">AJ19*B19</f>
        <v>0</v>
      </c>
      <c r="AL19" s="47" t="n">
        <v>0</v>
      </c>
      <c r="AM19" s="56" t="n">
        <f aca="false">AL19*uw_fee*B19</f>
        <v>0</v>
      </c>
      <c r="AN19" s="55" t="n">
        <v>0</v>
      </c>
      <c r="AO19" s="55" t="n">
        <v>0</v>
      </c>
      <c r="AP19" s="56" t="n">
        <f aca="false">K19+T19+W19+Z19+AF19+AI19+AK19+AM19+AN19+AO19</f>
        <v>0</v>
      </c>
      <c r="AQ19" s="56" t="n">
        <f aca="false">AP19*(1-1/champ_prem+champ_spill)</f>
        <v>0</v>
      </c>
      <c r="AR19" s="66" t="n">
        <f aca="false">AP19/Economy!O19</f>
        <v>0</v>
      </c>
      <c r="AS19" s="55" t="n">
        <v>0</v>
      </c>
      <c r="AT19" s="55" t="n">
        <v>0</v>
      </c>
      <c r="AU19" s="55" t="n">
        <v>0</v>
      </c>
      <c r="AV19" s="55" t="n">
        <v>0</v>
      </c>
      <c r="AW19" s="55" t="n">
        <v>0</v>
      </c>
      <c r="AX19" s="55" t="n">
        <v>0</v>
      </c>
      <c r="AY19" s="56" t="n">
        <f aca="false">Q19+(AS19+AT19+AU19+AV19+AW19+AX19)*B19</f>
        <v>0</v>
      </c>
      <c r="AZ19" s="56" t="n">
        <f aca="false">P19+(AS19*ret_rail+AT19*ret_tel+AU19*ret_elec+AV19*ret_auto+AW19*ret_chem+AX19*ret_steel)*B19*IF(OR($A19=1931,$A19=1932),abroad_slump,1)+AB19+AG19</f>
        <v>0</v>
      </c>
      <c r="BA19" s="56" t="n">
        <f aca="false">AP19*champ_profit+AZ19</f>
        <v>0</v>
      </c>
      <c r="BB19" s="56" t="n">
        <f aca="false">(K19+AI19+AK19)*champ_profit+P19+(AS19*ret_rail+AT19*ret_tel+AU19*ret_elec)*B19*IF(OR($A19=1931,$A19=1932),abroad_slump,1)</f>
        <v>0</v>
      </c>
      <c r="BC19" s="56" t="n">
        <f aca="false">(T19+W19+Z19+AF19+AN19+AO19)*champ_profit+(AV19*ret_auto+AW19*ret_chem+AX19*ret_steel)*B19*IF(OR($A19=1931,$A19=1932),abroad_slump,1)+AB19+AG19</f>
        <v>0</v>
      </c>
      <c r="BD19" s="56" t="n">
        <f aca="false">IF($A19&gt;=crown_start,(BB19*crown_charter+BC19*crown_comp)*crown_payout,0)</f>
        <v>0</v>
      </c>
      <c r="BE19" s="66" t="n">
        <f aca="false">IF(BB19+BC19&gt;0,(BB19*crown_charter+BC19*crown_comp)/(BA19),0)</f>
        <v>0</v>
      </c>
    </row>
    <row r="20" customFormat="false" ht="14.25" hidden="false" customHeight="true" outlineLevel="0" collapsed="false">
      <c r="A20" s="61" t="n">
        <v>1860</v>
      </c>
      <c r="B20" s="68" t="n">
        <f aca="false">champ_scale*(1+Labour!AP20)*(1+Partners!BX20)*(1-IF(union_resp=2,tariff_cut*Labour!S20,0))</f>
        <v>1.04536194459592</v>
      </c>
      <c r="C20" s="47" t="n">
        <v>0</v>
      </c>
      <c r="D20" s="47" t="n">
        <v>0</v>
      </c>
      <c r="E20" s="47" t="n">
        <v>50</v>
      </c>
      <c r="F20" s="49" t="n">
        <f aca="false">E20*B20</f>
        <v>52.2680972297959</v>
      </c>
      <c r="G20" s="49" t="n">
        <f aca="false">F20/Economy!B20*1000000</f>
        <v>43.7429264418766</v>
      </c>
      <c r="H20" s="47" t="n">
        <v>150</v>
      </c>
      <c r="I20" s="70" t="n">
        <f aca="false">IF(H20&gt;0,G20/H20,0)</f>
        <v>0.29161950961251</v>
      </c>
      <c r="J20" s="71" t="n">
        <v>0</v>
      </c>
      <c r="K20" s="56" t="n">
        <f aca="false">Resources!K20*J20*B20</f>
        <v>0</v>
      </c>
      <c r="L20" s="47" t="n">
        <v>0</v>
      </c>
      <c r="M20" s="62" t="n">
        <v>0</v>
      </c>
      <c r="N20" s="47" t="n">
        <v>0</v>
      </c>
      <c r="O20" s="71" t="n">
        <v>0</v>
      </c>
      <c r="P20" s="56" t="n">
        <f aca="false">(IF(Gulf!E20=1,0,L20*M20)+N20)*O20*B20</f>
        <v>0</v>
      </c>
      <c r="Q20" s="56" t="n">
        <f aca="false">P20*oil_book</f>
        <v>0</v>
      </c>
      <c r="R20" s="71" t="n">
        <v>0</v>
      </c>
      <c r="S20" s="47" t="n">
        <v>0</v>
      </c>
      <c r="T20" s="56" t="n">
        <f aca="false">R20*S20*B20</f>
        <v>0</v>
      </c>
      <c r="U20" s="47" t="n">
        <v>0</v>
      </c>
      <c r="V20" s="47" t="n">
        <v>0</v>
      </c>
      <c r="W20" s="56" t="n">
        <f aca="false">U20/1000*V20*B20</f>
        <v>0</v>
      </c>
      <c r="X20" s="47" t="n">
        <v>0</v>
      </c>
      <c r="Y20" s="62" t="n">
        <v>0</v>
      </c>
      <c r="Z20" s="56" t="n">
        <f aca="false">X20*Y20*chem_va*B20</f>
        <v>0</v>
      </c>
      <c r="AA20" s="62" t="n">
        <v>0</v>
      </c>
      <c r="AB20" s="56" t="n">
        <f aca="false">X20*AA20*roy_rate*B20*(1-IF(union_resp=2,lic_cut*Labour!S20,0))</f>
        <v>0</v>
      </c>
      <c r="AC20" s="47" t="n">
        <v>0</v>
      </c>
      <c r="AD20" s="62" t="n">
        <v>0</v>
      </c>
      <c r="AE20" s="62" t="n">
        <v>0</v>
      </c>
      <c r="AF20" s="56" t="n">
        <f aca="false">AC20*AD20*elec_va*B20</f>
        <v>0</v>
      </c>
      <c r="AG20" s="56" t="n">
        <f aca="false">MAX(0,AE20-AD20)*AC20*roy_rate*B20*(1-IF(union_resp=2,lic_cut*Labour!S20,0))</f>
        <v>0</v>
      </c>
      <c r="AH20" s="55" t="n">
        <v>1</v>
      </c>
      <c r="AI20" s="56" t="n">
        <f aca="false">AH20*B20</f>
        <v>1.04536194459592</v>
      </c>
      <c r="AJ20" s="55" t="n">
        <v>0</v>
      </c>
      <c r="AK20" s="56" t="n">
        <f aca="false">AJ20*B20</f>
        <v>0</v>
      </c>
      <c r="AL20" s="47" t="n">
        <v>0</v>
      </c>
      <c r="AM20" s="56" t="n">
        <f aca="false">AL20*uw_fee*B20</f>
        <v>0</v>
      </c>
      <c r="AN20" s="55" t="n">
        <v>0</v>
      </c>
      <c r="AO20" s="55" t="n">
        <v>0</v>
      </c>
      <c r="AP20" s="56" t="n">
        <f aca="false">K20+T20+W20+Z20+AF20+AI20+AK20+AM20+AN20+AO20</f>
        <v>1.04536194459592</v>
      </c>
      <c r="AQ20" s="56" t="n">
        <f aca="false">AP20*(1-1/champ_prem+champ_spill)</f>
        <v>0.725945794858277</v>
      </c>
      <c r="AR20" s="66" t="n">
        <f aca="false">AP20/Economy!O20</f>
        <v>0.00355918482650478</v>
      </c>
      <c r="AS20" s="55" t="n">
        <v>0</v>
      </c>
      <c r="AT20" s="55" t="n">
        <v>0</v>
      </c>
      <c r="AU20" s="55" t="n">
        <v>0</v>
      </c>
      <c r="AV20" s="55" t="n">
        <v>0</v>
      </c>
      <c r="AW20" s="55" t="n">
        <v>0</v>
      </c>
      <c r="AX20" s="55" t="n">
        <v>0</v>
      </c>
      <c r="AY20" s="56" t="n">
        <f aca="false">Q20+(AS20+AT20+AU20+AV20+AW20+AX20)*B20</f>
        <v>0</v>
      </c>
      <c r="AZ20" s="56" t="n">
        <f aca="false">P20+(AS20*ret_rail+AT20*ret_tel+AU20*ret_elec+AV20*ret_auto+AW20*ret_chem+AX20*ret_steel)*B20*IF(OR($A20=1931,$A20=1932),abroad_slump,1)+AB20+AG20</f>
        <v>0</v>
      </c>
      <c r="BA20" s="56" t="n">
        <f aca="false">AP20*champ_profit+AZ20</f>
        <v>0.209072388919184</v>
      </c>
      <c r="BB20" s="56" t="n">
        <f aca="false">(K20+AI20+AK20)*champ_profit+P20+(AS20*ret_rail+AT20*ret_tel+AU20*ret_elec)*B20*IF(OR($A20=1931,$A20=1932),abroad_slump,1)</f>
        <v>0.209072388919184</v>
      </c>
      <c r="BC20" s="56" t="n">
        <f aca="false">(T20+W20+Z20+AF20+AN20+AO20)*champ_profit+(AV20*ret_auto+AW20*ret_chem+AX20*ret_steel)*B20*IF(OR($A20=1931,$A20=1932),abroad_slump,1)+AB20+AG20</f>
        <v>0</v>
      </c>
      <c r="BD20" s="56" t="n">
        <f aca="false">IF($A20&gt;=crown_start,(BB20*crown_charter+BC20*crown_comp)*crown_payout,0)</f>
        <v>0</v>
      </c>
      <c r="BE20" s="66" t="n">
        <f aca="false">IF(BB20+BC20&gt;0,(BB20*crown_charter+BC20*crown_comp)/(BA20),0)</f>
        <v>0.25</v>
      </c>
    </row>
    <row r="21" customFormat="false" ht="14.25" hidden="false" customHeight="true" outlineLevel="0" collapsed="false">
      <c r="A21" s="64" t="n">
        <v>1861</v>
      </c>
      <c r="B21" s="68" t="n">
        <f aca="false">champ_scale*(1+Labour!AP21)*(1+Partners!BX21)*(1-IF(union_resp=2,tariff_cut*Labour!S21,0))</f>
        <v>1.05311212571525</v>
      </c>
      <c r="C21" s="47" t="n">
        <v>0</v>
      </c>
      <c r="D21" s="47" t="n">
        <v>0</v>
      </c>
      <c r="E21" s="47" t="n">
        <v>60</v>
      </c>
      <c r="F21" s="49" t="n">
        <f aca="false">E21*B21</f>
        <v>63.1867275429151</v>
      </c>
      <c r="G21" s="49" t="n">
        <f aca="false">F21/Economy!B21*1000000</f>
        <v>49.4185752415017</v>
      </c>
      <c r="H21" s="47" t="n">
        <v>166</v>
      </c>
      <c r="I21" s="70" t="n">
        <f aca="false">IF(H21&gt;0,G21/H21,0)</f>
        <v>0.297702260490974</v>
      </c>
      <c r="J21" s="71" t="n">
        <v>0</v>
      </c>
      <c r="K21" s="56" t="n">
        <f aca="false">Resources!K21*J21*B21</f>
        <v>0</v>
      </c>
      <c r="L21" s="47" t="n">
        <v>0</v>
      </c>
      <c r="M21" s="62" t="n">
        <v>0</v>
      </c>
      <c r="N21" s="47" t="n">
        <v>0</v>
      </c>
      <c r="O21" s="71" t="n">
        <v>0</v>
      </c>
      <c r="P21" s="56" t="n">
        <f aca="false">(IF(Gulf!E21=1,0,L21*M21)+N21)*O21*B21</f>
        <v>0</v>
      </c>
      <c r="Q21" s="56" t="n">
        <f aca="false">P21*oil_book</f>
        <v>0</v>
      </c>
      <c r="R21" s="71" t="n">
        <v>0</v>
      </c>
      <c r="S21" s="47" t="n">
        <v>0</v>
      </c>
      <c r="T21" s="56" t="n">
        <f aca="false">R21*S21*B21</f>
        <v>0</v>
      </c>
      <c r="U21" s="47" t="n">
        <v>0</v>
      </c>
      <c r="V21" s="47" t="n">
        <v>0</v>
      </c>
      <c r="W21" s="56" t="n">
        <f aca="false">U21/1000*V21*B21</f>
        <v>0</v>
      </c>
      <c r="X21" s="47" t="n">
        <v>0</v>
      </c>
      <c r="Y21" s="62" t="n">
        <v>0</v>
      </c>
      <c r="Z21" s="56" t="n">
        <f aca="false">X21*Y21*chem_va*B21</f>
        <v>0</v>
      </c>
      <c r="AA21" s="62" t="n">
        <v>0</v>
      </c>
      <c r="AB21" s="56" t="n">
        <f aca="false">X21*AA21*roy_rate*B21*(1-IF(union_resp=2,lic_cut*Labour!S21,0))</f>
        <v>0</v>
      </c>
      <c r="AC21" s="47" t="n">
        <v>0</v>
      </c>
      <c r="AD21" s="62" t="n">
        <v>0</v>
      </c>
      <c r="AE21" s="62" t="n">
        <v>0</v>
      </c>
      <c r="AF21" s="56" t="n">
        <f aca="false">AC21*AD21*elec_va*B21</f>
        <v>0</v>
      </c>
      <c r="AG21" s="56" t="n">
        <f aca="false">MAX(0,AE21-AD21)*AC21*roy_rate*B21*(1-IF(union_resp=2,lic_cut*Labour!S21,0))</f>
        <v>0</v>
      </c>
      <c r="AH21" s="55" t="n">
        <v>1</v>
      </c>
      <c r="AI21" s="56" t="n">
        <f aca="false">AH21*B21</f>
        <v>1.05311212571525</v>
      </c>
      <c r="AJ21" s="55" t="n">
        <v>0</v>
      </c>
      <c r="AK21" s="56" t="n">
        <f aca="false">AJ21*B21</f>
        <v>0</v>
      </c>
      <c r="AL21" s="47" t="n">
        <v>0</v>
      </c>
      <c r="AM21" s="56" t="n">
        <f aca="false">AL21*uw_fee*B21</f>
        <v>0</v>
      </c>
      <c r="AN21" s="55" t="n">
        <v>0</v>
      </c>
      <c r="AO21" s="55" t="n">
        <v>0</v>
      </c>
      <c r="AP21" s="56" t="n">
        <f aca="false">K21+T21+W21+Z21+AF21+AI21+AK21+AM21+AN21+AO21</f>
        <v>1.05311212571525</v>
      </c>
      <c r="AQ21" s="56" t="n">
        <f aca="false">AP21*(1-1/champ_prem+champ_spill)</f>
        <v>0.731327865080035</v>
      </c>
      <c r="AR21" s="66" t="n">
        <f aca="false">AP21/Economy!O21</f>
        <v>0.00339178662017858</v>
      </c>
      <c r="AS21" s="55" t="n">
        <v>0</v>
      </c>
      <c r="AT21" s="55" t="n">
        <v>0</v>
      </c>
      <c r="AU21" s="55" t="n">
        <v>0</v>
      </c>
      <c r="AV21" s="55" t="n">
        <v>0</v>
      </c>
      <c r="AW21" s="55" t="n">
        <v>0</v>
      </c>
      <c r="AX21" s="55" t="n">
        <v>0</v>
      </c>
      <c r="AY21" s="56" t="n">
        <f aca="false">Q21+(AS21+AT21+AU21+AV21+AW21+AX21)*B21</f>
        <v>0</v>
      </c>
      <c r="AZ21" s="56" t="n">
        <f aca="false">P21+(AS21*ret_rail+AT21*ret_tel+AU21*ret_elec+AV21*ret_auto+AW21*ret_chem+AX21*ret_steel)*B21*IF(OR($A21=1931,$A21=1932),abroad_slump,1)+AB21+AG21</f>
        <v>0</v>
      </c>
      <c r="BA21" s="56" t="n">
        <f aca="false">AP21*champ_profit+AZ21</f>
        <v>0.21062242514305</v>
      </c>
      <c r="BB21" s="56" t="n">
        <f aca="false">(K21+AI21+AK21)*champ_profit+P21+(AS21*ret_rail+AT21*ret_tel+AU21*ret_elec)*B21*IF(OR($A21=1931,$A21=1932),abroad_slump,1)</f>
        <v>0.21062242514305</v>
      </c>
      <c r="BC21" s="56" t="n">
        <f aca="false">(T21+W21+Z21+AF21+AN21+AO21)*champ_profit+(AV21*ret_auto+AW21*ret_chem+AX21*ret_steel)*B21*IF(OR($A21=1931,$A21=1932),abroad_slump,1)+AB21+AG21</f>
        <v>0</v>
      </c>
      <c r="BD21" s="56" t="n">
        <f aca="false">IF($A21&gt;=crown_start,(BB21*crown_charter+BC21*crown_comp)*crown_payout,0)</f>
        <v>0</v>
      </c>
      <c r="BE21" s="66" t="n">
        <f aca="false">IF(BB21+BC21&gt;0,(BB21*crown_charter+BC21*crown_comp)/(BA21),0)</f>
        <v>0.25</v>
      </c>
    </row>
    <row r="22" customFormat="false" ht="14.25" hidden="false" customHeight="true" outlineLevel="0" collapsed="false">
      <c r="A22" s="64" t="n">
        <v>1862</v>
      </c>
      <c r="B22" s="68" t="n">
        <f aca="false">champ_scale*(1+Labour!AP22)*(1+Partners!BX22)*(1-IF(union_resp=2,tariff_cut*Labour!S22,0))</f>
        <v>1.05895464337369</v>
      </c>
      <c r="C22" s="47" t="n">
        <v>0</v>
      </c>
      <c r="D22" s="47" t="n">
        <v>0</v>
      </c>
      <c r="E22" s="47" t="n">
        <v>80</v>
      </c>
      <c r="F22" s="49" t="n">
        <f aca="false">E22*B22</f>
        <v>84.7163714698955</v>
      </c>
      <c r="G22" s="49" t="n">
        <f aca="false">F22/Economy!B22*1000000</f>
        <v>58.9356509548891</v>
      </c>
      <c r="H22" s="47" t="n">
        <v>183</v>
      </c>
      <c r="I22" s="70" t="n">
        <f aca="false">IF(H22&gt;0,G22/H22,0)</f>
        <v>0.32205273745841</v>
      </c>
      <c r="J22" s="71" t="n">
        <v>0</v>
      </c>
      <c r="K22" s="56" t="n">
        <f aca="false">Resources!K22*J22*B22</f>
        <v>0</v>
      </c>
      <c r="L22" s="47" t="n">
        <v>0</v>
      </c>
      <c r="M22" s="62" t="n">
        <v>0</v>
      </c>
      <c r="N22" s="47" t="n">
        <v>0</v>
      </c>
      <c r="O22" s="71" t="n">
        <v>0</v>
      </c>
      <c r="P22" s="56" t="n">
        <f aca="false">(IF(Gulf!E22=1,0,L22*M22)+N22)*O22*B22</f>
        <v>0</v>
      </c>
      <c r="Q22" s="56" t="n">
        <f aca="false">P22*oil_book</f>
        <v>0</v>
      </c>
      <c r="R22" s="71" t="n">
        <v>0</v>
      </c>
      <c r="S22" s="47" t="n">
        <v>0</v>
      </c>
      <c r="T22" s="56" t="n">
        <f aca="false">R22*S22*B22</f>
        <v>0</v>
      </c>
      <c r="U22" s="47" t="n">
        <v>0</v>
      </c>
      <c r="V22" s="47" t="n">
        <v>0</v>
      </c>
      <c r="W22" s="56" t="n">
        <f aca="false">U22/1000*V22*B22</f>
        <v>0</v>
      </c>
      <c r="X22" s="47" t="n">
        <v>0</v>
      </c>
      <c r="Y22" s="62" t="n">
        <v>0</v>
      </c>
      <c r="Z22" s="56" t="n">
        <f aca="false">X22*Y22*chem_va*B22</f>
        <v>0</v>
      </c>
      <c r="AA22" s="62" t="n">
        <v>0</v>
      </c>
      <c r="AB22" s="56" t="n">
        <f aca="false">X22*AA22*roy_rate*B22*(1-IF(union_resp=2,lic_cut*Labour!S22,0))</f>
        <v>0</v>
      </c>
      <c r="AC22" s="47" t="n">
        <v>0</v>
      </c>
      <c r="AD22" s="62" t="n">
        <v>0</v>
      </c>
      <c r="AE22" s="62" t="n">
        <v>0</v>
      </c>
      <c r="AF22" s="56" t="n">
        <f aca="false">AC22*AD22*elec_va*B22</f>
        <v>0</v>
      </c>
      <c r="AG22" s="56" t="n">
        <f aca="false">MAX(0,AE22-AD22)*AC22*roy_rate*B22*(1-IF(union_resp=2,lic_cut*Labour!S22,0))</f>
        <v>0</v>
      </c>
      <c r="AH22" s="55" t="n">
        <v>1</v>
      </c>
      <c r="AI22" s="56" t="n">
        <f aca="false">AH22*B22</f>
        <v>1.05895464337369</v>
      </c>
      <c r="AJ22" s="55" t="n">
        <v>0</v>
      </c>
      <c r="AK22" s="56" t="n">
        <f aca="false">AJ22*B22</f>
        <v>0</v>
      </c>
      <c r="AL22" s="47" t="n">
        <v>0</v>
      </c>
      <c r="AM22" s="56" t="n">
        <f aca="false">AL22*uw_fee*B22</f>
        <v>0</v>
      </c>
      <c r="AN22" s="55" t="n">
        <v>0</v>
      </c>
      <c r="AO22" s="55" t="n">
        <v>0</v>
      </c>
      <c r="AP22" s="56" t="n">
        <f aca="false">K22+T22+W22+Z22+AF22+AI22+AK22+AM22+AN22+AO22</f>
        <v>1.05895464337369</v>
      </c>
      <c r="AQ22" s="56" t="n">
        <f aca="false">AP22*(1-1/champ_prem+champ_spill)</f>
        <v>0.735385169009509</v>
      </c>
      <c r="AR22" s="66" t="n">
        <f aca="false">AP22/Economy!O22</f>
        <v>0.00304726902849038</v>
      </c>
      <c r="AS22" s="55" t="n">
        <v>0</v>
      </c>
      <c r="AT22" s="55" t="n">
        <v>0</v>
      </c>
      <c r="AU22" s="55" t="n">
        <v>0</v>
      </c>
      <c r="AV22" s="55" t="n">
        <v>0</v>
      </c>
      <c r="AW22" s="55" t="n">
        <v>0</v>
      </c>
      <c r="AX22" s="55" t="n">
        <v>0</v>
      </c>
      <c r="AY22" s="56" t="n">
        <f aca="false">Q22+(AS22+AT22+AU22+AV22+AW22+AX22)*B22</f>
        <v>0</v>
      </c>
      <c r="AZ22" s="56" t="n">
        <f aca="false">P22+(AS22*ret_rail+AT22*ret_tel+AU22*ret_elec+AV22*ret_auto+AW22*ret_chem+AX22*ret_steel)*B22*IF(OR($A22=1931,$A22=1932),abroad_slump,1)+AB22+AG22</f>
        <v>0</v>
      </c>
      <c r="BA22" s="56" t="n">
        <f aca="false">AP22*champ_profit+AZ22</f>
        <v>0.211790928674739</v>
      </c>
      <c r="BB22" s="56" t="n">
        <f aca="false">(K22+AI22+AK22)*champ_profit+P22+(AS22*ret_rail+AT22*ret_tel+AU22*ret_elec)*B22*IF(OR($A22=1931,$A22=1932),abroad_slump,1)</f>
        <v>0.211790928674739</v>
      </c>
      <c r="BC22" s="56" t="n">
        <f aca="false">(T22+W22+Z22+AF22+AN22+AO22)*champ_profit+(AV22*ret_auto+AW22*ret_chem+AX22*ret_steel)*B22*IF(OR($A22=1931,$A22=1932),abroad_slump,1)+AB22+AG22</f>
        <v>0</v>
      </c>
      <c r="BD22" s="56" t="n">
        <f aca="false">IF($A22&gt;=crown_start,(BB22*crown_charter+BC22*crown_comp)*crown_payout,0)</f>
        <v>0</v>
      </c>
      <c r="BE22" s="66" t="n">
        <f aca="false">IF(BB22+BC22&gt;0,(BB22*crown_charter+BC22*crown_comp)/(BA22),0)</f>
        <v>0.25</v>
      </c>
    </row>
    <row r="23" customFormat="false" ht="14.25" hidden="false" customHeight="true" outlineLevel="0" collapsed="false">
      <c r="A23" s="64" t="n">
        <v>1863</v>
      </c>
      <c r="B23" s="68" t="n">
        <f aca="false">champ_scale*(1+Labour!AP23)*(1+Partners!BX23)*(1-IF(union_resp=2,tariff_cut*Labour!S23,0))</f>
        <v>1.05924893471736</v>
      </c>
      <c r="C23" s="47" t="n">
        <v>0</v>
      </c>
      <c r="D23" s="47" t="n">
        <v>0</v>
      </c>
      <c r="E23" s="47" t="n">
        <v>100</v>
      </c>
      <c r="F23" s="49" t="n">
        <f aca="false">E23*B23</f>
        <v>105.924893471736</v>
      </c>
      <c r="G23" s="49" t="n">
        <f aca="false">F23/Economy!B23*1000000</f>
        <v>64.644825430142</v>
      </c>
      <c r="H23" s="47" t="n">
        <v>199</v>
      </c>
      <c r="I23" s="70" t="n">
        <f aca="false">IF(H23&gt;0,G23/H23,0)</f>
        <v>0.324848368995689</v>
      </c>
      <c r="J23" s="71" t="n">
        <v>0</v>
      </c>
      <c r="K23" s="56" t="n">
        <f aca="false">Resources!K23*J23*B23</f>
        <v>0</v>
      </c>
      <c r="L23" s="47" t="n">
        <v>0</v>
      </c>
      <c r="M23" s="62" t="n">
        <v>0</v>
      </c>
      <c r="N23" s="47" t="n">
        <v>0</v>
      </c>
      <c r="O23" s="71" t="n">
        <v>0</v>
      </c>
      <c r="P23" s="56" t="n">
        <f aca="false">(IF(Gulf!E23=1,0,L23*M23)+N23)*O23*B23</f>
        <v>0</v>
      </c>
      <c r="Q23" s="56" t="n">
        <f aca="false">P23*oil_book</f>
        <v>0</v>
      </c>
      <c r="R23" s="71" t="n">
        <v>0</v>
      </c>
      <c r="S23" s="47" t="n">
        <v>0</v>
      </c>
      <c r="T23" s="56" t="n">
        <f aca="false">R23*S23*B23</f>
        <v>0</v>
      </c>
      <c r="U23" s="47" t="n">
        <v>0</v>
      </c>
      <c r="V23" s="47" t="n">
        <v>0</v>
      </c>
      <c r="W23" s="56" t="n">
        <f aca="false">U23/1000*V23*B23</f>
        <v>0</v>
      </c>
      <c r="X23" s="47" t="n">
        <v>0</v>
      </c>
      <c r="Y23" s="62" t="n">
        <v>0</v>
      </c>
      <c r="Z23" s="56" t="n">
        <f aca="false">X23*Y23*chem_va*B23</f>
        <v>0</v>
      </c>
      <c r="AA23" s="62" t="n">
        <v>0</v>
      </c>
      <c r="AB23" s="56" t="n">
        <f aca="false">X23*AA23*roy_rate*B23*(1-IF(union_resp=2,lic_cut*Labour!S23,0))</f>
        <v>0</v>
      </c>
      <c r="AC23" s="47" t="n">
        <v>0</v>
      </c>
      <c r="AD23" s="62" t="n">
        <v>0</v>
      </c>
      <c r="AE23" s="62" t="n">
        <v>0</v>
      </c>
      <c r="AF23" s="56" t="n">
        <f aca="false">AC23*AD23*elec_va*B23</f>
        <v>0</v>
      </c>
      <c r="AG23" s="56" t="n">
        <f aca="false">MAX(0,AE23-AD23)*AC23*roy_rate*B23*(1-IF(union_resp=2,lic_cut*Labour!S23,0))</f>
        <v>0</v>
      </c>
      <c r="AH23" s="55" t="n">
        <v>2</v>
      </c>
      <c r="AI23" s="56" t="n">
        <f aca="false">AH23*B23</f>
        <v>2.11849786943472</v>
      </c>
      <c r="AJ23" s="55" t="n">
        <v>0</v>
      </c>
      <c r="AK23" s="56" t="n">
        <f aca="false">AJ23*B23</f>
        <v>0</v>
      </c>
      <c r="AL23" s="47" t="n">
        <v>0</v>
      </c>
      <c r="AM23" s="56" t="n">
        <f aca="false">AL23*uw_fee*B23</f>
        <v>0</v>
      </c>
      <c r="AN23" s="55" t="n">
        <v>0</v>
      </c>
      <c r="AO23" s="55" t="n">
        <v>0</v>
      </c>
      <c r="AP23" s="56" t="n">
        <f aca="false">K23+T23+W23+Z23+AF23+AI23+AK23+AM23+AN23+AO23</f>
        <v>2.11849786943472</v>
      </c>
      <c r="AQ23" s="56" t="n">
        <f aca="false">AP23*(1-1/champ_prem+champ_spill)</f>
        <v>1.47117907599633</v>
      </c>
      <c r="AR23" s="66" t="n">
        <f aca="false">AP23/Economy!O23</f>
        <v>0.00511494930622604</v>
      </c>
      <c r="AS23" s="55" t="n">
        <v>0</v>
      </c>
      <c r="AT23" s="55" t="n">
        <v>0</v>
      </c>
      <c r="AU23" s="55" t="n">
        <v>0</v>
      </c>
      <c r="AV23" s="55" t="n">
        <v>0</v>
      </c>
      <c r="AW23" s="55" t="n">
        <v>0</v>
      </c>
      <c r="AX23" s="55" t="n">
        <v>0</v>
      </c>
      <c r="AY23" s="56" t="n">
        <f aca="false">Q23+(AS23+AT23+AU23+AV23+AW23+AX23)*B23</f>
        <v>0</v>
      </c>
      <c r="AZ23" s="56" t="n">
        <f aca="false">P23+(AS23*ret_rail+AT23*ret_tel+AU23*ret_elec+AV23*ret_auto+AW23*ret_chem+AX23*ret_steel)*B23*IF(OR($A23=1931,$A23=1932),abroad_slump,1)+AB23+AG23</f>
        <v>0</v>
      </c>
      <c r="BA23" s="56" t="n">
        <f aca="false">AP23*champ_profit+AZ23</f>
        <v>0.423699573886943</v>
      </c>
      <c r="BB23" s="56" t="n">
        <f aca="false">(K23+AI23+AK23)*champ_profit+P23+(AS23*ret_rail+AT23*ret_tel+AU23*ret_elec)*B23*IF(OR($A23=1931,$A23=1932),abroad_slump,1)</f>
        <v>0.423699573886943</v>
      </c>
      <c r="BC23" s="56" t="n">
        <f aca="false">(T23+W23+Z23+AF23+AN23+AO23)*champ_profit+(AV23*ret_auto+AW23*ret_chem+AX23*ret_steel)*B23*IF(OR($A23=1931,$A23=1932),abroad_slump,1)+AB23+AG23</f>
        <v>0</v>
      </c>
      <c r="BD23" s="56" t="n">
        <f aca="false">IF($A23&gt;=crown_start,(BB23*crown_charter+BC23*crown_comp)*crown_payout,0)</f>
        <v>0</v>
      </c>
      <c r="BE23" s="66" t="n">
        <f aca="false">IF(BB23+BC23&gt;0,(BB23*crown_charter+BC23*crown_comp)/(BA23),0)</f>
        <v>0.25</v>
      </c>
    </row>
    <row r="24" customFormat="false" ht="14.25" hidden="false" customHeight="true" outlineLevel="0" collapsed="false">
      <c r="A24" s="64" t="n">
        <v>1864</v>
      </c>
      <c r="B24" s="68" t="n">
        <f aca="false">champ_scale*(1+Labour!AP24)*(1+Partners!BX24)*(1-IF(union_resp=2,tariff_cut*Labour!S24,0))</f>
        <v>1.05700433351459</v>
      </c>
      <c r="C24" s="47" t="n">
        <v>0</v>
      </c>
      <c r="D24" s="47" t="n">
        <v>0</v>
      </c>
      <c r="E24" s="47" t="n">
        <v>110</v>
      </c>
      <c r="F24" s="49" t="n">
        <f aca="false">E24*B24</f>
        <v>116.270476686605</v>
      </c>
      <c r="G24" s="49" t="n">
        <f aca="false">F24/Economy!B24*1000000</f>
        <v>65.8633176088513</v>
      </c>
      <c r="H24" s="47" t="n">
        <v>216</v>
      </c>
      <c r="I24" s="70" t="n">
        <f aca="false">IF(H24&gt;0,G24/H24,0)</f>
        <v>0.304922766707645</v>
      </c>
      <c r="J24" s="71" t="n">
        <v>0</v>
      </c>
      <c r="K24" s="56" t="n">
        <f aca="false">Resources!K24*J24*B24</f>
        <v>0</v>
      </c>
      <c r="L24" s="47" t="n">
        <v>0</v>
      </c>
      <c r="M24" s="62" t="n">
        <v>0</v>
      </c>
      <c r="N24" s="47" t="n">
        <v>0</v>
      </c>
      <c r="O24" s="71" t="n">
        <v>0</v>
      </c>
      <c r="P24" s="56" t="n">
        <f aca="false">(IF(Gulf!E24=1,0,L24*M24)+N24)*O24*B24</f>
        <v>0</v>
      </c>
      <c r="Q24" s="56" t="n">
        <f aca="false">P24*oil_book</f>
        <v>0</v>
      </c>
      <c r="R24" s="71" t="n">
        <v>0</v>
      </c>
      <c r="S24" s="47" t="n">
        <v>0</v>
      </c>
      <c r="T24" s="56" t="n">
        <f aca="false">R24*S24*B24</f>
        <v>0</v>
      </c>
      <c r="U24" s="47" t="n">
        <v>0</v>
      </c>
      <c r="V24" s="47" t="n">
        <v>0</v>
      </c>
      <c r="W24" s="56" t="n">
        <f aca="false">U24/1000*V24*B24</f>
        <v>0</v>
      </c>
      <c r="X24" s="47" t="n">
        <v>0</v>
      </c>
      <c r="Y24" s="62" t="n">
        <v>0</v>
      </c>
      <c r="Z24" s="56" t="n">
        <f aca="false">X24*Y24*chem_va*B24</f>
        <v>0</v>
      </c>
      <c r="AA24" s="62" t="n">
        <v>0</v>
      </c>
      <c r="AB24" s="56" t="n">
        <f aca="false">X24*AA24*roy_rate*B24*(1-IF(union_resp=2,lic_cut*Labour!S24,0))</f>
        <v>0</v>
      </c>
      <c r="AC24" s="47" t="n">
        <v>0</v>
      </c>
      <c r="AD24" s="62" t="n">
        <v>0</v>
      </c>
      <c r="AE24" s="62" t="n">
        <v>0</v>
      </c>
      <c r="AF24" s="56" t="n">
        <f aca="false">AC24*AD24*elec_va*B24</f>
        <v>0</v>
      </c>
      <c r="AG24" s="56" t="n">
        <f aca="false">MAX(0,AE24-AD24)*AC24*roy_rate*B24*(1-IF(union_resp=2,lic_cut*Labour!S24,0))</f>
        <v>0</v>
      </c>
      <c r="AH24" s="55" t="n">
        <v>2</v>
      </c>
      <c r="AI24" s="56" t="n">
        <f aca="false">AH24*B24</f>
        <v>2.11400866702918</v>
      </c>
      <c r="AJ24" s="55" t="n">
        <v>0</v>
      </c>
      <c r="AK24" s="56" t="n">
        <f aca="false">AJ24*B24</f>
        <v>0</v>
      </c>
      <c r="AL24" s="47" t="n">
        <v>0</v>
      </c>
      <c r="AM24" s="56" t="n">
        <f aca="false">AL24*uw_fee*B24</f>
        <v>0</v>
      </c>
      <c r="AN24" s="55" t="n">
        <v>0</v>
      </c>
      <c r="AO24" s="55" t="n">
        <v>0</v>
      </c>
      <c r="AP24" s="56" t="n">
        <f aca="false">K24+T24+W24+Z24+AF24+AI24+AK24+AM24+AN24+AO24</f>
        <v>2.11400866702918</v>
      </c>
      <c r="AQ24" s="56" t="n">
        <f aca="false">AP24*(1-1/champ_prem+champ_spill)</f>
        <v>1.46806157432582</v>
      </c>
      <c r="AR24" s="66" t="n">
        <f aca="false">AP24/Economy!O24</f>
        <v>0.004347371734986</v>
      </c>
      <c r="AS24" s="55" t="n">
        <v>0</v>
      </c>
      <c r="AT24" s="55" t="n">
        <v>0</v>
      </c>
      <c r="AU24" s="55" t="n">
        <v>0</v>
      </c>
      <c r="AV24" s="55" t="n">
        <v>0</v>
      </c>
      <c r="AW24" s="55" t="n">
        <v>0</v>
      </c>
      <c r="AX24" s="55" t="n">
        <v>0</v>
      </c>
      <c r="AY24" s="56" t="n">
        <f aca="false">Q24+(AS24+AT24+AU24+AV24+AW24+AX24)*B24</f>
        <v>0</v>
      </c>
      <c r="AZ24" s="56" t="n">
        <f aca="false">P24+(AS24*ret_rail+AT24*ret_tel+AU24*ret_elec+AV24*ret_auto+AW24*ret_chem+AX24*ret_steel)*B24*IF(OR($A24=1931,$A24=1932),abroad_slump,1)+AB24+AG24</f>
        <v>0</v>
      </c>
      <c r="BA24" s="56" t="n">
        <f aca="false">AP24*champ_profit+AZ24</f>
        <v>0.422801733405836</v>
      </c>
      <c r="BB24" s="56" t="n">
        <f aca="false">(K24+AI24+AK24)*champ_profit+P24+(AS24*ret_rail+AT24*ret_tel+AU24*ret_elec)*B24*IF(OR($A24=1931,$A24=1932),abroad_slump,1)</f>
        <v>0.422801733405836</v>
      </c>
      <c r="BC24" s="56" t="n">
        <f aca="false">(T24+W24+Z24+AF24+AN24+AO24)*champ_profit+(AV24*ret_auto+AW24*ret_chem+AX24*ret_steel)*B24*IF(OR($A24=1931,$A24=1932),abroad_slump,1)+AB24+AG24</f>
        <v>0</v>
      </c>
      <c r="BD24" s="56" t="n">
        <f aca="false">IF($A24&gt;=crown_start,(BB24*crown_charter+BC24*crown_comp)*crown_payout,0)</f>
        <v>0</v>
      </c>
      <c r="BE24" s="66" t="n">
        <f aca="false">IF(BB24+BC24&gt;0,(BB24*crown_charter+BC24*crown_comp)/(BA24),0)</f>
        <v>0.25</v>
      </c>
    </row>
    <row r="25" customFormat="false" ht="14.25" hidden="false" customHeight="true" outlineLevel="0" collapsed="false">
      <c r="A25" s="64" t="n">
        <v>1865</v>
      </c>
      <c r="B25" s="68" t="n">
        <f aca="false">champ_scale*(1+Labour!AP25)*(1+Partners!BX25)*(1-IF(union_resp=2,tariff_cut*Labour!S25,0))</f>
        <v>1.05940778412179</v>
      </c>
      <c r="C25" s="47" t="n">
        <v>0</v>
      </c>
      <c r="D25" s="47" t="n">
        <v>0</v>
      </c>
      <c r="E25" s="47" t="n">
        <v>120</v>
      </c>
      <c r="F25" s="49" t="n">
        <f aca="false">E25*B25</f>
        <v>127.128934094615</v>
      </c>
      <c r="G25" s="49" t="n">
        <f aca="false">F25/Economy!B25*1000000</f>
        <v>68.440130495547</v>
      </c>
      <c r="H25" s="47" t="n">
        <v>232</v>
      </c>
      <c r="I25" s="70" t="n">
        <f aca="false">IF(H25&gt;0,G25/H25,0)</f>
        <v>0.295000562480806</v>
      </c>
      <c r="J25" s="71" t="n">
        <v>0</v>
      </c>
      <c r="K25" s="56" t="n">
        <f aca="false">Resources!K25*J25*B25</f>
        <v>0</v>
      </c>
      <c r="L25" s="47" t="n">
        <v>0</v>
      </c>
      <c r="M25" s="62" t="n">
        <v>0</v>
      </c>
      <c r="N25" s="47" t="n">
        <v>0</v>
      </c>
      <c r="O25" s="71" t="n">
        <v>0</v>
      </c>
      <c r="P25" s="56" t="n">
        <f aca="false">(IF(Gulf!E25=1,0,L25*M25)+N25)*O25*B25</f>
        <v>0</v>
      </c>
      <c r="Q25" s="56" t="n">
        <f aca="false">P25*oil_book</f>
        <v>0</v>
      </c>
      <c r="R25" s="71" t="n">
        <v>0</v>
      </c>
      <c r="S25" s="47" t="n">
        <v>0</v>
      </c>
      <c r="T25" s="56" t="n">
        <f aca="false">R25*S25*B25</f>
        <v>0</v>
      </c>
      <c r="U25" s="47" t="n">
        <v>0</v>
      </c>
      <c r="V25" s="47" t="n">
        <v>0</v>
      </c>
      <c r="W25" s="56" t="n">
        <f aca="false">U25/1000*V25*B25</f>
        <v>0</v>
      </c>
      <c r="X25" s="47" t="n">
        <v>0</v>
      </c>
      <c r="Y25" s="62" t="n">
        <v>0</v>
      </c>
      <c r="Z25" s="56" t="n">
        <f aca="false">X25*Y25*chem_va*B25</f>
        <v>0</v>
      </c>
      <c r="AA25" s="62" t="n">
        <v>0</v>
      </c>
      <c r="AB25" s="56" t="n">
        <f aca="false">X25*AA25*roy_rate*B25*(1-IF(union_resp=2,lic_cut*Labour!S25,0))</f>
        <v>0</v>
      </c>
      <c r="AC25" s="47" t="n">
        <v>0</v>
      </c>
      <c r="AD25" s="62" t="n">
        <v>0</v>
      </c>
      <c r="AE25" s="62" t="n">
        <v>0</v>
      </c>
      <c r="AF25" s="56" t="n">
        <f aca="false">AC25*AD25*elec_va*B25</f>
        <v>0</v>
      </c>
      <c r="AG25" s="56" t="n">
        <f aca="false">MAX(0,AE25-AD25)*AC25*roy_rate*B25*(1-IF(union_resp=2,lic_cut*Labour!S25,0))</f>
        <v>0</v>
      </c>
      <c r="AH25" s="55" t="n">
        <v>2</v>
      </c>
      <c r="AI25" s="56" t="n">
        <f aca="false">AH25*B25</f>
        <v>2.11881556824358</v>
      </c>
      <c r="AJ25" s="55" t="n">
        <v>0</v>
      </c>
      <c r="AK25" s="56" t="n">
        <f aca="false">AJ25*B25</f>
        <v>0</v>
      </c>
      <c r="AL25" s="47" t="n">
        <v>0</v>
      </c>
      <c r="AM25" s="56" t="n">
        <f aca="false">AL25*uw_fee*B25</f>
        <v>0</v>
      </c>
      <c r="AN25" s="55" t="n">
        <v>0</v>
      </c>
      <c r="AO25" s="55" t="n">
        <v>0</v>
      </c>
      <c r="AP25" s="56" t="n">
        <f aca="false">K25+T25+W25+Z25+AF25+AI25+AK25+AM25+AN25+AO25</f>
        <v>2.11881556824358</v>
      </c>
      <c r="AQ25" s="56" t="n">
        <f aca="false">AP25*(1-1/champ_prem+champ_spill)</f>
        <v>1.47139970016915</v>
      </c>
      <c r="AR25" s="66" t="n">
        <f aca="false">AP25/Economy!O25</f>
        <v>0.00399232067244407</v>
      </c>
      <c r="AS25" s="55" t="n">
        <v>0</v>
      </c>
      <c r="AT25" s="55" t="n">
        <v>0</v>
      </c>
      <c r="AU25" s="55" t="n">
        <v>0</v>
      </c>
      <c r="AV25" s="55" t="n">
        <v>0</v>
      </c>
      <c r="AW25" s="55" t="n">
        <v>0</v>
      </c>
      <c r="AX25" s="55" t="n">
        <v>0</v>
      </c>
      <c r="AY25" s="56" t="n">
        <f aca="false">Q25+(AS25+AT25+AU25+AV25+AW25+AX25)*B25</f>
        <v>0</v>
      </c>
      <c r="AZ25" s="56" t="n">
        <f aca="false">P25+(AS25*ret_rail+AT25*ret_tel+AU25*ret_elec+AV25*ret_auto+AW25*ret_chem+AX25*ret_steel)*B25*IF(OR($A25=1931,$A25=1932),abroad_slump,1)+AB25+AG25</f>
        <v>0</v>
      </c>
      <c r="BA25" s="56" t="n">
        <f aca="false">AP25*champ_profit+AZ25</f>
        <v>0.423763113648716</v>
      </c>
      <c r="BB25" s="56" t="n">
        <f aca="false">(K25+AI25+AK25)*champ_profit+P25+(AS25*ret_rail+AT25*ret_tel+AU25*ret_elec)*B25*IF(OR($A25=1931,$A25=1932),abroad_slump,1)</f>
        <v>0.423763113648716</v>
      </c>
      <c r="BC25" s="56" t="n">
        <f aca="false">(T25+W25+Z25+AF25+AN25+AO25)*champ_profit+(AV25*ret_auto+AW25*ret_chem+AX25*ret_steel)*B25*IF(OR($A25=1931,$A25=1932),abroad_slump,1)+AB25+AG25</f>
        <v>0</v>
      </c>
      <c r="BD25" s="56" t="n">
        <f aca="false">IF($A25&gt;=crown_start,(BB25*crown_charter+BC25*crown_comp)*crown_payout,0)</f>
        <v>0</v>
      </c>
      <c r="BE25" s="66" t="n">
        <f aca="false">IF(BB25+BC25&gt;0,(BB25*crown_charter+BC25*crown_comp)/(BA25),0)</f>
        <v>0.25</v>
      </c>
    </row>
    <row r="26" customFormat="false" ht="14.25" hidden="false" customHeight="true" outlineLevel="0" collapsed="false">
      <c r="A26" s="61" t="n">
        <v>1866</v>
      </c>
      <c r="B26" s="68" t="n">
        <f aca="false">champ_scale*(1+Labour!AP26)*(1+Partners!BX26)*(1-IF(union_resp=2,tariff_cut*Labour!S26,0))</f>
        <v>1.06692891579885</v>
      </c>
      <c r="C26" s="47" t="n">
        <v>0</v>
      </c>
      <c r="D26" s="47" t="n">
        <v>0</v>
      </c>
      <c r="E26" s="47" t="n">
        <v>140</v>
      </c>
      <c r="F26" s="49" t="n">
        <f aca="false">E26*B26</f>
        <v>149.370048211838</v>
      </c>
      <c r="G26" s="49" t="n">
        <f aca="false">F26/Economy!B26*1000000</f>
        <v>76.3000237150147</v>
      </c>
      <c r="H26" s="47" t="n">
        <v>248</v>
      </c>
      <c r="I26" s="70" t="n">
        <f aca="false">IF(H26&gt;0,G26/H26,0)</f>
        <v>0.30766138594764</v>
      </c>
      <c r="J26" s="71" t="n">
        <v>0</v>
      </c>
      <c r="K26" s="56" t="n">
        <f aca="false">Resources!K26*J26*B26</f>
        <v>0</v>
      </c>
      <c r="L26" s="47" t="n">
        <v>0</v>
      </c>
      <c r="M26" s="62" t="n">
        <v>0</v>
      </c>
      <c r="N26" s="47" t="n">
        <v>0</v>
      </c>
      <c r="O26" s="71" t="n">
        <v>0</v>
      </c>
      <c r="P26" s="56" t="n">
        <f aca="false">(IF(Gulf!E26=1,0,L26*M26)+N26)*O26*B26</f>
        <v>0</v>
      </c>
      <c r="Q26" s="56" t="n">
        <f aca="false">P26*oil_book</f>
        <v>0</v>
      </c>
      <c r="R26" s="71" t="n">
        <v>0</v>
      </c>
      <c r="S26" s="47" t="n">
        <v>0</v>
      </c>
      <c r="T26" s="56" t="n">
        <f aca="false">R26*S26*B26</f>
        <v>0</v>
      </c>
      <c r="U26" s="47" t="n">
        <v>0</v>
      </c>
      <c r="V26" s="47" t="n">
        <v>0</v>
      </c>
      <c r="W26" s="56" t="n">
        <f aca="false">U26/1000*V26*B26</f>
        <v>0</v>
      </c>
      <c r="X26" s="47" t="n">
        <v>0</v>
      </c>
      <c r="Y26" s="62" t="n">
        <v>0</v>
      </c>
      <c r="Z26" s="56" t="n">
        <f aca="false">X26*Y26*chem_va*B26</f>
        <v>0</v>
      </c>
      <c r="AA26" s="62" t="n">
        <v>0</v>
      </c>
      <c r="AB26" s="56" t="n">
        <f aca="false">X26*AA26*roy_rate*B26*(1-IF(union_resp=2,lic_cut*Labour!S26,0))</f>
        <v>0</v>
      </c>
      <c r="AC26" s="47" t="n">
        <v>0</v>
      </c>
      <c r="AD26" s="62" t="n">
        <v>0</v>
      </c>
      <c r="AE26" s="62" t="n">
        <v>0</v>
      </c>
      <c r="AF26" s="56" t="n">
        <f aca="false">AC26*AD26*elec_va*B26</f>
        <v>0</v>
      </c>
      <c r="AG26" s="56" t="n">
        <f aca="false">MAX(0,AE26-AD26)*AC26*roy_rate*B26*(1-IF(union_resp=2,lic_cut*Labour!S26,0))</f>
        <v>0</v>
      </c>
      <c r="AH26" s="55" t="n">
        <v>2</v>
      </c>
      <c r="AI26" s="56" t="n">
        <f aca="false">AH26*B26</f>
        <v>2.13385783159769</v>
      </c>
      <c r="AJ26" s="55" t="n">
        <v>0</v>
      </c>
      <c r="AK26" s="56" t="n">
        <f aca="false">AJ26*B26</f>
        <v>0</v>
      </c>
      <c r="AL26" s="47" t="n">
        <v>0</v>
      </c>
      <c r="AM26" s="56" t="n">
        <f aca="false">AL26*uw_fee*B26</f>
        <v>0</v>
      </c>
      <c r="AN26" s="55" t="n">
        <v>0</v>
      </c>
      <c r="AO26" s="55" t="n">
        <v>0</v>
      </c>
      <c r="AP26" s="56" t="n">
        <f aca="false">K26+T26+W26+Z26+AF26+AI26+AK26+AM26+AN26+AO26</f>
        <v>2.13385783159769</v>
      </c>
      <c r="AQ26" s="56" t="n">
        <f aca="false">AP26*(1-1/champ_prem+champ_spill)</f>
        <v>1.48184571638729</v>
      </c>
      <c r="AR26" s="66" t="n">
        <f aca="false">AP26/Economy!O26</f>
        <v>0.00375419870109265</v>
      </c>
      <c r="AS26" s="55" t="n">
        <v>0</v>
      </c>
      <c r="AT26" s="55" t="n">
        <v>0</v>
      </c>
      <c r="AU26" s="55" t="n">
        <v>0</v>
      </c>
      <c r="AV26" s="55" t="n">
        <v>0</v>
      </c>
      <c r="AW26" s="55" t="n">
        <v>0</v>
      </c>
      <c r="AX26" s="55" t="n">
        <v>0</v>
      </c>
      <c r="AY26" s="56" t="n">
        <f aca="false">Q26+(AS26+AT26+AU26+AV26+AW26+AX26)*B26</f>
        <v>0</v>
      </c>
      <c r="AZ26" s="56" t="n">
        <f aca="false">P26+(AS26*ret_rail+AT26*ret_tel+AU26*ret_elec+AV26*ret_auto+AW26*ret_chem+AX26*ret_steel)*B26*IF(OR($A26=1931,$A26=1932),abroad_slump,1)+AB26+AG26</f>
        <v>0</v>
      </c>
      <c r="BA26" s="56" t="n">
        <f aca="false">AP26*champ_profit+AZ26</f>
        <v>0.426771566319538</v>
      </c>
      <c r="BB26" s="56" t="n">
        <f aca="false">(K26+AI26+AK26)*champ_profit+P26+(AS26*ret_rail+AT26*ret_tel+AU26*ret_elec)*B26*IF(OR($A26=1931,$A26=1932),abroad_slump,1)</f>
        <v>0.426771566319538</v>
      </c>
      <c r="BC26" s="56" t="n">
        <f aca="false">(T26+W26+Z26+AF26+AN26+AO26)*champ_profit+(AV26*ret_auto+AW26*ret_chem+AX26*ret_steel)*B26*IF(OR($A26=1931,$A26=1932),abroad_slump,1)+AB26+AG26</f>
        <v>0</v>
      </c>
      <c r="BD26" s="56" t="n">
        <f aca="false">IF($A26&gt;=crown_start,(BB26*crown_charter+BC26*crown_comp)*crown_payout,0)</f>
        <v>0</v>
      </c>
      <c r="BE26" s="66" t="n">
        <f aca="false">IF(BB26+BC26&gt;0,(BB26*crown_charter+BC26*crown_comp)/(BA26),0)</f>
        <v>0.25</v>
      </c>
    </row>
    <row r="27" customFormat="false" ht="14.25" hidden="false" customHeight="true" outlineLevel="0" collapsed="false">
      <c r="A27" s="61" t="n">
        <v>1867</v>
      </c>
      <c r="B27" s="68" t="n">
        <f aca="false">champ_scale*(1+Labour!AP27)*(1+Partners!BX27)*(1-IF(union_resp=2,tariff_cut*Labour!S27,0))</f>
        <v>1.07500285179941</v>
      </c>
      <c r="C27" s="47" t="n">
        <v>0</v>
      </c>
      <c r="D27" s="47" t="n">
        <v>0</v>
      </c>
      <c r="E27" s="47" t="n">
        <v>160</v>
      </c>
      <c r="F27" s="49" t="n">
        <f aca="false">E27*B27</f>
        <v>172.000456287906</v>
      </c>
      <c r="G27" s="49" t="n">
        <f aca="false">F27/Economy!B27*1000000</f>
        <v>81.9786913320157</v>
      </c>
      <c r="H27" s="47" t="n">
        <v>265</v>
      </c>
      <c r="I27" s="70" t="n">
        <f aca="false">IF(H27&gt;0,G27/H27,0)</f>
        <v>0.309353552196286</v>
      </c>
      <c r="J27" s="71" t="n">
        <v>0</v>
      </c>
      <c r="K27" s="56" t="n">
        <f aca="false">Resources!K27*J27*B27</f>
        <v>0</v>
      </c>
      <c r="L27" s="47" t="n">
        <v>0</v>
      </c>
      <c r="M27" s="62" t="n">
        <v>0</v>
      </c>
      <c r="N27" s="47" t="n">
        <v>0</v>
      </c>
      <c r="O27" s="71" t="n">
        <v>0</v>
      </c>
      <c r="P27" s="56" t="n">
        <f aca="false">(IF(Gulf!E27=1,0,L27*M27)+N27)*O27*B27</f>
        <v>0</v>
      </c>
      <c r="Q27" s="56" t="n">
        <f aca="false">P27*oil_book</f>
        <v>0</v>
      </c>
      <c r="R27" s="71" t="n">
        <v>0</v>
      </c>
      <c r="S27" s="47" t="n">
        <v>0</v>
      </c>
      <c r="T27" s="56" t="n">
        <f aca="false">R27*S27*B27</f>
        <v>0</v>
      </c>
      <c r="U27" s="47" t="n">
        <v>0</v>
      </c>
      <c r="V27" s="47" t="n">
        <v>0</v>
      </c>
      <c r="W27" s="56" t="n">
        <f aca="false">U27/1000*V27*B27</f>
        <v>0</v>
      </c>
      <c r="X27" s="47" t="n">
        <v>300</v>
      </c>
      <c r="Y27" s="62" t="n">
        <v>0.002</v>
      </c>
      <c r="Z27" s="56" t="n">
        <f aca="false">X27*Y27*chem_va*B27</f>
        <v>0.290250769985841</v>
      </c>
      <c r="AA27" s="62" t="n">
        <v>0.002</v>
      </c>
      <c r="AB27" s="56" t="n">
        <f aca="false">X27*AA27*roy_rate*B27*(1-IF(union_resp=2,lic_cut*Labour!S27,0))</f>
        <v>0.0193500513323894</v>
      </c>
      <c r="AC27" s="47" t="n">
        <v>0</v>
      </c>
      <c r="AD27" s="62" t="n">
        <v>0</v>
      </c>
      <c r="AE27" s="62" t="n">
        <v>0</v>
      </c>
      <c r="AF27" s="56" t="n">
        <f aca="false">AC27*AD27*elec_va*B27</f>
        <v>0</v>
      </c>
      <c r="AG27" s="56" t="n">
        <f aca="false">MAX(0,AE27-AD27)*AC27*roy_rate*B27*(1-IF(union_resp=2,lic_cut*Labour!S27,0))</f>
        <v>0</v>
      </c>
      <c r="AH27" s="55" t="n">
        <v>2</v>
      </c>
      <c r="AI27" s="56" t="n">
        <f aca="false">AH27*B27</f>
        <v>2.15000570359882</v>
      </c>
      <c r="AJ27" s="55" t="n">
        <v>0</v>
      </c>
      <c r="AK27" s="56" t="n">
        <f aca="false">AJ27*B27</f>
        <v>0</v>
      </c>
      <c r="AL27" s="47" t="n">
        <v>0</v>
      </c>
      <c r="AM27" s="56" t="n">
        <f aca="false">AL27*uw_fee*B27</f>
        <v>0</v>
      </c>
      <c r="AN27" s="55" t="n">
        <v>0</v>
      </c>
      <c r="AO27" s="55" t="n">
        <v>0</v>
      </c>
      <c r="AP27" s="56" t="n">
        <f aca="false">K27+T27+W27+Z27+AF27+AI27+AK27+AM27+AN27+AO27</f>
        <v>2.44025647358466</v>
      </c>
      <c r="AQ27" s="56" t="n">
        <f aca="false">AP27*(1-1/champ_prem+champ_spill)</f>
        <v>1.69462255110046</v>
      </c>
      <c r="AR27" s="66" t="n">
        <f aca="false">AP27/Economy!O27</f>
        <v>0.00395883881343268</v>
      </c>
      <c r="AS27" s="55" t="n">
        <v>0</v>
      </c>
      <c r="AT27" s="55" t="n">
        <v>0</v>
      </c>
      <c r="AU27" s="55" t="n">
        <v>0</v>
      </c>
      <c r="AV27" s="55" t="n">
        <v>0</v>
      </c>
      <c r="AW27" s="55" t="n">
        <v>0</v>
      </c>
      <c r="AX27" s="55" t="n">
        <v>0</v>
      </c>
      <c r="AY27" s="56" t="n">
        <f aca="false">Q27+(AS27+AT27+AU27+AV27+AW27+AX27)*B27</f>
        <v>0</v>
      </c>
      <c r="AZ27" s="56" t="n">
        <f aca="false">P27+(AS27*ret_rail+AT27*ret_tel+AU27*ret_elec+AV27*ret_auto+AW27*ret_chem+AX27*ret_steel)*B27*IF(OR($A27=1931,$A27=1932),abroad_slump,1)+AB27+AG27</f>
        <v>0.0193500513323894</v>
      </c>
      <c r="BA27" s="56" t="n">
        <f aca="false">AP27*champ_profit+AZ27</f>
        <v>0.507401346049322</v>
      </c>
      <c r="BB27" s="56" t="n">
        <f aca="false">(K27+AI27+AK27)*champ_profit+P27+(AS27*ret_rail+AT27*ret_tel+AU27*ret_elec)*B27*IF(OR($A27=1931,$A27=1932),abroad_slump,1)</f>
        <v>0.430001140719765</v>
      </c>
      <c r="BC27" s="56" t="n">
        <f aca="false">(T27+W27+Z27+AF27+AN27+AO27)*champ_profit+(AV27*ret_auto+AW27*ret_chem+AX27*ret_steel)*B27*IF(OR($A27=1931,$A27=1932),abroad_slump,1)+AB27+AG27</f>
        <v>0.0774002053295576</v>
      </c>
      <c r="BD27" s="56" t="n">
        <f aca="false">IF($A27&gt;=crown_start,(BB27*crown_charter+BC27*crown_comp)*crown_payout,0)</f>
        <v>0</v>
      </c>
      <c r="BE27" s="66" t="n">
        <f aca="false">IF(BB27+BC27&gt;0,(BB27*crown_charter+BC27*crown_comp)/(BA27),0)</f>
        <v>0.224067796610169</v>
      </c>
    </row>
    <row r="28" customFormat="false" ht="14.25" hidden="false" customHeight="true" outlineLevel="0" collapsed="false">
      <c r="A28" s="61" t="n">
        <v>1868</v>
      </c>
      <c r="B28" s="68" t="n">
        <f aca="false">champ_scale*(1+Labour!AP28)*(1+Partners!BX28)*(1-IF(union_resp=2,tariff_cut*Labour!S28,0))</f>
        <v>1.08031040651852</v>
      </c>
      <c r="C28" s="47" t="n">
        <v>0</v>
      </c>
      <c r="D28" s="47" t="n">
        <v>0</v>
      </c>
      <c r="E28" s="47" t="n">
        <v>170</v>
      </c>
      <c r="F28" s="49" t="n">
        <f aca="false">E28*B28</f>
        <v>183.652769108148</v>
      </c>
      <c r="G28" s="49" t="n">
        <f aca="false">F28/Economy!B28*1000000</f>
        <v>81.8714469820974</v>
      </c>
      <c r="H28" s="47" t="n">
        <v>281</v>
      </c>
      <c r="I28" s="70" t="n">
        <f aca="false">IF(H28&gt;0,G28/H28,0)</f>
        <v>0.291357462569742</v>
      </c>
      <c r="J28" s="71" t="n">
        <v>0</v>
      </c>
      <c r="K28" s="56" t="n">
        <f aca="false">Resources!K28*J28*B28</f>
        <v>0</v>
      </c>
      <c r="L28" s="47" t="n">
        <v>0</v>
      </c>
      <c r="M28" s="62" t="n">
        <v>0</v>
      </c>
      <c r="N28" s="47" t="n">
        <v>0</v>
      </c>
      <c r="O28" s="71" t="n">
        <v>0</v>
      </c>
      <c r="P28" s="56" t="n">
        <f aca="false">(IF(Gulf!E28=1,0,L28*M28)+N28)*O28*B28</f>
        <v>0</v>
      </c>
      <c r="Q28" s="56" t="n">
        <f aca="false">P28*oil_book</f>
        <v>0</v>
      </c>
      <c r="R28" s="71" t="n">
        <v>0.005</v>
      </c>
      <c r="S28" s="47" t="n">
        <v>40</v>
      </c>
      <c r="T28" s="56" t="n">
        <f aca="false">R28*S28*B28</f>
        <v>0.216062081303703</v>
      </c>
      <c r="U28" s="47" t="n">
        <v>0</v>
      </c>
      <c r="V28" s="47" t="n">
        <v>0</v>
      </c>
      <c r="W28" s="56" t="n">
        <f aca="false">U28/1000*V28*B28</f>
        <v>0</v>
      </c>
      <c r="X28" s="47" t="n">
        <v>323</v>
      </c>
      <c r="Y28" s="62" t="n">
        <v>0.003</v>
      </c>
      <c r="Z28" s="56" t="n">
        <f aca="false">X28*Y28*chem_va*B28</f>
        <v>0.471069352762399</v>
      </c>
      <c r="AA28" s="62" t="n">
        <v>0.002</v>
      </c>
      <c r="AB28" s="56" t="n">
        <f aca="false">X28*AA28*roy_rate*B28*(1-IF(union_resp=2,lic_cut*Labour!S28,0))</f>
        <v>0.0209364156783288</v>
      </c>
      <c r="AC28" s="47" t="n">
        <v>0</v>
      </c>
      <c r="AD28" s="62" t="n">
        <v>0</v>
      </c>
      <c r="AE28" s="62" t="n">
        <v>0</v>
      </c>
      <c r="AF28" s="56" t="n">
        <f aca="false">AC28*AD28*elec_va*B28</f>
        <v>0</v>
      </c>
      <c r="AG28" s="56" t="n">
        <f aca="false">MAX(0,AE28-AD28)*AC28*roy_rate*B28*(1-IF(union_resp=2,lic_cut*Labour!S28,0))</f>
        <v>0</v>
      </c>
      <c r="AH28" s="55" t="n">
        <v>3</v>
      </c>
      <c r="AI28" s="56" t="n">
        <f aca="false">AH28*B28</f>
        <v>3.24093121955555</v>
      </c>
      <c r="AJ28" s="55" t="n">
        <v>0</v>
      </c>
      <c r="AK28" s="56" t="n">
        <f aca="false">AJ28*B28</f>
        <v>0</v>
      </c>
      <c r="AL28" s="47" t="n">
        <v>0</v>
      </c>
      <c r="AM28" s="56" t="n">
        <f aca="false">AL28*uw_fee*B28</f>
        <v>0</v>
      </c>
      <c r="AN28" s="55" t="n">
        <v>0</v>
      </c>
      <c r="AO28" s="55" t="n">
        <v>0</v>
      </c>
      <c r="AP28" s="56" t="n">
        <f aca="false">K28+T28+W28+Z28+AF28+AI28+AK28+AM28+AN28+AO28</f>
        <v>3.92806265362165</v>
      </c>
      <c r="AQ28" s="56" t="n">
        <f aca="false">AP28*(1-1/champ_prem+champ_spill)</f>
        <v>2.72782128723726</v>
      </c>
      <c r="AR28" s="66" t="n">
        <f aca="false">AP28/Economy!O28</f>
        <v>0.00589103703128617</v>
      </c>
      <c r="AS28" s="55" t="n">
        <v>0</v>
      </c>
      <c r="AT28" s="55" t="n">
        <v>0</v>
      </c>
      <c r="AU28" s="55" t="n">
        <v>0</v>
      </c>
      <c r="AV28" s="55" t="n">
        <v>0</v>
      </c>
      <c r="AW28" s="55" t="n">
        <v>0</v>
      </c>
      <c r="AX28" s="55" t="n">
        <v>0</v>
      </c>
      <c r="AY28" s="56" t="n">
        <f aca="false">Q28+(AS28+AT28+AU28+AV28+AW28+AX28)*B28</f>
        <v>0</v>
      </c>
      <c r="AZ28" s="56" t="n">
        <f aca="false">P28+(AS28*ret_rail+AT28*ret_tel+AU28*ret_elec+AV28*ret_auto+AW28*ret_chem+AX28*ret_steel)*B28*IF(OR($A28=1931,$A28=1932),abroad_slump,1)+AB28+AG28</f>
        <v>0.0209364156783288</v>
      </c>
      <c r="BA28" s="56" t="n">
        <f aca="false">AP28*champ_profit+AZ28</f>
        <v>0.806548946402659</v>
      </c>
      <c r="BB28" s="56" t="n">
        <f aca="false">(K28+AI28+AK28)*champ_profit+P28+(AS28*ret_rail+AT28*ret_tel+AU28*ret_elec)*B28*IF(OR($A28=1931,$A28=1932),abroad_slump,1)</f>
        <v>0.64818624391111</v>
      </c>
      <c r="BC28" s="56" t="n">
        <f aca="false">(T28+W28+Z28+AF28+AN28+AO28)*champ_profit+(AV28*ret_auto+AW28*ret_chem+AX28*ret_steel)*B28*IF(OR($A28=1931,$A28=1932),abroad_slump,1)+AB28+AG28</f>
        <v>0.158362702491549</v>
      </c>
      <c r="BD28" s="56" t="n">
        <f aca="false">IF($A28&gt;=crown_start,(BB28*crown_charter+BC28*crown_comp)*crown_payout,0)</f>
        <v>0</v>
      </c>
      <c r="BE28" s="66" t="n">
        <f aca="false">IF(BB28+BC28&gt;0,(BB28*crown_charter+BC28*crown_comp)/(BA28),0)</f>
        <v>0.2166211709238</v>
      </c>
    </row>
    <row r="29" customFormat="false" ht="14.25" hidden="false" customHeight="true" outlineLevel="0" collapsed="false">
      <c r="A29" s="61" t="n">
        <v>1869</v>
      </c>
      <c r="B29" s="68" t="n">
        <f aca="false">champ_scale*(1+Labour!AP29)*(1+Partners!BX29)*(1-IF(union_resp=2,tariff_cut*Labour!S29,0))</f>
        <v>1.08512981375006</v>
      </c>
      <c r="C29" s="47" t="n">
        <v>0</v>
      </c>
      <c r="D29" s="47" t="n">
        <v>0</v>
      </c>
      <c r="E29" s="47" t="n">
        <v>180</v>
      </c>
      <c r="F29" s="49" t="n">
        <f aca="false">E29*B29</f>
        <v>195.323366475011</v>
      </c>
      <c r="G29" s="49" t="n">
        <f aca="false">F29/Economy!B29*1000000</f>
        <v>82.3551487699411</v>
      </c>
      <c r="H29" s="47" t="n">
        <v>298</v>
      </c>
      <c r="I29" s="70" t="n">
        <f aca="false">IF(H29&gt;0,G29/H29,0)</f>
        <v>0.276359559630675</v>
      </c>
      <c r="J29" s="71" t="n">
        <v>0</v>
      </c>
      <c r="K29" s="56" t="n">
        <f aca="false">Resources!K29*J29*B29</f>
        <v>0</v>
      </c>
      <c r="L29" s="47" t="n">
        <v>0</v>
      </c>
      <c r="M29" s="62" t="n">
        <v>0</v>
      </c>
      <c r="N29" s="47" t="n">
        <v>0</v>
      </c>
      <c r="O29" s="71" t="n">
        <v>0</v>
      </c>
      <c r="P29" s="56" t="n">
        <f aca="false">(IF(Gulf!E29=1,0,L29*M29)+N29)*O29*B29</f>
        <v>0</v>
      </c>
      <c r="Q29" s="56" t="n">
        <f aca="false">P29*oil_book</f>
        <v>0</v>
      </c>
      <c r="R29" s="71" t="n">
        <v>0.013</v>
      </c>
      <c r="S29" s="47" t="n">
        <v>39</v>
      </c>
      <c r="T29" s="56" t="n">
        <f aca="false">R29*S29*B29</f>
        <v>0.550160815571282</v>
      </c>
      <c r="U29" s="47" t="n">
        <v>0</v>
      </c>
      <c r="V29" s="47" t="n">
        <v>0</v>
      </c>
      <c r="W29" s="56" t="n">
        <f aca="false">U29/1000*V29*B29</f>
        <v>0</v>
      </c>
      <c r="X29" s="47" t="n">
        <v>346</v>
      </c>
      <c r="Y29" s="62" t="n">
        <v>0.003</v>
      </c>
      <c r="Z29" s="56" t="n">
        <f aca="false">X29*Y29*chem_va*B29</f>
        <v>0.506864136002654</v>
      </c>
      <c r="AA29" s="62" t="n">
        <v>0.003</v>
      </c>
      <c r="AB29" s="56" t="n">
        <f aca="false">X29*AA29*roy_rate*B29*(1-IF(union_resp=2,lic_cut*Labour!S29,0))</f>
        <v>0.0337909424001769</v>
      </c>
      <c r="AC29" s="47" t="n">
        <v>0</v>
      </c>
      <c r="AD29" s="62" t="n">
        <v>0</v>
      </c>
      <c r="AE29" s="62" t="n">
        <v>0</v>
      </c>
      <c r="AF29" s="56" t="n">
        <f aca="false">AC29*AD29*elec_va*B29</f>
        <v>0</v>
      </c>
      <c r="AG29" s="56" t="n">
        <f aca="false">MAX(0,AE29-AD29)*AC29*roy_rate*B29*(1-IF(union_resp=2,lic_cut*Labour!S29,0))</f>
        <v>0</v>
      </c>
      <c r="AH29" s="55" t="n">
        <v>3</v>
      </c>
      <c r="AI29" s="56" t="n">
        <f aca="false">AH29*B29</f>
        <v>3.25538944125019</v>
      </c>
      <c r="AJ29" s="55" t="n">
        <v>0</v>
      </c>
      <c r="AK29" s="56" t="n">
        <f aca="false">AJ29*B29</f>
        <v>0</v>
      </c>
      <c r="AL29" s="47" t="n">
        <v>0</v>
      </c>
      <c r="AM29" s="56" t="n">
        <f aca="false">AL29*uw_fee*B29</f>
        <v>0</v>
      </c>
      <c r="AN29" s="55" t="n">
        <v>0</v>
      </c>
      <c r="AO29" s="55" t="n">
        <v>0</v>
      </c>
      <c r="AP29" s="56" t="n">
        <f aca="false">K29+T29+W29+Z29+AF29+AI29+AK29+AM29+AN29+AO29</f>
        <v>4.31241439282412</v>
      </c>
      <c r="AQ29" s="56" t="n">
        <f aca="false">AP29*(1-1/champ_prem+champ_spill)</f>
        <v>2.99473221723897</v>
      </c>
      <c r="AR29" s="66" t="n">
        <f aca="false">AP29/Economy!O29</f>
        <v>0.00600642796796519</v>
      </c>
      <c r="AS29" s="55" t="n">
        <v>0</v>
      </c>
      <c r="AT29" s="55" t="n">
        <v>0</v>
      </c>
      <c r="AU29" s="55" t="n">
        <v>0</v>
      </c>
      <c r="AV29" s="55" t="n">
        <v>0</v>
      </c>
      <c r="AW29" s="55" t="n">
        <v>0</v>
      </c>
      <c r="AX29" s="55" t="n">
        <v>0</v>
      </c>
      <c r="AY29" s="56" t="n">
        <f aca="false">Q29+(AS29+AT29+AU29+AV29+AW29+AX29)*B29</f>
        <v>0</v>
      </c>
      <c r="AZ29" s="56" t="n">
        <f aca="false">P29+(AS29*ret_rail+AT29*ret_tel+AU29*ret_elec+AV29*ret_auto+AW29*ret_chem+AX29*ret_steel)*B29*IF(OR($A29=1931,$A29=1932),abroad_slump,1)+AB29+AG29</f>
        <v>0.0337909424001769</v>
      </c>
      <c r="BA29" s="56" t="n">
        <f aca="false">AP29*champ_profit+AZ29</f>
        <v>0.896273820965001</v>
      </c>
      <c r="BB29" s="56" t="n">
        <f aca="false">(K29+AI29+AK29)*champ_profit+P29+(AS29*ret_rail+AT29*ret_tel+AU29*ret_elec)*B29*IF(OR($A29=1931,$A29=1932),abroad_slump,1)</f>
        <v>0.651077888250037</v>
      </c>
      <c r="BC29" s="56" t="n">
        <f aca="false">(T29+W29+Z29+AF29+AN29+AO29)*champ_profit+(AV29*ret_auto+AW29*ret_chem+AX29*ret_steel)*B29*IF(OR($A29=1931,$A29=1932),abroad_slump,1)+AB29+AG29</f>
        <v>0.245195932714964</v>
      </c>
      <c r="BD29" s="56" t="n">
        <f aca="false">IF($A29&gt;=crown_start,(BB29*crown_charter+BC29*crown_comp)*crown_payout,0)</f>
        <v>0</v>
      </c>
      <c r="BE29" s="66" t="n">
        <f aca="false">IF(BB29+BC29&gt;0,(BB29*crown_charter+BC29*crown_comp)/(BA29),0)</f>
        <v>0.203492663082958</v>
      </c>
    </row>
    <row r="30" customFormat="false" ht="14.25" hidden="false" customHeight="true" outlineLevel="0" collapsed="false">
      <c r="A30" s="64" t="n">
        <v>1870</v>
      </c>
      <c r="B30" s="68" t="n">
        <f aca="false">champ_scale*(1+Labour!AP30)*(1+Partners!BX30)*(1-IF(union_resp=2,tariff_cut*Labour!S30,0))</f>
        <v>1.08963130428767</v>
      </c>
      <c r="C30" s="47" t="n">
        <v>50</v>
      </c>
      <c r="D30" s="47" t="n">
        <v>20</v>
      </c>
      <c r="E30" s="47" t="n">
        <v>200</v>
      </c>
      <c r="F30" s="49" t="n">
        <f aca="false">E30*B30</f>
        <v>217.926260857535</v>
      </c>
      <c r="G30" s="49" t="n">
        <f aca="false">F30/Economy!B30*1000000</f>
        <v>86.8646303508628</v>
      </c>
      <c r="H30" s="47" t="n">
        <v>314</v>
      </c>
      <c r="I30" s="70" t="n">
        <f aca="false">IF(H30&gt;0,G30/H30,0)</f>
        <v>0.276638950161983</v>
      </c>
      <c r="J30" s="71" t="n">
        <v>0</v>
      </c>
      <c r="K30" s="56" t="n">
        <f aca="false">Resources!K30*J30*B30</f>
        <v>0</v>
      </c>
      <c r="L30" s="47" t="n">
        <v>0</v>
      </c>
      <c r="M30" s="62" t="n">
        <v>0</v>
      </c>
      <c r="N30" s="47" t="n">
        <v>0</v>
      </c>
      <c r="O30" s="71" t="n">
        <v>0</v>
      </c>
      <c r="P30" s="56" t="n">
        <f aca="false">(IF(Gulf!E30=1,0,L30*M30)+N30)*O30*B30</f>
        <v>0</v>
      </c>
      <c r="Q30" s="56" t="n">
        <f aca="false">P30*oil_book</f>
        <v>0</v>
      </c>
      <c r="R30" s="71" t="n">
        <v>0.02</v>
      </c>
      <c r="S30" s="47" t="n">
        <v>38</v>
      </c>
      <c r="T30" s="56" t="n">
        <f aca="false">R30*S30*B30</f>
        <v>0.828119791258632</v>
      </c>
      <c r="U30" s="47" t="n">
        <v>0</v>
      </c>
      <c r="V30" s="47" t="n">
        <v>0</v>
      </c>
      <c r="W30" s="56" t="n">
        <f aca="false">U30/1000*V30*B30</f>
        <v>0</v>
      </c>
      <c r="X30" s="47" t="n">
        <v>369</v>
      </c>
      <c r="Y30" s="62" t="n">
        <v>0.004</v>
      </c>
      <c r="Z30" s="56" t="n">
        <f aca="false">X30*Y30*chem_va*B30</f>
        <v>0.723733112307873</v>
      </c>
      <c r="AA30" s="62" t="n">
        <v>0.003</v>
      </c>
      <c r="AB30" s="56" t="n">
        <f aca="false">X30*AA30*roy_rate*B30*(1-IF(union_resp=2,lic_cut*Labour!S30,0))</f>
        <v>0.0361866556153936</v>
      </c>
      <c r="AC30" s="47" t="n">
        <v>0</v>
      </c>
      <c r="AD30" s="62" t="n">
        <v>0</v>
      </c>
      <c r="AE30" s="62" t="n">
        <v>0</v>
      </c>
      <c r="AF30" s="56" t="n">
        <f aca="false">AC30*AD30*elec_va*B30</f>
        <v>0</v>
      </c>
      <c r="AG30" s="56" t="n">
        <f aca="false">MAX(0,AE30-AD30)*AC30*roy_rate*B30*(1-IF(union_resp=2,lic_cut*Labour!S30,0))</f>
        <v>0</v>
      </c>
      <c r="AH30" s="55" t="n">
        <v>3</v>
      </c>
      <c r="AI30" s="56" t="n">
        <f aca="false">AH30*B30</f>
        <v>3.26889391286302</v>
      </c>
      <c r="AJ30" s="55" t="n">
        <v>3</v>
      </c>
      <c r="AK30" s="56" t="n">
        <f aca="false">AJ30*B30</f>
        <v>3.26889391286302</v>
      </c>
      <c r="AL30" s="47" t="n">
        <v>2</v>
      </c>
      <c r="AM30" s="56" t="n">
        <f aca="false">AL30*uw_fee*B30</f>
        <v>0.0544815652143837</v>
      </c>
      <c r="AN30" s="55" t="n">
        <v>0</v>
      </c>
      <c r="AO30" s="55" t="n">
        <v>0</v>
      </c>
      <c r="AP30" s="56" t="n">
        <f aca="false">K30+T30+W30+Z30+AF30+AI30+AK30+AM30+AN30+AO30</f>
        <v>8.14412229450693</v>
      </c>
      <c r="AQ30" s="56" t="n">
        <f aca="false">AP30*(1-1/champ_prem+champ_spill)</f>
        <v>5.65564048229648</v>
      </c>
      <c r="AR30" s="66" t="n">
        <f aca="false">AP30/Economy!O30</f>
        <v>0.0104925234494942</v>
      </c>
      <c r="AS30" s="55" t="n">
        <v>5</v>
      </c>
      <c r="AT30" s="55" t="n">
        <v>2</v>
      </c>
      <c r="AU30" s="55" t="n">
        <v>0</v>
      </c>
      <c r="AV30" s="55" t="n">
        <v>0</v>
      </c>
      <c r="AW30" s="55" t="n">
        <v>0</v>
      </c>
      <c r="AX30" s="55" t="n">
        <v>0</v>
      </c>
      <c r="AY30" s="56" t="n">
        <f aca="false">Q30+(AS30+AT30+AU30+AV30+AW30+AX30)*B30</f>
        <v>7.62741913001372</v>
      </c>
      <c r="AZ30" s="56" t="n">
        <f aca="false">P30+(AS30*ret_rail+AT30*ret_tel+AU30*ret_elec+AV30*ret_auto+AW30*ret_chem+AX30*ret_steel)*B30*IF(OR($A30=1931,$A30=1932),abroad_slump,1)+AB30+AG30</f>
        <v>0.526520742544847</v>
      </c>
      <c r="BA30" s="56" t="n">
        <f aca="false">AP30*champ_profit+AZ30</f>
        <v>2.15534520144623</v>
      </c>
      <c r="BB30" s="56" t="n">
        <f aca="false">(K30+AI30+AK30)*champ_profit+P30+(AS30*ret_rail+AT30*ret_tel+AU30*ret_elec)*B30*IF(OR($A30=1931,$A30=1932),abroad_slump,1)</f>
        <v>1.79789165207466</v>
      </c>
      <c r="BC30" s="56" t="n">
        <f aca="false">(T30+W30+Z30+AF30+AN30+AO30)*champ_profit+(AV30*ret_auto+AW30*ret_chem+AX30*ret_steel)*B30*IF(OR($A30=1931,$A30=1932),abroad_slump,1)+AB30+AG30</f>
        <v>0.346557236328695</v>
      </c>
      <c r="BD30" s="56" t="n">
        <f aca="false">IF($A30&gt;=crown_start,(BB30*crown_charter+BC30*crown_comp)*crown_payout,0)</f>
        <v>0</v>
      </c>
      <c r="BE30" s="66" t="n">
        <f aca="false">IF(BB30+BC30&gt;0,(BB30*crown_charter+BC30*crown_comp)/(BA30),0)</f>
        <v>0.221401885695508</v>
      </c>
    </row>
    <row r="31" customFormat="false" ht="14.25" hidden="false" customHeight="true" outlineLevel="0" collapsed="false">
      <c r="A31" s="64" t="n">
        <v>1871</v>
      </c>
      <c r="B31" s="68" t="n">
        <f aca="false">champ_scale*(1+Labour!AP31)*(1+Partners!BX31)*(1-IF(union_resp=2,tariff_cut*Labour!S31,0))</f>
        <v>1.09782062535067</v>
      </c>
      <c r="C31" s="47" t="n">
        <v>80</v>
      </c>
      <c r="D31" s="47" t="n">
        <v>30</v>
      </c>
      <c r="E31" s="47" t="n">
        <v>280</v>
      </c>
      <c r="F31" s="49" t="n">
        <f aca="false">E31*B31</f>
        <v>307.389775098187</v>
      </c>
      <c r="G31" s="49" t="n">
        <f aca="false">F31/Economy!B31*1000000</f>
        <v>115.902351809706</v>
      </c>
      <c r="H31" s="47" t="n">
        <v>308</v>
      </c>
      <c r="I31" s="70" t="n">
        <f aca="false">IF(H31&gt;0,G31/H31,0)</f>
        <v>0.376306337044499</v>
      </c>
      <c r="J31" s="71" t="n">
        <v>0</v>
      </c>
      <c r="K31" s="56" t="n">
        <f aca="false">Resources!K31*J31*B31</f>
        <v>0</v>
      </c>
      <c r="L31" s="47" t="n">
        <v>0</v>
      </c>
      <c r="M31" s="62" t="n">
        <v>0</v>
      </c>
      <c r="N31" s="47" t="n">
        <v>0</v>
      </c>
      <c r="O31" s="71" t="n">
        <v>0</v>
      </c>
      <c r="P31" s="56" t="n">
        <f aca="false">(IF(Gulf!E31=1,0,L31*M31)+N31)*O31*B31</f>
        <v>0</v>
      </c>
      <c r="Q31" s="56" t="n">
        <f aca="false">P31*oil_book</f>
        <v>0</v>
      </c>
      <c r="R31" s="71" t="n">
        <v>0.03</v>
      </c>
      <c r="S31" s="47" t="n">
        <v>37</v>
      </c>
      <c r="T31" s="56" t="n">
        <f aca="false">R31*S31*B31</f>
        <v>1.21858089413924</v>
      </c>
      <c r="U31" s="47" t="n">
        <v>0</v>
      </c>
      <c r="V31" s="47" t="n">
        <v>0</v>
      </c>
      <c r="W31" s="56" t="n">
        <f aca="false">U31/1000*V31*B31</f>
        <v>0</v>
      </c>
      <c r="X31" s="47" t="n">
        <v>392</v>
      </c>
      <c r="Y31" s="62" t="n">
        <v>0.004</v>
      </c>
      <c r="Z31" s="56" t="n">
        <f aca="false">X31*Y31*chem_va*B31</f>
        <v>0.774622233247431</v>
      </c>
      <c r="AA31" s="62" t="n">
        <v>0.003</v>
      </c>
      <c r="AB31" s="56" t="n">
        <f aca="false">X31*AA31*roy_rate*B31*(1-IF(union_resp=2,lic_cut*Labour!S31,0))</f>
        <v>0.0387311116623715</v>
      </c>
      <c r="AC31" s="47" t="n">
        <v>0</v>
      </c>
      <c r="AD31" s="62" t="n">
        <v>0</v>
      </c>
      <c r="AE31" s="62" t="n">
        <v>0</v>
      </c>
      <c r="AF31" s="56" t="n">
        <f aca="false">AC31*AD31*elec_va*B31</f>
        <v>0</v>
      </c>
      <c r="AG31" s="56" t="n">
        <f aca="false">MAX(0,AE31-AD31)*AC31*roy_rate*B31*(1-IF(union_resp=2,lic_cut*Labour!S31,0))</f>
        <v>0</v>
      </c>
      <c r="AH31" s="55" t="n">
        <v>3</v>
      </c>
      <c r="AI31" s="56" t="n">
        <f aca="false">AH31*B31</f>
        <v>3.293461876052</v>
      </c>
      <c r="AJ31" s="55" t="n">
        <v>4</v>
      </c>
      <c r="AK31" s="56" t="n">
        <f aca="false">AJ31*B31</f>
        <v>4.39128250140267</v>
      </c>
      <c r="AL31" s="47" t="n">
        <v>3</v>
      </c>
      <c r="AM31" s="56" t="n">
        <f aca="false">AL31*uw_fee*B31</f>
        <v>0.0823365469013</v>
      </c>
      <c r="AN31" s="55" t="n">
        <v>0</v>
      </c>
      <c r="AO31" s="55" t="n">
        <v>0</v>
      </c>
      <c r="AP31" s="56" t="n">
        <f aca="false">K31+T31+W31+Z31+AF31+AI31+AK31+AM31+AN31+AO31</f>
        <v>9.76028405174264</v>
      </c>
      <c r="AQ31" s="56" t="n">
        <f aca="false">AP31*(1-1/champ_prem+champ_spill)</f>
        <v>6.77797503593239</v>
      </c>
      <c r="AR31" s="66" t="n">
        <f aca="false">AP31/Economy!O31</f>
        <v>0.0117592108739115</v>
      </c>
      <c r="AS31" s="55" t="n">
        <v>8</v>
      </c>
      <c r="AT31" s="55" t="n">
        <v>3</v>
      </c>
      <c r="AU31" s="55" t="n">
        <v>0</v>
      </c>
      <c r="AV31" s="55" t="n">
        <v>0</v>
      </c>
      <c r="AW31" s="55" t="n">
        <v>0</v>
      </c>
      <c r="AX31" s="55" t="n">
        <v>0</v>
      </c>
      <c r="AY31" s="56" t="n">
        <f aca="false">Q31+(AS31+AT31+AU31+AV31+AW31+AX31)*B31</f>
        <v>12.0760268788573</v>
      </c>
      <c r="AZ31" s="56" t="n">
        <f aca="false">P31+(AS31*ret_rail+AT31*ret_tel+AU31*ret_elec+AV31*ret_auto+AW31*ret_chem+AX31*ret_steel)*B31*IF(OR($A31=1931,$A31=1932),abroad_slump,1)+AB31+AG31</f>
        <v>0.807205549407838</v>
      </c>
      <c r="BA31" s="56" t="n">
        <f aca="false">AP31*champ_profit+AZ31</f>
        <v>2.75926235975637</v>
      </c>
      <c r="BB31" s="56" t="n">
        <f aca="false">(K31+AI31+AK31)*champ_profit+P31+(AS31*ret_rail+AT31*ret_tel+AU31*ret_elec)*B31*IF(OR($A31=1931,$A31=1932),abroad_slump,1)</f>
        <v>2.3054233132364</v>
      </c>
      <c r="BC31" s="56" t="n">
        <f aca="false">(T31+W31+Z31+AF31+AN31+AO31)*champ_profit+(AV31*ret_auto+AW31*ret_chem+AX31*ret_steel)*B31*IF(OR($A31=1931,$A31=1932),abroad_slump,1)+AB31+AG31</f>
        <v>0.437371737139706</v>
      </c>
      <c r="BD31" s="56" t="n">
        <f aca="false">IF($A31&gt;=crown_start,(BB31*crown_charter+BC31*crown_comp)*crown_payout,0)</f>
        <v>0</v>
      </c>
      <c r="BE31" s="66" t="n">
        <f aca="false">IF(BB31+BC31&gt;0,(BB31*crown_charter+BC31*crown_comp)/(BA31),0)</f>
        <v>0.221561231797565</v>
      </c>
    </row>
    <row r="32" customFormat="false" ht="14.25" hidden="false" customHeight="true" outlineLevel="0" collapsed="false">
      <c r="A32" s="61" t="n">
        <v>1872</v>
      </c>
      <c r="B32" s="68" t="n">
        <f aca="false">champ_scale*(1+Labour!AP32)*(1+Partners!BX32)*(1-IF(union_resp=2,tariff_cut*Labour!S32,0))</f>
        <v>1.10551686208729</v>
      </c>
      <c r="C32" s="47" t="n">
        <v>100</v>
      </c>
      <c r="D32" s="47" t="n">
        <v>40</v>
      </c>
      <c r="E32" s="47" t="n">
        <v>360</v>
      </c>
      <c r="F32" s="49" t="n">
        <f aca="false">E32*B32</f>
        <v>397.986070351424</v>
      </c>
      <c r="G32" s="49" t="n">
        <f aca="false">F32/Economy!B32*1000000</f>
        <v>142.179680511665</v>
      </c>
      <c r="H32" s="47" t="n">
        <v>303</v>
      </c>
      <c r="I32" s="70" t="n">
        <f aca="false">IF(H32&gt;0,G32/H32,0)</f>
        <v>0.469239869675462</v>
      </c>
      <c r="J32" s="71" t="n">
        <v>0</v>
      </c>
      <c r="K32" s="56" t="n">
        <f aca="false">Resources!K32*J32*B32</f>
        <v>0</v>
      </c>
      <c r="L32" s="47" t="n">
        <v>0</v>
      </c>
      <c r="M32" s="62" t="n">
        <v>0</v>
      </c>
      <c r="N32" s="47" t="n">
        <v>0</v>
      </c>
      <c r="O32" s="71" t="n">
        <v>0</v>
      </c>
      <c r="P32" s="56" t="n">
        <f aca="false">(IF(Gulf!E32=1,0,L32*M32)+N32)*O32*B32</f>
        <v>0</v>
      </c>
      <c r="Q32" s="56" t="n">
        <f aca="false">P32*oil_book</f>
        <v>0</v>
      </c>
      <c r="R32" s="71" t="n">
        <v>0.04</v>
      </c>
      <c r="S32" s="47" t="n">
        <v>36</v>
      </c>
      <c r="T32" s="56" t="n">
        <f aca="false">R32*S32*B32</f>
        <v>1.5919442814057</v>
      </c>
      <c r="U32" s="47" t="n">
        <v>0</v>
      </c>
      <c r="V32" s="47" t="n">
        <v>0</v>
      </c>
      <c r="W32" s="56" t="n">
        <f aca="false">U32/1000*V32*B32</f>
        <v>0</v>
      </c>
      <c r="X32" s="47" t="n">
        <v>415</v>
      </c>
      <c r="Y32" s="62" t="n">
        <v>0.005</v>
      </c>
      <c r="Z32" s="56" t="n">
        <f aca="false">X32*Y32*chem_va*B32</f>
        <v>1.03227636997401</v>
      </c>
      <c r="AA32" s="62" t="n">
        <v>0.004</v>
      </c>
      <c r="AB32" s="56" t="n">
        <f aca="false">X32*AA32*roy_rate*B32*(1-IF(union_resp=2,lic_cut*Labour!S32,0))</f>
        <v>0.055054739731947</v>
      </c>
      <c r="AC32" s="47" t="n">
        <v>0</v>
      </c>
      <c r="AD32" s="62" t="n">
        <v>0</v>
      </c>
      <c r="AE32" s="62" t="n">
        <v>0</v>
      </c>
      <c r="AF32" s="56" t="n">
        <f aca="false">AC32*AD32*elec_va*B32</f>
        <v>0</v>
      </c>
      <c r="AG32" s="56" t="n">
        <f aca="false">MAX(0,AE32-AD32)*AC32*roy_rate*B32*(1-IF(union_resp=2,lic_cut*Labour!S32,0))</f>
        <v>0</v>
      </c>
      <c r="AH32" s="55" t="n">
        <v>4</v>
      </c>
      <c r="AI32" s="56" t="n">
        <f aca="false">AH32*B32</f>
        <v>4.42206744834916</v>
      </c>
      <c r="AJ32" s="55" t="n">
        <v>4</v>
      </c>
      <c r="AK32" s="56" t="n">
        <f aca="false">AJ32*B32</f>
        <v>4.42206744834916</v>
      </c>
      <c r="AL32" s="47" t="n">
        <v>4</v>
      </c>
      <c r="AM32" s="56" t="n">
        <f aca="false">AL32*uw_fee*B32</f>
        <v>0.110551686208729</v>
      </c>
      <c r="AN32" s="55" t="n">
        <v>0</v>
      </c>
      <c r="AO32" s="55" t="n">
        <v>0</v>
      </c>
      <c r="AP32" s="56" t="n">
        <f aca="false">K32+T32+W32+Z32+AF32+AI32+AK32+AM32+AN32+AO32</f>
        <v>11.5789072342867</v>
      </c>
      <c r="AQ32" s="56" t="n">
        <f aca="false">AP32*(1-1/champ_prem+champ_spill)</f>
        <v>8.04090780158802</v>
      </c>
      <c r="AR32" s="66" t="n">
        <f aca="false">AP32/Economy!O32</f>
        <v>0.0130743109527373</v>
      </c>
      <c r="AS32" s="55" t="n">
        <v>10</v>
      </c>
      <c r="AT32" s="55" t="n">
        <v>4</v>
      </c>
      <c r="AU32" s="55" t="n">
        <v>0</v>
      </c>
      <c r="AV32" s="55" t="n">
        <v>0</v>
      </c>
      <c r="AW32" s="55" t="n">
        <v>0</v>
      </c>
      <c r="AX32" s="55" t="n">
        <v>0</v>
      </c>
      <c r="AY32" s="56" t="n">
        <f aca="false">Q32+(AS32+AT32+AU32+AV32+AW32+AX32)*B32</f>
        <v>15.4772360692221</v>
      </c>
      <c r="AZ32" s="56" t="n">
        <f aca="false">P32+(AS32*ret_rail+AT32*ret_tel+AU32*ret_elec+AV32*ret_auto+AW32*ret_chem+AX32*ret_steel)*B32*IF(OR($A32=1931,$A32=1932),abroad_slump,1)+AB32+AG32</f>
        <v>1.05001991561051</v>
      </c>
      <c r="BA32" s="56" t="n">
        <f aca="false">AP32*champ_profit+AZ32</f>
        <v>3.36580136246786</v>
      </c>
      <c r="BB32" s="56" t="n">
        <f aca="false">(K32+AI32+AK32)*champ_profit+P32+(AS32*ret_rail+AT32*ret_tel+AU32*ret_elec)*B32*IF(OR($A32=1931,$A32=1932),abroad_slump,1)</f>
        <v>2.76379215521822</v>
      </c>
      <c r="BC32" s="56" t="n">
        <f aca="false">(T32+W32+Z32+AF32+AN32+AO32)*champ_profit+(AV32*ret_auto+AW32*ret_chem+AX32*ret_steel)*B32*IF(OR($A32=1931,$A32=1932),abroad_slump,1)+AB32+AG32</f>
        <v>0.579898870007888</v>
      </c>
      <c r="BD32" s="56" t="n">
        <f aca="false">IF($A32&gt;=crown_start,(BB32*crown_charter+BC32*crown_comp)*crown_payout,0)</f>
        <v>0</v>
      </c>
      <c r="BE32" s="66" t="n">
        <f aca="false">IF(BB32+BC32&gt;0,(BB32*crown_charter+BC32*crown_comp)/(BA32),0)</f>
        <v>0.219068170994071</v>
      </c>
    </row>
    <row r="33" customFormat="false" ht="14.25" hidden="false" customHeight="true" outlineLevel="0" collapsed="false">
      <c r="A33" s="61" t="n">
        <v>1873</v>
      </c>
      <c r="B33" s="68" t="n">
        <f aca="false">champ_scale*(1+Labour!AP33)*(1+Partners!BX33)*(1-IF(union_resp=2,tariff_cut*Labour!S33,0))</f>
        <v>1.11343526208801</v>
      </c>
      <c r="C33" s="47" t="n">
        <v>120</v>
      </c>
      <c r="D33" s="47" t="n">
        <v>40</v>
      </c>
      <c r="E33" s="47" t="n">
        <v>440</v>
      </c>
      <c r="F33" s="49" t="n">
        <f aca="false">E33*B33</f>
        <v>489.911515318723</v>
      </c>
      <c r="G33" s="49" t="n">
        <f aca="false">F33/Economy!B33*1000000</f>
        <v>165.464397599308</v>
      </c>
      <c r="H33" s="47" t="n">
        <v>297</v>
      </c>
      <c r="I33" s="70" t="n">
        <f aca="false">IF(H33&gt;0,G33/H33,0)</f>
        <v>0.557119183836054</v>
      </c>
      <c r="J33" s="71" t="n">
        <v>0</v>
      </c>
      <c r="K33" s="56" t="n">
        <f aca="false">Resources!K33*J33*B33</f>
        <v>0</v>
      </c>
      <c r="L33" s="47" t="n">
        <v>0</v>
      </c>
      <c r="M33" s="62" t="n">
        <v>0</v>
      </c>
      <c r="N33" s="47" t="n">
        <v>0</v>
      </c>
      <c r="O33" s="71" t="n">
        <v>0</v>
      </c>
      <c r="P33" s="56" t="n">
        <f aca="false">(IF(Gulf!E33=1,0,L33*M33)+N33)*O33*B33</f>
        <v>0</v>
      </c>
      <c r="Q33" s="56" t="n">
        <f aca="false">P33*oil_book</f>
        <v>0</v>
      </c>
      <c r="R33" s="71" t="n">
        <v>0.05</v>
      </c>
      <c r="S33" s="47" t="n">
        <v>35</v>
      </c>
      <c r="T33" s="56" t="n">
        <f aca="false">R33*S33*B33</f>
        <v>1.94851170865401</v>
      </c>
      <c r="U33" s="47" t="n">
        <v>0</v>
      </c>
      <c r="V33" s="47" t="n">
        <v>0</v>
      </c>
      <c r="W33" s="56" t="n">
        <f aca="false">U33/1000*V33*B33</f>
        <v>0</v>
      </c>
      <c r="X33" s="47" t="n">
        <v>438</v>
      </c>
      <c r="Y33" s="62" t="n">
        <v>0.006</v>
      </c>
      <c r="Z33" s="56" t="n">
        <f aca="false">X33*Y33*chem_va*B33</f>
        <v>1.31674854094528</v>
      </c>
      <c r="AA33" s="62" t="n">
        <v>0.004</v>
      </c>
      <c r="AB33" s="56" t="n">
        <f aca="false">X33*AA33*roy_rate*B33*(1-IF(union_resp=2,lic_cut*Labour!S33,0))</f>
        <v>0.0585221573753456</v>
      </c>
      <c r="AC33" s="47" t="n">
        <v>0</v>
      </c>
      <c r="AD33" s="62" t="n">
        <v>0</v>
      </c>
      <c r="AE33" s="62" t="n">
        <v>0</v>
      </c>
      <c r="AF33" s="56" t="n">
        <f aca="false">AC33*AD33*elec_va*B33</f>
        <v>0</v>
      </c>
      <c r="AG33" s="56" t="n">
        <f aca="false">MAX(0,AE33-AD33)*AC33*roy_rate*B33*(1-IF(union_resp=2,lic_cut*Labour!S33,0))</f>
        <v>0</v>
      </c>
      <c r="AH33" s="55" t="n">
        <v>4</v>
      </c>
      <c r="AI33" s="56" t="n">
        <f aca="false">AH33*B33</f>
        <v>4.45374104835202</v>
      </c>
      <c r="AJ33" s="55" t="n">
        <v>5</v>
      </c>
      <c r="AK33" s="56" t="n">
        <f aca="false">AJ33*B33</f>
        <v>5.56717631044003</v>
      </c>
      <c r="AL33" s="47" t="n">
        <v>4</v>
      </c>
      <c r="AM33" s="56" t="n">
        <f aca="false">AL33*uw_fee*B33</f>
        <v>0.111343526208801</v>
      </c>
      <c r="AN33" s="55" t="n">
        <v>0</v>
      </c>
      <c r="AO33" s="55" t="n">
        <v>0</v>
      </c>
      <c r="AP33" s="56" t="n">
        <f aca="false">K33+T33+W33+Z33+AF33+AI33+AK33+AM33+AN33+AO33</f>
        <v>13.3975211346001</v>
      </c>
      <c r="AQ33" s="56" t="n">
        <f aca="false">AP33*(1-1/champ_prem+champ_spill)</f>
        <v>9.3038341212501</v>
      </c>
      <c r="AR33" s="66" t="n">
        <f aca="false">AP33/Economy!O33</f>
        <v>0.0143695701592311</v>
      </c>
      <c r="AS33" s="55" t="n">
        <v>12</v>
      </c>
      <c r="AT33" s="55" t="n">
        <v>4</v>
      </c>
      <c r="AU33" s="55" t="n">
        <v>0</v>
      </c>
      <c r="AV33" s="55" t="n">
        <v>0</v>
      </c>
      <c r="AW33" s="55" t="n">
        <v>0</v>
      </c>
      <c r="AX33" s="55" t="n">
        <v>0</v>
      </c>
      <c r="AY33" s="56" t="n">
        <f aca="false">Q33+(AS33+AT33+AU33+AV33+AW33+AX33)*B33</f>
        <v>17.8149641934081</v>
      </c>
      <c r="AZ33" s="56" t="n">
        <f aca="false">P33+(AS33*ret_rail+AT33*ret_tel+AU33*ret_elec+AV33*ret_auto+AW33*ret_chem+AX33*ret_steel)*B33*IF(OR($A33=1931,$A33=1932),abroad_slump,1)+AB33+AG33</f>
        <v>1.17195741946335</v>
      </c>
      <c r="BA33" s="56" t="n">
        <f aca="false">AP33*champ_profit+AZ33</f>
        <v>3.85146164638338</v>
      </c>
      <c r="BB33" s="56" t="n">
        <f aca="false">(K33+AI33+AK33)*champ_profit+P33+(AS33*ret_rail+AT33*ret_tel+AU33*ret_elec)*B33*IF(OR($A33=1931,$A33=1932),abroad_slump,1)</f>
        <v>3.11761873384642</v>
      </c>
      <c r="BC33" s="56" t="n">
        <f aca="false">(T33+W33+Z33+AF33+AN33+AO33)*champ_profit+(AV33*ret_auto+AW33*ret_chem+AX33*ret_steel)*B33*IF(OR($A33=1931,$A33=1932),abroad_slump,1)+AB33+AG33</f>
        <v>0.711574207295203</v>
      </c>
      <c r="BD33" s="56" t="n">
        <f aca="false">IF($A33&gt;=crown_start,(BB33*crown_charter+BC33*crown_comp)*crown_payout,0)</f>
        <v>0</v>
      </c>
      <c r="BE33" s="66" t="n">
        <f aca="false">IF(BB33+BC33&gt;0,(BB33*crown_charter+BC33*crown_comp)/(BA33),0)</f>
        <v>0.217146293234039</v>
      </c>
    </row>
    <row r="34" customFormat="false" ht="14.25" hidden="false" customHeight="true" outlineLevel="0" collapsed="false">
      <c r="A34" s="61" t="n">
        <v>1874</v>
      </c>
      <c r="B34" s="68" t="n">
        <f aca="false">champ_scale*(1+Labour!AP34)*(1+Partners!BX34)*(1-IF(union_resp=2,tariff_cut*Labour!S34,0))</f>
        <v>1.12116033680164</v>
      </c>
      <c r="C34" s="47" t="n">
        <v>150</v>
      </c>
      <c r="D34" s="47" t="n">
        <v>50</v>
      </c>
      <c r="E34" s="47" t="n">
        <v>520</v>
      </c>
      <c r="F34" s="49" t="n">
        <f aca="false">E34*B34</f>
        <v>583.003375136851</v>
      </c>
      <c r="G34" s="49" t="n">
        <f aca="false">F34/Economy!B34*1000000</f>
        <v>185.784412561643</v>
      </c>
      <c r="H34" s="47" t="n">
        <v>292</v>
      </c>
      <c r="I34" s="70" t="n">
        <f aca="false">IF(H34&gt;0,G34/H34,0)</f>
        <v>0.636247988224805</v>
      </c>
      <c r="J34" s="71" t="n">
        <v>0</v>
      </c>
      <c r="K34" s="56" t="n">
        <f aca="false">Resources!K34*J34*B34</f>
        <v>0</v>
      </c>
      <c r="L34" s="47" t="n">
        <v>0</v>
      </c>
      <c r="M34" s="62" t="n">
        <v>0</v>
      </c>
      <c r="N34" s="47" t="n">
        <v>0</v>
      </c>
      <c r="O34" s="71" t="n">
        <v>0</v>
      </c>
      <c r="P34" s="56" t="n">
        <f aca="false">(IF(Gulf!E34=1,0,L34*M34)+N34)*O34*B34</f>
        <v>0</v>
      </c>
      <c r="Q34" s="56" t="n">
        <f aca="false">P34*oil_book</f>
        <v>0</v>
      </c>
      <c r="R34" s="71" t="n">
        <v>0.06</v>
      </c>
      <c r="S34" s="47" t="n">
        <v>34</v>
      </c>
      <c r="T34" s="56" t="n">
        <f aca="false">R34*S34*B34</f>
        <v>2.28716708707534</v>
      </c>
      <c r="U34" s="47" t="n">
        <v>0</v>
      </c>
      <c r="V34" s="47" t="n">
        <v>0</v>
      </c>
      <c r="W34" s="56" t="n">
        <f aca="false">U34/1000*V34*B34</f>
        <v>0</v>
      </c>
      <c r="X34" s="47" t="n">
        <v>462</v>
      </c>
      <c r="Y34" s="62" t="n">
        <v>0.006</v>
      </c>
      <c r="Z34" s="56" t="n">
        <f aca="false">X34*Y34*chem_va*B34</f>
        <v>1.39853540412636</v>
      </c>
      <c r="AA34" s="62" t="n">
        <v>0.004</v>
      </c>
      <c r="AB34" s="56" t="n">
        <f aca="false">X34*AA34*roy_rate*B34*(1-IF(union_resp=2,lic_cut*Labour!S34,0))</f>
        <v>0.0621571290722827</v>
      </c>
      <c r="AC34" s="47" t="n">
        <v>0</v>
      </c>
      <c r="AD34" s="62" t="n">
        <v>0</v>
      </c>
      <c r="AE34" s="62" t="n">
        <v>0</v>
      </c>
      <c r="AF34" s="56" t="n">
        <f aca="false">AC34*AD34*elec_va*B34</f>
        <v>0</v>
      </c>
      <c r="AG34" s="56" t="n">
        <f aca="false">MAX(0,AE34-AD34)*AC34*roy_rate*B34*(1-IF(union_resp=2,lic_cut*Labour!S34,0))</f>
        <v>0</v>
      </c>
      <c r="AH34" s="55" t="n">
        <v>5</v>
      </c>
      <c r="AI34" s="56" t="n">
        <f aca="false">AH34*B34</f>
        <v>5.60580168400818</v>
      </c>
      <c r="AJ34" s="55" t="n">
        <v>5</v>
      </c>
      <c r="AK34" s="56" t="n">
        <f aca="false">AJ34*B34</f>
        <v>5.60580168400818</v>
      </c>
      <c r="AL34" s="47" t="n">
        <v>5</v>
      </c>
      <c r="AM34" s="56" t="n">
        <f aca="false">AL34*uw_fee*B34</f>
        <v>0.140145042100205</v>
      </c>
      <c r="AN34" s="55" t="n">
        <v>0</v>
      </c>
      <c r="AO34" s="55" t="n">
        <v>0</v>
      </c>
      <c r="AP34" s="56" t="n">
        <f aca="false">K34+T34+W34+Z34+AF34+AI34+AK34+AM34+AN34+AO34</f>
        <v>15.0374509013183</v>
      </c>
      <c r="AQ34" s="56" t="n">
        <f aca="false">AP34*(1-1/champ_prem+champ_spill)</f>
        <v>10.4426742370266</v>
      </c>
      <c r="AR34" s="66" t="n">
        <f aca="false">AP34/Economy!O34</f>
        <v>0.015213633032135</v>
      </c>
      <c r="AS34" s="55" t="n">
        <v>15</v>
      </c>
      <c r="AT34" s="55" t="n">
        <v>5</v>
      </c>
      <c r="AU34" s="55" t="n">
        <v>0</v>
      </c>
      <c r="AV34" s="55" t="n">
        <v>0</v>
      </c>
      <c r="AW34" s="55" t="n">
        <v>0</v>
      </c>
      <c r="AX34" s="55" t="n">
        <v>0</v>
      </c>
      <c r="AY34" s="56" t="n">
        <f aca="false">Q34+(AS34+AT34+AU34+AV34+AW34+AX34)*B34</f>
        <v>22.4232067360327</v>
      </c>
      <c r="AZ34" s="56" t="n">
        <f aca="false">P34+(AS34*ret_rail+AT34*ret_tel+AU34*ret_elec+AV34*ret_auto+AW34*ret_chem+AX34*ret_steel)*B34*IF(OR($A34=1931,$A34=1932),abroad_slump,1)+AB34+AG34</f>
        <v>1.46360755007433</v>
      </c>
      <c r="BA34" s="56" t="n">
        <f aca="false">AP34*champ_profit+AZ34</f>
        <v>4.47109773033798</v>
      </c>
      <c r="BB34" s="56" t="n">
        <f aca="false">(K34+AI34+AK34)*champ_profit+P34+(AS34*ret_rail+AT34*ret_tel+AU34*ret_elec)*B34*IF(OR($A34=1931,$A34=1932),abroad_slump,1)</f>
        <v>3.64377109460532</v>
      </c>
      <c r="BC34" s="56" t="n">
        <f aca="false">(T34+W34+Z34+AF34+AN34+AO34)*champ_profit+(AV34*ret_auto+AW34*ret_chem+AX34*ret_steel)*B34*IF(OR($A34=1931,$A34=1932),abroad_slump,1)+AB34+AG34</f>
        <v>0.799297627312622</v>
      </c>
      <c r="BD34" s="56" t="n">
        <f aca="false">IF($A34&gt;=crown_start,(BB34*crown_charter+BC34*crown_comp)*crown_payout,0)</f>
        <v>0</v>
      </c>
      <c r="BE34" s="66" t="n">
        <f aca="false">IF(BB34+BC34&gt;0,(BB34*crown_charter+BC34*crown_comp)/(BA34),0)</f>
        <v>0.218041886497222</v>
      </c>
    </row>
    <row r="35" customFormat="false" ht="14.25" hidden="false" customHeight="true" outlineLevel="0" collapsed="false">
      <c r="A35" s="61" t="n">
        <v>1875</v>
      </c>
      <c r="B35" s="68" t="n">
        <f aca="false">champ_scale*(1+Labour!AP35)*(1+Partners!BX35)*(1-IF(union_resp=2,tariff_cut*Labour!S35,0))</f>
        <v>1.12773673104628</v>
      </c>
      <c r="C35" s="47" t="n">
        <v>180</v>
      </c>
      <c r="D35" s="47" t="n">
        <v>60</v>
      </c>
      <c r="E35" s="47" t="n">
        <v>600</v>
      </c>
      <c r="F35" s="49" t="n">
        <f aca="false">E35*B35</f>
        <v>676.642038627767</v>
      </c>
      <c r="G35" s="49" t="n">
        <f aca="false">F35/Economy!B35*1000000</f>
        <v>203.87689804525</v>
      </c>
      <c r="H35" s="47" t="n">
        <v>286</v>
      </c>
      <c r="I35" s="70" t="n">
        <f aca="false">IF(H35&gt;0,G35/H35,0)</f>
        <v>0.712856286871504</v>
      </c>
      <c r="J35" s="71" t="n">
        <v>0</v>
      </c>
      <c r="K35" s="56" t="n">
        <f aca="false">Resources!K35*J35*B35</f>
        <v>0</v>
      </c>
      <c r="L35" s="47" t="n">
        <v>0</v>
      </c>
      <c r="M35" s="62" t="n">
        <v>0</v>
      </c>
      <c r="N35" s="47" t="n">
        <v>0</v>
      </c>
      <c r="O35" s="71" t="n">
        <v>0</v>
      </c>
      <c r="P35" s="56" t="n">
        <f aca="false">(IF(Gulf!E35=1,0,L35*M35)+N35)*O35*B35</f>
        <v>0</v>
      </c>
      <c r="Q35" s="56" t="n">
        <f aca="false">P35*oil_book</f>
        <v>0</v>
      </c>
      <c r="R35" s="71" t="n">
        <v>0.07</v>
      </c>
      <c r="S35" s="47" t="n">
        <v>33</v>
      </c>
      <c r="T35" s="56" t="n">
        <f aca="false">R35*S35*B35</f>
        <v>2.6050718487169</v>
      </c>
      <c r="U35" s="47" t="n">
        <v>0</v>
      </c>
      <c r="V35" s="47" t="n">
        <v>0</v>
      </c>
      <c r="W35" s="56" t="n">
        <f aca="false">U35/1000*V35*B35</f>
        <v>0</v>
      </c>
      <c r="X35" s="47" t="n">
        <v>485</v>
      </c>
      <c r="Y35" s="62" t="n">
        <v>0.007</v>
      </c>
      <c r="Z35" s="56" t="n">
        <f aca="false">X35*Y35*chem_va*B35</f>
        <v>1.72289979085595</v>
      </c>
      <c r="AA35" s="62" t="n">
        <v>0.005</v>
      </c>
      <c r="AB35" s="56" t="n">
        <f aca="false">X35*AA35*roy_rate*B35*(1-IF(union_resp=2,lic_cut*Labour!S35,0))</f>
        <v>0.0820428471836168</v>
      </c>
      <c r="AC35" s="47" t="n">
        <v>0</v>
      </c>
      <c r="AD35" s="62" t="n">
        <v>0</v>
      </c>
      <c r="AE35" s="62" t="n">
        <v>0</v>
      </c>
      <c r="AF35" s="56" t="n">
        <f aca="false">AC35*AD35*elec_va*B35</f>
        <v>0</v>
      </c>
      <c r="AG35" s="56" t="n">
        <f aca="false">MAX(0,AE35-AD35)*AC35*roy_rate*B35*(1-IF(union_resp=2,lic_cut*Labour!S35,0))</f>
        <v>0</v>
      </c>
      <c r="AH35" s="55" t="n">
        <v>5</v>
      </c>
      <c r="AI35" s="56" t="n">
        <f aca="false">AH35*B35</f>
        <v>5.6386836552314</v>
      </c>
      <c r="AJ35" s="55" t="n">
        <v>6</v>
      </c>
      <c r="AK35" s="56" t="n">
        <f aca="false">AJ35*B35</f>
        <v>6.76642038627767</v>
      </c>
      <c r="AL35" s="47" t="n">
        <v>6</v>
      </c>
      <c r="AM35" s="56" t="n">
        <f aca="false">AL35*uw_fee*B35</f>
        <v>0.169160509656942</v>
      </c>
      <c r="AN35" s="55" t="n">
        <v>0</v>
      </c>
      <c r="AO35" s="55" t="n">
        <v>0</v>
      </c>
      <c r="AP35" s="56" t="n">
        <f aca="false">K35+T35+W35+Z35+AF35+AI35+AK35+AM35+AN35+AO35</f>
        <v>16.9022361907389</v>
      </c>
      <c r="AQ35" s="56" t="n">
        <f aca="false">AP35*(1-1/champ_prem+champ_spill)</f>
        <v>11.7376640213464</v>
      </c>
      <c r="AR35" s="66" t="n">
        <f aca="false">AP35/Economy!O35</f>
        <v>0.0158682172161047</v>
      </c>
      <c r="AS35" s="55" t="n">
        <v>18</v>
      </c>
      <c r="AT35" s="55" t="n">
        <v>6</v>
      </c>
      <c r="AU35" s="55" t="n">
        <v>0</v>
      </c>
      <c r="AV35" s="55" t="n">
        <v>0</v>
      </c>
      <c r="AW35" s="55" t="n">
        <v>0</v>
      </c>
      <c r="AX35" s="55" t="n">
        <v>0</v>
      </c>
      <c r="AY35" s="56" t="n">
        <f aca="false">Q35+(AS35+AT35+AU35+AV35+AW35+AX35)*B35</f>
        <v>27.0656815451107</v>
      </c>
      <c r="AZ35" s="56" t="n">
        <f aca="false">P35+(AS35*ret_rail+AT35*ret_tel+AU35*ret_elec+AV35*ret_auto+AW35*ret_chem+AX35*ret_steel)*B35*IF(OR($A35=1931,$A35=1932),abroad_slump,1)+AB35+AG35</f>
        <v>1.77364794375304</v>
      </c>
      <c r="BA35" s="56" t="n">
        <f aca="false">AP35*champ_profit+AZ35</f>
        <v>5.15409518190081</v>
      </c>
      <c r="BB35" s="56" t="n">
        <f aca="false">(K35+AI35+AK35)*champ_profit+P35+(AS35*ret_rail+AT35*ret_tel+AU35*ret_elec)*B35*IF(OR($A35=1931,$A35=1932),abroad_slump,1)</f>
        <v>4.17262590487123</v>
      </c>
      <c r="BC35" s="56" t="n">
        <f aca="false">(T35+W35+Z35+AF35+AN35+AO35)*champ_profit+(AV35*ret_auto+AW35*ret_chem+AX35*ret_steel)*B35*IF(OR($A35=1931,$A35=1932),abroad_slump,1)+AB35+AG35</f>
        <v>0.947637175098188</v>
      </c>
      <c r="BD35" s="56" t="n">
        <f aca="false">IF($A35&gt;=crown_start,(BB35*crown_charter+BC35*crown_comp)*crown_payout,0)</f>
        <v>0</v>
      </c>
      <c r="BE35" s="66" t="n">
        <f aca="false">IF(BB35+BC35&gt;0,(BB35*crown_charter+BC35*crown_comp)/(BA35),0)</f>
        <v>0.217102597203685</v>
      </c>
    </row>
    <row r="36" customFormat="false" ht="14.25" hidden="false" customHeight="true" outlineLevel="0" collapsed="false">
      <c r="A36" s="61" t="n">
        <v>1876</v>
      </c>
      <c r="B36" s="68" t="n">
        <f aca="false">champ_scale*(1+Labour!AP36)*(1+Partners!BX36)*(1-IF(union_resp=2,tariff_cut*Labour!S36,0))</f>
        <v>1.13415478741901</v>
      </c>
      <c r="C36" s="47" t="n">
        <v>200</v>
      </c>
      <c r="D36" s="47" t="n">
        <v>70</v>
      </c>
      <c r="E36" s="47" t="n">
        <v>680</v>
      </c>
      <c r="F36" s="49" t="n">
        <f aca="false">E36*B36</f>
        <v>771.225255444928</v>
      </c>
      <c r="G36" s="49" t="n">
        <f aca="false">F36/Economy!B36*1000000</f>
        <v>220.110397054968</v>
      </c>
      <c r="H36" s="47" t="n">
        <v>280</v>
      </c>
      <c r="I36" s="70" t="n">
        <f aca="false">IF(H36&gt;0,G36/H36,0)</f>
        <v>0.786108560910601</v>
      </c>
      <c r="J36" s="71" t="n">
        <v>0</v>
      </c>
      <c r="K36" s="56" t="n">
        <f aca="false">Resources!K36*J36*B36</f>
        <v>0</v>
      </c>
      <c r="L36" s="47" t="n">
        <v>0</v>
      </c>
      <c r="M36" s="62" t="n">
        <v>0</v>
      </c>
      <c r="N36" s="47" t="n">
        <v>0</v>
      </c>
      <c r="O36" s="71" t="n">
        <v>0</v>
      </c>
      <c r="P36" s="56" t="n">
        <f aca="false">(IF(Gulf!E36=1,0,L36*M36)+N36)*O36*B36</f>
        <v>0</v>
      </c>
      <c r="Q36" s="56" t="n">
        <f aca="false">P36*oil_book</f>
        <v>0</v>
      </c>
      <c r="R36" s="71" t="n">
        <v>0.08</v>
      </c>
      <c r="S36" s="47" t="n">
        <v>32</v>
      </c>
      <c r="T36" s="56" t="n">
        <f aca="false">R36*S36*B36</f>
        <v>2.90343625579267</v>
      </c>
      <c r="U36" s="47" t="n">
        <v>0</v>
      </c>
      <c r="V36" s="47" t="n">
        <v>0</v>
      </c>
      <c r="W36" s="56" t="n">
        <f aca="false">U36/1000*V36*B36</f>
        <v>0</v>
      </c>
      <c r="X36" s="47" t="n">
        <v>508</v>
      </c>
      <c r="Y36" s="62" t="n">
        <v>0.008</v>
      </c>
      <c r="Z36" s="56" t="n">
        <f aca="false">X36*Y36*chem_va*B36</f>
        <v>2.07414227523189</v>
      </c>
      <c r="AA36" s="62" t="n">
        <v>0.005</v>
      </c>
      <c r="AB36" s="56" t="n">
        <f aca="false">X36*AA36*roy_rate*B36*(1-IF(union_resp=2,lic_cut*Labour!S36,0))</f>
        <v>0.0864225948013287</v>
      </c>
      <c r="AC36" s="47" t="n">
        <v>0</v>
      </c>
      <c r="AD36" s="62" t="n">
        <v>0</v>
      </c>
      <c r="AE36" s="62" t="n">
        <v>0</v>
      </c>
      <c r="AF36" s="56" t="n">
        <f aca="false">AC36*AD36*elec_va*B36</f>
        <v>0</v>
      </c>
      <c r="AG36" s="56" t="n">
        <f aca="false">MAX(0,AE36-AD36)*AC36*roy_rate*B36*(1-IF(union_resp=2,lic_cut*Labour!S36,0))</f>
        <v>0</v>
      </c>
      <c r="AH36" s="55" t="n">
        <v>5</v>
      </c>
      <c r="AI36" s="56" t="n">
        <f aca="false">AH36*B36</f>
        <v>5.67077393709506</v>
      </c>
      <c r="AJ36" s="55" t="n">
        <v>7</v>
      </c>
      <c r="AK36" s="56" t="n">
        <f aca="false">AJ36*B36</f>
        <v>7.93908351193308</v>
      </c>
      <c r="AL36" s="47" t="n">
        <v>7</v>
      </c>
      <c r="AM36" s="56" t="n">
        <f aca="false">AL36*uw_fee*B36</f>
        <v>0.198477087798327</v>
      </c>
      <c r="AN36" s="55" t="n">
        <v>0</v>
      </c>
      <c r="AO36" s="55" t="n">
        <v>0</v>
      </c>
      <c r="AP36" s="56" t="n">
        <f aca="false">K36+T36+W36+Z36+AF36+AI36+AK36+AM36+AN36+AO36</f>
        <v>18.785913067851</v>
      </c>
      <c r="AQ36" s="56" t="n">
        <f aca="false">AP36*(1-1/champ_prem+champ_spill)</f>
        <v>13.0457729637854</v>
      </c>
      <c r="AR36" s="66" t="n">
        <f aca="false">AP36/Economy!O36</f>
        <v>0.0162586959498324</v>
      </c>
      <c r="AS36" s="55" t="n">
        <v>20</v>
      </c>
      <c r="AT36" s="55" t="n">
        <v>7</v>
      </c>
      <c r="AU36" s="55" t="n">
        <v>0</v>
      </c>
      <c r="AV36" s="55" t="n">
        <v>0</v>
      </c>
      <c r="AW36" s="55" t="n">
        <v>0</v>
      </c>
      <c r="AX36" s="55" t="n">
        <v>0</v>
      </c>
      <c r="AY36" s="56" t="n">
        <f aca="false">Q36+(AS36+AT36+AU36+AV36+AW36+AX36)*B36</f>
        <v>30.6221792603133</v>
      </c>
      <c r="AZ36" s="56" t="n">
        <f aca="false">P36+(AS36*ret_rail+AT36*ret_tel+AU36*ret_elec+AV36*ret_auto+AW36*ret_chem+AX36*ret_steel)*B36*IF(OR($A36=1931,$A36=1932),abroad_slump,1)+AB36+AG36</f>
        <v>2.01448573341365</v>
      </c>
      <c r="BA36" s="56" t="n">
        <f aca="false">AP36*champ_profit+AZ36</f>
        <v>5.77166834698385</v>
      </c>
      <c r="BB36" s="56" t="n">
        <f aca="false">(K36+AI36+AK36)*champ_profit+P36+(AS36*ret_rail+AT36*ret_tel+AU36*ret_elec)*B36*IF(OR($A36=1931,$A36=1932),abroad_slump,1)</f>
        <v>4.65003462841795</v>
      </c>
      <c r="BC36" s="56" t="n">
        <f aca="false">(T36+W36+Z36+AF36+AN36+AO36)*champ_profit+(AV36*ret_auto+AW36*ret_chem+AX36*ret_steel)*B36*IF(OR($A36=1931,$A36=1932),abroad_slump,1)+AB36+AG36</f>
        <v>1.08193830100624</v>
      </c>
      <c r="BD36" s="56" t="n">
        <f aca="false">IF($A36&gt;=crown_start,(BB36*crown_charter+BC36*crown_comp)*crown_payout,0)</f>
        <v>0</v>
      </c>
      <c r="BE36" s="66" t="n">
        <f aca="false">IF(BB36+BC36&gt;0,(BB36*crown_charter+BC36*crown_comp)/(BA36),0)</f>
        <v>0.216412940954537</v>
      </c>
    </row>
    <row r="37" customFormat="false" ht="14.25" hidden="false" customHeight="true" outlineLevel="0" collapsed="false">
      <c r="A37" s="61" t="n">
        <v>1877</v>
      </c>
      <c r="B37" s="68" t="n">
        <f aca="false">champ_scale*(1+Labour!AP37)*(1+Partners!BX37)*(1-IF(union_resp=2,tariff_cut*Labour!S37,0))</f>
        <v>1.14159936050905</v>
      </c>
      <c r="C37" s="47" t="n">
        <v>220</v>
      </c>
      <c r="D37" s="47" t="n">
        <v>80</v>
      </c>
      <c r="E37" s="47" t="n">
        <v>760</v>
      </c>
      <c r="F37" s="49" t="n">
        <f aca="false">E37*B37</f>
        <v>867.615513986876</v>
      </c>
      <c r="G37" s="49" t="n">
        <f aca="false">F37/Economy!B37*1000000</f>
        <v>234.974284871591</v>
      </c>
      <c r="H37" s="47" t="n">
        <v>275</v>
      </c>
      <c r="I37" s="70" t="n">
        <f aca="false">IF(H37&gt;0,G37/H37,0)</f>
        <v>0.854451944987604</v>
      </c>
      <c r="J37" s="71" t="n">
        <v>0</v>
      </c>
      <c r="K37" s="56" t="n">
        <f aca="false">Resources!K37*J37*B37</f>
        <v>0</v>
      </c>
      <c r="L37" s="47" t="n">
        <v>0</v>
      </c>
      <c r="M37" s="62" t="n">
        <v>0</v>
      </c>
      <c r="N37" s="47" t="n">
        <v>0</v>
      </c>
      <c r="O37" s="71" t="n">
        <v>0</v>
      </c>
      <c r="P37" s="56" t="n">
        <f aca="false">(IF(Gulf!E37=1,0,L37*M37)+N37)*O37*B37</f>
        <v>0</v>
      </c>
      <c r="Q37" s="56" t="n">
        <f aca="false">P37*oil_book</f>
        <v>0</v>
      </c>
      <c r="R37" s="71" t="n">
        <v>0.09</v>
      </c>
      <c r="S37" s="47" t="n">
        <v>31</v>
      </c>
      <c r="T37" s="56" t="n">
        <f aca="false">R37*S37*B37</f>
        <v>3.18506221582024</v>
      </c>
      <c r="U37" s="47" t="n">
        <v>0</v>
      </c>
      <c r="V37" s="47" t="n">
        <v>0</v>
      </c>
      <c r="W37" s="56" t="n">
        <f aca="false">U37/1000*V37*B37</f>
        <v>0</v>
      </c>
      <c r="X37" s="47" t="n">
        <v>531</v>
      </c>
      <c r="Y37" s="62" t="n">
        <v>0.008</v>
      </c>
      <c r="Z37" s="56" t="n">
        <f aca="false">X37*Y37*chem_va*B37</f>
        <v>2.18228133754909</v>
      </c>
      <c r="AA37" s="62" t="n">
        <v>0.005</v>
      </c>
      <c r="AB37" s="56" t="n">
        <f aca="false">X37*AA37*roy_rate*B37*(1-IF(union_resp=2,lic_cut*Labour!S37,0))</f>
        <v>0.0909283890645456</v>
      </c>
      <c r="AC37" s="47" t="n">
        <v>0</v>
      </c>
      <c r="AD37" s="62" t="n">
        <v>0</v>
      </c>
      <c r="AE37" s="62" t="n">
        <v>0</v>
      </c>
      <c r="AF37" s="56" t="n">
        <f aca="false">AC37*AD37*elec_va*B37</f>
        <v>0</v>
      </c>
      <c r="AG37" s="56" t="n">
        <f aca="false">MAX(0,AE37-AD37)*AC37*roy_rate*B37*(1-IF(union_resp=2,lic_cut*Labour!S37,0))</f>
        <v>0</v>
      </c>
      <c r="AH37" s="55" t="n">
        <v>6</v>
      </c>
      <c r="AI37" s="56" t="n">
        <f aca="false">AH37*B37</f>
        <v>6.84959616305428</v>
      </c>
      <c r="AJ37" s="55" t="n">
        <v>7</v>
      </c>
      <c r="AK37" s="56" t="n">
        <f aca="false">AJ37*B37</f>
        <v>7.99119552356333</v>
      </c>
      <c r="AL37" s="47" t="n">
        <v>8</v>
      </c>
      <c r="AM37" s="56" t="n">
        <f aca="false">AL37*uw_fee*B37</f>
        <v>0.228319872101809</v>
      </c>
      <c r="AN37" s="55" t="n">
        <v>0</v>
      </c>
      <c r="AO37" s="55" t="n">
        <v>0</v>
      </c>
      <c r="AP37" s="56" t="n">
        <f aca="false">K37+T37+W37+Z37+AF37+AI37+AK37+AM37+AN37+AO37</f>
        <v>20.4364551120888</v>
      </c>
      <c r="AQ37" s="56" t="n">
        <f aca="false">AP37*(1-1/champ_prem+champ_spill)</f>
        <v>14.1919827167283</v>
      </c>
      <c r="AR37" s="66" t="n">
        <f aca="false">AP37/Economy!O37</f>
        <v>0.0169749861057826</v>
      </c>
      <c r="AS37" s="55" t="n">
        <v>22</v>
      </c>
      <c r="AT37" s="55" t="n">
        <v>8</v>
      </c>
      <c r="AU37" s="55" t="n">
        <v>0</v>
      </c>
      <c r="AV37" s="55" t="n">
        <v>0</v>
      </c>
      <c r="AW37" s="55" t="n">
        <v>0</v>
      </c>
      <c r="AX37" s="55" t="n">
        <v>0</v>
      </c>
      <c r="AY37" s="56" t="n">
        <f aca="false">Q37+(AS37+AT37+AU37+AV37+AW37+AX37)*B37</f>
        <v>34.2479808152714</v>
      </c>
      <c r="AZ37" s="56" t="n">
        <f aca="false">P37+(AS37*ret_rail+AT37*ret_tel+AU37*ret_elec+AV37*ret_auto+AW37*ret_chem+AX37*ret_steel)*B37*IF(OR($A37=1931,$A37=1932),abroad_slump,1)+AB37+AG37</f>
        <v>2.25996717403173</v>
      </c>
      <c r="BA37" s="56" t="n">
        <f aca="false">AP37*champ_profit+AZ37</f>
        <v>6.34725819644948</v>
      </c>
      <c r="BB37" s="56" t="n">
        <f aca="false">(K37+AI37+AK37)*champ_profit+P37+(AS37*ret_rail+AT37*ret_tel+AU37*ret_elec)*B37*IF(OR($A37=1931,$A37=1932),abroad_slump,1)</f>
        <v>5.13719712229071</v>
      </c>
      <c r="BC37" s="56" t="n">
        <f aca="false">(T37+W37+Z37+AF37+AN37+AO37)*champ_profit+(AV37*ret_auto+AW37*ret_chem+AX37*ret_steel)*B37*IF(OR($A37=1931,$A37=1932),abroad_slump,1)+AB37+AG37</f>
        <v>1.16439709973841</v>
      </c>
      <c r="BD37" s="56" t="n">
        <f aca="false">IF($A37&gt;=crown_start,(BB37*crown_charter+BC37*crown_comp)*crown_payout,0)</f>
        <v>0</v>
      </c>
      <c r="BE37" s="66" t="n">
        <f aca="false">IF(BB37+BC37&gt;0,(BB37*crown_charter+BC37*crown_comp)/(BA37),0)</f>
        <v>0.217015127779466</v>
      </c>
    </row>
    <row r="38" customFormat="false" ht="14.25" hidden="false" customHeight="true" outlineLevel="0" collapsed="false">
      <c r="A38" s="61" t="n">
        <v>1878</v>
      </c>
      <c r="B38" s="68" t="n">
        <f aca="false">champ_scale*(1+Labour!AP38)*(1+Partners!BX38)*(1-IF(union_resp=2,tariff_cut*Labour!S38,0))</f>
        <v>1.14803303499353</v>
      </c>
      <c r="C38" s="47" t="n">
        <v>250</v>
      </c>
      <c r="D38" s="47" t="n">
        <v>80</v>
      </c>
      <c r="E38" s="47" t="n">
        <v>840</v>
      </c>
      <c r="F38" s="49" t="n">
        <f aca="false">E38*B38</f>
        <v>964.347749394563</v>
      </c>
      <c r="G38" s="49" t="n">
        <f aca="false">F38/Economy!B38*1000000</f>
        <v>248.480800406056</v>
      </c>
      <c r="H38" s="47" t="n">
        <v>269</v>
      </c>
      <c r="I38" s="70" t="n">
        <f aca="false">IF(H38&gt;0,G38/H38,0)</f>
        <v>0.923720447606157</v>
      </c>
      <c r="J38" s="71" t="n">
        <v>0</v>
      </c>
      <c r="K38" s="56" t="n">
        <f aca="false">Resources!K38*J38*B38</f>
        <v>0</v>
      </c>
      <c r="L38" s="47" t="n">
        <v>0</v>
      </c>
      <c r="M38" s="62" t="n">
        <v>0</v>
      </c>
      <c r="N38" s="47" t="n">
        <v>0</v>
      </c>
      <c r="O38" s="71" t="n">
        <v>0</v>
      </c>
      <c r="P38" s="56" t="n">
        <f aca="false">(IF(Gulf!E38=1,0,L38*M38)+N38)*O38*B38</f>
        <v>0</v>
      </c>
      <c r="Q38" s="56" t="n">
        <f aca="false">P38*oil_book</f>
        <v>0</v>
      </c>
      <c r="R38" s="71" t="n">
        <v>0.1</v>
      </c>
      <c r="S38" s="47" t="n">
        <v>30</v>
      </c>
      <c r="T38" s="56" t="n">
        <f aca="false">R38*S38*B38</f>
        <v>3.44409910498058</v>
      </c>
      <c r="U38" s="47" t="n">
        <v>0</v>
      </c>
      <c r="V38" s="47" t="n">
        <v>0</v>
      </c>
      <c r="W38" s="56" t="n">
        <f aca="false">U38/1000*V38*B38</f>
        <v>0</v>
      </c>
      <c r="X38" s="47" t="n">
        <v>554</v>
      </c>
      <c r="Y38" s="62" t="n">
        <v>0.009</v>
      </c>
      <c r="Z38" s="56" t="n">
        <f aca="false">X38*Y38*chem_va*B38</f>
        <v>2.57584172061498</v>
      </c>
      <c r="AA38" s="62" t="n">
        <v>0.006</v>
      </c>
      <c r="AB38" s="56" t="n">
        <f aca="false">X38*AA38*roy_rate*B38*(1-IF(union_resp=2,lic_cut*Labour!S38,0))</f>
        <v>0.114481854249555</v>
      </c>
      <c r="AC38" s="47" t="n">
        <v>0</v>
      </c>
      <c r="AD38" s="62" t="n">
        <v>0</v>
      </c>
      <c r="AE38" s="62" t="n">
        <v>0</v>
      </c>
      <c r="AF38" s="56" t="n">
        <f aca="false">AC38*AD38*elec_va*B38</f>
        <v>0</v>
      </c>
      <c r="AG38" s="56" t="n">
        <f aca="false">MAX(0,AE38-AD38)*AC38*roy_rate*B38*(1-IF(union_resp=2,lic_cut*Labour!S38,0))</f>
        <v>0</v>
      </c>
      <c r="AH38" s="55" t="n">
        <v>6</v>
      </c>
      <c r="AI38" s="56" t="n">
        <f aca="false">AH38*B38</f>
        <v>6.88819820996116</v>
      </c>
      <c r="AJ38" s="55" t="n">
        <v>8</v>
      </c>
      <c r="AK38" s="56" t="n">
        <f aca="false">AJ38*B38</f>
        <v>9.18426427994822</v>
      </c>
      <c r="AL38" s="47" t="n">
        <v>8</v>
      </c>
      <c r="AM38" s="56" t="n">
        <f aca="false">AL38*uw_fee*B38</f>
        <v>0.229606606998705</v>
      </c>
      <c r="AN38" s="55" t="n">
        <v>0</v>
      </c>
      <c r="AO38" s="55" t="n">
        <v>0</v>
      </c>
      <c r="AP38" s="56" t="n">
        <f aca="false">K38+T38+W38+Z38+AF38+AI38+AK38+AM38+AN38+AO38</f>
        <v>22.3220099225036</v>
      </c>
      <c r="AQ38" s="56" t="n">
        <f aca="false">AP38*(1-1/champ_prem+champ_spill)</f>
        <v>15.5013957795164</v>
      </c>
      <c r="AR38" s="66" t="n">
        <f aca="false">AP38/Economy!O38</f>
        <v>0.0173961860065921</v>
      </c>
      <c r="AS38" s="55" t="n">
        <v>25</v>
      </c>
      <c r="AT38" s="55" t="n">
        <v>8</v>
      </c>
      <c r="AU38" s="55" t="n">
        <v>0</v>
      </c>
      <c r="AV38" s="55" t="n">
        <v>0</v>
      </c>
      <c r="AW38" s="55" t="n">
        <v>0</v>
      </c>
      <c r="AX38" s="55" t="n">
        <v>0</v>
      </c>
      <c r="AY38" s="56" t="n">
        <f aca="false">Q38+(AS38+AT38+AU38+AV38+AW38+AX38)*B38</f>
        <v>37.8850901547864</v>
      </c>
      <c r="AZ38" s="56" t="n">
        <f aca="false">P38+(AS38*ret_rail+AT38*ret_tel+AU38*ret_elec+AV38*ret_auto+AW38*ret_chem+AX38*ret_steel)*B38*IF(OR($A38=1931,$A38=1932),abroad_slump,1)+AB38+AG38</f>
        <v>2.46794957598628</v>
      </c>
      <c r="BA38" s="56" t="n">
        <f aca="false">AP38*champ_profit+AZ38</f>
        <v>6.93235156048701</v>
      </c>
      <c r="BB38" s="56" t="n">
        <f aca="false">(K38+AI38+AK38)*champ_profit+P38+(AS38*ret_rail+AT38*ret_tel+AU38*ret_elec)*B38*IF(OR($A38=1931,$A38=1932),abroad_slump,1)</f>
        <v>5.56796021971861</v>
      </c>
      <c r="BC38" s="56" t="n">
        <f aca="false">(T38+W38+Z38+AF38+AN38+AO38)*champ_profit+(AV38*ret_auto+AW38*ret_chem+AX38*ret_steel)*B38*IF(OR($A38=1931,$A38=1932),abroad_slump,1)+AB38+AG38</f>
        <v>1.31847001936867</v>
      </c>
      <c r="BD38" s="56" t="n">
        <f aca="false">IF($A38&gt;=crown_start,(BB38*crown_charter+BC38*crown_comp)*crown_payout,0)</f>
        <v>0</v>
      </c>
      <c r="BE38" s="66" t="n">
        <f aca="false">IF(BB38+BC38&gt;0,(BB38*crown_charter+BC38*crown_comp)/(BA38),0)</f>
        <v>0.216011499620764</v>
      </c>
    </row>
    <row r="39" customFormat="false" ht="14.25" hidden="false" customHeight="true" outlineLevel="0" collapsed="false">
      <c r="A39" s="61" t="n">
        <v>1879</v>
      </c>
      <c r="B39" s="68" t="n">
        <f aca="false">champ_scale*(1+Labour!AP39)*(1+Partners!BX39)*(1-IF(union_resp=2,tariff_cut*Labour!S39,0))</f>
        <v>1.15119198764188</v>
      </c>
      <c r="C39" s="47" t="n">
        <v>280</v>
      </c>
      <c r="D39" s="47" t="n">
        <v>90</v>
      </c>
      <c r="E39" s="47" t="n">
        <v>920</v>
      </c>
      <c r="F39" s="49" t="n">
        <f aca="false">E39*B39</f>
        <v>1059.09662863053</v>
      </c>
      <c r="G39" s="49" t="n">
        <f aca="false">F39/Economy!B39*1000000</f>
        <v>260.364812955014</v>
      </c>
      <c r="H39" s="47" t="n">
        <v>264</v>
      </c>
      <c r="I39" s="70" t="n">
        <f aca="false">IF(H39&gt;0,G39/H39,0)</f>
        <v>0.986230352102324</v>
      </c>
      <c r="J39" s="71" t="n">
        <v>0</v>
      </c>
      <c r="K39" s="56" t="n">
        <f aca="false">Resources!K39*J39*B39</f>
        <v>0</v>
      </c>
      <c r="L39" s="47" t="n">
        <v>0</v>
      </c>
      <c r="M39" s="62" t="n">
        <v>0</v>
      </c>
      <c r="N39" s="47" t="n">
        <v>0</v>
      </c>
      <c r="O39" s="71" t="n">
        <v>0</v>
      </c>
      <c r="P39" s="56" t="n">
        <f aca="false">(IF(Gulf!E39=1,0,L39*M39)+N39)*O39*B39</f>
        <v>0</v>
      </c>
      <c r="Q39" s="56" t="n">
        <f aca="false">P39*oil_book</f>
        <v>0</v>
      </c>
      <c r="R39" s="71" t="n">
        <v>0.11</v>
      </c>
      <c r="S39" s="47" t="n">
        <v>29</v>
      </c>
      <c r="T39" s="56" t="n">
        <f aca="false">R39*S39*B39</f>
        <v>3.67230244057761</v>
      </c>
      <c r="U39" s="47" t="n">
        <v>0</v>
      </c>
      <c r="V39" s="47" t="n">
        <v>0</v>
      </c>
      <c r="W39" s="56" t="n">
        <f aca="false">U39/1000*V39*B39</f>
        <v>0</v>
      </c>
      <c r="X39" s="47" t="n">
        <v>577</v>
      </c>
      <c r="Y39" s="62" t="n">
        <v>0.009</v>
      </c>
      <c r="Z39" s="56" t="n">
        <f aca="false">X39*Y39*chem_va*B39</f>
        <v>2.69016299632093</v>
      </c>
      <c r="AA39" s="62" t="n">
        <v>0.006</v>
      </c>
      <c r="AB39" s="56" t="n">
        <f aca="false">X39*AA39*roy_rate*B39*(1-IF(union_resp=2,lic_cut*Labour!S39,0))</f>
        <v>0.119562799836486</v>
      </c>
      <c r="AC39" s="47" t="n">
        <v>0</v>
      </c>
      <c r="AD39" s="62" t="n">
        <v>0</v>
      </c>
      <c r="AE39" s="62" t="n">
        <v>0</v>
      </c>
      <c r="AF39" s="56" t="n">
        <f aca="false">AC39*AD39*elec_va*B39</f>
        <v>0</v>
      </c>
      <c r="AG39" s="56" t="n">
        <f aca="false">MAX(0,AE39-AD39)*AC39*roy_rate*B39*(1-IF(union_resp=2,lic_cut*Labour!S39,0))</f>
        <v>0</v>
      </c>
      <c r="AH39" s="55" t="n">
        <v>7</v>
      </c>
      <c r="AI39" s="56" t="n">
        <f aca="false">AH39*B39</f>
        <v>8.05834391349318</v>
      </c>
      <c r="AJ39" s="55" t="n">
        <v>8</v>
      </c>
      <c r="AK39" s="56" t="n">
        <f aca="false">AJ39*B39</f>
        <v>9.20953590113506</v>
      </c>
      <c r="AL39" s="47" t="n">
        <v>9</v>
      </c>
      <c r="AM39" s="56" t="n">
        <f aca="false">AL39*uw_fee*B39</f>
        <v>0.259018197219424</v>
      </c>
      <c r="AN39" s="55" t="n">
        <v>0</v>
      </c>
      <c r="AO39" s="55" t="n">
        <v>0</v>
      </c>
      <c r="AP39" s="56" t="n">
        <f aca="false">K39+T39+W39+Z39+AF39+AI39+AK39+AM39+AN39+AO39</f>
        <v>23.8893634487462</v>
      </c>
      <c r="AQ39" s="56" t="n">
        <f aca="false">AP39*(1-1/champ_prem+champ_spill)</f>
        <v>16.589835728296</v>
      </c>
      <c r="AR39" s="66" t="n">
        <f aca="false">AP39/Economy!O39</f>
        <v>0.0178341152398453</v>
      </c>
      <c r="AS39" s="55" t="n">
        <v>28</v>
      </c>
      <c r="AT39" s="55" t="n">
        <v>9</v>
      </c>
      <c r="AU39" s="55" t="n">
        <v>0</v>
      </c>
      <c r="AV39" s="55" t="n">
        <v>0</v>
      </c>
      <c r="AW39" s="55" t="n">
        <v>0</v>
      </c>
      <c r="AX39" s="55" t="n">
        <v>0</v>
      </c>
      <c r="AY39" s="56" t="n">
        <f aca="false">Q39+(AS39+AT39+AU39+AV39+AW39+AX39)*B39</f>
        <v>42.5941035427497</v>
      </c>
      <c r="AZ39" s="56" t="n">
        <f aca="false">P39+(AS39*ret_rail+AT39*ret_tel+AU39*ret_elec+AV39*ret_auto+AW39*ret_chem+AX39*ret_steel)*B39*IF(OR($A39=1931,$A39=1932),abroad_slump,1)+AB39+AG39</f>
        <v>2.76730437141282</v>
      </c>
      <c r="BA39" s="56" t="n">
        <f aca="false">AP39*champ_profit+AZ39</f>
        <v>7.54517706116206</v>
      </c>
      <c r="BB39" s="56" t="n">
        <f aca="false">(K39+AI39+AK39)*champ_profit+P39+(AS39*ret_rail+AT39*ret_tel+AU39*ret_elec)*B39*IF(OR($A39=1931,$A39=1932),abroad_slump,1)</f>
        <v>6.10131753450198</v>
      </c>
      <c r="BC39" s="56" t="n">
        <f aca="false">(T39+W39+Z39+AF39+AN39+AO39)*champ_profit+(AV39*ret_auto+AW39*ret_chem+AX39*ret_steel)*B39*IF(OR($A39=1931,$A39=1932),abroad_slump,1)+AB39+AG39</f>
        <v>1.39205588721619</v>
      </c>
      <c r="BD39" s="56" t="n">
        <f aca="false">IF($A39&gt;=crown_start,(BB39*crown_charter+BC39*crown_comp)*crown_payout,0)</f>
        <v>0</v>
      </c>
      <c r="BE39" s="66" t="n">
        <f aca="false">IF(BB39+BC39&gt;0,(BB39*crown_charter+BC39*crown_comp)/(BA39),0)</f>
        <v>0.216919210952316</v>
      </c>
    </row>
    <row r="40" customFormat="false" ht="14.25" hidden="false" customHeight="true" outlineLevel="0" collapsed="false">
      <c r="A40" s="61" t="n">
        <v>1880</v>
      </c>
      <c r="B40" s="68" t="n">
        <f aca="false">champ_scale*(1+Labour!AP40)*(1+Partners!BX40)*(1-IF(union_resp=2,tariff_cut*Labour!S40,0))</f>
        <v>1.1531222300987</v>
      </c>
      <c r="C40" s="47" t="n">
        <v>300</v>
      </c>
      <c r="D40" s="47" t="n">
        <v>100</v>
      </c>
      <c r="E40" s="47" t="n">
        <v>1000</v>
      </c>
      <c r="F40" s="49" t="n">
        <f aca="false">E40*B40</f>
        <v>1153.1222300987</v>
      </c>
      <c r="G40" s="49" t="n">
        <f aca="false">F40/Economy!B40*1000000</f>
        <v>270.645977664743</v>
      </c>
      <c r="H40" s="47" t="n">
        <v>258</v>
      </c>
      <c r="I40" s="70" t="n">
        <f aca="false">IF(H40&gt;0,G40/H40,0)</f>
        <v>1.0490154173052</v>
      </c>
      <c r="J40" s="71" t="n">
        <v>0</v>
      </c>
      <c r="K40" s="56" t="n">
        <f aca="false">Resources!K40*J40*B40</f>
        <v>0</v>
      </c>
      <c r="L40" s="47" t="n">
        <v>0</v>
      </c>
      <c r="M40" s="62" t="n">
        <v>0</v>
      </c>
      <c r="N40" s="47" t="n">
        <v>1</v>
      </c>
      <c r="O40" s="71" t="n">
        <v>0.6</v>
      </c>
      <c r="P40" s="56" t="n">
        <f aca="false">(IF(Gulf!E40=1,0,L40*M40)+N40)*O40*B40</f>
        <v>0.69187333805922</v>
      </c>
      <c r="Q40" s="56" t="n">
        <f aca="false">P40*oil_book</f>
        <v>4.84311336641454</v>
      </c>
      <c r="R40" s="71" t="n">
        <v>0.12</v>
      </c>
      <c r="S40" s="47" t="n">
        <v>28</v>
      </c>
      <c r="T40" s="56" t="n">
        <f aca="false">R40*S40*B40</f>
        <v>3.87449069313163</v>
      </c>
      <c r="U40" s="47" t="n">
        <v>0</v>
      </c>
      <c r="V40" s="47" t="n">
        <v>0</v>
      </c>
      <c r="W40" s="56" t="n">
        <f aca="false">U40/1000*V40*B40</f>
        <v>0</v>
      </c>
      <c r="X40" s="47" t="n">
        <v>600</v>
      </c>
      <c r="Y40" s="62" t="n">
        <v>0.01</v>
      </c>
      <c r="Z40" s="56" t="n">
        <f aca="false">X40*Y40*chem_va*B40</f>
        <v>3.11343002126649</v>
      </c>
      <c r="AA40" s="62" t="n">
        <v>0.007</v>
      </c>
      <c r="AB40" s="56" t="n">
        <f aca="false">X40*AA40*roy_rate*B40*(1-IF(union_resp=2,lic_cut*Labour!S40,0))</f>
        <v>0.145293400992436</v>
      </c>
      <c r="AC40" s="47" t="n">
        <v>0</v>
      </c>
      <c r="AD40" s="62" t="n">
        <v>0</v>
      </c>
      <c r="AE40" s="62" t="n">
        <v>0</v>
      </c>
      <c r="AF40" s="56" t="n">
        <f aca="false">AC40*AD40*elec_va*B40</f>
        <v>0</v>
      </c>
      <c r="AG40" s="56" t="n">
        <f aca="false">MAX(0,AE40-AD40)*AC40*roy_rate*B40*(1-IF(union_resp=2,lic_cut*Labour!S40,0))</f>
        <v>0</v>
      </c>
      <c r="AH40" s="55" t="n">
        <v>7</v>
      </c>
      <c r="AI40" s="56" t="n">
        <f aca="false">AH40*B40</f>
        <v>8.0718556106909</v>
      </c>
      <c r="AJ40" s="55" t="n">
        <v>9</v>
      </c>
      <c r="AK40" s="56" t="n">
        <f aca="false">AJ40*B40</f>
        <v>10.3781000708883</v>
      </c>
      <c r="AL40" s="47" t="n">
        <v>10</v>
      </c>
      <c r="AM40" s="56" t="n">
        <f aca="false">AL40*uw_fee*B40</f>
        <v>0.288280557524675</v>
      </c>
      <c r="AN40" s="55" t="n">
        <v>0</v>
      </c>
      <c r="AO40" s="55" t="n">
        <v>0</v>
      </c>
      <c r="AP40" s="56" t="n">
        <f aca="false">K40+T40+W40+Z40+AF40+AI40+AK40+AM40+AN40+AO40</f>
        <v>25.726156953502</v>
      </c>
      <c r="AQ40" s="56" t="n">
        <f aca="false">AP40*(1-1/champ_prem+champ_spill)</f>
        <v>17.8653867732653</v>
      </c>
      <c r="AR40" s="66" t="n">
        <f aca="false">AP40/Economy!O40</f>
        <v>0.0183251078936174</v>
      </c>
      <c r="AS40" s="55" t="n">
        <v>30</v>
      </c>
      <c r="AT40" s="55" t="n">
        <v>10</v>
      </c>
      <c r="AU40" s="55" t="n">
        <v>0</v>
      </c>
      <c r="AV40" s="55" t="n">
        <v>0</v>
      </c>
      <c r="AW40" s="55" t="n">
        <v>1</v>
      </c>
      <c r="AX40" s="55" t="n">
        <v>0</v>
      </c>
      <c r="AY40" s="56" t="n">
        <f aca="false">Q40+(AS40+AT40+AU40+AV40+AW40+AX40)*B40</f>
        <v>52.1211248004613</v>
      </c>
      <c r="AZ40" s="56" t="n">
        <f aca="false">P40+(AS40*ret_rail+AT40*ret_tel+AU40*ret_elec+AV40*ret_auto+AW40*ret_chem+AX40*ret_steel)*B40*IF(OR($A40=1931,$A40=1932),abroad_slump,1)+AB40+AG40</f>
        <v>3.85834698191025</v>
      </c>
      <c r="BA40" s="56" t="n">
        <f aca="false">AP40*champ_profit+AZ40</f>
        <v>9.00357837261065</v>
      </c>
      <c r="BB40" s="56" t="n">
        <f aca="false">(K40+AI40+AK40)*champ_profit+P40+(AS40*ret_rail+AT40*ret_tel+AU40*ret_elec)*B40*IF(OR($A40=1931,$A40=1932),abroad_slump,1)</f>
        <v>7.26467004962181</v>
      </c>
      <c r="BC40" s="56" t="n">
        <f aca="false">(T40+W40+Z40+AF40+AN40+AO40)*champ_profit+(AV40*ret_auto+AW40*ret_chem+AX40*ret_steel)*B40*IF(OR($A40=1931,$A40=1932),abroad_slump,1)+AB40+AG40</f>
        <v>1.68125221148391</v>
      </c>
      <c r="BD40" s="56" t="n">
        <f aca="false">IF($A40&gt;=crown_start,(BB40*crown_charter+BC40*crown_comp)*crown_payout,0)</f>
        <v>0.975333844662083</v>
      </c>
      <c r="BE40" s="66" t="n">
        <f aca="false">IF(BB40+BC40&gt;0,(BB40*crown_charter+BC40*crown_comp)/(BA40),0)</f>
        <v>0.216654713114754</v>
      </c>
    </row>
    <row r="41" customFormat="false" ht="14.25" hidden="false" customHeight="true" outlineLevel="0" collapsed="false">
      <c r="A41" s="61" t="n">
        <v>1881</v>
      </c>
      <c r="B41" s="68" t="n">
        <f aca="false">champ_scale*(1+Labour!AP41)*(1+Partners!BX41)*(1-IF(union_resp=2,tariff_cut*Labour!S41,0))</f>
        <v>1.15303505455119</v>
      </c>
      <c r="C41" s="47" t="n">
        <v>360</v>
      </c>
      <c r="D41" s="47" t="n">
        <v>120</v>
      </c>
      <c r="E41" s="47" t="n">
        <v>1150</v>
      </c>
      <c r="F41" s="49" t="n">
        <f aca="false">E41*B41</f>
        <v>1325.99031273387</v>
      </c>
      <c r="G41" s="49" t="n">
        <f aca="false">F41/Economy!B41*1000000</f>
        <v>297.367018395521</v>
      </c>
      <c r="H41" s="47" t="n">
        <v>272</v>
      </c>
      <c r="I41" s="70" t="n">
        <f aca="false">IF(H41&gt;0,G41/H41,0)</f>
        <v>1.09326109704236</v>
      </c>
      <c r="J41" s="71" t="n">
        <v>0</v>
      </c>
      <c r="K41" s="56" t="n">
        <f aca="false">Resources!K41*J41*B41</f>
        <v>0</v>
      </c>
      <c r="L41" s="47" t="n">
        <v>0</v>
      </c>
      <c r="M41" s="62" t="n">
        <v>0</v>
      </c>
      <c r="N41" s="47" t="n">
        <v>1</v>
      </c>
      <c r="O41" s="71" t="n">
        <v>0.598</v>
      </c>
      <c r="P41" s="56" t="n">
        <f aca="false">(IF(Gulf!E41=1,0,L41*M41)+N41)*O41*B41</f>
        <v>0.689514962621612</v>
      </c>
      <c r="Q41" s="56" t="n">
        <f aca="false">P41*oil_book</f>
        <v>4.82660473835128</v>
      </c>
      <c r="R41" s="71" t="n">
        <v>0.153</v>
      </c>
      <c r="S41" s="47" t="n">
        <v>27</v>
      </c>
      <c r="T41" s="56" t="n">
        <f aca="false">R41*S41*B41</f>
        <v>4.76318781035097</v>
      </c>
      <c r="U41" s="47" t="n">
        <v>0</v>
      </c>
      <c r="V41" s="47" t="n">
        <v>0</v>
      </c>
      <c r="W41" s="56" t="n">
        <f aca="false">U41/1000*V41*B41</f>
        <v>0</v>
      </c>
      <c r="X41" s="47" t="n">
        <v>630</v>
      </c>
      <c r="Y41" s="62" t="n">
        <v>0.011</v>
      </c>
      <c r="Z41" s="56" t="n">
        <f aca="false">X41*Y41*chem_va*B41</f>
        <v>3.59573981761789</v>
      </c>
      <c r="AA41" s="62" t="n">
        <v>0.007</v>
      </c>
      <c r="AB41" s="56" t="n">
        <f aca="false">X41*AA41*roy_rate*B41*(1-IF(union_resp=2,lic_cut*Labour!S41,0))</f>
        <v>0.152546537717123</v>
      </c>
      <c r="AC41" s="47" t="n">
        <v>0</v>
      </c>
      <c r="AD41" s="62" t="n">
        <v>0</v>
      </c>
      <c r="AE41" s="62" t="n">
        <v>0</v>
      </c>
      <c r="AF41" s="56" t="n">
        <f aca="false">AC41*AD41*elec_va*B41</f>
        <v>0</v>
      </c>
      <c r="AG41" s="56" t="n">
        <f aca="false">MAX(0,AE41-AD41)*AC41*roy_rate*B41*(1-IF(union_resp=2,lic_cut*Labour!S41,0))</f>
        <v>0</v>
      </c>
      <c r="AH41" s="55" t="n">
        <v>8</v>
      </c>
      <c r="AI41" s="56" t="n">
        <f aca="false">AH41*B41</f>
        <v>9.22428043640952</v>
      </c>
      <c r="AJ41" s="55" t="n">
        <v>10</v>
      </c>
      <c r="AK41" s="56" t="n">
        <f aca="false">AJ41*B41</f>
        <v>11.5303505455119</v>
      </c>
      <c r="AL41" s="47" t="n">
        <v>12</v>
      </c>
      <c r="AM41" s="56" t="n">
        <f aca="false">AL41*uw_fee*B41</f>
        <v>0.345910516365357</v>
      </c>
      <c r="AN41" s="55" t="n">
        <v>0</v>
      </c>
      <c r="AO41" s="55" t="n">
        <v>0</v>
      </c>
      <c r="AP41" s="56" t="n">
        <f aca="false">K41+T41+W41+Z41+AF41+AI41+AK41+AM41+AN41+AO41</f>
        <v>29.4594691262556</v>
      </c>
      <c r="AQ41" s="56" t="n">
        <f aca="false">AP41*(1-1/champ_prem+champ_spill)</f>
        <v>20.4579646710109</v>
      </c>
      <c r="AR41" s="66" t="n">
        <f aca="false">AP41/Economy!O41</f>
        <v>0.0198161235663205</v>
      </c>
      <c r="AS41" s="55" t="n">
        <v>35</v>
      </c>
      <c r="AT41" s="55" t="n">
        <v>12</v>
      </c>
      <c r="AU41" s="55" t="n">
        <v>0</v>
      </c>
      <c r="AV41" s="55" t="n">
        <v>0</v>
      </c>
      <c r="AW41" s="55" t="n">
        <v>1</v>
      </c>
      <c r="AX41" s="55" t="n">
        <v>0</v>
      </c>
      <c r="AY41" s="56" t="n">
        <f aca="false">Q41+(AS41+AT41+AU41+AV41+AW41+AX41)*B41</f>
        <v>60.1722873568084</v>
      </c>
      <c r="AZ41" s="56" t="n">
        <f aca="false">P41+(AS41*ret_rail+AT41*ret_tel+AU41*ret_elec+AV41*ret_auto+AW41*ret_chem+AX41*ret_steel)*B41*IF(OR($A41=1931,$A41=1932),abroad_slump,1)+AB41+AG41</f>
        <v>4.38187911781089</v>
      </c>
      <c r="BA41" s="56" t="n">
        <f aca="false">AP41*champ_profit+AZ41</f>
        <v>10.273772943062</v>
      </c>
      <c r="BB41" s="56" t="n">
        <f aca="false">(K41+AI41+AK41)*champ_profit+P41+(AS41*ret_rail+AT41*ret_tel+AU41*ret_elec)*B41*IF(OR($A41=1931,$A41=1932),abroad_slump,1)</f>
        <v>8.24189456993191</v>
      </c>
      <c r="BC41" s="56" t="n">
        <f aca="false">(T41+W41+Z41+AF41+AN41+AO41)*champ_profit+(AV41*ret_auto+AW41*ret_chem+AX41*ret_steel)*B41*IF(OR($A41=1931,$A41=1932),abroad_slump,1)+AB41+AG41</f>
        <v>1.96269626985704</v>
      </c>
      <c r="BD41" s="56" t="n">
        <f aca="false">IF($A41&gt;=crown_start,(BB41*crown_charter+BC41*crown_comp)*crown_payout,0)</f>
        <v>1.10874467203577</v>
      </c>
      <c r="BE41" s="66" t="n">
        <f aca="false">IF(BB41+BC41&gt;0,(BB41*crown_charter+BC41*crown_comp)/(BA41),0)</f>
        <v>0.215839824021907</v>
      </c>
    </row>
    <row r="42" customFormat="false" ht="14.25" hidden="false" customHeight="true" outlineLevel="0" collapsed="false">
      <c r="A42" s="61" t="n">
        <v>1882</v>
      </c>
      <c r="B42" s="68" t="n">
        <f aca="false">champ_scale*(1+Labour!AP42)*(1+Partners!BX42)*(1-IF(union_resp=2,tariff_cut*Labour!S42,0))</f>
        <v>1.15103289463005</v>
      </c>
      <c r="C42" s="47" t="n">
        <v>420</v>
      </c>
      <c r="D42" s="47" t="n">
        <v>140</v>
      </c>
      <c r="E42" s="47" t="n">
        <v>1300</v>
      </c>
      <c r="F42" s="49" t="n">
        <f aca="false">E42*B42</f>
        <v>1496.34276301906</v>
      </c>
      <c r="G42" s="49" t="n">
        <f aca="false">F42/Economy!B42*1000000</f>
        <v>320.773800327104</v>
      </c>
      <c r="H42" s="47" t="n">
        <v>287</v>
      </c>
      <c r="I42" s="70" t="n">
        <f aca="false">IF(H42&gt;0,G42/H42,0)</f>
        <v>1.11767874678433</v>
      </c>
      <c r="J42" s="71" t="n">
        <v>0</v>
      </c>
      <c r="K42" s="56" t="n">
        <f aca="false">Resources!K42*J42*B42</f>
        <v>0</v>
      </c>
      <c r="L42" s="47" t="n">
        <v>0</v>
      </c>
      <c r="M42" s="62" t="n">
        <v>0</v>
      </c>
      <c r="N42" s="47" t="n">
        <v>2</v>
      </c>
      <c r="O42" s="71" t="n">
        <v>0.595</v>
      </c>
      <c r="P42" s="56" t="n">
        <f aca="false">(IF(Gulf!E42=1,0,L42*M42)+N42)*O42*B42</f>
        <v>1.36972914460976</v>
      </c>
      <c r="Q42" s="56" t="n">
        <f aca="false">P42*oil_book</f>
        <v>9.5881040122683</v>
      </c>
      <c r="R42" s="71" t="n">
        <v>0.186</v>
      </c>
      <c r="S42" s="47" t="n">
        <v>26</v>
      </c>
      <c r="T42" s="56" t="n">
        <f aca="false">R42*S42*B42</f>
        <v>5.56639507843091</v>
      </c>
      <c r="U42" s="47" t="n">
        <v>0</v>
      </c>
      <c r="V42" s="47" t="n">
        <v>0</v>
      </c>
      <c r="W42" s="56" t="n">
        <f aca="false">U42/1000*V42*B42</f>
        <v>0</v>
      </c>
      <c r="X42" s="47" t="n">
        <v>660</v>
      </c>
      <c r="Y42" s="62" t="n">
        <v>0.013</v>
      </c>
      <c r="Z42" s="56" t="n">
        <f aca="false">X42*Y42*chem_va*B42</f>
        <v>4.44413800616662</v>
      </c>
      <c r="AA42" s="62" t="n">
        <v>0.007</v>
      </c>
      <c r="AB42" s="56" t="n">
        <f aca="false">X42*AA42*roy_rate*B42*(1-IF(union_resp=2,lic_cut*Labour!S42,0))</f>
        <v>0.159533159195725</v>
      </c>
      <c r="AC42" s="47" t="n">
        <v>0</v>
      </c>
      <c r="AD42" s="62" t="n">
        <v>0</v>
      </c>
      <c r="AE42" s="62" t="n">
        <v>0</v>
      </c>
      <c r="AF42" s="56" t="n">
        <f aca="false">AC42*AD42*elec_va*B42</f>
        <v>0</v>
      </c>
      <c r="AG42" s="56" t="n">
        <f aca="false">MAX(0,AE42-AD42)*AC42*roy_rate*B42*(1-IF(union_resp=2,lic_cut*Labour!S42,0))</f>
        <v>0</v>
      </c>
      <c r="AH42" s="55" t="n">
        <v>9</v>
      </c>
      <c r="AI42" s="56" t="n">
        <f aca="false">AH42*B42</f>
        <v>10.3592960516704</v>
      </c>
      <c r="AJ42" s="55" t="n">
        <v>10</v>
      </c>
      <c r="AK42" s="56" t="n">
        <f aca="false">AJ42*B42</f>
        <v>11.5103289463005</v>
      </c>
      <c r="AL42" s="47" t="n">
        <v>14</v>
      </c>
      <c r="AM42" s="56" t="n">
        <f aca="false">AL42*uw_fee*B42</f>
        <v>0.402861513120517</v>
      </c>
      <c r="AN42" s="55" t="n">
        <v>0</v>
      </c>
      <c r="AO42" s="55" t="n">
        <v>0</v>
      </c>
      <c r="AP42" s="56" t="n">
        <f aca="false">K42+T42+W42+Z42+AF42+AI42+AK42+AM42+AN42+AO42</f>
        <v>32.283019595689</v>
      </c>
      <c r="AQ42" s="56" t="n">
        <f aca="false">AP42*(1-1/champ_prem+champ_spill)</f>
        <v>22.4187636081173</v>
      </c>
      <c r="AR42" s="66" t="n">
        <f aca="false">AP42/Economy!O42</f>
        <v>0.0205549893219538</v>
      </c>
      <c r="AS42" s="55" t="n">
        <v>40</v>
      </c>
      <c r="AT42" s="55" t="n">
        <v>13</v>
      </c>
      <c r="AU42" s="55" t="n">
        <v>0</v>
      </c>
      <c r="AV42" s="55" t="n">
        <v>0</v>
      </c>
      <c r="AW42" s="55" t="n">
        <v>1</v>
      </c>
      <c r="AX42" s="55" t="n">
        <v>0</v>
      </c>
      <c r="AY42" s="56" t="n">
        <f aca="false">Q42+(AS42+AT42+AU42+AV42+AW42+AX42)*B42</f>
        <v>71.7438803222909</v>
      </c>
      <c r="AZ42" s="56" t="n">
        <f aca="false">P42+(AS42*ret_rail+AT42*ret_tel+AU42*ret_elec+AV42*ret_auto+AW42*ret_chem+AX42*ret_steel)*B42*IF(OR($A42=1931,$A42=1932),abroad_slump,1)+AB42+AG42</f>
        <v>5.46579480344025</v>
      </c>
      <c r="BA42" s="56" t="n">
        <f aca="false">AP42*champ_profit+AZ42</f>
        <v>11.922398722578</v>
      </c>
      <c r="BB42" s="56" t="n">
        <f aca="false">(K42+AI42+AK42)*champ_profit+P42+(AS42*ret_rail+AT42*ret_tel+AU42*ret_elec)*B42*IF(OR($A42=1931,$A42=1932),abroad_slump,1)</f>
        <v>9.5420626964831</v>
      </c>
      <c r="BC42" s="56" t="n">
        <f aca="false">(T42+W42+Z42+AF42+AN42+AO42)*champ_profit+(AV42*ret_auto+AW42*ret_chem+AX42*ret_steel)*B42*IF(OR($A42=1931,$A42=1932),abroad_slump,1)+AB42+AG42</f>
        <v>2.29976372347084</v>
      </c>
      <c r="BD42" s="56" t="n">
        <f aca="false">IF($A42&gt;=crown_start,(BB42*crown_charter+BC42*crown_comp)*crown_payout,0)</f>
        <v>1.28474838599922</v>
      </c>
      <c r="BE42" s="66" t="n">
        <f aca="false">IF(BB42+BC42&gt;0,(BB42*crown_charter+BC42*crown_comp)/(BA42),0)</f>
        <v>0.215518439853254</v>
      </c>
    </row>
    <row r="43" customFormat="false" ht="14.25" hidden="false" customHeight="true" outlineLevel="0" collapsed="false">
      <c r="A43" s="61" t="n">
        <v>1883</v>
      </c>
      <c r="B43" s="68" t="n">
        <f aca="false">champ_scale*(1+Labour!AP43)*(1+Partners!BX43)*(1-IF(union_resp=2,tariff_cut*Labour!S43,0))</f>
        <v>1.15061073404625</v>
      </c>
      <c r="C43" s="47" t="n">
        <v>480</v>
      </c>
      <c r="D43" s="47" t="n">
        <v>160</v>
      </c>
      <c r="E43" s="47" t="n">
        <v>1450</v>
      </c>
      <c r="F43" s="49" t="n">
        <f aca="false">E43*B43</f>
        <v>1668.38556436707</v>
      </c>
      <c r="G43" s="49" t="n">
        <f aca="false">F43/Economy!B43*1000000</f>
        <v>341.786815805667</v>
      </c>
      <c r="H43" s="47" t="n">
        <v>301</v>
      </c>
      <c r="I43" s="70" t="n">
        <f aca="false">IF(H43&gt;0,G43/H43,0)</f>
        <v>1.1355043714474</v>
      </c>
      <c r="J43" s="71" t="n">
        <v>0</v>
      </c>
      <c r="K43" s="56" t="n">
        <f aca="false">Resources!K43*J43*B43</f>
        <v>0</v>
      </c>
      <c r="L43" s="47" t="n">
        <v>0</v>
      </c>
      <c r="M43" s="62" t="n">
        <v>0</v>
      </c>
      <c r="N43" s="47" t="n">
        <v>2</v>
      </c>
      <c r="O43" s="71" t="n">
        <v>0.593</v>
      </c>
      <c r="P43" s="56" t="n">
        <f aca="false">(IF(Gulf!E43=1,0,L43*M43)+N43)*O43*B43</f>
        <v>1.36462433057885</v>
      </c>
      <c r="Q43" s="56" t="n">
        <f aca="false">P43*oil_book</f>
        <v>9.55237031405198</v>
      </c>
      <c r="R43" s="71" t="n">
        <v>0.219</v>
      </c>
      <c r="S43" s="47" t="n">
        <v>25</v>
      </c>
      <c r="T43" s="56" t="n">
        <f aca="false">R43*S43*B43</f>
        <v>6.29959376890323</v>
      </c>
      <c r="U43" s="47" t="n">
        <v>0</v>
      </c>
      <c r="V43" s="47" t="n">
        <v>0</v>
      </c>
      <c r="W43" s="56" t="n">
        <f aca="false">U43/1000*V43*B43</f>
        <v>0</v>
      </c>
      <c r="X43" s="47" t="n">
        <v>690</v>
      </c>
      <c r="Y43" s="62" t="n">
        <v>0.015</v>
      </c>
      <c r="Z43" s="56" t="n">
        <f aca="false">X43*Y43*chem_va*B43</f>
        <v>5.35896949382042</v>
      </c>
      <c r="AA43" s="62" t="n">
        <v>0.008</v>
      </c>
      <c r="AB43" s="56" t="n">
        <f aca="false">X43*AA43*roy_rate*B43*(1-IF(union_resp=2,lic_cut*Labour!S43,0))</f>
        <v>0.190541137558059</v>
      </c>
      <c r="AC43" s="47" t="n">
        <v>0</v>
      </c>
      <c r="AD43" s="62" t="n">
        <v>0</v>
      </c>
      <c r="AE43" s="62" t="n">
        <v>0</v>
      </c>
      <c r="AF43" s="56" t="n">
        <f aca="false">AC43*AD43*elec_va*B43</f>
        <v>0</v>
      </c>
      <c r="AG43" s="56" t="n">
        <f aca="false">MAX(0,AE43-AD43)*AC43*roy_rate*B43*(1-IF(union_resp=2,lic_cut*Labour!S43,0))</f>
        <v>0</v>
      </c>
      <c r="AH43" s="55" t="n">
        <v>9</v>
      </c>
      <c r="AI43" s="56" t="n">
        <f aca="false">AH43*B43</f>
        <v>10.3554966064163</v>
      </c>
      <c r="AJ43" s="55" t="n">
        <v>11</v>
      </c>
      <c r="AK43" s="56" t="n">
        <f aca="false">AJ43*B43</f>
        <v>12.6567180745088</v>
      </c>
      <c r="AL43" s="47" t="n">
        <v>16</v>
      </c>
      <c r="AM43" s="56" t="n">
        <f aca="false">AL43*uw_fee*B43</f>
        <v>0.460244293618501</v>
      </c>
      <c r="AN43" s="55" t="n">
        <v>0</v>
      </c>
      <c r="AO43" s="55" t="n">
        <v>0</v>
      </c>
      <c r="AP43" s="56" t="n">
        <f aca="false">K43+T43+W43+Z43+AF43+AI43+AK43+AM43+AN43+AO43</f>
        <v>35.1310222372672</v>
      </c>
      <c r="AQ43" s="56" t="n">
        <f aca="false">AP43*(1-1/champ_prem+champ_spill)</f>
        <v>24.3965432203244</v>
      </c>
      <c r="AR43" s="66" t="n">
        <f aca="false">AP43/Economy!O43</f>
        <v>0.0212019739040408</v>
      </c>
      <c r="AS43" s="55" t="n">
        <v>45</v>
      </c>
      <c r="AT43" s="55" t="n">
        <v>14</v>
      </c>
      <c r="AU43" s="55" t="n">
        <v>0</v>
      </c>
      <c r="AV43" s="55" t="n">
        <v>0</v>
      </c>
      <c r="AW43" s="55" t="n">
        <v>2</v>
      </c>
      <c r="AX43" s="55" t="n">
        <v>0</v>
      </c>
      <c r="AY43" s="56" t="n">
        <f aca="false">Q43+(AS43+AT43+AU43+AV43+AW43+AX43)*B43</f>
        <v>79.7396250908734</v>
      </c>
      <c r="AZ43" s="56" t="n">
        <f aca="false">P43+(AS43*ret_rail+AT43*ret_tel+AU43*ret_elec+AV43*ret_auto+AW43*ret_chem+AX43*ret_steel)*B43*IF(OR($A43=1931,$A43=1932),abroad_slump,1)+AB43+AG43</f>
        <v>6.03104122357684</v>
      </c>
      <c r="BA43" s="56" t="n">
        <f aca="false">AP43*champ_profit+AZ43</f>
        <v>13.0572456710303</v>
      </c>
      <c r="BB43" s="56" t="n">
        <f aca="false">(K43+AI43+AK43)*champ_profit+P43+(AS43*ret_rail+AT43*ret_tel+AU43*ret_elec)*B43*IF(OR($A43=1931,$A43=1932),abroad_slump,1)</f>
        <v>10.1667964460327</v>
      </c>
      <c r="BC43" s="56" t="n">
        <f aca="false">(T43+W43+Z43+AF43+AN43+AO43)*champ_profit+(AV43*ret_auto+AW43*ret_chem+AX43*ret_steel)*B43*IF(OR($A43=1931,$A43=1932),abroad_slump,1)+AB43+AG43</f>
        <v>2.79840036627389</v>
      </c>
      <c r="BD43" s="56" t="n">
        <f aca="false">IF($A43&gt;=crown_start,(BB43*crown_charter+BC43*crown_comp)*crown_payout,0)</f>
        <v>1.38278557040504</v>
      </c>
      <c r="BE43" s="66" t="n">
        <f aca="false">IF(BB43+BC43&gt;0,(BB43*crown_charter+BC43*crown_comp)/(BA43),0)</f>
        <v>0.211803561829734</v>
      </c>
    </row>
    <row r="44" customFormat="false" ht="14.25" hidden="false" customHeight="true" outlineLevel="0" collapsed="false">
      <c r="A44" s="61" t="n">
        <v>1884</v>
      </c>
      <c r="B44" s="68" t="n">
        <f aca="false">champ_scale*(1+Labour!AP44)*(1+Partners!BX44)*(1-IF(union_resp=2,tariff_cut*Labour!S44,0))</f>
        <v>1.15115247248849</v>
      </c>
      <c r="C44" s="47" t="n">
        <v>540</v>
      </c>
      <c r="D44" s="47" t="n">
        <v>180</v>
      </c>
      <c r="E44" s="47" t="n">
        <v>1600</v>
      </c>
      <c r="F44" s="49" t="n">
        <f aca="false">E44*B44</f>
        <v>1841.84395598158</v>
      </c>
      <c r="G44" s="49" t="n">
        <f aca="false">F44/Economy!B44*1000000</f>
        <v>360.893330462167</v>
      </c>
      <c r="H44" s="47" t="n">
        <v>316</v>
      </c>
      <c r="I44" s="70" t="n">
        <f aca="false">IF(H44&gt;0,G44/H44,0)</f>
        <v>1.14206750146255</v>
      </c>
      <c r="J44" s="71" t="n">
        <v>0</v>
      </c>
      <c r="K44" s="56" t="n">
        <f aca="false">Resources!K44*J44*B44</f>
        <v>0</v>
      </c>
      <c r="L44" s="47" t="n">
        <v>0</v>
      </c>
      <c r="M44" s="62" t="n">
        <v>0</v>
      </c>
      <c r="N44" s="47" t="n">
        <v>3</v>
      </c>
      <c r="O44" s="71" t="n">
        <v>0.59</v>
      </c>
      <c r="P44" s="56" t="n">
        <f aca="false">(IF(Gulf!E44=1,0,L44*M44)+N44)*O44*B44</f>
        <v>2.03753987630462</v>
      </c>
      <c r="Q44" s="56" t="n">
        <f aca="false">P44*oil_book</f>
        <v>14.2627791341324</v>
      </c>
      <c r="R44" s="71" t="n">
        <v>0.252</v>
      </c>
      <c r="S44" s="47" t="n">
        <v>24</v>
      </c>
      <c r="T44" s="56" t="n">
        <f aca="false">R44*S44*B44</f>
        <v>6.96217015361038</v>
      </c>
      <c r="U44" s="47" t="n">
        <v>0</v>
      </c>
      <c r="V44" s="47" t="n">
        <v>0</v>
      </c>
      <c r="W44" s="56" t="n">
        <f aca="false">U44/1000*V44*B44</f>
        <v>0</v>
      </c>
      <c r="X44" s="47" t="n">
        <v>720</v>
      </c>
      <c r="Y44" s="62" t="n">
        <v>0.016</v>
      </c>
      <c r="Z44" s="56" t="n">
        <f aca="false">X44*Y44*chem_va*B44</f>
        <v>5.96757441738032</v>
      </c>
      <c r="AA44" s="62" t="n">
        <v>0.008</v>
      </c>
      <c r="AB44" s="56" t="n">
        <f aca="false">X44*AA44*roy_rate*B44*(1-IF(union_resp=2,lic_cut*Labour!S44,0))</f>
        <v>0.198919147246011</v>
      </c>
      <c r="AC44" s="47" t="n">
        <v>0</v>
      </c>
      <c r="AD44" s="62" t="n">
        <v>0</v>
      </c>
      <c r="AE44" s="62" t="n">
        <v>0</v>
      </c>
      <c r="AF44" s="56" t="n">
        <f aca="false">AC44*AD44*elec_va*B44</f>
        <v>0</v>
      </c>
      <c r="AG44" s="56" t="n">
        <f aca="false">MAX(0,AE44-AD44)*AC44*roy_rate*B44*(1-IF(union_resp=2,lic_cut*Labour!S44,0))</f>
        <v>0</v>
      </c>
      <c r="AH44" s="55" t="n">
        <v>10</v>
      </c>
      <c r="AI44" s="56" t="n">
        <f aca="false">AH44*B44</f>
        <v>11.5115247248849</v>
      </c>
      <c r="AJ44" s="55" t="n">
        <v>11</v>
      </c>
      <c r="AK44" s="56" t="n">
        <f aca="false">AJ44*B44</f>
        <v>12.6626771973734</v>
      </c>
      <c r="AL44" s="47" t="n">
        <v>18</v>
      </c>
      <c r="AM44" s="56" t="n">
        <f aca="false">AL44*uw_fee*B44</f>
        <v>0.51801861261982</v>
      </c>
      <c r="AN44" s="55" t="n">
        <v>0</v>
      </c>
      <c r="AO44" s="55" t="n">
        <v>0</v>
      </c>
      <c r="AP44" s="56" t="n">
        <f aca="false">K44+T44+W44+Z44+AF44+AI44+AK44+AM44+AN44+AO44</f>
        <v>37.6219651058688</v>
      </c>
      <c r="AQ44" s="56" t="n">
        <f aca="false">AP44*(1-1/champ_prem+champ_spill)</f>
        <v>26.1263646568533</v>
      </c>
      <c r="AR44" s="66" t="n">
        <f aca="false">AP44/Economy!O44</f>
        <v>0.0219759635646328</v>
      </c>
      <c r="AS44" s="55" t="n">
        <v>50</v>
      </c>
      <c r="AT44" s="55" t="n">
        <v>16</v>
      </c>
      <c r="AU44" s="55" t="n">
        <v>0</v>
      </c>
      <c r="AV44" s="55" t="n">
        <v>0</v>
      </c>
      <c r="AW44" s="55" t="n">
        <v>2</v>
      </c>
      <c r="AX44" s="55" t="n">
        <v>0</v>
      </c>
      <c r="AY44" s="56" t="n">
        <f aca="false">Q44+(AS44+AT44+AU44+AV44+AW44+AX44)*B44</f>
        <v>92.5411472633496</v>
      </c>
      <c r="AZ44" s="56" t="n">
        <f aca="false">P44+(AS44*ret_rail+AT44*ret_tel+AU44*ret_elec+AV44*ret_auto+AW44*ret_chem+AX44*ret_steel)*B44*IF(OR($A44=1931,$A44=1932),abroad_slump,1)+AB44+AG44</f>
        <v>7.23246075415067</v>
      </c>
      <c r="BA44" s="56" t="n">
        <f aca="false">AP44*champ_profit+AZ44</f>
        <v>14.7568537753244</v>
      </c>
      <c r="BB44" s="56" t="n">
        <f aca="false">(K44+AI44+AK44)*champ_profit+P44+(AS44*ret_rail+AT44*ret_tel+AU44*ret_elec)*B44*IF(OR($A44=1931,$A44=1932),abroad_slump,1)</f>
        <v>11.5921053979591</v>
      </c>
      <c r="BC44" s="56" t="n">
        <f aca="false">(T44+W44+Z44+AF44+AN44+AO44)*champ_profit+(AV44*ret_auto+AW44*ret_chem+AX44*ret_steel)*B44*IF(OR($A44=1931,$A44=1932),abroad_slump,1)+AB44+AG44</f>
        <v>3.06114465484139</v>
      </c>
      <c r="BD44" s="56" t="n">
        <f aca="false">IF($A44&gt;=crown_start,(BB44*crown_charter+BC44*crown_comp)*crown_payout,0)</f>
        <v>1.57145896093854</v>
      </c>
      <c r="BE44" s="66" t="n">
        <f aca="false">IF(BB44+BC44&gt;0,(BB44*crown_charter+BC44*crown_comp)/(BA44),0)</f>
        <v>0.212980217174239</v>
      </c>
    </row>
    <row r="45" customFormat="false" ht="14.25" hidden="false" customHeight="true" outlineLevel="0" collapsed="false">
      <c r="A45" s="61" t="n">
        <v>1885</v>
      </c>
      <c r="B45" s="68" t="n">
        <f aca="false">champ_scale*(1+Labour!AP45)*(1+Partners!BX45)*(1-IF(union_resp=2,tariff_cut*Labour!S45,0))</f>
        <v>1.15290711471347</v>
      </c>
      <c r="C45" s="47" t="n">
        <v>600</v>
      </c>
      <c r="D45" s="47" t="n">
        <v>200</v>
      </c>
      <c r="E45" s="47" t="n">
        <v>1750</v>
      </c>
      <c r="F45" s="49" t="n">
        <f aca="false">E45*B45</f>
        <v>2017.58745074858</v>
      </c>
      <c r="G45" s="49" t="n">
        <f aca="false">F45/Economy!B45*1000000</f>
        <v>378.667824733511</v>
      </c>
      <c r="H45" s="47" t="n">
        <v>330</v>
      </c>
      <c r="I45" s="70" t="n">
        <f aca="false">IF(H45&gt;0,G45/H45,0)</f>
        <v>1.14747825676822</v>
      </c>
      <c r="J45" s="71" t="n">
        <v>0</v>
      </c>
      <c r="K45" s="56" t="n">
        <f aca="false">Resources!K45*J45*B45</f>
        <v>0</v>
      </c>
      <c r="L45" s="47" t="n">
        <v>0</v>
      </c>
      <c r="M45" s="62" t="n">
        <v>0</v>
      </c>
      <c r="N45" s="47" t="n">
        <v>3</v>
      </c>
      <c r="O45" s="71" t="n">
        <v>0.588</v>
      </c>
      <c r="P45" s="56" t="n">
        <f aca="false">(IF(Gulf!E45=1,0,L45*M45)+N45)*O45*B45</f>
        <v>2.03372815035457</v>
      </c>
      <c r="Q45" s="56" t="n">
        <f aca="false">P45*oil_book</f>
        <v>14.236097052482</v>
      </c>
      <c r="R45" s="71" t="n">
        <v>0.285</v>
      </c>
      <c r="S45" s="47" t="n">
        <v>23</v>
      </c>
      <c r="T45" s="56" t="n">
        <f aca="false">R45*S45*B45</f>
        <v>7.55730613694682</v>
      </c>
      <c r="U45" s="47" t="n">
        <v>0</v>
      </c>
      <c r="V45" s="47" t="n">
        <v>0</v>
      </c>
      <c r="W45" s="56" t="n">
        <f aca="false">U45/1000*V45*B45</f>
        <v>0</v>
      </c>
      <c r="X45" s="47" t="n">
        <v>750</v>
      </c>
      <c r="Y45" s="62" t="n">
        <v>0.018</v>
      </c>
      <c r="Z45" s="56" t="n">
        <f aca="false">X45*Y45*chem_va*B45</f>
        <v>7.00391072188435</v>
      </c>
      <c r="AA45" s="62" t="n">
        <v>0.008</v>
      </c>
      <c r="AB45" s="56" t="n">
        <f aca="false">X45*AA45*roy_rate*B45*(1-IF(union_resp=2,lic_cut*Labour!S45,0))</f>
        <v>0.207523280648425</v>
      </c>
      <c r="AC45" s="47" t="n">
        <v>30</v>
      </c>
      <c r="AD45" s="62" t="n">
        <v>0.15</v>
      </c>
      <c r="AE45" s="62" t="n">
        <v>0.15</v>
      </c>
      <c r="AF45" s="56" t="n">
        <f aca="false">AC45*AD45*elec_va*B45</f>
        <v>2.33463690729478</v>
      </c>
      <c r="AG45" s="56" t="n">
        <f aca="false">MAX(0,AE45-AD45)*AC45*roy_rate*B45*(1-IF(union_resp=2,lic_cut*Labour!S45,0))</f>
        <v>0</v>
      </c>
      <c r="AH45" s="55" t="n">
        <v>11</v>
      </c>
      <c r="AI45" s="56" t="n">
        <f aca="false">AH45*B45</f>
        <v>12.6819782618482</v>
      </c>
      <c r="AJ45" s="55" t="n">
        <v>12</v>
      </c>
      <c r="AK45" s="56" t="n">
        <f aca="false">AJ45*B45</f>
        <v>13.8348853765617</v>
      </c>
      <c r="AL45" s="47" t="n">
        <v>20</v>
      </c>
      <c r="AM45" s="56" t="n">
        <f aca="false">AL45*uw_fee*B45</f>
        <v>0.576453557356737</v>
      </c>
      <c r="AN45" s="55" t="n">
        <v>0</v>
      </c>
      <c r="AO45" s="55" t="n">
        <v>0</v>
      </c>
      <c r="AP45" s="56" t="n">
        <f aca="false">K45+T45+W45+Z45+AF45+AI45+AK45+AM45+AN45+AO45</f>
        <v>43.9891709618926</v>
      </c>
      <c r="AQ45" s="56" t="n">
        <f aca="false">AP45*(1-1/champ_prem+champ_spill)</f>
        <v>30.5480353902032</v>
      </c>
      <c r="AR45" s="66" t="n">
        <f aca="false">AP45/Economy!O45</f>
        <v>0.0243739347883235</v>
      </c>
      <c r="AS45" s="55" t="n">
        <v>55</v>
      </c>
      <c r="AT45" s="55" t="n">
        <v>18</v>
      </c>
      <c r="AU45" s="55" t="n">
        <v>0</v>
      </c>
      <c r="AV45" s="55" t="n">
        <v>0</v>
      </c>
      <c r="AW45" s="55" t="n">
        <v>2</v>
      </c>
      <c r="AX45" s="55" t="n">
        <v>0</v>
      </c>
      <c r="AY45" s="56" t="n">
        <f aca="false">Q45+(AS45+AT45+AU45+AV45+AW45+AX45)*B45</f>
        <v>100.704130655992</v>
      </c>
      <c r="AZ45" s="56" t="n">
        <f aca="false">P45+(AS45*ret_rail+AT45*ret_tel+AU45*ret_elec+AV45*ret_auto+AW45*ret_chem+AX45*ret_steel)*B45*IF(OR($A45=1931,$A45=1932),abroad_slump,1)+AB45+AG45</f>
        <v>7.76367651048053</v>
      </c>
      <c r="BA45" s="56" t="n">
        <f aca="false">AP45*champ_profit+AZ45</f>
        <v>16.561510702859</v>
      </c>
      <c r="BB45" s="56" t="n">
        <f aca="false">(K45+AI45+AK45)*champ_profit+P45+(AS45*ret_rail+AT45*ret_tel+AU45*ret_elec)*B45*IF(OR($A45=1931,$A45=1932),abroad_slump,1)</f>
        <v>12.5828282499828</v>
      </c>
      <c r="BC45" s="56" t="n">
        <f aca="false">(T45+W45+Z45+AF45+AN45+AO45)*champ_profit+(AV45*ret_auto+AW45*ret_chem+AX45*ret_steel)*B45*IF(OR($A45=1931,$A45=1932),abroad_slump,1)+AB45+AG45</f>
        <v>3.86339174140485</v>
      </c>
      <c r="BD45" s="56" t="n">
        <f aca="false">IF($A45&gt;=crown_start,(BB45*crown_charter+BC45*crown_comp)*crown_payout,0)</f>
        <v>1.72738920090405</v>
      </c>
      <c r="BE45" s="66" t="n">
        <f aca="false">IF(BB45+BC45&gt;0,(BB45*crown_charter+BC45*crown_comp)/(BA45),0)</f>
        <v>0.208602854159415</v>
      </c>
    </row>
    <row r="46" customFormat="false" ht="14.25" hidden="false" customHeight="true" outlineLevel="0" collapsed="false">
      <c r="A46" s="61" t="n">
        <v>1886</v>
      </c>
      <c r="B46" s="68" t="n">
        <f aca="false">champ_scale*(1+Labour!AP46)*(1+Partners!BX46)*(1-IF(union_resp=2,tariff_cut*Labour!S46,0))</f>
        <v>1.15426978170347</v>
      </c>
      <c r="C46" s="47" t="n">
        <v>660</v>
      </c>
      <c r="D46" s="47" t="n">
        <v>220</v>
      </c>
      <c r="E46" s="47" t="n">
        <v>1900</v>
      </c>
      <c r="F46" s="49" t="n">
        <f aca="false">E46*B46</f>
        <v>2193.1125852366</v>
      </c>
      <c r="G46" s="49" t="n">
        <f aca="false">F46/Economy!B46*1000000</f>
        <v>394.627986239065</v>
      </c>
      <c r="H46" s="47" t="n">
        <v>344</v>
      </c>
      <c r="I46" s="70" t="n">
        <f aca="false">IF(H46&gt;0,G46/H46,0)</f>
        <v>1.14717437860193</v>
      </c>
      <c r="J46" s="71" t="n">
        <v>0</v>
      </c>
      <c r="K46" s="56" t="n">
        <f aca="false">Resources!K46*J46*B46</f>
        <v>0</v>
      </c>
      <c r="L46" s="47" t="n">
        <v>0</v>
      </c>
      <c r="M46" s="62" t="n">
        <v>0</v>
      </c>
      <c r="N46" s="47" t="n">
        <v>4</v>
      </c>
      <c r="O46" s="71" t="n">
        <v>0.585</v>
      </c>
      <c r="P46" s="56" t="n">
        <f aca="false">(IF(Gulf!E46=1,0,L46*M46)+N46)*O46*B46</f>
        <v>2.70099128918613</v>
      </c>
      <c r="Q46" s="56" t="n">
        <f aca="false">P46*oil_book</f>
        <v>18.9069390243029</v>
      </c>
      <c r="R46" s="71" t="n">
        <v>0.318</v>
      </c>
      <c r="S46" s="47" t="n">
        <v>22</v>
      </c>
      <c r="T46" s="56" t="n">
        <f aca="false">R46*S46*B46</f>
        <v>8.07527139279751</v>
      </c>
      <c r="U46" s="47" t="n">
        <v>0</v>
      </c>
      <c r="V46" s="47" t="n">
        <v>0</v>
      </c>
      <c r="W46" s="56" t="n">
        <f aca="false">U46/1000*V46*B46</f>
        <v>0</v>
      </c>
      <c r="X46" s="47" t="n">
        <v>780</v>
      </c>
      <c r="Y46" s="62" t="n">
        <v>0.019</v>
      </c>
      <c r="Z46" s="56" t="n">
        <f aca="false">X46*Y46*chem_va*B46</f>
        <v>7.69782517418047</v>
      </c>
      <c r="AA46" s="62" t="n">
        <v>0.009</v>
      </c>
      <c r="AB46" s="56" t="n">
        <f aca="false">X46*AA46*roy_rate*B46*(1-IF(union_resp=2,lic_cut*Labour!S46,0))</f>
        <v>0.243089216026752</v>
      </c>
      <c r="AC46" s="47" t="n">
        <v>44</v>
      </c>
      <c r="AD46" s="62" t="n">
        <v>0.16</v>
      </c>
      <c r="AE46" s="62" t="n">
        <v>0.17</v>
      </c>
      <c r="AF46" s="56" t="n">
        <f aca="false">AC46*AD46*elec_va*B46</f>
        <v>3.65672666843661</v>
      </c>
      <c r="AG46" s="56" t="n">
        <f aca="false">MAX(0,AE46-AD46)*AC46*roy_rate*B46*(1-IF(union_resp=2,lic_cut*Labour!S46,0))</f>
        <v>0.0152363611184859</v>
      </c>
      <c r="AH46" s="55" t="n">
        <v>12</v>
      </c>
      <c r="AI46" s="56" t="n">
        <f aca="false">AH46*B46</f>
        <v>13.8512373804417</v>
      </c>
      <c r="AJ46" s="55" t="n">
        <v>13</v>
      </c>
      <c r="AK46" s="56" t="n">
        <f aca="false">AJ46*B46</f>
        <v>15.0055071621452</v>
      </c>
      <c r="AL46" s="47" t="n">
        <v>22</v>
      </c>
      <c r="AM46" s="56" t="n">
        <f aca="false">AL46*uw_fee*B46</f>
        <v>0.634848379936911</v>
      </c>
      <c r="AN46" s="55" t="n">
        <v>0</v>
      </c>
      <c r="AO46" s="55" t="n">
        <v>0</v>
      </c>
      <c r="AP46" s="56" t="n">
        <f aca="false">K46+T46+W46+Z46+AF46+AI46+AK46+AM46+AN46+AO46</f>
        <v>48.9214161579384</v>
      </c>
      <c r="AQ46" s="56" t="n">
        <f aca="false">AP46*(1-1/champ_prem+champ_spill)</f>
        <v>33.973205665235</v>
      </c>
      <c r="AR46" s="66" t="n">
        <f aca="false">AP46/Economy!O46</f>
        <v>0.0249169115181007</v>
      </c>
      <c r="AS46" s="55" t="n">
        <v>60</v>
      </c>
      <c r="AT46" s="55" t="n">
        <v>19</v>
      </c>
      <c r="AU46" s="55" t="n">
        <v>0</v>
      </c>
      <c r="AV46" s="55" t="n">
        <v>0</v>
      </c>
      <c r="AW46" s="55" t="n">
        <v>2</v>
      </c>
      <c r="AX46" s="55" t="n">
        <v>0</v>
      </c>
      <c r="AY46" s="56" t="n">
        <f aca="false">Q46+(AS46+AT46+AU46+AV46+AW46+AX46)*B46</f>
        <v>112.402791342284</v>
      </c>
      <c r="AZ46" s="56" t="n">
        <f aca="false">P46+(AS46*ret_rail+AT46*ret_tel+AU46*ret_elec+AV46*ret_auto+AW46*ret_chem+AX46*ret_steel)*B46*IF(OR($A46=1931,$A46=1932),abroad_slump,1)+AB46+AG46</f>
        <v>8.89226354428723</v>
      </c>
      <c r="BA46" s="56" t="n">
        <f aca="false">AP46*champ_profit+AZ46</f>
        <v>18.6765467758749</v>
      </c>
      <c r="BB46" s="56" t="n">
        <f aca="false">(K46+AI46+AK46)*champ_profit+P46+(AS46*ret_rail+AT46*ret_tel+AU46*ret_elec)*B46*IF(OR($A46=1931,$A46=1932),abroad_slump,1)</f>
        <v>14.1282621280505</v>
      </c>
      <c r="BC46" s="56" t="n">
        <f aca="false">(T46+W46+Z46+AF46+AN46+AO46)*champ_profit+(AV46*ret_auto+AW46*ret_chem+AX46*ret_steel)*B46*IF(OR($A46=1931,$A46=1932),abroad_slump,1)+AB46+AG46</f>
        <v>4.42131497183699</v>
      </c>
      <c r="BD46" s="56" t="n">
        <f aca="false">IF($A46&gt;=crown_start,(BB46*crown_charter+BC46*crown_comp)*crown_payout,0)</f>
        <v>1.9428853648798</v>
      </c>
      <c r="BE46" s="66" t="n">
        <f aca="false">IF(BB46+BC46&gt;0,(BB46*crown_charter+BC46*crown_comp)/(BA46),0)</f>
        <v>0.208056166720229</v>
      </c>
    </row>
    <row r="47" customFormat="false" ht="14.25" hidden="false" customHeight="true" outlineLevel="0" collapsed="false">
      <c r="A47" s="61" t="n">
        <v>1887</v>
      </c>
      <c r="B47" s="68" t="n">
        <f aca="false">champ_scale*(1+Labour!AP47)*(1+Partners!BX47)*(1-IF(union_resp=2,tariff_cut*Labour!S47,0))</f>
        <v>1.15695965409173</v>
      </c>
      <c r="C47" s="47" t="n">
        <v>720</v>
      </c>
      <c r="D47" s="47" t="n">
        <v>240</v>
      </c>
      <c r="E47" s="47" t="n">
        <v>2050</v>
      </c>
      <c r="F47" s="49" t="n">
        <f aca="false">E47*B47</f>
        <v>2371.76729088804</v>
      </c>
      <c r="G47" s="49" t="n">
        <f aca="false">F47/Economy!B47*1000000</f>
        <v>408.774317264235</v>
      </c>
      <c r="H47" s="47" t="n">
        <v>359</v>
      </c>
      <c r="I47" s="70" t="n">
        <f aca="false">IF(H47&gt;0,G47/H47,0)</f>
        <v>1.1386471232987</v>
      </c>
      <c r="J47" s="71" t="n">
        <v>0</v>
      </c>
      <c r="K47" s="56" t="n">
        <f aca="false">Resources!K47*J47*B47</f>
        <v>0</v>
      </c>
      <c r="L47" s="47" t="n">
        <v>0</v>
      </c>
      <c r="M47" s="62" t="n">
        <v>0</v>
      </c>
      <c r="N47" s="47" t="n">
        <v>4</v>
      </c>
      <c r="O47" s="71" t="n">
        <v>0.583</v>
      </c>
      <c r="P47" s="56" t="n">
        <f aca="false">(IF(Gulf!E47=1,0,L47*M47)+N47)*O47*B47</f>
        <v>2.69802991334191</v>
      </c>
      <c r="Q47" s="56" t="n">
        <f aca="false">P47*oil_book</f>
        <v>18.8862093933934</v>
      </c>
      <c r="R47" s="71" t="n">
        <v>0.351</v>
      </c>
      <c r="S47" s="47" t="n">
        <v>21</v>
      </c>
      <c r="T47" s="56" t="n">
        <f aca="false">R47*S47*B47</f>
        <v>8.52794961031012</v>
      </c>
      <c r="U47" s="47" t="n">
        <v>0</v>
      </c>
      <c r="V47" s="47" t="n">
        <v>0</v>
      </c>
      <c r="W47" s="56" t="n">
        <f aca="false">U47/1000*V47*B47</f>
        <v>0</v>
      </c>
      <c r="X47" s="47" t="n">
        <v>810</v>
      </c>
      <c r="Y47" s="62" t="n">
        <v>0.021</v>
      </c>
      <c r="Z47" s="56" t="n">
        <f aca="false">X47*Y47*chem_va*B47</f>
        <v>8.85594767224513</v>
      </c>
      <c r="AA47" s="62" t="n">
        <v>0.009</v>
      </c>
      <c r="AB47" s="56" t="n">
        <f aca="false">X47*AA47*roy_rate*B47*(1-IF(union_resp=2,lic_cut*Labour!S47,0))</f>
        <v>0.253027076349861</v>
      </c>
      <c r="AC47" s="47" t="n">
        <v>58</v>
      </c>
      <c r="AD47" s="62" t="n">
        <v>0.17</v>
      </c>
      <c r="AE47" s="62" t="n">
        <v>0.19</v>
      </c>
      <c r="AF47" s="56" t="n">
        <f aca="false">AC47*AD47*elec_va*B47</f>
        <v>5.13342998520499</v>
      </c>
      <c r="AG47" s="56" t="n">
        <f aca="false">MAX(0,AE47-AD47)*AC47*roy_rate*B47*(1-IF(union_resp=2,lic_cut*Labour!S47,0))</f>
        <v>0.0402621959623921</v>
      </c>
      <c r="AH47" s="55" t="n">
        <v>13</v>
      </c>
      <c r="AI47" s="56" t="n">
        <f aca="false">AH47*B47</f>
        <v>15.0404755031925</v>
      </c>
      <c r="AJ47" s="55" t="n">
        <v>13</v>
      </c>
      <c r="AK47" s="56" t="n">
        <f aca="false">AJ47*B47</f>
        <v>15.0404755031925</v>
      </c>
      <c r="AL47" s="47" t="n">
        <v>24</v>
      </c>
      <c r="AM47" s="56" t="n">
        <f aca="false">AL47*uw_fee*B47</f>
        <v>0.694175792455037</v>
      </c>
      <c r="AN47" s="55" t="n">
        <v>0</v>
      </c>
      <c r="AO47" s="55" t="n">
        <v>0</v>
      </c>
      <c r="AP47" s="56" t="n">
        <f aca="false">K47+T47+W47+Z47+AF47+AI47+AK47+AM47+AN47+AO47</f>
        <v>53.2924540666002</v>
      </c>
      <c r="AQ47" s="56" t="n">
        <f aca="false">AP47*(1-1/champ_prem+champ_spill)</f>
        <v>37.0086486573612</v>
      </c>
      <c r="AR47" s="66" t="n">
        <f aca="false">AP47/Economy!O47</f>
        <v>0.0254188980588763</v>
      </c>
      <c r="AS47" s="55" t="n">
        <v>65</v>
      </c>
      <c r="AT47" s="55" t="n">
        <v>20</v>
      </c>
      <c r="AU47" s="55" t="n">
        <v>0</v>
      </c>
      <c r="AV47" s="55" t="n">
        <v>0</v>
      </c>
      <c r="AW47" s="55" t="n">
        <v>2</v>
      </c>
      <c r="AX47" s="55" t="n">
        <v>0</v>
      </c>
      <c r="AY47" s="56" t="n">
        <f aca="false">Q47+(AS47+AT47+AU47+AV47+AW47+AX47)*B47</f>
        <v>119.541699299374</v>
      </c>
      <c r="AZ47" s="56" t="n">
        <f aca="false">P47+(AS47*ret_rail+AT47*ret_tel+AU47*ret_elec+AV47*ret_auto+AW47*ret_chem+AX47*ret_steel)*B47*IF(OR($A47=1931,$A47=1932),abroad_slump,1)+AB47+AG47</f>
        <v>9.34302768661774</v>
      </c>
      <c r="BA47" s="56" t="n">
        <f aca="false">AP47*champ_profit+AZ47</f>
        <v>20.0015184999378</v>
      </c>
      <c r="BB47" s="56" t="n">
        <f aca="false">(K47+AI47+AK47)*champ_profit+P47+(AS47*ret_rail+AT47*ret_tel+AU47*ret_elec)*B47*IF(OR($A47=1931,$A47=1932),abroad_slump,1)</f>
        <v>14.7882582986005</v>
      </c>
      <c r="BC47" s="56" t="n">
        <f aca="false">(T47+W47+Z47+AF47+AN47+AO47)*champ_profit+(AV47*ret_auto+AW47*ret_chem+AX47*ret_steel)*B47*IF(OR($A47=1931,$A47=1932),abroad_slump,1)+AB47+AG47</f>
        <v>5.07442504284632</v>
      </c>
      <c r="BD47" s="56" t="n">
        <f aca="false">IF($A47&gt;=crown_start,(BB47*crown_charter+BC47*crown_comp)*crown_payout,0)</f>
        <v>2.05150928903891</v>
      </c>
      <c r="BE47" s="66" t="n">
        <f aca="false">IF(BB47+BC47&gt;0,(BB47*crown_charter+BC47*crown_comp)/(BA47),0)</f>
        <v>0.205135354002777</v>
      </c>
    </row>
    <row r="48" customFormat="false" ht="14.25" hidden="false" customHeight="true" outlineLevel="0" collapsed="false">
      <c r="A48" s="61" t="n">
        <v>1888</v>
      </c>
      <c r="B48" s="68" t="n">
        <f aca="false">champ_scale*(1+Labour!AP48)*(1+Partners!BX48)*(1-IF(union_resp=2,tariff_cut*Labour!S48,0))</f>
        <v>1.1621214217244</v>
      </c>
      <c r="C48" s="47" t="n">
        <v>780</v>
      </c>
      <c r="D48" s="47" t="n">
        <v>260</v>
      </c>
      <c r="E48" s="47" t="n">
        <v>2200</v>
      </c>
      <c r="F48" s="49" t="n">
        <f aca="false">E48*B48</f>
        <v>2556.66712779368</v>
      </c>
      <c r="G48" s="49" t="n">
        <f aca="false">F48/Economy!B48*1000000</f>
        <v>422.720494016018</v>
      </c>
      <c r="H48" s="47" t="n">
        <v>373</v>
      </c>
      <c r="I48" s="70" t="n">
        <f aca="false">IF(H48&gt;0,G48/H48,0)</f>
        <v>1.13329891157109</v>
      </c>
      <c r="J48" s="71" t="n">
        <v>0</v>
      </c>
      <c r="K48" s="56" t="n">
        <f aca="false">Resources!K48*J48*B48</f>
        <v>0</v>
      </c>
      <c r="L48" s="47" t="n">
        <v>0</v>
      </c>
      <c r="M48" s="62" t="n">
        <v>0</v>
      </c>
      <c r="N48" s="47" t="n">
        <v>5</v>
      </c>
      <c r="O48" s="71" t="n">
        <v>0.58</v>
      </c>
      <c r="P48" s="56" t="n">
        <f aca="false">(IF(Gulf!E48=1,0,L48*M48)+N48)*O48*B48</f>
        <v>3.37015212300076</v>
      </c>
      <c r="Q48" s="56" t="n">
        <f aca="false">P48*oil_book</f>
        <v>23.5910648610053</v>
      </c>
      <c r="R48" s="71" t="n">
        <v>0.384</v>
      </c>
      <c r="S48" s="47" t="n">
        <v>20</v>
      </c>
      <c r="T48" s="56" t="n">
        <f aca="false">R48*S48*B48</f>
        <v>8.92509251884339</v>
      </c>
      <c r="U48" s="47" t="n">
        <v>0</v>
      </c>
      <c r="V48" s="47" t="n">
        <v>0</v>
      </c>
      <c r="W48" s="56" t="n">
        <f aca="false">U48/1000*V48*B48</f>
        <v>0</v>
      </c>
      <c r="X48" s="47" t="n">
        <v>840</v>
      </c>
      <c r="Y48" s="62" t="n">
        <v>0.022</v>
      </c>
      <c r="Z48" s="56" t="n">
        <f aca="false">X48*Y48*chem_va*B48</f>
        <v>9.66420174306011</v>
      </c>
      <c r="AA48" s="62" t="n">
        <v>0.009</v>
      </c>
      <c r="AB48" s="56" t="n">
        <f aca="false">X48*AA48*roy_rate*B48*(1-IF(union_resp=2,lic_cut*Labour!S48,0))</f>
        <v>0.263569138447094</v>
      </c>
      <c r="AC48" s="47" t="n">
        <v>72</v>
      </c>
      <c r="AD48" s="62" t="n">
        <v>0.18</v>
      </c>
      <c r="AE48" s="62" t="n">
        <v>0.21</v>
      </c>
      <c r="AF48" s="56" t="n">
        <f aca="false">AC48*AD48*elec_va*B48</f>
        <v>6.7774921314967</v>
      </c>
      <c r="AG48" s="56" t="n">
        <f aca="false">MAX(0,AE48-AD48)*AC48*roy_rate*B48*(1-IF(union_resp=2,lic_cut*Labour!S48,0))</f>
        <v>0.0753054681277411</v>
      </c>
      <c r="AH48" s="55" t="n">
        <v>13</v>
      </c>
      <c r="AI48" s="56" t="n">
        <f aca="false">AH48*B48</f>
        <v>15.1075784824172</v>
      </c>
      <c r="AJ48" s="55" t="n">
        <v>14</v>
      </c>
      <c r="AK48" s="56" t="n">
        <f aca="false">AJ48*B48</f>
        <v>16.2696999041416</v>
      </c>
      <c r="AL48" s="47" t="n">
        <v>26</v>
      </c>
      <c r="AM48" s="56" t="n">
        <f aca="false">AL48*uw_fee*B48</f>
        <v>0.75537892412086</v>
      </c>
      <c r="AN48" s="55" t="n">
        <v>0</v>
      </c>
      <c r="AO48" s="55" t="n">
        <v>0</v>
      </c>
      <c r="AP48" s="56" t="n">
        <f aca="false">K48+T48+W48+Z48+AF48+AI48+AK48+AM48+AN48+AO48</f>
        <v>57.4994437040798</v>
      </c>
      <c r="AQ48" s="56" t="n">
        <f aca="false">AP48*(1-1/champ_prem+champ_spill)</f>
        <v>39.9301692389443</v>
      </c>
      <c r="AR48" s="66" t="n">
        <f aca="false">AP48/Economy!O48</f>
        <v>0.0256059338118627</v>
      </c>
      <c r="AS48" s="55" t="n">
        <v>70</v>
      </c>
      <c r="AT48" s="55" t="n">
        <v>22</v>
      </c>
      <c r="AU48" s="55" t="n">
        <v>0</v>
      </c>
      <c r="AV48" s="55" t="n">
        <v>0</v>
      </c>
      <c r="AW48" s="55" t="n">
        <v>3</v>
      </c>
      <c r="AX48" s="55" t="n">
        <v>0</v>
      </c>
      <c r="AY48" s="56" t="n">
        <f aca="false">Q48+(AS48+AT48+AU48+AV48+AW48+AX48)*B48</f>
        <v>133.992599924823</v>
      </c>
      <c r="AZ48" s="56" t="n">
        <f aca="false">P48+(AS48*ret_rail+AT48*ret_tel+AU48*ret_elec+AV48*ret_auto+AW48*ret_chem+AX48*ret_steel)*B48*IF(OR($A48=1931,$A48=1932),abroad_slump,1)+AB48+AG48</f>
        <v>10.7514825452255</v>
      </c>
      <c r="BA48" s="56" t="n">
        <f aca="false">AP48*champ_profit+AZ48</f>
        <v>22.2513712860414</v>
      </c>
      <c r="BB48" s="56" t="n">
        <f aca="false">(K48+AI48+AK48)*champ_profit+P48+(AS48*ret_rail+AT48*ret_tel+AU48*ret_elec)*B48*IF(OR($A48=1931,$A48=1932),abroad_slump,1)</f>
        <v>16.2696999041416</v>
      </c>
      <c r="BC48" s="56" t="n">
        <f aca="false">(T48+W48+Z48+AF48+AN48+AO48)*champ_profit+(AV48*ret_auto+AW48*ret_chem+AX48*ret_steel)*B48*IF(OR($A48=1931,$A48=1932),abroad_slump,1)+AB48+AG48</f>
        <v>5.83059559707566</v>
      </c>
      <c r="BD48" s="56" t="n">
        <f aca="false">IF($A48&gt;=crown_start,(BB48*crown_charter+BC48*crown_comp)*crown_payout,0)</f>
        <v>2.26693631190073</v>
      </c>
      <c r="BE48" s="66" t="n">
        <f aca="false">IF(BB48+BC48&gt;0,(BB48*crown_charter+BC48*crown_comp)/(BA48),0)</f>
        <v>0.2037569984123</v>
      </c>
    </row>
    <row r="49" customFormat="false" ht="14.25" hidden="false" customHeight="true" outlineLevel="0" collapsed="false">
      <c r="A49" s="61" t="n">
        <v>1889</v>
      </c>
      <c r="B49" s="68" t="n">
        <f aca="false">champ_scale*(1+Labour!AP49)*(1+Partners!BX49)*(1-IF(union_resp=2,tariff_cut*Labour!S49,0))</f>
        <v>1.16887189542597</v>
      </c>
      <c r="C49" s="47" t="n">
        <v>840</v>
      </c>
      <c r="D49" s="47" t="n">
        <v>280</v>
      </c>
      <c r="E49" s="47" t="n">
        <v>2350</v>
      </c>
      <c r="F49" s="49" t="n">
        <f aca="false">E49*B49</f>
        <v>2746.84895425104</v>
      </c>
      <c r="G49" s="49" t="n">
        <f aca="false">F49/Economy!B49*1000000</f>
        <v>436.527813710279</v>
      </c>
      <c r="H49" s="47" t="n">
        <v>388</v>
      </c>
      <c r="I49" s="70" t="n">
        <f aca="false">IF(H49&gt;0,G49/H49,0)</f>
        <v>1.12507168482031</v>
      </c>
      <c r="J49" s="71" t="n">
        <v>0</v>
      </c>
      <c r="K49" s="56" t="n">
        <f aca="false">Resources!K49*J49*B49</f>
        <v>0</v>
      </c>
      <c r="L49" s="47" t="n">
        <v>0</v>
      </c>
      <c r="M49" s="62" t="n">
        <v>0</v>
      </c>
      <c r="N49" s="47" t="n">
        <v>5</v>
      </c>
      <c r="O49" s="71" t="n">
        <v>0.578</v>
      </c>
      <c r="P49" s="56" t="n">
        <f aca="false">(IF(Gulf!E49=1,0,L49*M49)+N49)*O49*B49</f>
        <v>3.37803977778107</v>
      </c>
      <c r="Q49" s="56" t="n">
        <f aca="false">P49*oil_book</f>
        <v>23.6462784444675</v>
      </c>
      <c r="R49" s="71" t="n">
        <v>0.417</v>
      </c>
      <c r="S49" s="47" t="n">
        <v>19</v>
      </c>
      <c r="T49" s="56" t="n">
        <f aca="false">R49*S49*B49</f>
        <v>9.26097202746</v>
      </c>
      <c r="U49" s="47" t="n">
        <v>0</v>
      </c>
      <c r="V49" s="47" t="n">
        <v>0</v>
      </c>
      <c r="W49" s="56" t="n">
        <f aca="false">U49/1000*V49*B49</f>
        <v>0</v>
      </c>
      <c r="X49" s="47" t="n">
        <v>870</v>
      </c>
      <c r="Y49" s="62" t="n">
        <v>0.024</v>
      </c>
      <c r="Z49" s="56" t="n">
        <f aca="false">X49*Y49*chem_va*B49</f>
        <v>10.9827203294225</v>
      </c>
      <c r="AA49" s="62" t="n">
        <v>0.01</v>
      </c>
      <c r="AB49" s="56" t="n">
        <f aca="false">X49*AA49*roy_rate*B49*(1-IF(union_resp=2,lic_cut*Labour!S49,0))</f>
        <v>0.305075564706179</v>
      </c>
      <c r="AC49" s="47" t="n">
        <v>86</v>
      </c>
      <c r="AD49" s="62" t="n">
        <v>0.19</v>
      </c>
      <c r="AE49" s="62" t="n">
        <v>0.23</v>
      </c>
      <c r="AF49" s="56" t="n">
        <f aca="false">AC49*AD49*elec_va*B49</f>
        <v>8.59471504706719</v>
      </c>
      <c r="AG49" s="56" t="n">
        <f aca="false">MAX(0,AE49-AD49)*AC49*roy_rate*B49*(1-IF(union_resp=2,lic_cut*Labour!S49,0))</f>
        <v>0.120627579607961</v>
      </c>
      <c r="AH49" s="55" t="n">
        <v>14</v>
      </c>
      <c r="AI49" s="56" t="n">
        <f aca="false">AH49*B49</f>
        <v>16.3642065359636</v>
      </c>
      <c r="AJ49" s="55" t="n">
        <v>14</v>
      </c>
      <c r="AK49" s="56" t="n">
        <f aca="false">AJ49*B49</f>
        <v>16.3642065359636</v>
      </c>
      <c r="AL49" s="47" t="n">
        <v>28</v>
      </c>
      <c r="AM49" s="56" t="n">
        <f aca="false">AL49*uw_fee*B49</f>
        <v>0.818210326798182</v>
      </c>
      <c r="AN49" s="55" t="n">
        <v>0</v>
      </c>
      <c r="AO49" s="55" t="n">
        <v>0</v>
      </c>
      <c r="AP49" s="56" t="n">
        <f aca="false">K49+T49+W49+Z49+AF49+AI49+AK49+AM49+AN49+AO49</f>
        <v>62.3850308026751</v>
      </c>
      <c r="AQ49" s="56" t="n">
        <f aca="false">AP49*(1-1/champ_prem+champ_spill)</f>
        <v>43.3229380574133</v>
      </c>
      <c r="AR49" s="66" t="n">
        <f aca="false">AP49/Economy!O49</f>
        <v>0.0260288895465667</v>
      </c>
      <c r="AS49" s="55" t="n">
        <v>75</v>
      </c>
      <c r="AT49" s="55" t="n">
        <v>24</v>
      </c>
      <c r="AU49" s="55" t="n">
        <v>0</v>
      </c>
      <c r="AV49" s="55" t="n">
        <v>0</v>
      </c>
      <c r="AW49" s="55" t="n">
        <v>3</v>
      </c>
      <c r="AX49" s="55" t="n">
        <v>0</v>
      </c>
      <c r="AY49" s="56" t="n">
        <f aca="false">Q49+(AS49+AT49+AU49+AV49+AW49+AX49)*B49</f>
        <v>142.871211777917</v>
      </c>
      <c r="AZ49" s="56" t="n">
        <f aca="false">P49+(AS49*ret_rail+AT49*ret_tel+AU49*ret_elec+AV49*ret_auto+AW49*ret_chem+AX49*ret_steel)*B49*IF(OR($A49=1931,$A49=1932),abroad_slump,1)+AB49+AG49</f>
        <v>11.4130989613183</v>
      </c>
      <c r="BA49" s="56" t="n">
        <f aca="false">AP49*champ_profit+AZ49</f>
        <v>23.8901051218533</v>
      </c>
      <c r="BB49" s="56" t="n">
        <f aca="false">(K49+AI49+AK49)*champ_profit+P49+(AS49*ret_rail+AT49*ret_tel+AU49*ret_elec)*B49*IF(OR($A49=1931,$A49=1932),abroad_slump,1)</f>
        <v>17.1122845490363</v>
      </c>
      <c r="BC49" s="56" t="n">
        <f aca="false">(T49+W49+Z49+AF49+AN49+AO49)*champ_profit+(AV49*ret_auto+AW49*ret_chem+AX49*ret_steel)*B49*IF(OR($A49=1931,$A49=1932),abroad_slump,1)+AB49+AG49</f>
        <v>6.61417850745742</v>
      </c>
      <c r="BD49" s="56" t="n">
        <f aca="false">IF($A49&gt;=crown_start,(BB49*crown_charter+BC49*crown_comp)*crown_payout,0)</f>
        <v>2.40360270892783</v>
      </c>
      <c r="BE49" s="66" t="n">
        <f aca="false">IF(BB49+BC49&gt;0,(BB49*crown_charter+BC49*crown_comp)/(BA49),0)</f>
        <v>0.201221610090711</v>
      </c>
    </row>
    <row r="50" customFormat="false" ht="14.25" hidden="false" customHeight="true" outlineLevel="0" collapsed="false">
      <c r="A50" s="61" t="n">
        <v>1890</v>
      </c>
      <c r="B50" s="68" t="n">
        <f aca="false">champ_scale*(1+Labour!AP50)*(1+Partners!BX50)*(1-IF(union_resp=2,tariff_cut*Labour!S50,0))</f>
        <v>1.17720387579018</v>
      </c>
      <c r="C50" s="47" t="n">
        <v>900</v>
      </c>
      <c r="D50" s="47" t="n">
        <v>300</v>
      </c>
      <c r="E50" s="47" t="n">
        <v>2500</v>
      </c>
      <c r="F50" s="49" t="n">
        <f aca="false">E50*B50</f>
        <v>2943.00968947546</v>
      </c>
      <c r="G50" s="49" t="n">
        <f aca="false">F50/Economy!B50*1000000</f>
        <v>449.059177341988</v>
      </c>
      <c r="H50" s="47" t="n">
        <v>402</v>
      </c>
      <c r="I50" s="70" t="n">
        <f aca="false">IF(H50&gt;0,G50/H50,0)</f>
        <v>1.11706263020395</v>
      </c>
      <c r="J50" s="71" t="n">
        <v>0.3</v>
      </c>
      <c r="K50" s="56" t="n">
        <f aca="false">Resources!K50*J50*B50</f>
        <v>1.41264465094822</v>
      </c>
      <c r="L50" s="47" t="n">
        <v>0</v>
      </c>
      <c r="M50" s="62" t="n">
        <v>0</v>
      </c>
      <c r="N50" s="47" t="n">
        <v>6</v>
      </c>
      <c r="O50" s="71" t="n">
        <v>0.575</v>
      </c>
      <c r="P50" s="56" t="n">
        <f aca="false">(IF(Gulf!E50=1,0,L50*M50)+N50)*O50*B50</f>
        <v>4.06135337147613</v>
      </c>
      <c r="Q50" s="56" t="n">
        <f aca="false">P50*oil_book</f>
        <v>28.4294736003329</v>
      </c>
      <c r="R50" s="71" t="n">
        <v>0.45</v>
      </c>
      <c r="S50" s="47" t="n">
        <v>18</v>
      </c>
      <c r="T50" s="56" t="n">
        <f aca="false">R50*S50*B50</f>
        <v>9.53535139390049</v>
      </c>
      <c r="U50" s="47" t="n">
        <v>0</v>
      </c>
      <c r="V50" s="47" t="n">
        <v>0</v>
      </c>
      <c r="W50" s="56" t="n">
        <f aca="false">U50/1000*V50*B50</f>
        <v>0</v>
      </c>
      <c r="X50" s="47" t="n">
        <v>900</v>
      </c>
      <c r="Y50" s="62" t="n">
        <v>0.025</v>
      </c>
      <c r="Z50" s="56" t="n">
        <f aca="false">X50*Y50*chem_va*B50</f>
        <v>11.9191892423756</v>
      </c>
      <c r="AA50" s="62" t="n">
        <v>0.01</v>
      </c>
      <c r="AB50" s="56" t="n">
        <f aca="false">X50*AA50*roy_rate*B50*(1-IF(union_resp=2,lic_cut*Labour!S50,0))</f>
        <v>0.31784504646335</v>
      </c>
      <c r="AC50" s="47" t="n">
        <v>100</v>
      </c>
      <c r="AD50" s="62" t="n">
        <v>0.2</v>
      </c>
      <c r="AE50" s="62" t="n">
        <v>0.25</v>
      </c>
      <c r="AF50" s="56" t="n">
        <f aca="false">AC50*AD50*elec_va*B50</f>
        <v>10.5948348821117</v>
      </c>
      <c r="AG50" s="56" t="n">
        <f aca="false">MAX(0,AE50-AD50)*AC50*roy_rate*B50*(1-IF(union_resp=2,lic_cut*Labour!S50,0))</f>
        <v>0.176580581368528</v>
      </c>
      <c r="AH50" s="55" t="n">
        <v>15</v>
      </c>
      <c r="AI50" s="56" t="n">
        <f aca="false">AH50*B50</f>
        <v>17.6580581368528</v>
      </c>
      <c r="AJ50" s="55" t="n">
        <v>15</v>
      </c>
      <c r="AK50" s="56" t="n">
        <f aca="false">AJ50*B50</f>
        <v>17.6580581368528</v>
      </c>
      <c r="AL50" s="47" t="n">
        <v>30</v>
      </c>
      <c r="AM50" s="56" t="n">
        <f aca="false">AL50*uw_fee*B50</f>
        <v>0.882902906842638</v>
      </c>
      <c r="AN50" s="55" t="n">
        <v>0</v>
      </c>
      <c r="AO50" s="55" t="n">
        <v>0</v>
      </c>
      <c r="AP50" s="56" t="n">
        <f aca="false">K50+T50+W50+Z50+AF50+AI50+AK50+AM50+AN50+AO50</f>
        <v>69.6610393498841</v>
      </c>
      <c r="AQ50" s="56" t="n">
        <f aca="false">AP50*(1-1/champ_prem+champ_spill)</f>
        <v>48.3757217707529</v>
      </c>
      <c r="AR50" s="66" t="n">
        <f aca="false">AP50/Economy!O50</f>
        <v>0.0267532213041187</v>
      </c>
      <c r="AS50" s="55" t="n">
        <v>80</v>
      </c>
      <c r="AT50" s="55" t="n">
        <v>25</v>
      </c>
      <c r="AU50" s="55" t="n">
        <v>5</v>
      </c>
      <c r="AV50" s="55" t="n">
        <v>0</v>
      </c>
      <c r="AW50" s="55" t="n">
        <v>3</v>
      </c>
      <c r="AX50" s="55" t="n">
        <v>0</v>
      </c>
      <c r="AY50" s="56" t="n">
        <f aca="false">Q50+(AS50+AT50+AU50+AV50+AW50+AX50)*B50</f>
        <v>161.453511564624</v>
      </c>
      <c r="AZ50" s="56" t="n">
        <f aca="false">P50+(AS50*ret_rail+AT50*ret_tel+AU50*ret_elec+AV50*ret_auto+AW50*ret_chem+AX50*ret_steel)*B50*IF(OR($A50=1931,$A50=1932),abroad_slump,1)+AB50+AG50</f>
        <v>13.0434189437552</v>
      </c>
      <c r="BA50" s="56" t="n">
        <f aca="false">AP50*champ_profit+AZ50</f>
        <v>26.9756268137321</v>
      </c>
      <c r="BB50" s="56" t="n">
        <f aca="false">(K50+AI50+AK50)*champ_profit+P50+(AS50*ret_rail+AT50*ret_tel+AU50*ret_elec)*B50*IF(OR($A50=1931,$A50=1932),abroad_slump,1)</f>
        <v>19.4709521055696</v>
      </c>
      <c r="BC50" s="56" t="n">
        <f aca="false">(T50+W50+Z50+AF50+AN50+AO50)*champ_profit+(AV50*ret_auto+AW50*ret_chem+AX50*ret_steel)*B50*IF(OR($A50=1931,$A50=1932),abroad_slump,1)+AB50+AG50</f>
        <v>7.3280941267939</v>
      </c>
      <c r="BD50" s="56" t="n">
        <f aca="false">IF($A50&gt;=crown_start,(BB50*crown_charter+BC50*crown_comp)*crown_payout,0)</f>
        <v>2.72699277826796</v>
      </c>
      <c r="BE50" s="66" t="n">
        <f aca="false">IF(BB50+BC50&gt;0,(BB50*crown_charter+BC50*crown_comp)/(BA50),0)</f>
        <v>0.202181976871045</v>
      </c>
    </row>
    <row r="51" customFormat="false" ht="14.25" hidden="false" customHeight="true" outlineLevel="0" collapsed="false">
      <c r="A51" s="61" t="n">
        <v>1891</v>
      </c>
      <c r="B51" s="68" t="n">
        <f aca="false">champ_scale*(1+Labour!AP51)*(1+Partners!BX51)*(1-IF(union_resp=2,tariff_cut*Labour!S51,0))</f>
        <v>1.18692014027193</v>
      </c>
      <c r="C51" s="47" t="n">
        <v>1010</v>
      </c>
      <c r="D51" s="47" t="n">
        <v>320</v>
      </c>
      <c r="E51" s="47" t="n">
        <v>2700</v>
      </c>
      <c r="F51" s="49" t="n">
        <f aca="false">E51*B51</f>
        <v>3204.68437873421</v>
      </c>
      <c r="G51" s="49" t="n">
        <f aca="false">F51/Economy!B51*1000000</f>
        <v>468.732317309213</v>
      </c>
      <c r="H51" s="47" t="n">
        <v>394</v>
      </c>
      <c r="I51" s="70" t="n">
        <f aca="false">IF(H51&gt;0,G51/H51,0)</f>
        <v>1.18967593225689</v>
      </c>
      <c r="J51" s="71" t="n">
        <v>0.307</v>
      </c>
      <c r="K51" s="56" t="n">
        <f aca="false">Resources!K51*J51*B51</f>
        <v>1.82192241531741</v>
      </c>
      <c r="L51" s="47" t="n">
        <v>0</v>
      </c>
      <c r="M51" s="62" t="n">
        <v>0</v>
      </c>
      <c r="N51" s="47" t="n">
        <v>7</v>
      </c>
      <c r="O51" s="71" t="n">
        <v>0.573</v>
      </c>
      <c r="P51" s="56" t="n">
        <f aca="false">(IF(Gulf!E51=1,0,L51*M51)+N51)*O51*B51</f>
        <v>4.76073668263071</v>
      </c>
      <c r="Q51" s="56" t="n">
        <f aca="false">P51*oil_book</f>
        <v>33.325156778415</v>
      </c>
      <c r="R51" s="71" t="n">
        <v>0.545</v>
      </c>
      <c r="S51" s="47" t="n">
        <v>18</v>
      </c>
      <c r="T51" s="56" t="n">
        <f aca="false">R51*S51*B51</f>
        <v>11.6436865760676</v>
      </c>
      <c r="U51" s="47" t="n">
        <v>0</v>
      </c>
      <c r="V51" s="47" t="n">
        <v>0</v>
      </c>
      <c r="W51" s="56" t="n">
        <f aca="false">U51/1000*V51*B51</f>
        <v>0</v>
      </c>
      <c r="X51" s="47" t="n">
        <v>960</v>
      </c>
      <c r="Y51" s="62" t="n">
        <v>0.027</v>
      </c>
      <c r="Z51" s="56" t="n">
        <f aca="false">X51*Y51*chem_va*B51</f>
        <v>13.8442365161318</v>
      </c>
      <c r="AA51" s="62" t="n">
        <v>0.011</v>
      </c>
      <c r="AB51" s="56" t="n">
        <f aca="false">X51*AA51*roy_rate*B51*(1-IF(union_resp=2,lic_cut*Labour!S51,0))</f>
        <v>0.376016300438147</v>
      </c>
      <c r="AC51" s="47" t="n">
        <v>130</v>
      </c>
      <c r="AD51" s="62" t="n">
        <v>0.202</v>
      </c>
      <c r="AE51" s="62" t="n">
        <v>0.257</v>
      </c>
      <c r="AF51" s="56" t="n">
        <f aca="false">AC51*AD51*elec_va*B51</f>
        <v>14.0258352975934</v>
      </c>
      <c r="AG51" s="56" t="n">
        <f aca="false">MAX(0,AE51-AD51)*AC51*roy_rate*B51*(1-IF(union_resp=2,lic_cut*Labour!S51,0))</f>
        <v>0.254594370088329</v>
      </c>
      <c r="AH51" s="55" t="n">
        <v>17</v>
      </c>
      <c r="AI51" s="56" t="n">
        <f aca="false">AH51*B51</f>
        <v>20.1776423846228</v>
      </c>
      <c r="AJ51" s="55" t="n">
        <v>16</v>
      </c>
      <c r="AK51" s="56" t="n">
        <f aca="false">AJ51*B51</f>
        <v>18.9907222443509</v>
      </c>
      <c r="AL51" s="47" t="n">
        <v>36</v>
      </c>
      <c r="AM51" s="56" t="n">
        <f aca="false">AL51*uw_fee*B51</f>
        <v>1.06822812624474</v>
      </c>
      <c r="AN51" s="55" t="n">
        <v>0</v>
      </c>
      <c r="AO51" s="55" t="n">
        <v>0</v>
      </c>
      <c r="AP51" s="56" t="n">
        <f aca="false">K51+T51+W51+Z51+AF51+AI51+AK51+AM51+AN51+AO51</f>
        <v>81.5722735603286</v>
      </c>
      <c r="AQ51" s="56" t="n">
        <f aca="false">AP51*(1-1/champ_prem+champ_spill)</f>
        <v>56.6474121946726</v>
      </c>
      <c r="AR51" s="66" t="n">
        <f aca="false">AP51/Economy!O51</f>
        <v>0.0292142960075883</v>
      </c>
      <c r="AS51" s="55" t="n">
        <v>97</v>
      </c>
      <c r="AT51" s="55" t="n">
        <v>30</v>
      </c>
      <c r="AU51" s="55" t="n">
        <v>8</v>
      </c>
      <c r="AV51" s="55" t="n">
        <v>0</v>
      </c>
      <c r="AW51" s="55" t="n">
        <v>3</v>
      </c>
      <c r="AX51" s="55" t="n">
        <v>0</v>
      </c>
      <c r="AY51" s="56" t="n">
        <f aca="false">Q51+(AS51+AT51+AU51+AV51+AW51+AX51)*B51</f>
        <v>197.120136135941</v>
      </c>
      <c r="AZ51" s="56" t="n">
        <f aca="false">P51+(AS51*ret_rail+AT51*ret_tel+AU51*ret_elec+AV51*ret_auto+AW51*ret_chem+AX51*ret_steel)*B51*IF(OR($A51=1931,$A51=1932),abroad_slump,1)+AB51+AG51</f>
        <v>15.800636983342</v>
      </c>
      <c r="BA51" s="56" t="n">
        <f aca="false">AP51*champ_profit+AZ51</f>
        <v>32.1150916954077</v>
      </c>
      <c r="BB51" s="56" t="n">
        <f aca="false">(K51+AI51+AK51)*champ_profit+P51+(AS51*ret_rail+AT51*ret_tel+AU51*ret_elec)*B51*IF(OR($A51=1931,$A51=1932),abroad_slump,1)</f>
        <v>22.9407924711758</v>
      </c>
      <c r="BC51" s="56" t="n">
        <f aca="false">(T51+W51+Z51+AF51+AN51+AO51)*champ_profit+(AV51*ret_auto+AW51*ret_chem+AX51*ret_steel)*B51*IF(OR($A51=1931,$A51=1932),abroad_slump,1)+AB51+AG51</f>
        <v>8.96065359898293</v>
      </c>
      <c r="BD51" s="56" t="n">
        <f aca="false">IF($A51&gt;=crown_start,(BB51*crown_charter+BC51*crown_comp)*crown_payout,0)</f>
        <v>3.2260252028563</v>
      </c>
      <c r="BE51" s="66" t="n">
        <f aca="false">IF(BB51+BC51&gt;0,(BB51*crown_charter+BC51*crown_comp)/(BA51),0)</f>
        <v>0.200904000739167</v>
      </c>
    </row>
    <row r="52" customFormat="false" ht="14.25" hidden="false" customHeight="true" outlineLevel="0" collapsed="false">
      <c r="A52" s="61" t="n">
        <v>1892</v>
      </c>
      <c r="B52" s="68" t="n">
        <f aca="false">champ_scale*(1+Labour!AP52)*(1+Partners!BX52)*(1-IF(union_resp=2,tariff_cut*Labour!S52,0))</f>
        <v>1.19757820488671</v>
      </c>
      <c r="C52" s="47" t="n">
        <v>1120</v>
      </c>
      <c r="D52" s="47" t="n">
        <v>340</v>
      </c>
      <c r="E52" s="47" t="n">
        <v>2900</v>
      </c>
      <c r="F52" s="49" t="n">
        <f aca="false">E52*B52</f>
        <v>3472.97679417145</v>
      </c>
      <c r="G52" s="49" t="n">
        <f aca="false">F52/Economy!B52*1000000</f>
        <v>486.142741632781</v>
      </c>
      <c r="H52" s="47" t="n">
        <v>386</v>
      </c>
      <c r="I52" s="70" t="n">
        <f aca="false">IF(H52&gt;0,G52/H52,0)</f>
        <v>1.25943715448907</v>
      </c>
      <c r="J52" s="71" t="n">
        <v>0.313</v>
      </c>
      <c r="K52" s="56" t="n">
        <f aca="false">Resources!K52*J52*B52</f>
        <v>2.24905186877723</v>
      </c>
      <c r="L52" s="47" t="n">
        <v>0</v>
      </c>
      <c r="M52" s="62" t="n">
        <v>0</v>
      </c>
      <c r="N52" s="47" t="n">
        <v>8</v>
      </c>
      <c r="O52" s="71" t="n">
        <v>0.57</v>
      </c>
      <c r="P52" s="56" t="n">
        <f aca="false">(IF(Gulf!E52=1,0,L52*M52)+N52)*O52*B52</f>
        <v>5.46095661428338</v>
      </c>
      <c r="Q52" s="56" t="n">
        <f aca="false">P52*oil_book</f>
        <v>38.2266962999836</v>
      </c>
      <c r="R52" s="71" t="n">
        <v>0.64</v>
      </c>
      <c r="S52" s="47" t="n">
        <v>18</v>
      </c>
      <c r="T52" s="56" t="n">
        <f aca="false">R52*S52*B52</f>
        <v>13.7961009202948</v>
      </c>
      <c r="U52" s="47" t="n">
        <v>0</v>
      </c>
      <c r="V52" s="47" t="n">
        <v>0</v>
      </c>
      <c r="W52" s="56" t="n">
        <f aca="false">U52/1000*V52*B52</f>
        <v>0</v>
      </c>
      <c r="X52" s="47" t="n">
        <v>1020</v>
      </c>
      <c r="Y52" s="62" t="n">
        <v>0.029</v>
      </c>
      <c r="Z52" s="56" t="n">
        <f aca="false">X52*Y52*chem_va*B52</f>
        <v>15.9409634852469</v>
      </c>
      <c r="AA52" s="62" t="n">
        <v>0.012</v>
      </c>
      <c r="AB52" s="56" t="n">
        <f aca="false">X52*AA52*roy_rate*B52*(1-IF(union_resp=2,lic_cut*Labour!S52,0))</f>
        <v>0.439750716834398</v>
      </c>
      <c r="AC52" s="47" t="n">
        <v>160</v>
      </c>
      <c r="AD52" s="62" t="n">
        <v>0.204</v>
      </c>
      <c r="AE52" s="62" t="n">
        <v>0.264</v>
      </c>
      <c r="AF52" s="56" t="n">
        <f aca="false">AC52*AD52*elec_va*B52</f>
        <v>17.5900286733759</v>
      </c>
      <c r="AG52" s="56" t="n">
        <f aca="false">MAX(0,AE52-AD52)*AC52*roy_rate*B52*(1-IF(union_resp=2,lic_cut*Labour!S52,0))</f>
        <v>0.344902523007371</v>
      </c>
      <c r="AH52" s="55" t="n">
        <v>18</v>
      </c>
      <c r="AI52" s="56" t="n">
        <f aca="false">AH52*B52</f>
        <v>21.5564076879607</v>
      </c>
      <c r="AJ52" s="55" t="n">
        <v>18</v>
      </c>
      <c r="AK52" s="56" t="n">
        <f aca="false">AJ52*B52</f>
        <v>21.5564076879607</v>
      </c>
      <c r="AL52" s="47" t="n">
        <v>42</v>
      </c>
      <c r="AM52" s="56" t="n">
        <f aca="false">AL52*uw_fee*B52</f>
        <v>1.25745711513104</v>
      </c>
      <c r="AN52" s="55" t="n">
        <v>0</v>
      </c>
      <c r="AO52" s="55" t="n">
        <v>0</v>
      </c>
      <c r="AP52" s="56" t="n">
        <f aca="false">K52+T52+W52+Z52+AF52+AI52+AK52+AM52+AN52+AO52</f>
        <v>93.9464174387474</v>
      </c>
      <c r="AQ52" s="56" t="n">
        <f aca="false">AP52*(1-1/champ_prem+champ_spill)</f>
        <v>65.2405676657968</v>
      </c>
      <c r="AR52" s="66" t="n">
        <f aca="false">AP52/Economy!O52</f>
        <v>0.031462581730094</v>
      </c>
      <c r="AS52" s="55" t="n">
        <v>114</v>
      </c>
      <c r="AT52" s="55" t="n">
        <v>34</v>
      </c>
      <c r="AU52" s="55" t="n">
        <v>12</v>
      </c>
      <c r="AV52" s="55" t="n">
        <v>0</v>
      </c>
      <c r="AW52" s="55" t="n">
        <v>3</v>
      </c>
      <c r="AX52" s="55" t="n">
        <v>0</v>
      </c>
      <c r="AY52" s="56" t="n">
        <f aca="false">Q52+(AS52+AT52+AU52+AV52+AW52+AX52)*B52</f>
        <v>233.431943696517</v>
      </c>
      <c r="AZ52" s="56" t="n">
        <f aca="false">P52+(AS52*ret_rail+AT52*ret_tel+AU52*ret_elec+AV52*ret_auto+AW52*ret_chem+AX52*ret_steel)*B52*IF(OR($A52=1931,$A52=1932),abroad_slump,1)+AB52+AG52</f>
        <v>18.5806653644582</v>
      </c>
      <c r="BA52" s="56" t="n">
        <f aca="false">AP52*champ_profit+AZ52</f>
        <v>37.3699488522077</v>
      </c>
      <c r="BB52" s="56" t="n">
        <f aca="false">(K52+AI52+AK52)*champ_profit+P52+(AS52*ret_rail+AT52*ret_tel+AU52*ret_elec)*B52*IF(OR($A52=1931,$A52=1932),abroad_slump,1)</f>
        <v>26.437257419797</v>
      </c>
      <c r="BC52" s="56" t="n">
        <f aca="false">(T52+W52+Z52+AF52+AN52+AO52)*champ_profit+(AV52*ret_auto+AW52*ret_chem+AX52*ret_steel)*B52*IF(OR($A52=1931,$A52=1932),abroad_slump,1)+AB52+AG52</f>
        <v>10.6812000093845</v>
      </c>
      <c r="BD52" s="56" t="n">
        <f aca="false">IF($A52&gt;=crown_start,(BB52*crown_charter+BC52*crown_comp)*crown_payout,0)</f>
        <v>3.73190517785</v>
      </c>
      <c r="BE52" s="66" t="n">
        <f aca="false">IF(BB52+BC52&gt;0,(BB52*crown_charter+BC52*crown_comp)/(BA52),0)</f>
        <v>0.199727604263474</v>
      </c>
    </row>
    <row r="53" customFormat="false" ht="14.25" hidden="false" customHeight="true" outlineLevel="0" collapsed="false">
      <c r="A53" s="61" t="n">
        <v>1893</v>
      </c>
      <c r="B53" s="68" t="n">
        <f aca="false">champ_scale*(1+Labour!AP53)*(1+Partners!BX53)*(1-IF(union_resp=2,tariff_cut*Labour!S53,0))</f>
        <v>1.20853504300366</v>
      </c>
      <c r="C53" s="47" t="n">
        <v>1230</v>
      </c>
      <c r="D53" s="47" t="n">
        <v>360</v>
      </c>
      <c r="E53" s="47" t="n">
        <v>3100</v>
      </c>
      <c r="F53" s="49" t="n">
        <f aca="false">E53*B53</f>
        <v>3746.45863331135</v>
      </c>
      <c r="G53" s="49" t="n">
        <f aca="false">F53/Economy!B53*1000000</f>
        <v>501.490629091842</v>
      </c>
      <c r="H53" s="47" t="n">
        <v>379</v>
      </c>
      <c r="I53" s="70" t="n">
        <f aca="false">IF(H53&gt;0,G53/H53,0)</f>
        <v>1.32319427201014</v>
      </c>
      <c r="J53" s="71" t="n">
        <v>0.32</v>
      </c>
      <c r="K53" s="56" t="n">
        <f aca="false">Resources!K53*J53*B53</f>
        <v>2.83473979686939</v>
      </c>
      <c r="L53" s="47" t="n">
        <v>0</v>
      </c>
      <c r="M53" s="62" t="n">
        <v>0</v>
      </c>
      <c r="N53" s="47" t="n">
        <v>9</v>
      </c>
      <c r="O53" s="71" t="n">
        <v>0.568</v>
      </c>
      <c r="P53" s="56" t="n">
        <f aca="false">(IF(Gulf!E53=1,0,L53*M53)+N53)*O53*B53</f>
        <v>6.17803113983472</v>
      </c>
      <c r="Q53" s="56" t="n">
        <f aca="false">P53*oil_book</f>
        <v>43.2462179788431</v>
      </c>
      <c r="R53" s="71" t="n">
        <v>0.735</v>
      </c>
      <c r="S53" s="47" t="n">
        <v>17</v>
      </c>
      <c r="T53" s="56" t="n">
        <f aca="false">R53*S53*B53</f>
        <v>15.1006453623308</v>
      </c>
      <c r="U53" s="47" t="n">
        <v>0</v>
      </c>
      <c r="V53" s="47" t="n">
        <v>0</v>
      </c>
      <c r="W53" s="56" t="n">
        <f aca="false">U53/1000*V53*B53</f>
        <v>0</v>
      </c>
      <c r="X53" s="47" t="n">
        <v>1080</v>
      </c>
      <c r="Y53" s="62" t="n">
        <v>0.031</v>
      </c>
      <c r="Z53" s="56" t="n">
        <f aca="false">X53*Y53*chem_va*B53</f>
        <v>18.2077889578932</v>
      </c>
      <c r="AA53" s="62" t="n">
        <v>0.013</v>
      </c>
      <c r="AB53" s="56" t="n">
        <f aca="false">X53*AA53*roy_rate*B53*(1-IF(union_resp=2,lic_cut*Labour!S53,0))</f>
        <v>0.509034960113143</v>
      </c>
      <c r="AC53" s="47" t="n">
        <v>190</v>
      </c>
      <c r="AD53" s="62" t="n">
        <v>0.206</v>
      </c>
      <c r="AE53" s="62" t="n">
        <v>0.271</v>
      </c>
      <c r="AF53" s="56" t="n">
        <f aca="false">AC53*AD53*elec_va*B53</f>
        <v>21.2859277124235</v>
      </c>
      <c r="AG53" s="56" t="n">
        <f aca="false">MAX(0,AE53-AD53)*AC53*roy_rate*B53*(1-IF(union_resp=2,lic_cut*Labour!S53,0))</f>
        <v>0.447762233432857</v>
      </c>
      <c r="AH53" s="55" t="n">
        <v>20</v>
      </c>
      <c r="AI53" s="56" t="n">
        <f aca="false">AH53*B53</f>
        <v>24.1707008600733</v>
      </c>
      <c r="AJ53" s="55" t="n">
        <v>20</v>
      </c>
      <c r="AK53" s="56" t="n">
        <f aca="false">AJ53*B53</f>
        <v>24.1707008600733</v>
      </c>
      <c r="AL53" s="47" t="n">
        <v>48</v>
      </c>
      <c r="AM53" s="56" t="n">
        <f aca="false">AL53*uw_fee*B53</f>
        <v>1.4502420516044</v>
      </c>
      <c r="AN53" s="55" t="n">
        <v>0</v>
      </c>
      <c r="AO53" s="55" t="n">
        <v>0</v>
      </c>
      <c r="AP53" s="56" t="n">
        <f aca="false">K53+T53+W53+Z53+AF53+AI53+AK53+AM53+AN53+AO53</f>
        <v>107.220745601268</v>
      </c>
      <c r="AQ53" s="56" t="n">
        <f aca="false">AP53*(1-1/champ_prem+champ_spill)</f>
        <v>74.4588511119915</v>
      </c>
      <c r="AR53" s="66" t="n">
        <f aca="false">AP53/Economy!O53</f>
        <v>0.035436336862791</v>
      </c>
      <c r="AS53" s="55" t="n">
        <v>131</v>
      </c>
      <c r="AT53" s="55" t="n">
        <v>38</v>
      </c>
      <c r="AU53" s="55" t="n">
        <v>16</v>
      </c>
      <c r="AV53" s="55" t="n">
        <v>0</v>
      </c>
      <c r="AW53" s="55" t="n">
        <v>4</v>
      </c>
      <c r="AX53" s="55" t="n">
        <v>0</v>
      </c>
      <c r="AY53" s="56" t="n">
        <f aca="false">Q53+(AS53+AT53+AU53+AV53+AW53+AX53)*B53</f>
        <v>271.659341106535</v>
      </c>
      <c r="AZ53" s="56" t="n">
        <f aca="false">P53+(AS53*ret_rail+AT53*ret_tel+AU53*ret_elec+AV53*ret_auto+AW53*ret_chem+AX53*ret_steel)*B53*IF(OR($A53=1931,$A53=1932),abroad_slump,1)+AB53+AG53</f>
        <v>21.5768220972745</v>
      </c>
      <c r="BA53" s="56" t="n">
        <f aca="false">AP53*champ_profit+AZ53</f>
        <v>43.020971217528</v>
      </c>
      <c r="BB53" s="56" t="n">
        <f aca="false">(K53+AI53+AK53)*champ_profit+P53+(AS53*ret_rail+AT53*ret_tel+AU53*ret_elec)*B53*IF(OR($A53=1931,$A53=1932),abroad_slump,1)</f>
        <v>30.2751563864899</v>
      </c>
      <c r="BC53" s="56" t="n">
        <f aca="false">(T53+W53+Z53+AF53+AN53+AO53)*champ_profit+(AV53*ret_auto+AW53*ret_chem+AX53*ret_steel)*B53*IF(OR($A53=1931,$A53=1932),abroad_slump,1)+AB53+AG53</f>
        <v>12.4557664207172</v>
      </c>
      <c r="BD53" s="56" t="n">
        <f aca="false">IF($A53&gt;=crown_start,(BB53*crown_charter+BC53*crown_comp)*crown_payout,0)</f>
        <v>4.28262520513993</v>
      </c>
      <c r="BE53" s="66" t="n">
        <f aca="false">IF(BB53+BC53&gt;0,(BB53*crown_charter+BC53*crown_comp)/(BA53),0)</f>
        <v>0.199094770942552</v>
      </c>
    </row>
    <row r="54" customFormat="false" ht="14.25" hidden="false" customHeight="true" outlineLevel="0" collapsed="false">
      <c r="A54" s="61" t="n">
        <v>1894</v>
      </c>
      <c r="B54" s="68" t="n">
        <f aca="false">champ_scale*(1+Labour!AP54)*(1+Partners!BX54)*(1-IF(union_resp=2,tariff_cut*Labour!S54,0))</f>
        <v>1.21911758940368</v>
      </c>
      <c r="C54" s="47" t="n">
        <v>1340</v>
      </c>
      <c r="D54" s="47" t="n">
        <v>380</v>
      </c>
      <c r="E54" s="47" t="n">
        <v>3300</v>
      </c>
      <c r="F54" s="49" t="n">
        <f aca="false">E54*B54</f>
        <v>4023.08804503214</v>
      </c>
      <c r="G54" s="49" t="n">
        <f aca="false">F54/Economy!B54*1000000</f>
        <v>515.186229157582</v>
      </c>
      <c r="H54" s="47" t="n">
        <v>371</v>
      </c>
      <c r="I54" s="70" t="n">
        <f aca="false">IF(H54&gt;0,G54/H54,0)</f>
        <v>1.38864212710938</v>
      </c>
      <c r="J54" s="71" t="n">
        <v>0.326</v>
      </c>
      <c r="K54" s="56" t="n">
        <f aca="false">Resources!K54*J54*B54</f>
        <v>3.44573833704234</v>
      </c>
      <c r="L54" s="47" t="n">
        <v>0</v>
      </c>
      <c r="M54" s="62" t="n">
        <v>0</v>
      </c>
      <c r="N54" s="47" t="n">
        <v>10</v>
      </c>
      <c r="O54" s="71" t="n">
        <v>0.565</v>
      </c>
      <c r="P54" s="56" t="n">
        <f aca="false">(IF(Gulf!E54=1,0,L54*M54)+N54)*O54*B54</f>
        <v>6.88801438013078</v>
      </c>
      <c r="Q54" s="56" t="n">
        <f aca="false">P54*oil_book</f>
        <v>48.2161006609155</v>
      </c>
      <c r="R54" s="71" t="n">
        <v>0.83</v>
      </c>
      <c r="S54" s="47" t="n">
        <v>17</v>
      </c>
      <c r="T54" s="56" t="n">
        <f aca="false">R54*S54*B54</f>
        <v>17.2017491864859</v>
      </c>
      <c r="U54" s="47" t="n">
        <v>0</v>
      </c>
      <c r="V54" s="47" t="n">
        <v>0</v>
      </c>
      <c r="W54" s="56" t="n">
        <f aca="false">U54/1000*V54*B54</f>
        <v>0</v>
      </c>
      <c r="X54" s="47" t="n">
        <v>1140</v>
      </c>
      <c r="Y54" s="62" t="n">
        <v>0.033</v>
      </c>
      <c r="Z54" s="56" t="n">
        <f aca="false">X54*Y54*chem_va*B54</f>
        <v>20.6384416710149</v>
      </c>
      <c r="AA54" s="62" t="n">
        <v>0.014</v>
      </c>
      <c r="AB54" s="56" t="n">
        <f aca="false">X54*AA54*roy_rate*B54*(1-IF(union_resp=2,lic_cut*Labour!S54,0))</f>
        <v>0.583713501806481</v>
      </c>
      <c r="AC54" s="47" t="n">
        <v>220</v>
      </c>
      <c r="AD54" s="62" t="n">
        <v>0.208</v>
      </c>
      <c r="AE54" s="62" t="n">
        <v>0.278</v>
      </c>
      <c r="AF54" s="56" t="n">
        <f aca="false">AC54*AD54*elec_va*B54</f>
        <v>25.1040694010005</v>
      </c>
      <c r="AG54" s="56" t="n">
        <f aca="false">MAX(0,AE54-AD54)*AC54*roy_rate*B54*(1-IF(union_resp=2,lic_cut*Labour!S54,0))</f>
        <v>0.5632323263045</v>
      </c>
      <c r="AH54" s="55" t="n">
        <v>22</v>
      </c>
      <c r="AI54" s="56" t="n">
        <f aca="false">AH54*B54</f>
        <v>26.8205869668809</v>
      </c>
      <c r="AJ54" s="55" t="n">
        <v>21</v>
      </c>
      <c r="AK54" s="56" t="n">
        <f aca="false">AJ54*B54</f>
        <v>25.6014693774772</v>
      </c>
      <c r="AL54" s="47" t="n">
        <v>54</v>
      </c>
      <c r="AM54" s="56" t="n">
        <f aca="false">AL54*uw_fee*B54</f>
        <v>1.64580874569497</v>
      </c>
      <c r="AN54" s="55" t="n">
        <v>0</v>
      </c>
      <c r="AO54" s="55" t="n">
        <v>0</v>
      </c>
      <c r="AP54" s="56" t="n">
        <f aca="false">K54+T54+W54+Z54+AF54+AI54+AK54+AM54+AN54+AO54</f>
        <v>120.457863685597</v>
      </c>
      <c r="AQ54" s="56" t="n">
        <f aca="false">AP54*(1-1/champ_prem+champ_spill)</f>
        <v>83.6512942261089</v>
      </c>
      <c r="AR54" s="66" t="n">
        <f aca="false">AP54/Economy!O54</f>
        <v>0.0378567188922694</v>
      </c>
      <c r="AS54" s="55" t="n">
        <v>148</v>
      </c>
      <c r="AT54" s="55" t="n">
        <v>43</v>
      </c>
      <c r="AU54" s="55" t="n">
        <v>19</v>
      </c>
      <c r="AV54" s="55" t="n">
        <v>0</v>
      </c>
      <c r="AW54" s="55" t="n">
        <v>4</v>
      </c>
      <c r="AX54" s="55" t="n">
        <v>0</v>
      </c>
      <c r="AY54" s="56" t="n">
        <f aca="false">Q54+(AS54+AT54+AU54+AV54+AW54+AX54)*B54</f>
        <v>309.107264793303</v>
      </c>
      <c r="AZ54" s="56" t="n">
        <f aca="false">P54+(AS54*ret_rail+AT54*ret_tel+AU54*ret_elec+AV54*ret_auto+AW54*ret_chem+AX54*ret_steel)*B54*IF(OR($A54=1931,$A54=1932),abroad_slump,1)+AB54+AG54</f>
        <v>24.5052388410855</v>
      </c>
      <c r="BA54" s="56" t="n">
        <f aca="false">AP54*champ_profit+AZ54</f>
        <v>48.5968115782048</v>
      </c>
      <c r="BB54" s="56" t="n">
        <f aca="false">(K54+AI54+AK54)*champ_profit+P54+(AS54*ret_rail+AT54*ret_tel+AU54*ret_elec)*B54*IF(OR($A54=1931,$A54=1932),abroad_slump,1)</f>
        <v>33.9466755063408</v>
      </c>
      <c r="BC54" s="56" t="n">
        <f aca="false">(T54+W54+Z54+AF54+AN54+AO54)*champ_profit+(AV54*ret_auto+AW54*ret_chem+AX54*ret_steel)*B54*IF(OR($A54=1931,$A54=1932),abroad_slump,1)+AB54+AG54</f>
        <v>14.320974322725</v>
      </c>
      <c r="BD54" s="56" t="n">
        <f aca="false">IF($A54&gt;=crown_start,(BB54*crown_charter+BC54*crown_comp)*crown_payout,0)</f>
        <v>4.8161734112016</v>
      </c>
      <c r="BE54" s="66" t="n">
        <f aca="false">IF(BB54+BC54&gt;0,(BB54*crown_charter+BC54*crown_comp)/(BA54),0)</f>
        <v>0.198209440281947</v>
      </c>
    </row>
    <row r="55" customFormat="false" ht="14.25" hidden="false" customHeight="true" outlineLevel="0" collapsed="false">
      <c r="A55" s="61" t="n">
        <v>1895</v>
      </c>
      <c r="B55" s="68" t="n">
        <f aca="false">champ_scale*(1+Labour!AP55)*(1+Partners!BX55)*(1-IF(union_resp=2,tariff_cut*Labour!S55,0))</f>
        <v>1.22958888816938</v>
      </c>
      <c r="C55" s="47" t="n">
        <v>1450</v>
      </c>
      <c r="D55" s="47" t="n">
        <v>400</v>
      </c>
      <c r="E55" s="47" t="n">
        <v>3500</v>
      </c>
      <c r="F55" s="49" t="n">
        <f aca="false">E55*B55</f>
        <v>4303.56110859282</v>
      </c>
      <c r="G55" s="49" t="n">
        <f aca="false">F55/Economy!B55*1000000</f>
        <v>527.731772268859</v>
      </c>
      <c r="H55" s="47" t="n">
        <v>363</v>
      </c>
      <c r="I55" s="70" t="n">
        <f aca="false">IF(H55&gt;0,G55/H55,0)</f>
        <v>1.45380653517592</v>
      </c>
      <c r="J55" s="71" t="n">
        <v>0.333</v>
      </c>
      <c r="K55" s="56" t="n">
        <f aca="false">Resources!K55*J55*B55</f>
        <v>4.09453099760402</v>
      </c>
      <c r="L55" s="47" t="n">
        <v>0</v>
      </c>
      <c r="M55" s="62" t="n">
        <v>0</v>
      </c>
      <c r="N55" s="47" t="n">
        <v>10</v>
      </c>
      <c r="O55" s="71" t="n">
        <v>0.562</v>
      </c>
      <c r="P55" s="56" t="n">
        <f aca="false">(IF(Gulf!E55=1,0,L55*M55)+N55)*O55*B55</f>
        <v>6.91028955151189</v>
      </c>
      <c r="Q55" s="56" t="n">
        <f aca="false">P55*oil_book</f>
        <v>48.3720268605833</v>
      </c>
      <c r="R55" s="71" t="n">
        <v>0.925</v>
      </c>
      <c r="S55" s="47" t="n">
        <v>17</v>
      </c>
      <c r="T55" s="56" t="n">
        <f aca="false">R55*S55*B55</f>
        <v>19.3352852664634</v>
      </c>
      <c r="U55" s="47" t="n">
        <v>0</v>
      </c>
      <c r="V55" s="47" t="n">
        <v>0</v>
      </c>
      <c r="W55" s="56" t="n">
        <f aca="false">U55/1000*V55*B55</f>
        <v>0</v>
      </c>
      <c r="X55" s="47" t="n">
        <v>1200</v>
      </c>
      <c r="Y55" s="62" t="n">
        <v>0.035</v>
      </c>
      <c r="Z55" s="56" t="n">
        <f aca="false">X55*Y55*chem_va*B55</f>
        <v>23.2392299864012</v>
      </c>
      <c r="AA55" s="62" t="n">
        <v>0.015</v>
      </c>
      <c r="AB55" s="56" t="n">
        <f aca="false">X55*AA55*roy_rate*B55*(1-IF(union_resp=2,lic_cut*Labour!S55,0))</f>
        <v>0.663977999611463</v>
      </c>
      <c r="AC55" s="47" t="n">
        <v>250</v>
      </c>
      <c r="AD55" s="62" t="n">
        <v>0.21</v>
      </c>
      <c r="AE55" s="62" t="n">
        <v>0.285</v>
      </c>
      <c r="AF55" s="56" t="n">
        <f aca="false">AC55*AD55*elec_va*B55</f>
        <v>29.0490374830015</v>
      </c>
      <c r="AG55" s="56" t="n">
        <f aca="false">MAX(0,AE55-AD55)*AC55*roy_rate*B55*(1-IF(union_resp=2,lic_cut*Labour!S55,0))</f>
        <v>0.691643749595274</v>
      </c>
      <c r="AH55" s="55" t="n">
        <v>24</v>
      </c>
      <c r="AI55" s="56" t="n">
        <f aca="false">AH55*B55</f>
        <v>29.510133316065</v>
      </c>
      <c r="AJ55" s="55" t="n">
        <v>22</v>
      </c>
      <c r="AK55" s="56" t="n">
        <f aca="false">AJ55*B55</f>
        <v>27.0509555397263</v>
      </c>
      <c r="AL55" s="47" t="n">
        <v>60</v>
      </c>
      <c r="AM55" s="56" t="n">
        <f aca="false">AL55*uw_fee*B55</f>
        <v>1.84438333225406</v>
      </c>
      <c r="AN55" s="55" t="n">
        <v>0</v>
      </c>
      <c r="AO55" s="55" t="n">
        <v>0</v>
      </c>
      <c r="AP55" s="56" t="n">
        <f aca="false">K55+T55+W55+Z55+AF55+AI55+AK55+AM55+AN55+AO55</f>
        <v>134.123555921516</v>
      </c>
      <c r="AQ55" s="56" t="n">
        <f aca="false">AP55*(1-1/champ_prem+champ_spill)</f>
        <v>93.1413582788302</v>
      </c>
      <c r="AR55" s="66" t="n">
        <f aca="false">AP55/Economy!O55</f>
        <v>0.0384784628097191</v>
      </c>
      <c r="AS55" s="55" t="n">
        <v>165</v>
      </c>
      <c r="AT55" s="55" t="n">
        <v>48</v>
      </c>
      <c r="AU55" s="55" t="n">
        <v>22</v>
      </c>
      <c r="AV55" s="55" t="n">
        <v>0</v>
      </c>
      <c r="AW55" s="55" t="n">
        <v>4</v>
      </c>
      <c r="AX55" s="55" t="n">
        <v>5</v>
      </c>
      <c r="AY55" s="56" t="n">
        <f aca="false">Q55+(AS55+AT55+AU55+AV55+AW55+AX55)*B55</f>
        <v>348.391715573911</v>
      </c>
      <c r="AZ55" s="56" t="n">
        <f aca="false">P55+(AS55*ret_rail+AT55*ret_tel+AU55*ret_elec+AV55*ret_auto+AW55*ret_chem+AX55*ret_steel)*B55*IF(OR($A55=1931,$A55=1932),abroad_slump,1)+AB55+AG55</f>
        <v>27.1646925118819</v>
      </c>
      <c r="BA55" s="56" t="n">
        <f aca="false">AP55*champ_profit+AZ55</f>
        <v>53.989403696185</v>
      </c>
      <c r="BB55" s="56" t="n">
        <f aca="false">(K55+AI55+AK55)*champ_profit+P55+(AS55*ret_rail+AT55*ret_tel+AU55*ret_elec)*B55*IF(OR($A55=1931,$A55=1932),abroad_slump,1)</f>
        <v>36.9811154005821</v>
      </c>
      <c r="BC55" s="56" t="n">
        <f aca="false">(T55+W55+Z55+AF55+AN55+AO55)*champ_profit+(AV55*ret_auto+AW55*ret_chem+AX55*ret_steel)*B55*IF(OR($A55=1931,$A55=1932),abroad_slump,1)+AB55+AG55</f>
        <v>16.6394116291521</v>
      </c>
      <c r="BD55" s="56" t="n">
        <f aca="false">IF($A55&gt;=crown_start,(BB55*crown_charter+BC55*crown_comp)*crown_payout,0)</f>
        <v>5.28821589023885</v>
      </c>
      <c r="BE55" s="66" t="n">
        <f aca="false">IF(BB55+BC55&gt;0,(BB55*crown_charter+BC55*crown_comp)/(BA55),0)</f>
        <v>0.195898288486284</v>
      </c>
    </row>
    <row r="56" customFormat="false" ht="14.25" hidden="false" customHeight="true" outlineLevel="0" collapsed="false">
      <c r="A56" s="61" t="n">
        <v>1896</v>
      </c>
      <c r="B56" s="68" t="n">
        <f aca="false">champ_scale*(1+Labour!AP56)*(1+Partners!BX56)*(1-IF(union_resp=2,tariff_cut*Labour!S56,0))</f>
        <v>1.24011999736128</v>
      </c>
      <c r="C56" s="47" t="n">
        <v>1560</v>
      </c>
      <c r="D56" s="47" t="n">
        <v>420</v>
      </c>
      <c r="E56" s="47" t="n">
        <v>3700</v>
      </c>
      <c r="F56" s="49" t="n">
        <f aca="false">E56*B56</f>
        <v>4588.44399023675</v>
      </c>
      <c r="G56" s="49" t="n">
        <f aca="false">F56/Economy!B56*1000000</f>
        <v>539.138289629191</v>
      </c>
      <c r="H56" s="47" t="n">
        <v>355</v>
      </c>
      <c r="I56" s="70" t="n">
        <f aca="false">IF(H56&gt;0,G56/H56,0)</f>
        <v>1.51869940740617</v>
      </c>
      <c r="J56" s="71" t="n">
        <v>0.339</v>
      </c>
      <c r="K56" s="56" t="n">
        <f aca="false">Resources!K56*J56*B56</f>
        <v>5.32647660426638</v>
      </c>
      <c r="L56" s="47" t="n">
        <v>0</v>
      </c>
      <c r="M56" s="62" t="n">
        <v>0</v>
      </c>
      <c r="N56" s="47" t="n">
        <v>11</v>
      </c>
      <c r="O56" s="71" t="n">
        <v>0.56</v>
      </c>
      <c r="P56" s="56" t="n">
        <f aca="false">(IF(Gulf!E56=1,0,L56*M56)+N56)*O56*B56</f>
        <v>7.63913918374551</v>
      </c>
      <c r="Q56" s="56" t="n">
        <f aca="false">P56*oil_book</f>
        <v>53.4739742862186</v>
      </c>
      <c r="R56" s="71" t="n">
        <v>1.02</v>
      </c>
      <c r="S56" s="47" t="n">
        <v>17</v>
      </c>
      <c r="T56" s="56" t="n">
        <f aca="false">R56*S56*B56</f>
        <v>21.5036807542447</v>
      </c>
      <c r="U56" s="47" t="n">
        <v>0</v>
      </c>
      <c r="V56" s="47" t="n">
        <v>0</v>
      </c>
      <c r="W56" s="56" t="n">
        <f aca="false">U56/1000*V56*B56</f>
        <v>0</v>
      </c>
      <c r="X56" s="47" t="n">
        <v>1260</v>
      </c>
      <c r="Y56" s="62" t="n">
        <v>0.037</v>
      </c>
      <c r="Z56" s="56" t="n">
        <f aca="false">X56*Y56*chem_va*B56</f>
        <v>26.0164774246424</v>
      </c>
      <c r="AA56" s="62" t="n">
        <v>0.016</v>
      </c>
      <c r="AB56" s="56" t="n">
        <f aca="false">X56*AA56*roy_rate*B56*(1-IF(union_resp=2,lic_cut*Labour!S56,0))</f>
        <v>0.750024574404105</v>
      </c>
      <c r="AC56" s="47" t="n">
        <v>280</v>
      </c>
      <c r="AD56" s="62" t="n">
        <v>0.212</v>
      </c>
      <c r="AE56" s="62" t="n">
        <v>0.292</v>
      </c>
      <c r="AF56" s="56" t="n">
        <f aca="false">AC56*AD56*elec_va*B56</f>
        <v>33.1260853695146</v>
      </c>
      <c r="AG56" s="56" t="n">
        <f aca="false">MAX(0,AE56-AD56)*AC56*roy_rate*B56*(1-IF(union_resp=2,lic_cut*Labour!S56,0))</f>
        <v>0.833360638226783</v>
      </c>
      <c r="AH56" s="55" t="n">
        <v>25</v>
      </c>
      <c r="AI56" s="56" t="n">
        <f aca="false">AH56*B56</f>
        <v>31.0029999340321</v>
      </c>
      <c r="AJ56" s="55" t="n">
        <v>24</v>
      </c>
      <c r="AK56" s="56" t="n">
        <f aca="false">AJ56*B56</f>
        <v>29.7628799366708</v>
      </c>
      <c r="AL56" s="47" t="n">
        <v>64</v>
      </c>
      <c r="AM56" s="56" t="n">
        <f aca="false">AL56*uw_fee*B56</f>
        <v>1.98419199577806</v>
      </c>
      <c r="AN56" s="55" t="n">
        <v>0</v>
      </c>
      <c r="AO56" s="55" t="n">
        <v>0</v>
      </c>
      <c r="AP56" s="56" t="n">
        <f aca="false">K56+T56+W56+Z56+AF56+AI56+AK56+AM56+AN56+AO56</f>
        <v>148.722792019149</v>
      </c>
      <c r="AQ56" s="56" t="n">
        <f aca="false">AP56*(1-1/champ_prem+champ_spill)</f>
        <v>103.279716679965</v>
      </c>
      <c r="AR56" s="66" t="n">
        <f aca="false">AP56/Economy!O56</f>
        <v>0.0400201186895615</v>
      </c>
      <c r="AS56" s="55" t="n">
        <v>182</v>
      </c>
      <c r="AT56" s="55" t="n">
        <v>52</v>
      </c>
      <c r="AU56" s="55" t="n">
        <v>26</v>
      </c>
      <c r="AV56" s="55" t="n">
        <v>0</v>
      </c>
      <c r="AW56" s="55" t="n">
        <v>4</v>
      </c>
      <c r="AX56" s="55" t="n">
        <v>6</v>
      </c>
      <c r="AY56" s="56" t="n">
        <f aca="false">Q56+(AS56+AT56+AU56+AV56+AW56+AX56)*B56</f>
        <v>388.306373573766</v>
      </c>
      <c r="AZ56" s="56" t="n">
        <f aca="false">P56+(AS56*ret_rail+AT56*ret_tel+AU56*ret_elec+AV56*ret_auto+AW56*ret_chem+AX56*ret_steel)*B56*IF(OR($A56=1931,$A56=1932),abroad_slump,1)+AB56+AG56</f>
        <v>30.2549595516238</v>
      </c>
      <c r="BA56" s="56" t="n">
        <f aca="false">AP56*champ_profit+AZ56</f>
        <v>59.9995179554536</v>
      </c>
      <c r="BB56" s="56" t="n">
        <f aca="false">(K56+AI56+AK56)*champ_profit+P56+(AS56*ret_rail+AT56*ret_tel+AU56*ret_elec)*B56*IF(OR($A56=1931,$A56=1932),abroad_slump,1)</f>
        <v>40.8483448362033</v>
      </c>
      <c r="BC56" s="56" t="n">
        <f aca="false">(T56+W56+Z56+AF56+AN56+AO56)*champ_profit+(AV56*ret_auto+AW56*ret_chem+AX56*ret_steel)*B56*IF(OR($A56=1931,$A56=1932),abroad_slump,1)+AB56+AG56</f>
        <v>18.7543347200947</v>
      </c>
      <c r="BD56" s="56" t="n">
        <f aca="false">IF($A56&gt;=crown_start,(BB56*crown_charter+BC56*crown_comp)*crown_payout,0)</f>
        <v>5.8562164933292</v>
      </c>
      <c r="BE56" s="66" t="n">
        <f aca="false">IF(BB56+BC56&gt;0,(BB56*crown_charter+BC56*crown_comp)/(BA56),0)</f>
        <v>0.195208784766475</v>
      </c>
    </row>
    <row r="57" customFormat="false" ht="14.25" hidden="false" customHeight="true" outlineLevel="0" collapsed="false">
      <c r="A57" s="61" t="n">
        <v>1897</v>
      </c>
      <c r="B57" s="68" t="n">
        <f aca="false">champ_scale*(1+Labour!AP57)*(1+Partners!BX57)*(1-IF(union_resp=2,tariff_cut*Labour!S57,0))</f>
        <v>1.25041607901937</v>
      </c>
      <c r="C57" s="47" t="n">
        <v>1670</v>
      </c>
      <c r="D57" s="47" t="n">
        <v>440</v>
      </c>
      <c r="E57" s="47" t="n">
        <v>3900</v>
      </c>
      <c r="F57" s="49" t="n">
        <f aca="false">E57*B57</f>
        <v>4876.62270817556</v>
      </c>
      <c r="G57" s="49" t="n">
        <f aca="false">F57/Economy!B57*1000000</f>
        <v>549.425974383896</v>
      </c>
      <c r="H57" s="47" t="n">
        <v>347</v>
      </c>
      <c r="I57" s="70" t="n">
        <f aca="false">IF(H57&gt;0,G57/H57,0)</f>
        <v>1.58336015672593</v>
      </c>
      <c r="J57" s="71" t="n">
        <v>0.346</v>
      </c>
      <c r="K57" s="56" t="n">
        <f aca="false">Resources!K57*J57*B57</f>
        <v>6.63243195801299</v>
      </c>
      <c r="L57" s="47" t="n">
        <v>0</v>
      </c>
      <c r="M57" s="62" t="n">
        <v>0</v>
      </c>
      <c r="N57" s="47" t="n">
        <v>12</v>
      </c>
      <c r="O57" s="71" t="n">
        <v>0.557</v>
      </c>
      <c r="P57" s="56" t="n">
        <f aca="false">(IF(Gulf!E57=1,0,L57*M57)+N57)*O57*B57</f>
        <v>8.3577810721655</v>
      </c>
      <c r="Q57" s="56" t="n">
        <f aca="false">P57*oil_book</f>
        <v>58.5044675051585</v>
      </c>
      <c r="R57" s="71" t="n">
        <v>1.115</v>
      </c>
      <c r="S57" s="47" t="n">
        <v>17</v>
      </c>
      <c r="T57" s="56" t="n">
        <f aca="false">R57*S57*B57</f>
        <v>23.7016367778122</v>
      </c>
      <c r="U57" s="47" t="n">
        <v>0</v>
      </c>
      <c r="V57" s="47" t="n">
        <v>0</v>
      </c>
      <c r="W57" s="56" t="n">
        <f aca="false">U57/1000*V57*B57</f>
        <v>0</v>
      </c>
      <c r="X57" s="47" t="n">
        <v>1320</v>
      </c>
      <c r="Y57" s="62" t="n">
        <v>0.039</v>
      </c>
      <c r="Z57" s="56" t="n">
        <f aca="false">X57*Y57*chem_va*B57</f>
        <v>28.9671388865628</v>
      </c>
      <c r="AA57" s="62" t="n">
        <v>0.017</v>
      </c>
      <c r="AB57" s="56" t="n">
        <f aca="false">X57*AA57*roy_rate*B57*(1-IF(union_resp=2,lic_cut*Labour!S57,0))</f>
        <v>0.841780104395843</v>
      </c>
      <c r="AC57" s="47" t="n">
        <v>310</v>
      </c>
      <c r="AD57" s="62" t="n">
        <v>0.214</v>
      </c>
      <c r="AE57" s="62" t="n">
        <v>0.299</v>
      </c>
      <c r="AF57" s="56" t="n">
        <f aca="false">AC57*AD57*elec_va*B57</f>
        <v>37.3286712069654</v>
      </c>
      <c r="AG57" s="56" t="n">
        <f aca="false">MAX(0,AE57-AD57)*AC57*roy_rate*B57*(1-IF(union_resp=2,lic_cut*Labour!S57,0))</f>
        <v>0.988453910464815</v>
      </c>
      <c r="AH57" s="55" t="n">
        <v>27</v>
      </c>
      <c r="AI57" s="56" t="n">
        <f aca="false">AH57*B57</f>
        <v>33.7612341335231</v>
      </c>
      <c r="AJ57" s="55" t="n">
        <v>26</v>
      </c>
      <c r="AK57" s="56" t="n">
        <f aca="false">AJ57*B57</f>
        <v>32.5108180545037</v>
      </c>
      <c r="AL57" s="47" t="n">
        <v>68</v>
      </c>
      <c r="AM57" s="56" t="n">
        <f aca="false">AL57*uw_fee*B57</f>
        <v>2.12570733433294</v>
      </c>
      <c r="AN57" s="55" t="n">
        <v>0</v>
      </c>
      <c r="AO57" s="55" t="n">
        <v>0</v>
      </c>
      <c r="AP57" s="56" t="n">
        <f aca="false">K57+T57+W57+Z57+AF57+AI57+AK57+AM57+AN57+AO57</f>
        <v>165.027638351713</v>
      </c>
      <c r="AQ57" s="56" t="n">
        <f aca="false">AP57*(1-1/champ_prem+champ_spill)</f>
        <v>114.602526633134</v>
      </c>
      <c r="AR57" s="66" t="n">
        <f aca="false">AP57/Economy!O57</f>
        <v>0.0395127643414497</v>
      </c>
      <c r="AS57" s="55" t="n">
        <v>199</v>
      </c>
      <c r="AT57" s="55" t="n">
        <v>56</v>
      </c>
      <c r="AU57" s="55" t="n">
        <v>30</v>
      </c>
      <c r="AV57" s="55" t="n">
        <v>0</v>
      </c>
      <c r="AW57" s="55" t="n">
        <v>4</v>
      </c>
      <c r="AX57" s="55" t="n">
        <v>7</v>
      </c>
      <c r="AY57" s="56" t="n">
        <f aca="false">Q57+(AS57+AT57+AU57+AV57+AW57+AX57)*B57</f>
        <v>428.627626894893</v>
      </c>
      <c r="AZ57" s="56" t="n">
        <f aca="false">P57+(AS57*ret_rail+AT57*ret_tel+AU57*ret_elec+AV57*ret_auto+AW57*ret_chem+AX57*ret_steel)*B57*IF(OR($A57=1931,$A57=1932),abroad_slump,1)+AB57+AG57</f>
        <v>33.3832333528356</v>
      </c>
      <c r="BA57" s="56" t="n">
        <f aca="false">AP57*champ_profit+AZ57</f>
        <v>66.3887610231782</v>
      </c>
      <c r="BB57" s="56" t="n">
        <f aca="false">(K57+AI57+AK57)*champ_profit+P57+(AS57*ret_rail+AT57*ret_tel+AU57*ret_elec)*B57*IF(OR($A57=1931,$A57=1932),abroad_slump,1)</f>
        <v>45.0085216960654</v>
      </c>
      <c r="BC57" s="56" t="n">
        <f aca="false">(T57+W57+Z57+AF57+AN57+AO57)*champ_profit+(AV57*ret_auto+AW57*ret_chem+AX57*ret_steel)*B57*IF(OR($A57=1931,$A57=1932),abroad_slump,1)+AB57+AG57</f>
        <v>20.9550978602462</v>
      </c>
      <c r="BD57" s="56" t="n">
        <f aca="false">IF($A57&gt;=crown_start,(BB57*crown_charter+BC57*crown_comp)*crown_payout,0)</f>
        <v>6.46426912641803</v>
      </c>
      <c r="BE57" s="66" t="n">
        <f aca="false">IF(BB57+BC57&gt;0,(BB57*crown_charter+BC57*crown_comp)/(BA57),0)</f>
        <v>0.194739863398299</v>
      </c>
    </row>
    <row r="58" customFormat="false" ht="14.25" hidden="false" customHeight="true" outlineLevel="0" collapsed="false">
      <c r="A58" s="61" t="n">
        <v>1898</v>
      </c>
      <c r="B58" s="68" t="n">
        <f aca="false">champ_scale*(1+Labour!AP58)*(1+Partners!BX58)*(1-IF(union_resp=2,tariff_cut*Labour!S58,0))</f>
        <v>1.26065535329005</v>
      </c>
      <c r="C58" s="47" t="n">
        <v>1780</v>
      </c>
      <c r="D58" s="47" t="n">
        <v>460</v>
      </c>
      <c r="E58" s="47" t="n">
        <v>4100</v>
      </c>
      <c r="F58" s="49" t="n">
        <f aca="false">E58*B58</f>
        <v>5168.68694848922</v>
      </c>
      <c r="G58" s="49" t="n">
        <f aca="false">F58/Economy!B58*1000000</f>
        <v>558.85386729133</v>
      </c>
      <c r="H58" s="47" t="n">
        <v>340</v>
      </c>
      <c r="I58" s="70" t="n">
        <f aca="false">IF(H58&gt;0,G58/H58,0)</f>
        <v>1.6436878449745</v>
      </c>
      <c r="J58" s="71" t="n">
        <v>0.352</v>
      </c>
      <c r="K58" s="56" t="n">
        <f aca="false">Resources!K58*J58*B58</f>
        <v>7.98751231844577</v>
      </c>
      <c r="L58" s="47" t="n">
        <v>0</v>
      </c>
      <c r="M58" s="62" t="n">
        <v>0</v>
      </c>
      <c r="N58" s="47" t="n">
        <v>13</v>
      </c>
      <c r="O58" s="71" t="n">
        <v>0.555</v>
      </c>
      <c r="P58" s="56" t="n">
        <f aca="false">(IF(Gulf!E58=1,0,L58*M58)+N58)*O58*B58</f>
        <v>9.09562837398773</v>
      </c>
      <c r="Q58" s="56" t="n">
        <f aca="false">P58*oil_book</f>
        <v>63.6693986179141</v>
      </c>
      <c r="R58" s="71" t="n">
        <v>1.21</v>
      </c>
      <c r="S58" s="47" t="n">
        <v>16</v>
      </c>
      <c r="T58" s="56" t="n">
        <f aca="false">R58*S58*B58</f>
        <v>24.4062876396954</v>
      </c>
      <c r="U58" s="47" t="n">
        <v>0</v>
      </c>
      <c r="V58" s="47" t="n">
        <v>0</v>
      </c>
      <c r="W58" s="56" t="n">
        <f aca="false">U58/1000*V58*B58</f>
        <v>0</v>
      </c>
      <c r="X58" s="47" t="n">
        <v>1380</v>
      </c>
      <c r="Y58" s="62" t="n">
        <v>0.041</v>
      </c>
      <c r="Z58" s="56" t="n">
        <f aca="false">X58*Y58*chem_va*B58</f>
        <v>32.097545950118</v>
      </c>
      <c r="AA58" s="62" t="n">
        <v>0.018</v>
      </c>
      <c r="AB58" s="56" t="n">
        <f aca="false">X58*AA58*roy_rate*B58*(1-IF(union_resp=2,lic_cut*Labour!S58,0))</f>
        <v>0.939440369271747</v>
      </c>
      <c r="AC58" s="47" t="n">
        <v>340</v>
      </c>
      <c r="AD58" s="62" t="n">
        <v>0.216</v>
      </c>
      <c r="AE58" s="62" t="n">
        <v>0.306</v>
      </c>
      <c r="AF58" s="56" t="n">
        <f aca="false">AC58*AD58*elec_va*B58</f>
        <v>41.6621381155297</v>
      </c>
      <c r="AG58" s="56" t="n">
        <f aca="false">MAX(0,AE58-AD58)*AC58*roy_rate*B58*(1-IF(union_resp=2,lic_cut*Labour!S58,0))</f>
        <v>1.15728161432027</v>
      </c>
      <c r="AH58" s="55" t="n">
        <v>29</v>
      </c>
      <c r="AI58" s="56" t="n">
        <f aca="false">AH58*B58</f>
        <v>36.5590052454115</v>
      </c>
      <c r="AJ58" s="55" t="n">
        <v>27</v>
      </c>
      <c r="AK58" s="56" t="n">
        <f aca="false">AJ58*B58</f>
        <v>34.0376945388314</v>
      </c>
      <c r="AL58" s="47" t="n">
        <v>72</v>
      </c>
      <c r="AM58" s="56" t="n">
        <f aca="false">AL58*uw_fee*B58</f>
        <v>2.2691796359221</v>
      </c>
      <c r="AN58" s="55" t="n">
        <v>0</v>
      </c>
      <c r="AO58" s="55" t="n">
        <v>0</v>
      </c>
      <c r="AP58" s="56" t="n">
        <f aca="false">K58+T58+W58+Z58+AF58+AI58+AK58+AM58+AN58+AO58</f>
        <v>179.019363443954</v>
      </c>
      <c r="AQ58" s="56" t="n">
        <f aca="false">AP58*(1-1/champ_prem+champ_spill)</f>
        <v>124.319002391635</v>
      </c>
      <c r="AR58" s="66" t="n">
        <f aca="false">AP58/Economy!O58</f>
        <v>0.0390627865309334</v>
      </c>
      <c r="AS58" s="55" t="n">
        <v>216</v>
      </c>
      <c r="AT58" s="55" t="n">
        <v>61</v>
      </c>
      <c r="AU58" s="55" t="n">
        <v>33</v>
      </c>
      <c r="AV58" s="55" t="n">
        <v>0</v>
      </c>
      <c r="AW58" s="55" t="n">
        <v>5</v>
      </c>
      <c r="AX58" s="55" t="n">
        <v>8</v>
      </c>
      <c r="AY58" s="56" t="n">
        <f aca="false">Q58+(AS58+AT58+AU58+AV58+AW58+AX58)*B58</f>
        <v>470.861077730601</v>
      </c>
      <c r="AZ58" s="56" t="n">
        <f aca="false">P58+(AS58*ret_rail+AT58*ret_tel+AU58*ret_elec+AV58*ret_auto+AW58*ret_chem+AX58*ret_steel)*B58*IF(OR($A58=1931,$A58=1932),abroad_slump,1)+AB58+AG58</f>
        <v>36.7710474758349</v>
      </c>
      <c r="BA58" s="56" t="n">
        <f aca="false">AP58*champ_profit+AZ58</f>
        <v>72.5749201646257</v>
      </c>
      <c r="BB58" s="56" t="n">
        <f aca="false">(K58+AI58+AK58)*champ_profit+P58+(AS58*ret_rail+AT58*ret_tel+AU58*ret_elec)*B58*IF(OR($A58=1931,$A58=1932),abroad_slump,1)</f>
        <v>49.0296601312274</v>
      </c>
      <c r="BC58" s="56" t="n">
        <f aca="false">(T58+W58+Z58+AF58+AN58+AO58)*champ_profit+(AV58*ret_auto+AW58*ret_chem+AX58*ret_steel)*B58*IF(OR($A58=1931,$A58=1932),abroad_slump,1)+AB58+AG58</f>
        <v>23.0914241062139</v>
      </c>
      <c r="BD58" s="56" t="n">
        <f aca="false">IF($A58&gt;=crown_start,(BB58*crown_charter+BC58*crown_comp)*crown_payout,0)</f>
        <v>7.05236448065198</v>
      </c>
      <c r="BE58" s="66" t="n">
        <f aca="false">IF(BB58+BC58&gt;0,(BB58*crown_charter+BC58*crown_comp)/(BA58),0)</f>
        <v>0.194347150907082</v>
      </c>
    </row>
    <row r="59" customFormat="false" ht="14.25" hidden="false" customHeight="true" outlineLevel="0" collapsed="false">
      <c r="A59" s="61" t="n">
        <v>1899</v>
      </c>
      <c r="B59" s="68" t="n">
        <f aca="false">champ_scale*(1+Labour!AP59)*(1+Partners!BX59)*(1-IF(union_resp=2,tariff_cut*Labour!S59,0))</f>
        <v>1.27098699914333</v>
      </c>
      <c r="C59" s="47" t="n">
        <v>1890</v>
      </c>
      <c r="D59" s="47" t="n">
        <v>480</v>
      </c>
      <c r="E59" s="47" t="n">
        <v>4300</v>
      </c>
      <c r="F59" s="49" t="n">
        <f aca="false">E59*B59</f>
        <v>5465.24409631632</v>
      </c>
      <c r="G59" s="49" t="n">
        <f aca="false">F59/Economy!B59*1000000</f>
        <v>567.475199488039</v>
      </c>
      <c r="H59" s="47" t="n">
        <v>332</v>
      </c>
      <c r="I59" s="70" t="n">
        <f aca="false">IF(H59&gt;0,G59/H59,0)</f>
        <v>1.70926264906036</v>
      </c>
      <c r="J59" s="71" t="n">
        <v>0.359</v>
      </c>
      <c r="K59" s="56" t="n">
        <f aca="false">Resources!K59*J59*B59</f>
        <v>9.8101131528878</v>
      </c>
      <c r="L59" s="47" t="n">
        <v>0</v>
      </c>
      <c r="M59" s="62" t="n">
        <v>0</v>
      </c>
      <c r="N59" s="47" t="n">
        <v>14</v>
      </c>
      <c r="O59" s="71" t="n">
        <v>0.552</v>
      </c>
      <c r="P59" s="56" t="n">
        <f aca="false">(IF(Gulf!E59=1,0,L59*M59)+N59)*O59*B59</f>
        <v>9.82218752937966</v>
      </c>
      <c r="Q59" s="56" t="n">
        <f aca="false">P59*oil_book</f>
        <v>68.7553127056576</v>
      </c>
      <c r="R59" s="71" t="n">
        <v>1.305</v>
      </c>
      <c r="S59" s="47" t="n">
        <v>16</v>
      </c>
      <c r="T59" s="56" t="n">
        <f aca="false">R59*S59*B59</f>
        <v>26.5382085421128</v>
      </c>
      <c r="U59" s="47" t="n">
        <v>0</v>
      </c>
      <c r="V59" s="47" t="n">
        <v>0</v>
      </c>
      <c r="W59" s="56" t="n">
        <f aca="false">U59/1000*V59*B59</f>
        <v>0</v>
      </c>
      <c r="X59" s="47" t="n">
        <v>1440</v>
      </c>
      <c r="Y59" s="62" t="n">
        <v>0.043</v>
      </c>
      <c r="Z59" s="56" t="n">
        <f aca="false">X59*Y59*chem_va*B59</f>
        <v>35.4147817441298</v>
      </c>
      <c r="AA59" s="62" t="n">
        <v>0.019</v>
      </c>
      <c r="AB59" s="56" t="n">
        <f aca="false">X59*AA59*roy_rate*B59*(1-IF(union_resp=2,lic_cut*Labour!S59,0))</f>
        <v>1.04322612889685</v>
      </c>
      <c r="AC59" s="47" t="n">
        <v>370</v>
      </c>
      <c r="AD59" s="62" t="n">
        <v>0.218</v>
      </c>
      <c r="AE59" s="62" t="n">
        <v>0.313</v>
      </c>
      <c r="AF59" s="56" t="n">
        <f aca="false">AC59*AD59*elec_va*B59</f>
        <v>46.1330151079055</v>
      </c>
      <c r="AG59" s="56" t="n">
        <f aca="false">MAX(0,AE59-AD59)*AC59*roy_rate*B59*(1-IF(union_resp=2,lic_cut*Labour!S59,0))</f>
        <v>1.34025579059664</v>
      </c>
      <c r="AH59" s="55" t="n">
        <v>30</v>
      </c>
      <c r="AI59" s="56" t="n">
        <f aca="false">AH59*B59</f>
        <v>38.1296099742999</v>
      </c>
      <c r="AJ59" s="55" t="n">
        <v>28</v>
      </c>
      <c r="AK59" s="56" t="n">
        <f aca="false">AJ59*B59</f>
        <v>35.5876359760133</v>
      </c>
      <c r="AL59" s="47" t="n">
        <v>76</v>
      </c>
      <c r="AM59" s="56" t="n">
        <f aca="false">AL59*uw_fee*B59</f>
        <v>2.41487529837233</v>
      </c>
      <c r="AN59" s="55" t="n">
        <v>0</v>
      </c>
      <c r="AO59" s="55" t="n">
        <v>0</v>
      </c>
      <c r="AP59" s="56" t="n">
        <f aca="false">K59+T59+W59+Z59+AF59+AI59+AK59+AM59+AN59+AO59</f>
        <v>194.028239795721</v>
      </c>
      <c r="AQ59" s="56" t="n">
        <f aca="false">AP59*(1-1/champ_prem+champ_spill)</f>
        <v>134.741833191473</v>
      </c>
      <c r="AR59" s="66" t="n">
        <f aca="false">AP59/Economy!O59</f>
        <v>0.0386807236640491</v>
      </c>
      <c r="AS59" s="55" t="n">
        <v>233</v>
      </c>
      <c r="AT59" s="55" t="n">
        <v>66</v>
      </c>
      <c r="AU59" s="55" t="n">
        <v>36</v>
      </c>
      <c r="AV59" s="55" t="n">
        <v>0</v>
      </c>
      <c r="AW59" s="55" t="n">
        <v>5</v>
      </c>
      <c r="AX59" s="55" t="n">
        <v>9</v>
      </c>
      <c r="AY59" s="56" t="n">
        <f aca="false">Q59+(AS59+AT59+AU59+AV59+AW59+AX59)*B59</f>
        <v>512.32977540668</v>
      </c>
      <c r="AZ59" s="56" t="n">
        <f aca="false">P59+(AS59*ret_rail+AT59*ret_tel+AU59*ret_elec+AV59*ret_auto+AW59*ret_chem+AX59*ret_steel)*B59*IF(OR($A59=1931,$A59=1932),abroad_slump,1)+AB59+AG59</f>
        <v>40.0529946001035</v>
      </c>
      <c r="BA59" s="56" t="n">
        <f aca="false">AP59*champ_profit+AZ59</f>
        <v>78.8586425592478</v>
      </c>
      <c r="BB59" s="56" t="n">
        <f aca="false">(K59+AI59+AK59)*champ_profit+P59+(AS59*ret_rail+AT59*ret_tel+AU59*ret_elec)*B59*IF(OR($A59=1931,$A59=1932),abroad_slump,1)</f>
        <v>52.9260593222269</v>
      </c>
      <c r="BC59" s="56" t="n">
        <f aca="false">(T59+W59+Z59+AF59+AN59+AO59)*champ_profit+(AV59*ret_auto+AW59*ret_chem+AX59*ret_steel)*B59*IF(OR($A59=1931,$A59=1932),abroad_slump,1)+AB59+AG59</f>
        <v>25.4496081773465</v>
      </c>
      <c r="BD59" s="56" t="n">
        <f aca="false">IF($A59&gt;=crown_start,(BB59*crown_charter+BC59*crown_comp)*crown_payout,0)</f>
        <v>7.63374174237222</v>
      </c>
      <c r="BE59" s="66" t="n">
        <f aca="false">IF(BB59+BC59&gt;0,(BB59*crown_charter+BC59*crown_comp)/(BA59),0)</f>
        <v>0.193605710030752</v>
      </c>
    </row>
    <row r="60" customFormat="false" ht="14.25" hidden="false" customHeight="true" outlineLevel="0" collapsed="false">
      <c r="A60" s="61" t="n">
        <v>1900</v>
      </c>
      <c r="B60" s="68" t="n">
        <f aca="false">champ_scale*(1+Labour!AP60)*(1+Partners!BX60)*(1-IF(union_resp=2,tariff_cut*Labour!S60,0))</f>
        <v>1.28140109830926</v>
      </c>
      <c r="C60" s="47" t="n">
        <v>2000</v>
      </c>
      <c r="D60" s="47" t="n">
        <v>500</v>
      </c>
      <c r="E60" s="47" t="n">
        <v>4500</v>
      </c>
      <c r="F60" s="49" t="n">
        <f aca="false">E60*B60</f>
        <v>5766.30494239165</v>
      </c>
      <c r="G60" s="49" t="n">
        <f aca="false">F60/Economy!B60*1000000</f>
        <v>573.779401660623</v>
      </c>
      <c r="H60" s="47" t="n">
        <v>324</v>
      </c>
      <c r="I60" s="70" t="n">
        <f aca="false">IF(H60&gt;0,G60/H60,0)</f>
        <v>1.77092407919945</v>
      </c>
      <c r="J60" s="71" t="n">
        <v>0.365</v>
      </c>
      <c r="K60" s="56" t="n">
        <f aca="false">Resources!K60*J60*B60</f>
        <v>11.692785022072</v>
      </c>
      <c r="L60" s="47" t="n">
        <v>0</v>
      </c>
      <c r="M60" s="62" t="n">
        <v>0</v>
      </c>
      <c r="N60" s="47" t="n">
        <v>15</v>
      </c>
      <c r="O60" s="71" t="n">
        <v>0.55</v>
      </c>
      <c r="P60" s="56" t="n">
        <f aca="false">(IF(Gulf!E60=1,0,L60*M60)+N60)*O60*B60</f>
        <v>10.5715590610514</v>
      </c>
      <c r="Q60" s="56" t="n">
        <f aca="false">P60*oil_book</f>
        <v>74.0009134273595</v>
      </c>
      <c r="R60" s="71" t="n">
        <v>1.4</v>
      </c>
      <c r="S60" s="47" t="n">
        <v>16</v>
      </c>
      <c r="T60" s="56" t="n">
        <f aca="false">R60*S60*B60</f>
        <v>28.7033846021273</v>
      </c>
      <c r="U60" s="47" t="n">
        <v>0.5</v>
      </c>
      <c r="V60" s="47" t="n">
        <v>500</v>
      </c>
      <c r="W60" s="56" t="n">
        <f aca="false">U60/1000*V60*B60</f>
        <v>0.320350274577314</v>
      </c>
      <c r="X60" s="47" t="n">
        <v>1500</v>
      </c>
      <c r="Y60" s="62" t="n">
        <v>0.045</v>
      </c>
      <c r="Z60" s="56" t="n">
        <f aca="false">X60*Y60*chem_va*B60</f>
        <v>38.9225583611436</v>
      </c>
      <c r="AA60" s="62" t="n">
        <v>0.02</v>
      </c>
      <c r="AB60" s="56" t="n">
        <f aca="false">X60*AA60*roy_rate*B60*(1-IF(union_resp=2,lic_cut*Labour!S60,0))</f>
        <v>1.15326098847833</v>
      </c>
      <c r="AC60" s="47" t="n">
        <v>400</v>
      </c>
      <c r="AD60" s="62" t="n">
        <v>0.22</v>
      </c>
      <c r="AE60" s="62" t="n">
        <v>0.32</v>
      </c>
      <c r="AF60" s="56" t="n">
        <f aca="false">AC60*AD60*elec_va*B60</f>
        <v>50.7434834930465</v>
      </c>
      <c r="AG60" s="56" t="n">
        <f aca="false">MAX(0,AE60-AD60)*AC60*roy_rate*B60*(1-IF(union_resp=2,lic_cut*Labour!S60,0))</f>
        <v>1.53768131797111</v>
      </c>
      <c r="AH60" s="55" t="n">
        <v>32</v>
      </c>
      <c r="AI60" s="56" t="n">
        <f aca="false">AH60*B60</f>
        <v>41.0048351458962</v>
      </c>
      <c r="AJ60" s="55" t="n">
        <v>30</v>
      </c>
      <c r="AK60" s="56" t="n">
        <f aca="false">AJ60*B60</f>
        <v>38.4420329492777</v>
      </c>
      <c r="AL60" s="47" t="n">
        <v>80</v>
      </c>
      <c r="AM60" s="56" t="n">
        <f aca="false">AL60*uw_fee*B60</f>
        <v>2.56280219661851</v>
      </c>
      <c r="AN60" s="55" t="n">
        <v>0</v>
      </c>
      <c r="AO60" s="55" t="n">
        <v>1</v>
      </c>
      <c r="AP60" s="56" t="n">
        <f aca="false">K60+T60+W60+Z60+AF60+AI60+AK60+AM60+AN60+AO60</f>
        <v>213.392232044759</v>
      </c>
      <c r="AQ60" s="56" t="n">
        <f aca="false">AP60*(1-1/champ_prem+champ_spill)</f>
        <v>148.189050031083</v>
      </c>
      <c r="AR60" s="66" t="n">
        <f aca="false">AP60/Economy!O60</f>
        <v>0.0388243345655536</v>
      </c>
      <c r="AS60" s="55" t="n">
        <v>250</v>
      </c>
      <c r="AT60" s="55" t="n">
        <v>70</v>
      </c>
      <c r="AU60" s="55" t="n">
        <v>40</v>
      </c>
      <c r="AV60" s="55" t="n">
        <v>0</v>
      </c>
      <c r="AW60" s="55" t="n">
        <v>5</v>
      </c>
      <c r="AX60" s="55" t="n">
        <v>10</v>
      </c>
      <c r="AY60" s="56" t="n">
        <f aca="false">Q60+(AS60+AT60+AU60+AV60+AW60+AX60)*B60</f>
        <v>554.52632529333</v>
      </c>
      <c r="AZ60" s="56" t="n">
        <f aca="false">P60+(AS60*ret_rail+AT60*ret_tel+AU60*ret_elec+AV60*ret_auto+AW60*ret_chem+AX60*ret_steel)*B60*IF(OR($A60=1931,$A60=1932),abroad_slump,1)+AB60+AG60</f>
        <v>43.3754271777683</v>
      </c>
      <c r="BA60" s="56" t="n">
        <f aca="false">AP60*champ_profit+AZ60</f>
        <v>86.0538735867201</v>
      </c>
      <c r="BB60" s="56" t="n">
        <f aca="false">(K60+AI60+AK60)*champ_profit+P60+(AS60*ret_rail+AT60*ret_tel+AU60*ret_elec)*B60*IF(OR($A60=1931,$A60=1932),abroad_slump,1)</f>
        <v>57.3747341767969</v>
      </c>
      <c r="BC60" s="56" t="n">
        <f aca="false">(T60+W60+Z60+AF60+AN60+AO60)*champ_profit+(AV60*ret_auto+AW60*ret_chem+AX60*ret_steel)*B60*IF(OR($A60=1931,$A60=1932),abroad_slump,1)+AB60+AG60</f>
        <v>28.1665789705995</v>
      </c>
      <c r="BD60" s="56" t="n">
        <f aca="false">IF($A60&gt;=crown_start,(BB60*crown_charter+BC60*crown_comp)*crown_payout,0)</f>
        <v>8.29850493092359</v>
      </c>
      <c r="BE60" s="66" t="n">
        <f aca="false">IF(BB60+BC60&gt;0,(BB60*crown_charter+BC60*crown_comp)/(BA60),0)</f>
        <v>0.192867667312171</v>
      </c>
    </row>
    <row r="61" customFormat="false" ht="14.25" hidden="false" customHeight="true" outlineLevel="0" collapsed="false">
      <c r="A61" s="61" t="n">
        <v>1901</v>
      </c>
      <c r="B61" s="68" t="n">
        <f aca="false">champ_scale*(1+Labour!AP61)*(1+Partners!BX61)*(1-IF(union_resp=2,tariff_cut*Labour!S61,0))</f>
        <v>1.29181106844554</v>
      </c>
      <c r="C61" s="47" t="n">
        <v>2190</v>
      </c>
      <c r="D61" s="47" t="n">
        <v>520</v>
      </c>
      <c r="E61" s="47" t="n">
        <v>4770</v>
      </c>
      <c r="F61" s="49" t="n">
        <f aca="false">E61*B61</f>
        <v>6161.9387964852</v>
      </c>
      <c r="G61" s="49" t="n">
        <f aca="false">F61/Economy!B61*1000000</f>
        <v>585.590757834475</v>
      </c>
      <c r="H61" s="47" t="n">
        <v>326</v>
      </c>
      <c r="I61" s="70" t="n">
        <f aca="false">IF(H61&gt;0,G61/H61,0)</f>
        <v>1.79629066820391</v>
      </c>
      <c r="J61" s="71" t="n">
        <v>0.372</v>
      </c>
      <c r="K61" s="56" t="n">
        <f aca="false">Resources!K61*J61*B61</f>
        <v>14.4166115238522</v>
      </c>
      <c r="L61" s="47" t="n">
        <v>4</v>
      </c>
      <c r="M61" s="62" t="n">
        <v>0.4</v>
      </c>
      <c r="N61" s="47" t="n">
        <v>17</v>
      </c>
      <c r="O61" s="71" t="n">
        <v>0.554</v>
      </c>
      <c r="P61" s="56" t="n">
        <f aca="false">(IF(Gulf!E61=1,0,L61*M61)+N61)*O61*B61</f>
        <v>13.3113379736902</v>
      </c>
      <c r="Q61" s="56" t="n">
        <f aca="false">P61*oil_book</f>
        <v>93.1793658158312</v>
      </c>
      <c r="R61" s="71" t="n">
        <v>1.58</v>
      </c>
      <c r="S61" s="47" t="n">
        <v>16</v>
      </c>
      <c r="T61" s="56" t="n">
        <f aca="false">R61*S61*B61</f>
        <v>32.6569838103031</v>
      </c>
      <c r="U61" s="47" t="n">
        <v>1.2</v>
      </c>
      <c r="V61" s="47" t="n">
        <v>494</v>
      </c>
      <c r="W61" s="56" t="n">
        <f aca="false">U61/1000*V61*B61</f>
        <v>0.765785601374513</v>
      </c>
      <c r="X61" s="47" t="n">
        <v>1577</v>
      </c>
      <c r="Y61" s="62" t="n">
        <v>0.048</v>
      </c>
      <c r="Z61" s="56" t="n">
        <f aca="false">X61*Y61*chem_va*B61</f>
        <v>44.003218786674</v>
      </c>
      <c r="AA61" s="62" t="n">
        <v>0.022</v>
      </c>
      <c r="AB61" s="56" t="n">
        <f aca="false">X61*AA61*roy_rate*B61*(1-IF(union_resp=2,lic_cut*Labour!S61,0))</f>
        <v>1.34454279625948</v>
      </c>
      <c r="AC61" s="47" t="n">
        <v>446</v>
      </c>
      <c r="AD61" s="62" t="n">
        <v>0.22</v>
      </c>
      <c r="AE61" s="62" t="n">
        <v>0.325</v>
      </c>
      <c r="AF61" s="56" t="n">
        <f aca="false">AC61*AD61*elec_va*B61</f>
        <v>57.0386259161442</v>
      </c>
      <c r="AG61" s="56" t="n">
        <f aca="false">MAX(0,AE61-AD61)*AC61*roy_rate*B61*(1-IF(union_resp=2,lic_cut*Labour!S61,0))</f>
        <v>1.81486537005913</v>
      </c>
      <c r="AH61" s="55" t="n">
        <v>36</v>
      </c>
      <c r="AI61" s="56" t="n">
        <f aca="false">AH61*B61</f>
        <v>46.5051984640393</v>
      </c>
      <c r="AJ61" s="55" t="n">
        <v>33</v>
      </c>
      <c r="AK61" s="56" t="n">
        <f aca="false">AJ61*B61</f>
        <v>42.6297652587027</v>
      </c>
      <c r="AL61" s="47" t="n">
        <v>122</v>
      </c>
      <c r="AM61" s="56" t="n">
        <f aca="false">AL61*uw_fee*B61</f>
        <v>3.94002375875888</v>
      </c>
      <c r="AN61" s="55" t="n">
        <v>0</v>
      </c>
      <c r="AO61" s="55" t="n">
        <v>2</v>
      </c>
      <c r="AP61" s="56" t="n">
        <f aca="false">K61+T61+W61+Z61+AF61+AI61+AK61+AM61+AN61+AO61</f>
        <v>243.956213119849</v>
      </c>
      <c r="AQ61" s="56" t="n">
        <f aca="false">AP61*(1-1/champ_prem+champ_spill)</f>
        <v>169.414036888784</v>
      </c>
      <c r="AR61" s="66" t="n">
        <f aca="false">AP61/Economy!O61</f>
        <v>0.0407612639208887</v>
      </c>
      <c r="AS61" s="55" t="n">
        <v>290</v>
      </c>
      <c r="AT61" s="55" t="n">
        <v>78</v>
      </c>
      <c r="AU61" s="55" t="n">
        <v>56</v>
      </c>
      <c r="AV61" s="55" t="n">
        <v>0</v>
      </c>
      <c r="AW61" s="55" t="n">
        <v>8</v>
      </c>
      <c r="AX61" s="55" t="n">
        <v>490</v>
      </c>
      <c r="AY61" s="56" t="n">
        <f aca="false">Q61+(AS61+AT61+AU61+AV61+AW61+AX61)*B61</f>
        <v>1284.22917092261</v>
      </c>
      <c r="AZ61" s="56" t="n">
        <f aca="false">P61+(AS61*ret_rail+AT61*ret_tel+AU61*ret_elec+AV61*ret_auto+AW61*ret_chem+AX61*ret_steel)*B61*IF(OR($A61=1931,$A61=1932),abroad_slump,1)+AB61+AG61</f>
        <v>89.5614163926572</v>
      </c>
      <c r="BA61" s="56" t="n">
        <f aca="false">AP61*champ_profit+AZ61</f>
        <v>138.352659016627</v>
      </c>
      <c r="BB61" s="56" t="n">
        <f aca="false">(K61+AI61+AK61)*champ_profit+P61+(AS61*ret_rail+AT61*ret_tel+AU61*ret_elec)*B61*IF(OR($A61=1931,$A61=1932),abroad_slump,1)</f>
        <v>67.8929392376509</v>
      </c>
      <c r="BC61" s="56" t="n">
        <f aca="false">(T61+W61+Z61+AF61+AN61+AO61)*champ_profit+(AV61*ret_auto+AW61*ret_chem+AX61*ret_steel)*B61*IF(OR($A61=1931,$A61=1932),abroad_slump,1)+AB61+AG61</f>
        <v>69.6717150272242</v>
      </c>
      <c r="BD61" s="56" t="n">
        <f aca="false">IF($A61&gt;=crown_start,(BB61*crown_charter+BC61*crown_comp)*crown_payout,0)</f>
        <v>11.2734860057953</v>
      </c>
      <c r="BE61" s="66" t="n">
        <f aca="false">IF(BB61+BC61&gt;0,(BB61*crown_charter+BC61*crown_comp)/(BA61),0)</f>
        <v>0.162967391966648</v>
      </c>
    </row>
    <row r="62" customFormat="false" ht="14.25" hidden="false" customHeight="true" outlineLevel="0" collapsed="false">
      <c r="A62" s="61" t="n">
        <v>1902</v>
      </c>
      <c r="B62" s="68" t="n">
        <f aca="false">champ_scale*(1+Labour!AP62)*(1+Partners!BX62)*(1-IF(union_resp=2,tariff_cut*Labour!S62,0))</f>
        <v>1.30158471986148</v>
      </c>
      <c r="C62" s="47" t="n">
        <v>2380</v>
      </c>
      <c r="D62" s="47" t="n">
        <v>550</v>
      </c>
      <c r="E62" s="47" t="n">
        <v>5040</v>
      </c>
      <c r="F62" s="49" t="n">
        <f aca="false">E62*B62</f>
        <v>6559.98698810188</v>
      </c>
      <c r="G62" s="49" t="n">
        <f aca="false">F62/Economy!B62*1000000</f>
        <v>594.117995775514</v>
      </c>
      <c r="H62" s="47" t="n">
        <v>328</v>
      </c>
      <c r="I62" s="70" t="n">
        <f aca="false">IF(H62&gt;0,G62/H62,0)</f>
        <v>1.81133535297413</v>
      </c>
      <c r="J62" s="71" t="n">
        <v>0.378</v>
      </c>
      <c r="K62" s="56" t="n">
        <f aca="false">Resources!K62*J62*B62</f>
        <v>17.2199658437674</v>
      </c>
      <c r="L62" s="47" t="n">
        <v>12</v>
      </c>
      <c r="M62" s="62" t="n">
        <v>0.411</v>
      </c>
      <c r="N62" s="47" t="n">
        <v>18</v>
      </c>
      <c r="O62" s="71" t="n">
        <v>0.558</v>
      </c>
      <c r="P62" s="56" t="n">
        <f aca="false">(IF(Gulf!E62=1,0,L62*M62)+N62)*O62*B62</f>
        <v>16.6551509640919</v>
      </c>
      <c r="Q62" s="56" t="n">
        <f aca="false">P62*oil_book</f>
        <v>116.586056748643</v>
      </c>
      <c r="R62" s="71" t="n">
        <v>1.76</v>
      </c>
      <c r="S62" s="47" t="n">
        <v>16</v>
      </c>
      <c r="T62" s="56" t="n">
        <f aca="false">R62*S62*B62</f>
        <v>36.6526257112994</v>
      </c>
      <c r="U62" s="47" t="n">
        <v>1.9</v>
      </c>
      <c r="V62" s="47" t="n">
        <v>489</v>
      </c>
      <c r="W62" s="56" t="n">
        <f aca="false">U62/1000*V62*B62</f>
        <v>1.2093023632233</v>
      </c>
      <c r="X62" s="47" t="n">
        <v>1654</v>
      </c>
      <c r="Y62" s="62" t="n">
        <v>0.05</v>
      </c>
      <c r="Z62" s="56" t="n">
        <f aca="false">X62*Y62*chem_va*B62</f>
        <v>48.4384753496451</v>
      </c>
      <c r="AA62" s="62" t="n">
        <v>0.025</v>
      </c>
      <c r="AB62" s="56" t="n">
        <f aca="false">X62*AA62*roy_rate*B62*(1-IF(union_resp=2,lic_cut*Labour!S62,0))</f>
        <v>1.61461584498817</v>
      </c>
      <c r="AC62" s="47" t="n">
        <v>492</v>
      </c>
      <c r="AD62" s="62" t="n">
        <v>0.22</v>
      </c>
      <c r="AE62" s="62" t="n">
        <v>0.329</v>
      </c>
      <c r="AF62" s="56" t="n">
        <f aca="false">AC62*AD62*elec_va*B62</f>
        <v>63.3975885350131</v>
      </c>
      <c r="AG62" s="56" t="n">
        <f aca="false">MAX(0,AE62-AD62)*AC62*roy_rate*B62*(1-IF(union_resp=2,lic_cut*Labour!S62,0))</f>
        <v>2.09404156070195</v>
      </c>
      <c r="AH62" s="55" t="n">
        <v>41</v>
      </c>
      <c r="AI62" s="56" t="n">
        <f aca="false">AH62*B62</f>
        <v>53.3649735143208</v>
      </c>
      <c r="AJ62" s="55" t="n">
        <v>36</v>
      </c>
      <c r="AK62" s="56" t="n">
        <f aca="false">AJ62*B62</f>
        <v>46.8570499150134</v>
      </c>
      <c r="AL62" s="47" t="n">
        <v>165</v>
      </c>
      <c r="AM62" s="56" t="n">
        <f aca="false">AL62*uw_fee*B62</f>
        <v>5.36903696942862</v>
      </c>
      <c r="AN62" s="55" t="n">
        <v>0</v>
      </c>
      <c r="AO62" s="55" t="n">
        <v>3</v>
      </c>
      <c r="AP62" s="56" t="n">
        <f aca="false">K62+T62+W62+Z62+AF62+AI62+AK62+AM62+AN62+AO62</f>
        <v>275.509018201711</v>
      </c>
      <c r="AQ62" s="56" t="n">
        <f aca="false">AP62*(1-1/champ_prem+champ_spill)</f>
        <v>191.325707084522</v>
      </c>
      <c r="AR62" s="66" t="n">
        <f aca="false">AP62/Economy!O62</f>
        <v>0.0422074578602272</v>
      </c>
      <c r="AS62" s="55" t="n">
        <v>330</v>
      </c>
      <c r="AT62" s="55" t="n">
        <v>87</v>
      </c>
      <c r="AU62" s="55" t="n">
        <v>72</v>
      </c>
      <c r="AV62" s="55" t="n">
        <v>0</v>
      </c>
      <c r="AW62" s="55" t="n">
        <v>10</v>
      </c>
      <c r="AX62" s="55" t="n">
        <v>499</v>
      </c>
      <c r="AY62" s="56" t="n">
        <f aca="false">Q62+(AS62+AT62+AU62+AV62+AW62+AX62)*B62</f>
        <v>1415.5676071704</v>
      </c>
      <c r="AZ62" s="56" t="n">
        <f aca="false">P62+(AS62*ret_rail+AT62*ret_tel+AU62*ret_elec+AV62*ret_auto+AW62*ret_chem+AX62*ret_steel)*B62*IF(OR($A62=1931,$A62=1932),abroad_slump,1)+AB62+AG62</f>
        <v>100.25507847488</v>
      </c>
      <c r="BA62" s="56" t="n">
        <f aca="false">AP62*champ_profit+AZ62</f>
        <v>155.356882115222</v>
      </c>
      <c r="BB62" s="56" t="n">
        <f aca="false">(K62+AI62+AK62)*champ_profit+P62+(AS62*ret_rail+AT62*ret_tel+AU62*ret_elec)*B62*IF(OR($A62=1931,$A62=1932),abroad_slump,1)</f>
        <v>79.5034707473235</v>
      </c>
      <c r="BC62" s="56" t="n">
        <f aca="false">(T62+W62+Z62+AF62+AN62+AO62)*champ_profit+(AV62*ret_auto+AW62*ret_chem+AX62*ret_steel)*B62*IF(OR($A62=1931,$A62=1932),abroad_slump,1)+AB62+AG62</f>
        <v>74.7796039740129</v>
      </c>
      <c r="BD62" s="56" t="n">
        <f aca="false">IF($A62&gt;=crown_start,(BB62*crown_charter+BC62*crown_comp)*crown_payout,0)</f>
        <v>12.9291180023759</v>
      </c>
      <c r="BE62" s="66" t="n">
        <f aca="false">IF(BB62+BC62&gt;0,(BB62*crown_charter+BC62*crown_comp)/(BA62),0)</f>
        <v>0.166444097311208</v>
      </c>
    </row>
    <row r="63" customFormat="false" ht="14.25" hidden="false" customHeight="true" outlineLevel="0" collapsed="false">
      <c r="A63" s="61" t="n">
        <v>1903</v>
      </c>
      <c r="B63" s="68" t="n">
        <f aca="false">champ_scale*(1+Labour!AP63)*(1+Partners!BX63)*(1-IF(union_resp=2,tariff_cut*Labour!S63,0))</f>
        <v>1.31098290213098</v>
      </c>
      <c r="C63" s="47" t="n">
        <v>2580</v>
      </c>
      <c r="D63" s="47" t="n">
        <v>570</v>
      </c>
      <c r="E63" s="47" t="n">
        <v>5310</v>
      </c>
      <c r="F63" s="49" t="n">
        <f aca="false">E63*B63</f>
        <v>6961.31921031552</v>
      </c>
      <c r="G63" s="49" t="n">
        <f aca="false">F63/Economy!B63*1000000</f>
        <v>599.721496029241</v>
      </c>
      <c r="H63" s="47" t="n">
        <v>330</v>
      </c>
      <c r="I63" s="70" t="n">
        <f aca="false">IF(H63&gt;0,G63/H63,0)</f>
        <v>1.81733786675528</v>
      </c>
      <c r="J63" s="71" t="n">
        <v>0.385</v>
      </c>
      <c r="K63" s="56" t="n">
        <f aca="false">Resources!K63*J63*B63</f>
        <v>20.1891366928171</v>
      </c>
      <c r="L63" s="47" t="n">
        <v>20</v>
      </c>
      <c r="M63" s="62" t="n">
        <v>0.422</v>
      </c>
      <c r="N63" s="47" t="n">
        <v>20</v>
      </c>
      <c r="O63" s="71" t="n">
        <v>0.562</v>
      </c>
      <c r="P63" s="56" t="n">
        <f aca="false">(IF(Gulf!E63=1,0,L63*M63)+N63)*O63*B63</f>
        <v>20.9538067999721</v>
      </c>
      <c r="Q63" s="56" t="n">
        <f aca="false">P63*oil_book</f>
        <v>146.676647599805</v>
      </c>
      <c r="R63" s="71" t="n">
        <v>1.94</v>
      </c>
      <c r="S63" s="47" t="n">
        <v>16</v>
      </c>
      <c r="T63" s="56" t="n">
        <f aca="false">R63*S63*B63</f>
        <v>40.6929092821457</v>
      </c>
      <c r="U63" s="47" t="n">
        <v>2.6</v>
      </c>
      <c r="V63" s="47" t="n">
        <v>483</v>
      </c>
      <c r="W63" s="56" t="n">
        <f aca="false">U63/1000*V63*B63</f>
        <v>1.64633232849609</v>
      </c>
      <c r="X63" s="47" t="n">
        <v>1731</v>
      </c>
      <c r="Y63" s="62" t="n">
        <v>0.053</v>
      </c>
      <c r="Z63" s="56" t="n">
        <f aca="false">X63*Y63*chem_va*B63</f>
        <v>54.1230769755912</v>
      </c>
      <c r="AA63" s="62" t="n">
        <v>0.027</v>
      </c>
      <c r="AB63" s="56" t="n">
        <f aca="false">X63*AA63*roy_rate*B63*(1-IF(union_resp=2,lic_cut*Labour!S63,0))</f>
        <v>1.83814223690687</v>
      </c>
      <c r="AC63" s="47" t="n">
        <v>538</v>
      </c>
      <c r="AD63" s="62" t="n">
        <v>0.22</v>
      </c>
      <c r="AE63" s="62" t="n">
        <v>0.334</v>
      </c>
      <c r="AF63" s="56" t="n">
        <f aca="false">AC63*AD63*elec_va*B63</f>
        <v>69.8255713333004</v>
      </c>
      <c r="AG63" s="56" t="n">
        <f aca="false">MAX(0,AE63-AD63)*AC63*roy_rate*B63*(1-IF(union_resp=2,lic_cut*Labour!S63,0))</f>
        <v>2.41215610060492</v>
      </c>
      <c r="AH63" s="55" t="n">
        <v>45</v>
      </c>
      <c r="AI63" s="56" t="n">
        <f aca="false">AH63*B63</f>
        <v>58.9942305958942</v>
      </c>
      <c r="AJ63" s="55" t="n">
        <v>39</v>
      </c>
      <c r="AK63" s="56" t="n">
        <f aca="false">AJ63*B63</f>
        <v>51.1283331831083</v>
      </c>
      <c r="AL63" s="47" t="n">
        <v>208</v>
      </c>
      <c r="AM63" s="56" t="n">
        <f aca="false">AL63*uw_fee*B63</f>
        <v>6.81711109108111</v>
      </c>
      <c r="AN63" s="55" t="n">
        <v>0</v>
      </c>
      <c r="AO63" s="55" t="n">
        <v>4</v>
      </c>
      <c r="AP63" s="56" t="n">
        <f aca="false">K63+T63+W63+Z63+AF63+AI63+AK63+AM63+AN63+AO63</f>
        <v>307.416701482434</v>
      </c>
      <c r="AQ63" s="56" t="n">
        <f aca="false">AP63*(1-1/champ_prem+champ_spill)</f>
        <v>213.483820473913</v>
      </c>
      <c r="AR63" s="66" t="n">
        <f aca="false">AP63/Economy!O63</f>
        <v>0.0431220551728313</v>
      </c>
      <c r="AS63" s="55" t="n">
        <v>370</v>
      </c>
      <c r="AT63" s="55" t="n">
        <v>95</v>
      </c>
      <c r="AU63" s="55" t="n">
        <v>88</v>
      </c>
      <c r="AV63" s="55" t="n">
        <v>0</v>
      </c>
      <c r="AW63" s="55" t="n">
        <v>13</v>
      </c>
      <c r="AX63" s="55" t="n">
        <v>508</v>
      </c>
      <c r="AY63" s="56" t="n">
        <f aca="false">Q63+(AS63+AT63+AU63+AV63+AW63+AX63)*B63</f>
        <v>1554.67228448848</v>
      </c>
      <c r="AZ63" s="56" t="n">
        <f aca="false">P63+(AS63*ret_rail+AT63*ret_tel+AU63*ret_elec+AV63*ret_auto+AW63*ret_chem+AX63*ret_steel)*B63*IF(OR($A63=1931,$A63=1932),abroad_slump,1)+AB63+AG63</f>
        <v>111.991173258555</v>
      </c>
      <c r="BA63" s="56" t="n">
        <f aca="false">AP63*champ_profit+AZ63</f>
        <v>173.474513555042</v>
      </c>
      <c r="BB63" s="56" t="n">
        <f aca="false">(K63+AI63+AK63)*champ_profit+P63+(AS63*ret_rail+AT63*ret_tel+AU63*ret_elec)*B63*IF(OR($A63=1931,$A63=1932),abroad_slump,1)</f>
        <v>91.7993228311304</v>
      </c>
      <c r="BC63" s="56" t="n">
        <f aca="false">(T63+W63+Z63+AF63+AN63+AO63)*champ_profit+(AV63*ret_auto+AW63*ret_chem+AX63*ret_steel)*B63*IF(OR($A63=1931,$A63=1932),abroad_slump,1)+AB63+AG63</f>
        <v>80.3117685056952</v>
      </c>
      <c r="BD63" s="56" t="n">
        <f aca="false">IF($A63&gt;=crown_start,(BB63*crown_charter+BC63*crown_comp)*crown_payout,0)</f>
        <v>14.6873860941191</v>
      </c>
      <c r="BE63" s="66" t="n">
        <f aca="false">IF(BB63+BC63&gt;0,(BB63*crown_charter+BC63*crown_comp)/(BA63),0)</f>
        <v>0.169331918483333</v>
      </c>
    </row>
    <row r="64" customFormat="false" ht="14.25" hidden="false" customHeight="true" outlineLevel="0" collapsed="false">
      <c r="A64" s="61" t="n">
        <v>1904</v>
      </c>
      <c r="B64" s="68" t="n">
        <f aca="false">champ_scale*(1+Labour!AP64)*(1+Partners!BX64)*(1-IF(union_resp=2,tariff_cut*Labour!S64,0))</f>
        <v>1.31254578716387</v>
      </c>
      <c r="C64" s="47" t="n">
        <v>2770</v>
      </c>
      <c r="D64" s="47" t="n">
        <v>590</v>
      </c>
      <c r="E64" s="47" t="n">
        <v>5580</v>
      </c>
      <c r="F64" s="49" t="n">
        <f aca="false">E64*B64</f>
        <v>7324.00549237439</v>
      </c>
      <c r="G64" s="49" t="n">
        <f aca="false">F64/Economy!B64*1000000</f>
        <v>599.55833657257</v>
      </c>
      <c r="H64" s="47" t="n">
        <v>332</v>
      </c>
      <c r="I64" s="70" t="n">
        <f aca="false">IF(H64&gt;0,G64/H64,0)</f>
        <v>1.80589860413425</v>
      </c>
      <c r="J64" s="71" t="n">
        <v>0.391</v>
      </c>
      <c r="K64" s="56" t="n">
        <f aca="false">Resources!K64*J64*B64</f>
        <v>23.0942431251483</v>
      </c>
      <c r="L64" s="47" t="n">
        <v>35</v>
      </c>
      <c r="M64" s="62" t="n">
        <v>0.433</v>
      </c>
      <c r="N64" s="47" t="n">
        <v>21</v>
      </c>
      <c r="O64" s="71" t="n">
        <v>0.565</v>
      </c>
      <c r="P64" s="56" t="n">
        <f aca="false">(IF(Gulf!E64=1,0,L64*M64)+N64)*O64*B64</f>
        <v>26.812127508224</v>
      </c>
      <c r="Q64" s="56" t="n">
        <f aca="false">P64*oil_book</f>
        <v>187.684892557568</v>
      </c>
      <c r="R64" s="71" t="n">
        <v>2.12</v>
      </c>
      <c r="S64" s="47" t="n">
        <v>17</v>
      </c>
      <c r="T64" s="56" t="n">
        <f aca="false">R64*S64*B64</f>
        <v>47.3041501693858</v>
      </c>
      <c r="U64" s="47" t="n">
        <v>3.3</v>
      </c>
      <c r="V64" s="47" t="n">
        <v>478</v>
      </c>
      <c r="W64" s="56" t="n">
        <f aca="false">U64/1000*V64*B64</f>
        <v>2.07040972467229</v>
      </c>
      <c r="X64" s="47" t="n">
        <v>1808</v>
      </c>
      <c r="Y64" s="62" t="n">
        <v>0.056</v>
      </c>
      <c r="Z64" s="56" t="n">
        <f aca="false">X64*Y64*chem_va*B64</f>
        <v>59.8016861364453</v>
      </c>
      <c r="AA64" s="62" t="n">
        <v>0.029</v>
      </c>
      <c r="AB64" s="56" t="n">
        <f aca="false">X64*AA64*roy_rate*B64*(1-IF(union_resp=2,lic_cut*Labour!S64,0))</f>
        <v>1.97609993474682</v>
      </c>
      <c r="AC64" s="47" t="n">
        <v>585</v>
      </c>
      <c r="AD64" s="62" t="n">
        <v>0.22</v>
      </c>
      <c r="AE64" s="62" t="n">
        <v>0.338</v>
      </c>
      <c r="AF64" s="56" t="n">
        <f aca="false">AC64*AD64*elec_va*B64</f>
        <v>76.0160892635955</v>
      </c>
      <c r="AG64" s="56" t="n">
        <f aca="false">MAX(0,AE64-AD64)*AC64*roy_rate*B64*(1-IF(union_resp=2,lic_cut*Labour!S64,0))</f>
        <v>2.60165888189604</v>
      </c>
      <c r="AH64" s="55" t="n">
        <v>50</v>
      </c>
      <c r="AI64" s="56" t="n">
        <f aca="false">AH64*B64</f>
        <v>65.6272893581935</v>
      </c>
      <c r="AJ64" s="55" t="n">
        <v>42</v>
      </c>
      <c r="AK64" s="56" t="n">
        <f aca="false">AJ64*B64</f>
        <v>55.1269230608825</v>
      </c>
      <c r="AL64" s="47" t="n">
        <v>250</v>
      </c>
      <c r="AM64" s="56" t="n">
        <f aca="false">AL64*uw_fee*B64</f>
        <v>8.20341116977418</v>
      </c>
      <c r="AN64" s="55" t="n">
        <v>0</v>
      </c>
      <c r="AO64" s="55" t="n">
        <v>5</v>
      </c>
      <c r="AP64" s="56" t="n">
        <f aca="false">K64+T64+W64+Z64+AF64+AI64+AK64+AM64+AN64+AO64</f>
        <v>342.244202008097</v>
      </c>
      <c r="AQ64" s="56" t="n">
        <f aca="false">AP64*(1-1/champ_prem+champ_spill)</f>
        <v>237.669584727845</v>
      </c>
      <c r="AR64" s="66" t="n">
        <f aca="false">AP64/Economy!O64</f>
        <v>0.0439467761718225</v>
      </c>
      <c r="AS64" s="55" t="n">
        <v>410</v>
      </c>
      <c r="AT64" s="55" t="n">
        <v>104</v>
      </c>
      <c r="AU64" s="55" t="n">
        <v>105</v>
      </c>
      <c r="AV64" s="55" t="n">
        <v>0</v>
      </c>
      <c r="AW64" s="55" t="n">
        <v>16</v>
      </c>
      <c r="AX64" s="55" t="n">
        <v>518</v>
      </c>
      <c r="AY64" s="56" t="n">
        <f aca="false">Q64+(AS64+AT64+AU64+AV64+AW64+AX64)*B64</f>
        <v>1701.05018515751</v>
      </c>
      <c r="AZ64" s="56" t="n">
        <f aca="false">P64+(AS64*ret_rail+AT64*ret_tel+AU64*ret_elec+AV64*ret_auto+AW64*ret_chem+AX64*ret_steel)*B64*IF(OR($A64=1931,$A64=1932),abroad_slump,1)+AB64+AG64</f>
        <v>124.908773660293</v>
      </c>
      <c r="BA64" s="56" t="n">
        <f aca="false">AP64*champ_profit+AZ64</f>
        <v>193.357614061912</v>
      </c>
      <c r="BB64" s="56" t="n">
        <f aca="false">(K64+AI64+AK64)*champ_profit+P64+(AS64*ret_rail+AT64*ret_tel+AU64*ret_elec)*B64*IF(OR($A64=1931,$A64=1932),abroad_slump,1)</f>
        <v>105.786694976087</v>
      </c>
      <c r="BC64" s="56" t="n">
        <f aca="false">(T64+W64+Z64+AF64+AN64+AO64)*champ_profit+(AV64*ret_auto+AW64*ret_chem+AX64*ret_steel)*B64*IF(OR($A64=1931,$A64=1932),abroad_slump,1)+AB64+AG64</f>
        <v>85.9302368518704</v>
      </c>
      <c r="BD64" s="56" t="n">
        <f aca="false">IF($A64&gt;=crown_start,(BB64*crown_charter+BC64*crown_comp)*crown_payout,0)</f>
        <v>16.6605463460857</v>
      </c>
      <c r="BE64" s="66" t="n">
        <f aca="false">IF(BB64+BC64&gt;0,(BB64*crown_charter+BC64*crown_comp)/(BA64),0)</f>
        <v>0.172328836667906</v>
      </c>
    </row>
    <row r="65" customFormat="false" ht="14.25" hidden="false" customHeight="true" outlineLevel="0" collapsed="false">
      <c r="A65" s="61" t="n">
        <v>1905</v>
      </c>
      <c r="B65" s="68" t="n">
        <f aca="false">champ_scale*(1+Labour!AP65)*(1+Partners!BX65)*(1-IF(union_resp=2,tariff_cut*Labour!S65,0))</f>
        <v>1.31393120729095</v>
      </c>
      <c r="C65" s="47" t="n">
        <v>2960</v>
      </c>
      <c r="D65" s="47" t="n">
        <v>620</v>
      </c>
      <c r="E65" s="47" t="n">
        <v>5850</v>
      </c>
      <c r="F65" s="49" t="n">
        <f aca="false">E65*B65</f>
        <v>7686.49756265205</v>
      </c>
      <c r="G65" s="49" t="n">
        <f aca="false">F65/Economy!B65*1000000</f>
        <v>597.60273392531</v>
      </c>
      <c r="H65" s="47" t="n">
        <v>334</v>
      </c>
      <c r="I65" s="70" t="n">
        <f aca="false">IF(H65&gt;0,G65/H65,0)</f>
        <v>1.78922974229135</v>
      </c>
      <c r="J65" s="71" t="n">
        <v>0.398</v>
      </c>
      <c r="K65" s="56" t="n">
        <f aca="false">Resources!K65*J65*B65</f>
        <v>26.1472310250899</v>
      </c>
      <c r="L65" s="47" t="n">
        <v>50</v>
      </c>
      <c r="M65" s="62" t="n">
        <v>0.444</v>
      </c>
      <c r="N65" s="47" t="n">
        <v>23</v>
      </c>
      <c r="O65" s="71" t="n">
        <v>0.569</v>
      </c>
      <c r="P65" s="56" t="n">
        <f aca="false">(IF(Gulf!E65=1,0,L65*M65)+N65)*O65*B65</f>
        <v>33.7927339340744</v>
      </c>
      <c r="Q65" s="56" t="n">
        <f aca="false">P65*oil_book</f>
        <v>236.549137538521</v>
      </c>
      <c r="R65" s="71" t="n">
        <v>2.3</v>
      </c>
      <c r="S65" s="47" t="n">
        <v>17</v>
      </c>
      <c r="T65" s="56" t="n">
        <f aca="false">R65*S65*B65</f>
        <v>51.3747102050761</v>
      </c>
      <c r="U65" s="47" t="n">
        <v>4</v>
      </c>
      <c r="V65" s="47" t="n">
        <v>472</v>
      </c>
      <c r="W65" s="56" t="n">
        <f aca="false">U65/1000*V65*B65</f>
        <v>2.48070211936531</v>
      </c>
      <c r="X65" s="47" t="n">
        <v>1885</v>
      </c>
      <c r="Y65" s="62" t="n">
        <v>0.058</v>
      </c>
      <c r="Z65" s="56" t="n">
        <f aca="false">X65*Y65*chem_va*B65</f>
        <v>64.6434445019037</v>
      </c>
      <c r="AA65" s="62" t="n">
        <v>0.032</v>
      </c>
      <c r="AB65" s="56" t="n">
        <f aca="false">X65*AA65*roy_rate*B65*(1-IF(union_resp=2,lic_cut*Labour!S65,0))</f>
        <v>2.17388792019538</v>
      </c>
      <c r="AC65" s="47" t="n">
        <v>631</v>
      </c>
      <c r="AD65" s="62" t="n">
        <v>0.22</v>
      </c>
      <c r="AE65" s="62" t="n">
        <v>0.343</v>
      </c>
      <c r="AF65" s="56" t="n">
        <f aca="false">AC65*AD65*elec_va*B65</f>
        <v>82.0799685882582</v>
      </c>
      <c r="AG65" s="56" t="n">
        <f aca="false">MAX(0,AE65-AD65)*AC65*roy_rate*B65*(1-IF(union_resp=2,lic_cut*Labour!S65,0))</f>
        <v>2.79711477370896</v>
      </c>
      <c r="AH65" s="55" t="n">
        <v>54</v>
      </c>
      <c r="AI65" s="56" t="n">
        <f aca="false">AH65*B65</f>
        <v>70.9522851937112</v>
      </c>
      <c r="AJ65" s="55" t="n">
        <v>45</v>
      </c>
      <c r="AK65" s="56" t="n">
        <f aca="false">AJ65*B65</f>
        <v>59.1269043280927</v>
      </c>
      <c r="AL65" s="47" t="n">
        <v>300</v>
      </c>
      <c r="AM65" s="56" t="n">
        <f aca="false">AL65*uw_fee*B65</f>
        <v>9.85448405468211</v>
      </c>
      <c r="AN65" s="55" t="n">
        <v>0</v>
      </c>
      <c r="AO65" s="55" t="n">
        <v>6</v>
      </c>
      <c r="AP65" s="56" t="n">
        <f aca="false">K65+T65+W65+Z65+AF65+AI65+AK65+AM65+AN65+AO65</f>
        <v>372.659730016179</v>
      </c>
      <c r="AQ65" s="56" t="n">
        <f aca="false">AP65*(1-1/champ_prem+champ_spill)</f>
        <v>258.791479177902</v>
      </c>
      <c r="AR65" s="66" t="n">
        <f aca="false">AP65/Economy!O65</f>
        <v>0.0438827011139706</v>
      </c>
      <c r="AS65" s="55" t="n">
        <v>450</v>
      </c>
      <c r="AT65" s="55" t="n">
        <v>112</v>
      </c>
      <c r="AU65" s="55" t="n">
        <v>121</v>
      </c>
      <c r="AV65" s="55" t="n">
        <v>0</v>
      </c>
      <c r="AW65" s="55" t="n">
        <v>18</v>
      </c>
      <c r="AX65" s="55" t="n">
        <v>527</v>
      </c>
      <c r="AY65" s="56" t="n">
        <f aca="false">Q65+(AS65+AT65+AU65+AV65+AW65+AX65)*B65</f>
        <v>1850.05666009181</v>
      </c>
      <c r="AZ65" s="56" t="n">
        <f aca="false">P65+(AS65*ret_rail+AT65*ret_tel+AU65*ret_elec+AV65*ret_auto+AW65*ret_chem+AX65*ret_steel)*B65*IF(OR($A65=1931,$A65=1932),abroad_slump,1)+AB65+AG65</f>
        <v>138.556811821726</v>
      </c>
      <c r="BA65" s="56" t="n">
        <f aca="false">AP65*champ_profit+AZ65</f>
        <v>213.088757824962</v>
      </c>
      <c r="BB65" s="56" t="n">
        <f aca="false">(K65+AI65+AK65)*champ_profit+P65+(AS65*ret_rail+AT65*ret_tel+AU65*ret_elec)*B65*IF(OR($A65=1931,$A65=1932),abroad_slump,1)</f>
        <v>120.446497054912</v>
      </c>
      <c r="BC65" s="56" t="n">
        <f aca="false">(T65+W65+Z65+AF65+AN65+AO65)*champ_profit+(AV65*ret_auto+AW65*ret_chem+AX65*ret_steel)*B65*IF(OR($A65=1931,$A65=1932),abroad_slump,1)+AB65+AG65</f>
        <v>90.6713639591132</v>
      </c>
      <c r="BD65" s="56" t="n">
        <f aca="false">IF($A65&gt;=crown_start,(BB65*crown_charter+BC65*crown_comp)*crown_payout,0)</f>
        <v>18.6826666902286</v>
      </c>
      <c r="BE65" s="66" t="n">
        <f aca="false">IF(BB65+BC65&gt;0,(BB65*crown_charter+BC65*crown_comp)/(BA65),0)</f>
        <v>0.175351031006292</v>
      </c>
    </row>
    <row r="66" customFormat="false" ht="14.25" hidden="false" customHeight="true" outlineLevel="0" collapsed="false">
      <c r="A66" s="61" t="n">
        <v>1906</v>
      </c>
      <c r="B66" s="68" t="n">
        <f aca="false">champ_scale*(1+Labour!AP66)*(1+Partners!BX66)*(1-IF(union_resp=2,tariff_cut*Labour!S66,0))</f>
        <v>1.31520335220319</v>
      </c>
      <c r="C66" s="47" t="n">
        <v>3150</v>
      </c>
      <c r="D66" s="47" t="n">
        <v>640</v>
      </c>
      <c r="E66" s="47" t="n">
        <v>6120</v>
      </c>
      <c r="F66" s="49" t="n">
        <f aca="false">E66*B66</f>
        <v>8049.04451548354</v>
      </c>
      <c r="G66" s="49" t="n">
        <f aca="false">F66/Economy!B66*1000000</f>
        <v>594.20884524187</v>
      </c>
      <c r="H66" s="47" t="n">
        <v>336</v>
      </c>
      <c r="I66" s="70" t="n">
        <f aca="false">IF(H66&gt;0,G66/H66,0)</f>
        <v>1.76847870607699</v>
      </c>
      <c r="J66" s="71" t="n">
        <v>0.404</v>
      </c>
      <c r="K66" s="56" t="n">
        <f aca="false">Resources!K66*J66*B66</f>
        <v>29.223818485955</v>
      </c>
      <c r="L66" s="47" t="n">
        <v>58</v>
      </c>
      <c r="M66" s="62" t="n">
        <v>0.456</v>
      </c>
      <c r="N66" s="47" t="n">
        <v>24</v>
      </c>
      <c r="O66" s="71" t="n">
        <v>0.573</v>
      </c>
      <c r="P66" s="56" t="n">
        <f aca="false">(IF(Gulf!E66=1,0,L66*M66)+N66)*O66*B66</f>
        <v>38.0181940019454</v>
      </c>
      <c r="Q66" s="56" t="n">
        <f aca="false">P66*oil_book</f>
        <v>266.127358013618</v>
      </c>
      <c r="R66" s="71" t="n">
        <v>2.512</v>
      </c>
      <c r="S66" s="47" t="n">
        <v>17</v>
      </c>
      <c r="T66" s="56" t="n">
        <f aca="false">R66*S66*B66</f>
        <v>56.1644439524852</v>
      </c>
      <c r="U66" s="47" t="n">
        <v>10.5</v>
      </c>
      <c r="V66" s="47" t="n">
        <v>467</v>
      </c>
      <c r="W66" s="56" t="n">
        <f aca="false">U66/1000*V66*B66</f>
        <v>6.44909963752836</v>
      </c>
      <c r="X66" s="47" t="n">
        <v>1962</v>
      </c>
      <c r="Y66" s="62" t="n">
        <v>0.061</v>
      </c>
      <c r="Z66" s="56" t="n">
        <f aca="false">X66*Y66*chem_va*B66</f>
        <v>70.8327754192722</v>
      </c>
      <c r="AA66" s="62" t="n">
        <v>0.034</v>
      </c>
      <c r="AB66" s="56" t="n">
        <f aca="false">X66*AA66*roy_rate*B66*(1-IF(union_resp=2,lic_cut*Labour!S66,0))</f>
        <v>2.29363272786215</v>
      </c>
      <c r="AC66" s="47" t="n">
        <v>677</v>
      </c>
      <c r="AD66" s="62" t="n">
        <v>0.22</v>
      </c>
      <c r="AE66" s="62" t="n">
        <v>0.348</v>
      </c>
      <c r="AF66" s="56" t="n">
        <f aca="false">AC66*AD66*elec_va*B66</f>
        <v>88.1488742747146</v>
      </c>
      <c r="AG66" s="56" t="n">
        <f aca="false">MAX(0,AE66-AD66)*AC66*roy_rate*B66*(1-IF(union_resp=2,lic_cut*Labour!S66,0))</f>
        <v>2.97950826985702</v>
      </c>
      <c r="AH66" s="55" t="n">
        <v>59</v>
      </c>
      <c r="AI66" s="56" t="n">
        <f aca="false">AH66*B66</f>
        <v>77.5969977799884</v>
      </c>
      <c r="AJ66" s="55" t="n">
        <v>48</v>
      </c>
      <c r="AK66" s="56" t="n">
        <f aca="false">AJ66*B66</f>
        <v>63.1297609057533</v>
      </c>
      <c r="AL66" s="47" t="n">
        <v>120</v>
      </c>
      <c r="AM66" s="56" t="n">
        <f aca="false">AL66*uw_fee*B66</f>
        <v>3.94561005660958</v>
      </c>
      <c r="AN66" s="55" t="n">
        <v>0</v>
      </c>
      <c r="AO66" s="55" t="n">
        <v>6</v>
      </c>
      <c r="AP66" s="56" t="n">
        <f aca="false">K66+T66+W66+Z66+AF66+AI66+AK66+AM66+AN66+AO66</f>
        <v>401.491380512306</v>
      </c>
      <c r="AQ66" s="56" t="n">
        <f aca="false">AP66*(1-1/champ_prem+champ_spill)</f>
        <v>278.813458689102</v>
      </c>
      <c r="AR66" s="66" t="n">
        <f aca="false">AP66/Economy!O66</f>
        <v>0.0427616653865429</v>
      </c>
      <c r="AS66" s="55" t="n">
        <v>506</v>
      </c>
      <c r="AT66" s="55" t="n">
        <v>121</v>
      </c>
      <c r="AU66" s="55" t="n">
        <v>137</v>
      </c>
      <c r="AV66" s="55" t="n">
        <v>0</v>
      </c>
      <c r="AW66" s="55" t="n">
        <v>21</v>
      </c>
      <c r="AX66" s="55" t="n">
        <v>536</v>
      </c>
      <c r="AY66" s="56" t="n">
        <f aca="false">Q66+(AS66+AT66+AU66+AV66+AW66+AX66)*B66</f>
        <v>2003.51098627404</v>
      </c>
      <c r="AZ66" s="56" t="n">
        <f aca="false">P66+(AS66*ret_rail+AT66*ret_tel+AU66*ret_elec+AV66*ret_auto+AW66*ret_chem+AX66*ret_steel)*B66*IF(OR($A66=1931,$A66=1932),abroad_slump,1)+AB66+AG66</f>
        <v>150.703992774099</v>
      </c>
      <c r="BA66" s="56" t="n">
        <f aca="false">AP66*champ_profit+AZ66</f>
        <v>231.002268876561</v>
      </c>
      <c r="BB66" s="56" t="n">
        <f aca="false">(K66+AI66+AK66)*champ_profit+P66+(AS66*ret_rail+AT66*ret_tel+AU66*ret_elec)*B66*IF(OR($A66=1931,$A66=1932),abroad_slump,1)</f>
        <v>133.809714956313</v>
      </c>
      <c r="BC66" s="56" t="n">
        <f aca="false">(T66+W66+Z66+AF66+AN66+AO66)*champ_profit+(AV66*ret_auto+AW66*ret_chem+AX66*ret_steel)*B66*IF(OR($A66=1931,$A66=1932),abroad_slump,1)+AB66+AG66</f>
        <v>96.403431908926</v>
      </c>
      <c r="BD66" s="56" t="n">
        <f aca="false">IF($A66&gt;=crown_start,(BB66*crown_charter+BC66*crown_comp)*crown_payout,0)</f>
        <v>20.5823516458961</v>
      </c>
      <c r="BE66" s="66" t="n">
        <f aca="false">IF(BB66+BC66&gt;0,(BB66*crown_charter+BC66*crown_comp)/(BA66),0)</f>
        <v>0.178200428471935</v>
      </c>
    </row>
    <row r="67" customFormat="false" ht="14.25" hidden="false" customHeight="true" outlineLevel="0" collapsed="false">
      <c r="A67" s="61" t="n">
        <v>1907</v>
      </c>
      <c r="B67" s="68" t="n">
        <f aca="false">champ_scale*(1+Labour!AP67)*(1+Partners!BX67)*(1-IF(union_resp=2,tariff_cut*Labour!S67,0))</f>
        <v>1.3164558939821</v>
      </c>
      <c r="C67" s="47" t="n">
        <v>3350</v>
      </c>
      <c r="D67" s="47" t="n">
        <v>660</v>
      </c>
      <c r="E67" s="47" t="n">
        <v>6380</v>
      </c>
      <c r="F67" s="49" t="n">
        <f aca="false">E67*B67</f>
        <v>8398.98860360579</v>
      </c>
      <c r="G67" s="49" t="n">
        <f aca="false">F67/Economy!B67*1000000</f>
        <v>588.755573620119</v>
      </c>
      <c r="H67" s="47" t="n">
        <v>337</v>
      </c>
      <c r="I67" s="70" t="n">
        <f aca="false">IF(H67&gt;0,G67/H67,0)</f>
        <v>1.74704917988166</v>
      </c>
      <c r="J67" s="71" t="n">
        <v>0.411</v>
      </c>
      <c r="K67" s="56" t="n">
        <f aca="false">Resources!K67*J67*B67</f>
        <v>32.4638023455986</v>
      </c>
      <c r="L67" s="47" t="n">
        <v>67</v>
      </c>
      <c r="M67" s="62" t="n">
        <v>0.467</v>
      </c>
      <c r="N67" s="47" t="n">
        <v>26</v>
      </c>
      <c r="O67" s="71" t="n">
        <v>0.577</v>
      </c>
      <c r="P67" s="56" t="n">
        <f aca="false">(IF(Gulf!E67=1,0,L67*M67)+N67)*O67*B67</f>
        <v>43.5164408668665</v>
      </c>
      <c r="Q67" s="56" t="n">
        <f aca="false">P67*oil_book</f>
        <v>304.615086068065</v>
      </c>
      <c r="R67" s="71" t="n">
        <v>2.725</v>
      </c>
      <c r="S67" s="47" t="n">
        <v>17</v>
      </c>
      <c r="T67" s="56" t="n">
        <f aca="false">R67*S67*B67</f>
        <v>60.9848192887208</v>
      </c>
      <c r="U67" s="47" t="n">
        <v>17</v>
      </c>
      <c r="V67" s="47" t="n">
        <v>461</v>
      </c>
      <c r="W67" s="56" t="n">
        <f aca="false">U67/1000*V67*B67</f>
        <v>10.3170648411377</v>
      </c>
      <c r="X67" s="47" t="n">
        <v>2038</v>
      </c>
      <c r="Y67" s="62" t="n">
        <v>0.064</v>
      </c>
      <c r="Z67" s="56" t="n">
        <f aca="false">X67*Y67*chem_va*B67</f>
        <v>77.2685888237429</v>
      </c>
      <c r="AA67" s="62" t="n">
        <v>0.036</v>
      </c>
      <c r="AB67" s="56" t="n">
        <f aca="false">X67*AA67*roy_rate*B67*(1-IF(union_resp=2,lic_cut*Labour!S67,0))</f>
        <v>2.40084543845201</v>
      </c>
      <c r="AC67" s="47" t="n">
        <v>723</v>
      </c>
      <c r="AD67" s="62" t="n">
        <v>0.22</v>
      </c>
      <c r="AE67" s="62" t="n">
        <v>0.352</v>
      </c>
      <c r="AF67" s="56" t="n">
        <f aca="false">AC67*AD67*elec_va*B67</f>
        <v>94.2279635235567</v>
      </c>
      <c r="AG67" s="56" t="n">
        <f aca="false">MAX(0,AE67-AD67)*AC67*roy_rate*B67*(1-IF(union_resp=2,lic_cut*Labour!S67,0))</f>
        <v>3.12298393392359</v>
      </c>
      <c r="AH67" s="55" t="n">
        <v>63</v>
      </c>
      <c r="AI67" s="56" t="n">
        <f aca="false">AH67*B67</f>
        <v>82.9367213208723</v>
      </c>
      <c r="AJ67" s="55" t="n">
        <v>52</v>
      </c>
      <c r="AK67" s="56" t="n">
        <f aca="false">AJ67*B67</f>
        <v>68.4557064870692</v>
      </c>
      <c r="AL67" s="47" t="n">
        <v>131</v>
      </c>
      <c r="AM67" s="56" t="n">
        <f aca="false">AL67*uw_fee*B67</f>
        <v>4.31139305279138</v>
      </c>
      <c r="AN67" s="55" t="n">
        <v>0</v>
      </c>
      <c r="AO67" s="55" t="n">
        <v>7</v>
      </c>
      <c r="AP67" s="56" t="n">
        <f aca="false">K67+T67+W67+Z67+AF67+AI67+AK67+AM67+AN67+AO67</f>
        <v>437.96605968349</v>
      </c>
      <c r="AQ67" s="56" t="n">
        <f aca="false">AP67*(1-1/champ_prem+champ_spill)</f>
        <v>304.143097002423</v>
      </c>
      <c r="AR67" s="66" t="n">
        <f aca="false">AP67/Economy!O67</f>
        <v>0.04286596810209</v>
      </c>
      <c r="AS67" s="55" t="n">
        <v>562</v>
      </c>
      <c r="AT67" s="55" t="n">
        <v>129</v>
      </c>
      <c r="AU67" s="55" t="n">
        <v>153</v>
      </c>
      <c r="AV67" s="55" t="n">
        <v>0</v>
      </c>
      <c r="AW67" s="55" t="n">
        <v>24</v>
      </c>
      <c r="AX67" s="55" t="n">
        <v>545</v>
      </c>
      <c r="AY67" s="56" t="n">
        <f aca="false">Q67+(AS67+AT67+AU67+AV67+AW67+AX67)*B67</f>
        <v>2164.76726426477</v>
      </c>
      <c r="AZ67" s="56" t="n">
        <f aca="false">P67+(AS67*ret_rail+AT67*ret_tel+AU67*ret_elec+AV67*ret_auto+AW67*ret_chem+AX67*ret_steel)*B67*IF(OR($A67=1931,$A67=1932),abroad_slump,1)+AB67+AG67</f>
        <v>163.953705224939</v>
      </c>
      <c r="BA67" s="56" t="n">
        <f aca="false">AP67*champ_profit+AZ67</f>
        <v>251.546917161637</v>
      </c>
      <c r="BB67" s="56" t="n">
        <f aca="false">(K67+AI67+AK67)*champ_profit+P67+(AS67*ret_rail+AT67*ret_tel+AU67*ret_elec)*B67*IF(OR($A67=1931,$A67=1932),abroad_slump,1)</f>
        <v>148.361621175389</v>
      </c>
      <c r="BC67" s="56" t="n">
        <f aca="false">(T67+W67+Z67+AF67+AN67+AO67)*champ_profit+(AV67*ret_auto+AW67*ret_chem+AX67*ret_steel)*B67*IF(OR($A67=1931,$A67=1932),abroad_slump,1)+AB67+AG67</f>
        <v>102.32301737569</v>
      </c>
      <c r="BD67" s="56" t="n">
        <f aca="false">IF($A67&gt;=crown_start,(BB67*crown_charter+BC67*crown_comp)*crown_payout,0)</f>
        <v>22.6381233419512</v>
      </c>
      <c r="BE67" s="66" t="n">
        <f aca="false">IF(BB67+BC67&gt;0,(BB67*crown_charter+BC67*crown_comp)/(BA67),0)</f>
        <v>0.179991260456629</v>
      </c>
    </row>
    <row r="68" customFormat="false" ht="14.25" hidden="false" customHeight="true" outlineLevel="0" collapsed="false">
      <c r="A68" s="61" t="n">
        <v>1908</v>
      </c>
      <c r="B68" s="68" t="n">
        <f aca="false">champ_scale*(1+Labour!AP68)*(1+Partners!BX68)*(1-IF(union_resp=2,tariff_cut*Labour!S68,0))</f>
        <v>1.31706672187802</v>
      </c>
      <c r="C68" s="47" t="n">
        <v>3540</v>
      </c>
      <c r="D68" s="47" t="n">
        <v>680</v>
      </c>
      <c r="E68" s="47" t="n">
        <v>6650</v>
      </c>
      <c r="F68" s="49" t="n">
        <f aca="false">E68*B68</f>
        <v>8758.49370048881</v>
      </c>
      <c r="G68" s="49" t="n">
        <f aca="false">F68/Economy!B68*1000000</f>
        <v>584.880628903401</v>
      </c>
      <c r="H68" s="47" t="n">
        <v>339</v>
      </c>
      <c r="I68" s="70" t="n">
        <f aca="false">IF(H68&gt;0,G68/H68,0)</f>
        <v>1.72531158968555</v>
      </c>
      <c r="J68" s="71" t="n">
        <v>0.417</v>
      </c>
      <c r="K68" s="56" t="n">
        <f aca="false">Resources!K68*J68*B68</f>
        <v>35.6990934965036</v>
      </c>
      <c r="L68" s="47" t="n">
        <v>75</v>
      </c>
      <c r="M68" s="62" t="n">
        <v>0.478</v>
      </c>
      <c r="N68" s="47" t="n">
        <v>27</v>
      </c>
      <c r="O68" s="71" t="n">
        <v>0.581</v>
      </c>
      <c r="P68" s="56" t="n">
        <f aca="false">(IF(Gulf!E68=1,0,L68*M68)+N68)*O68*B68</f>
        <v>48.0938108560894</v>
      </c>
      <c r="Q68" s="56" t="n">
        <f aca="false">P68*oil_book</f>
        <v>336.656675992625</v>
      </c>
      <c r="R68" s="71" t="n">
        <v>2.938</v>
      </c>
      <c r="S68" s="47" t="n">
        <v>17</v>
      </c>
      <c r="T68" s="56" t="n">
        <f aca="false">R68*S68*B68</f>
        <v>65.7822144909194</v>
      </c>
      <c r="U68" s="47" t="n">
        <v>23.5</v>
      </c>
      <c r="V68" s="47" t="n">
        <v>456</v>
      </c>
      <c r="W68" s="56" t="n">
        <f aca="false">U68/1000*V68*B68</f>
        <v>14.1136869916448</v>
      </c>
      <c r="X68" s="47" t="n">
        <v>2115</v>
      </c>
      <c r="Y68" s="62" t="n">
        <v>0.067</v>
      </c>
      <c r="Z68" s="56" t="n">
        <f aca="false">X68*Y68*chem_va*B68</f>
        <v>83.9857229206759</v>
      </c>
      <c r="AA68" s="62" t="n">
        <v>0.038</v>
      </c>
      <c r="AB68" s="56" t="n">
        <f aca="false">X68*AA68*roy_rate*B68*(1-IF(union_resp=2,lic_cut*Labour!S68,0))</f>
        <v>2.49509823602292</v>
      </c>
      <c r="AC68" s="47" t="n">
        <v>769</v>
      </c>
      <c r="AD68" s="62" t="n">
        <v>0.22</v>
      </c>
      <c r="AE68" s="62" t="n">
        <v>0.357</v>
      </c>
      <c r="AF68" s="56" t="n">
        <f aca="false">AC68*AD68*elec_va*B68</f>
        <v>100.269606603295</v>
      </c>
      <c r="AG68" s="56" t="n">
        <f aca="false">MAX(0,AE68-AD68)*AC68*roy_rate*B68*(1-IF(union_resp=2,lic_cut*Labour!S68,0))</f>
        <v>3.27069907253606</v>
      </c>
      <c r="AH68" s="55" t="n">
        <v>68</v>
      </c>
      <c r="AI68" s="56" t="n">
        <f aca="false">AH68*B68</f>
        <v>89.5605370877051</v>
      </c>
      <c r="AJ68" s="55" t="n">
        <v>55</v>
      </c>
      <c r="AK68" s="56" t="n">
        <f aca="false">AJ68*B68</f>
        <v>72.4386697032909</v>
      </c>
      <c r="AL68" s="47" t="n">
        <v>143</v>
      </c>
      <c r="AM68" s="56" t="n">
        <f aca="false">AL68*uw_fee*B68</f>
        <v>4.70851353071391</v>
      </c>
      <c r="AN68" s="55" t="n">
        <v>0</v>
      </c>
      <c r="AO68" s="55" t="n">
        <v>8</v>
      </c>
      <c r="AP68" s="56" t="n">
        <f aca="false">K68+T68+W68+Z68+AF68+AI68+AK68+AM68+AN68+AO68</f>
        <v>474.558044824749</v>
      </c>
      <c r="AQ68" s="56" t="n">
        <f aca="false">AP68*(1-1/champ_prem+champ_spill)</f>
        <v>329.554197794964</v>
      </c>
      <c r="AR68" s="66" t="n">
        <f aca="false">AP68/Economy!O68</f>
        <v>0.0438349614456456</v>
      </c>
      <c r="AS68" s="55" t="n">
        <v>619</v>
      </c>
      <c r="AT68" s="55" t="n">
        <v>138</v>
      </c>
      <c r="AU68" s="55" t="n">
        <v>169</v>
      </c>
      <c r="AV68" s="55" t="n">
        <v>0</v>
      </c>
      <c r="AW68" s="55" t="n">
        <v>27</v>
      </c>
      <c r="AX68" s="55" t="n">
        <v>554</v>
      </c>
      <c r="AY68" s="56" t="n">
        <f aca="false">Q68+(AS68+AT68+AU68+AV68+AW68+AX68)*B68</f>
        <v>2321.4762258628</v>
      </c>
      <c r="AZ68" s="56" t="n">
        <f aca="false">P68+(AS68*ret_rail+AT68*ret_tel+AU68*ret_elec+AV68*ret_auto+AW68*ret_chem+AX68*ret_steel)*B68*IF(OR($A68=1931,$A68=1932),abroad_slump,1)+AB68+AG68</f>
        <v>176.425837302617</v>
      </c>
      <c r="BA68" s="56" t="n">
        <f aca="false">AP68*champ_profit+AZ68</f>
        <v>271.337446267566</v>
      </c>
      <c r="BB68" s="56" t="n">
        <f aca="false">(K68+AI68+AK68)*champ_profit+P68+(AS68*ret_rail+AT68*ret_tel+AU68*ret_elec)*B68*IF(OR($A68=1931,$A68=1932),abroad_slump,1)</f>
        <v>162.153106037447</v>
      </c>
      <c r="BC68" s="56" t="n">
        <f aca="false">(T68+W68+Z68+AF68+AN68+AO68)*champ_profit+(AV68*ret_auto+AW68*ret_chem+AX68*ret_steel)*B68*IF(OR($A68=1931,$A68=1932),abroad_slump,1)+AB68+AG68</f>
        <v>108.242637523976</v>
      </c>
      <c r="BD68" s="56" t="n">
        <f aca="false">IF($A68&gt;=crown_start,(BB68*crown_charter+BC68*crown_comp)*crown_payout,0)</f>
        <v>24.59884375564</v>
      </c>
      <c r="BE68" s="66" t="n">
        <f aca="false">IF(BB68+BC68&gt;0,(BB68*crown_charter+BC68*crown_comp)/(BA68),0)</f>
        <v>0.1813155102181</v>
      </c>
    </row>
    <row r="69" customFormat="false" ht="14.25" hidden="false" customHeight="true" outlineLevel="0" collapsed="false">
      <c r="A69" s="61" t="n">
        <v>1909</v>
      </c>
      <c r="B69" s="68" t="n">
        <f aca="false">champ_scale*(1+Labour!AP69)*(1+Partners!BX69)*(1-IF(union_resp=2,tariff_cut*Labour!S69,0))</f>
        <v>1.31636330678251</v>
      </c>
      <c r="C69" s="47" t="n">
        <v>3730</v>
      </c>
      <c r="D69" s="47" t="n">
        <v>710</v>
      </c>
      <c r="E69" s="47" t="n">
        <v>6920</v>
      </c>
      <c r="F69" s="49" t="n">
        <f aca="false">E69*B69</f>
        <v>9109.23408293499</v>
      </c>
      <c r="G69" s="49" t="n">
        <f aca="false">F69/Economy!B69*1000000</f>
        <v>581.670387424517</v>
      </c>
      <c r="H69" s="47" t="n">
        <v>341</v>
      </c>
      <c r="I69" s="70" t="n">
        <f aca="false">IF(H69&gt;0,G69/H69,0)</f>
        <v>1.70577826224199</v>
      </c>
      <c r="J69" s="71" t="n">
        <v>0.424</v>
      </c>
      <c r="K69" s="56" t="n">
        <f aca="false">Resources!K69*J69*B69</f>
        <v>40.4650080504945</v>
      </c>
      <c r="L69" s="47" t="n">
        <v>82</v>
      </c>
      <c r="M69" s="62" t="n">
        <v>0.489</v>
      </c>
      <c r="N69" s="47" t="n">
        <v>29</v>
      </c>
      <c r="O69" s="71" t="n">
        <v>0.585</v>
      </c>
      <c r="P69" s="56" t="n">
        <f aca="false">(IF(Gulf!E69=1,0,L69*M69)+N69)*O69*B69</f>
        <v>53.210471986654</v>
      </c>
      <c r="Q69" s="56" t="n">
        <f aca="false">P69*oil_book</f>
        <v>372.473303906578</v>
      </c>
      <c r="R69" s="71" t="n">
        <v>3.15</v>
      </c>
      <c r="S69" s="47" t="n">
        <v>17</v>
      </c>
      <c r="T69" s="56" t="n">
        <f aca="false">R69*S69*B69</f>
        <v>70.4912550782036</v>
      </c>
      <c r="U69" s="47" t="n">
        <v>30</v>
      </c>
      <c r="V69" s="47" t="n">
        <v>450</v>
      </c>
      <c r="W69" s="56" t="n">
        <f aca="false">U69/1000*V69*B69</f>
        <v>17.7709046415639</v>
      </c>
      <c r="X69" s="47" t="n">
        <v>2192</v>
      </c>
      <c r="Y69" s="62" t="n">
        <v>0.069</v>
      </c>
      <c r="Z69" s="56" t="n">
        <f aca="false">X69*Y69*chem_va*B69</f>
        <v>89.5937928409087</v>
      </c>
      <c r="AA69" s="62" t="n">
        <v>0.041</v>
      </c>
      <c r="AB69" s="56" t="n">
        <f aca="false">X69*AA69*roy_rate*B69*(1-IF(union_resp=2,lic_cut*Labour!S69,0))</f>
        <v>2.63649366924524</v>
      </c>
      <c r="AC69" s="47" t="n">
        <v>815</v>
      </c>
      <c r="AD69" s="62" t="n">
        <v>0.22</v>
      </c>
      <c r="AE69" s="62" t="n">
        <v>0.362</v>
      </c>
      <c r="AF69" s="56" t="n">
        <f aca="false">AC69*AD69*elec_va*B69</f>
        <v>106.210773407747</v>
      </c>
      <c r="AG69" s="56" t="n">
        <f aca="false">MAX(0,AE69-AD69)*AC69*roy_rate*B69*(1-IF(union_resp=2,lic_cut*Labour!S69,0))</f>
        <v>3.39506645386495</v>
      </c>
      <c r="AH69" s="55" t="n">
        <v>72</v>
      </c>
      <c r="AI69" s="56" t="n">
        <f aca="false">AH69*B69</f>
        <v>94.7781580883409</v>
      </c>
      <c r="AJ69" s="55" t="n">
        <v>58</v>
      </c>
      <c r="AK69" s="56" t="n">
        <f aca="false">AJ69*B69</f>
        <v>76.3490717933858</v>
      </c>
      <c r="AL69" s="47" t="n">
        <v>154</v>
      </c>
      <c r="AM69" s="56" t="n">
        <f aca="false">AL69*uw_fee*B69</f>
        <v>5.06799873111268</v>
      </c>
      <c r="AN69" s="55" t="n">
        <v>0</v>
      </c>
      <c r="AO69" s="55" t="n">
        <v>9</v>
      </c>
      <c r="AP69" s="56" t="n">
        <f aca="false">K69+T69+W69+Z69+AF69+AI69+AK69+AM69+AN69+AO69</f>
        <v>509.726962631757</v>
      </c>
      <c r="AQ69" s="56" t="n">
        <f aca="false">AP69*(1-1/champ_prem+champ_spill)</f>
        <v>353.977057383165</v>
      </c>
      <c r="AR69" s="66" t="n">
        <f aca="false">AP69/Economy!O69</f>
        <v>0.0408064274262963</v>
      </c>
      <c r="AS69" s="55" t="n">
        <v>675</v>
      </c>
      <c r="AT69" s="55" t="n">
        <v>146</v>
      </c>
      <c r="AU69" s="55" t="n">
        <v>185</v>
      </c>
      <c r="AV69" s="55" t="n">
        <v>0</v>
      </c>
      <c r="AW69" s="55" t="n">
        <v>29</v>
      </c>
      <c r="AX69" s="55" t="n">
        <v>563</v>
      </c>
      <c r="AY69" s="56" t="n">
        <f aca="false">Q69+(AS69+AT69+AU69+AV69+AW69+AX69)*B69</f>
        <v>2476.02186814503</v>
      </c>
      <c r="AZ69" s="56" t="n">
        <f aca="false">P69+(AS69*ret_rail+AT69*ret_tel+AU69*ret_elec+AV69*ret_auto+AW69*ret_chem+AX69*ret_steel)*B69*IF(OR($A69=1931,$A69=1932),abroad_slump,1)+AB69+AG69</f>
        <v>188.982799626249</v>
      </c>
      <c r="BA69" s="56" t="n">
        <f aca="false">AP69*champ_profit+AZ69</f>
        <v>290.9281921526</v>
      </c>
      <c r="BB69" s="56" t="n">
        <f aca="false">(K69+AI69+AK69)*champ_profit+P69+(AS69*ret_rail+AT69*ret_tel+AU69*ret_elec)*B69*IF(OR($A69=1931,$A69=1932),abroad_slump,1)</f>
        <v>176.221990278866</v>
      </c>
      <c r="BC69" s="56" t="n">
        <f aca="false">(T69+W69+Z69+AF69+AN69+AO69)*champ_profit+(AV69*ret_auto+AW69*ret_chem+AX69*ret_steel)*B69*IF(OR($A69=1931,$A69=1932),abroad_slump,1)+AB69+AG69</f>
        <v>113.692602127511</v>
      </c>
      <c r="BD69" s="56" t="n">
        <f aca="false">IF($A69&gt;=crown_start,(BB69*crown_charter+BC69*crown_comp)*crown_payout,0)</f>
        <v>26.5754528699587</v>
      </c>
      <c r="BE69" s="66" t="n">
        <f aca="false">IF(BB69+BC69&gt;0,(BB69*crown_charter+BC69*crown_comp)/(BA69),0)</f>
        <v>0.182694242681157</v>
      </c>
    </row>
    <row r="70" customFormat="false" ht="14.25" hidden="false" customHeight="true" outlineLevel="0" collapsed="false">
      <c r="A70" s="61" t="n">
        <v>1910</v>
      </c>
      <c r="B70" s="68" t="n">
        <f aca="false">champ_scale*(1+Labour!AP70)*(1+Partners!BX70)*(1-IF(union_resp=2,tariff_cut*Labour!S70,0))</f>
        <v>1.31410861700992</v>
      </c>
      <c r="C70" s="47" t="n">
        <v>3920</v>
      </c>
      <c r="D70" s="47" t="n">
        <v>730</v>
      </c>
      <c r="E70" s="47" t="n">
        <v>7190</v>
      </c>
      <c r="F70" s="49" t="n">
        <f aca="false">E70*B70</f>
        <v>9448.44095630131</v>
      </c>
      <c r="G70" s="49" t="n">
        <f aca="false">F70/Economy!B70*1000000</f>
        <v>576.950283076465</v>
      </c>
      <c r="H70" s="47" t="n">
        <v>343</v>
      </c>
      <c r="I70" s="70" t="n">
        <f aca="false">IF(H70&gt;0,G70/H70,0)</f>
        <v>1.6820707961413</v>
      </c>
      <c r="J70" s="71" t="n">
        <v>0.43</v>
      </c>
      <c r="K70" s="56" t="n">
        <f aca="false">Resources!K70*J70*B70</f>
        <v>45.2053364251412</v>
      </c>
      <c r="L70" s="47" t="n">
        <v>89</v>
      </c>
      <c r="M70" s="62" t="n">
        <v>0.5</v>
      </c>
      <c r="N70" s="47" t="n">
        <v>30</v>
      </c>
      <c r="O70" s="71" t="n">
        <v>0.588</v>
      </c>
      <c r="P70" s="56" t="n">
        <f aca="false">(IF(Gulf!E70=1,0,L70*M70)+N70)*O70*B70</f>
        <v>57.5658420767365</v>
      </c>
      <c r="Q70" s="56" t="n">
        <f aca="false">P70*oil_book</f>
        <v>402.960894537155</v>
      </c>
      <c r="R70" s="71" t="n">
        <v>3.362</v>
      </c>
      <c r="S70" s="47" t="n">
        <v>18</v>
      </c>
      <c r="T70" s="56" t="n">
        <f aca="false">R70*S70*B70</f>
        <v>79.5245970669722</v>
      </c>
      <c r="U70" s="47" t="n">
        <v>50</v>
      </c>
      <c r="V70" s="47" t="n">
        <v>412</v>
      </c>
      <c r="W70" s="56" t="n">
        <f aca="false">U70/1000*V70*B70</f>
        <v>27.0706375104043</v>
      </c>
      <c r="X70" s="47" t="n">
        <v>2269</v>
      </c>
      <c r="Y70" s="62" t="n">
        <v>0.072</v>
      </c>
      <c r="Z70" s="56" t="n">
        <f aca="false">X70*Y70*chem_va*B70</f>
        <v>96.6074834446544</v>
      </c>
      <c r="AA70" s="62" t="n">
        <v>0.043</v>
      </c>
      <c r="AB70" s="56" t="n">
        <f aca="false">X70*AA70*roy_rate*B70*(1-IF(union_resp=2,lic_cut*Labour!S70,0))</f>
        <v>2.69248634415194</v>
      </c>
      <c r="AC70" s="47" t="n">
        <v>862</v>
      </c>
      <c r="AD70" s="62" t="n">
        <v>0.22</v>
      </c>
      <c r="AE70" s="62" t="n">
        <v>0.366</v>
      </c>
      <c r="AF70" s="56" t="n">
        <f aca="false">AC70*AD70*elec_va*B70</f>
        <v>112.143401158392</v>
      </c>
      <c r="AG70" s="56" t="n">
        <f aca="false">MAX(0,AE70-AD70)*AC70*roy_rate*B70*(1-IF(union_resp=2,lic_cut*Labour!S70,0))</f>
        <v>3.47304715102658</v>
      </c>
      <c r="AH70" s="55" t="n">
        <v>77</v>
      </c>
      <c r="AI70" s="56" t="n">
        <f aca="false">AH70*B70</f>
        <v>101.186363509764</v>
      </c>
      <c r="AJ70" s="55" t="n">
        <v>61</v>
      </c>
      <c r="AK70" s="56" t="n">
        <f aca="false">AJ70*B70</f>
        <v>80.160625637605</v>
      </c>
      <c r="AL70" s="47" t="n">
        <v>166</v>
      </c>
      <c r="AM70" s="56" t="n">
        <f aca="false">AL70*uw_fee*B70</f>
        <v>5.45355076059116</v>
      </c>
      <c r="AN70" s="55" t="n">
        <v>0</v>
      </c>
      <c r="AO70" s="55" t="n">
        <v>10</v>
      </c>
      <c r="AP70" s="56" t="n">
        <f aca="false">K70+T70+W70+Z70+AF70+AI70+AK70+AM70+AN70+AO70</f>
        <v>557.351995513524</v>
      </c>
      <c r="AQ70" s="56" t="n">
        <f aca="false">AP70*(1-1/champ_prem+champ_spill)</f>
        <v>387.049996884392</v>
      </c>
      <c r="AR70" s="66" t="n">
        <f aca="false">AP70/Economy!O70</f>
        <v>0.0407013156080354</v>
      </c>
      <c r="AS70" s="55" t="n">
        <v>731</v>
      </c>
      <c r="AT70" s="55" t="n">
        <v>155</v>
      </c>
      <c r="AU70" s="55" t="n">
        <v>202</v>
      </c>
      <c r="AV70" s="55" t="n">
        <v>2</v>
      </c>
      <c r="AW70" s="55" t="n">
        <v>32</v>
      </c>
      <c r="AX70" s="55" t="n">
        <v>572</v>
      </c>
      <c r="AY70" s="56" t="n">
        <f aca="false">Q70+(AS70+AT70+AU70+AV70+AW70+AX70)*B70</f>
        <v>2629.06089175196</v>
      </c>
      <c r="AZ70" s="56" t="n">
        <f aca="false">P70+(AS70*ret_rail+AT70*ret_tel+AU70*ret_elec+AV70*ret_auto+AW70*ret_chem+AX70*ret_steel)*B70*IF(OR($A70=1931,$A70=1932),abroad_slump,1)+AB70+AG70</f>
        <v>201.173995824982</v>
      </c>
      <c r="BA70" s="56" t="n">
        <f aca="false">AP70*champ_profit+AZ70</f>
        <v>312.644394927687</v>
      </c>
      <c r="BB70" s="56" t="n">
        <f aca="false">(K70+AI70+AK70)*champ_profit+P70+(AS70*ret_rail+AT70*ret_tel+AU70*ret_elec)*B70*IF(OR($A70=1931,$A70=1932),abroad_slump,1)</f>
        <v>189.857156551125</v>
      </c>
      <c r="BC70" s="56" t="n">
        <f aca="false">(T70+W70+Z70+AF70+AN70+AO70)*champ_profit+(AV70*ret_auto+AW70*ret_chem+AX70*ret_steel)*B70*IF(OR($A70=1931,$A70=1932),abroad_slump,1)+AB70+AG70</f>
        <v>121.696528224444</v>
      </c>
      <c r="BD70" s="56" t="n">
        <f aca="false">IF($A70&gt;=crown_start,(BB70*crown_charter+BC70*crown_comp)*crown_payout,0)</f>
        <v>28.6000056978684</v>
      </c>
      <c r="BE70" s="66" t="n">
        <f aca="false">IF(BB70+BC70&gt;0,(BB70*crown_charter+BC70*crown_comp)/(BA70),0)</f>
        <v>0.182955499358838</v>
      </c>
    </row>
    <row r="71" customFormat="false" ht="14.25" hidden="false" customHeight="true" outlineLevel="0" collapsed="false">
      <c r="A71" s="61" t="n">
        <v>1911</v>
      </c>
      <c r="B71" s="68" t="n">
        <f aca="false">champ_scale*(1+Labour!AP71)*(1+Partners!BX71)*(1-IF(union_resp=2,tariff_cut*Labour!S71,0))</f>
        <v>1.32074978469624</v>
      </c>
      <c r="C71" s="47" t="n">
        <v>4120</v>
      </c>
      <c r="D71" s="47" t="n">
        <v>750</v>
      </c>
      <c r="E71" s="47" t="n">
        <v>7460</v>
      </c>
      <c r="F71" s="49" t="n">
        <f aca="false">E71*B71</f>
        <v>9852.79339383394</v>
      </c>
      <c r="G71" s="49" t="n">
        <f aca="false">F71/Economy!B71*1000000</f>
        <v>574.811088878748</v>
      </c>
      <c r="H71" s="47" t="n">
        <v>345</v>
      </c>
      <c r="I71" s="70" t="n">
        <f aca="false">IF(H71&gt;0,G71/H71,0)</f>
        <v>1.66611909819927</v>
      </c>
      <c r="J71" s="71" t="n">
        <v>0.437</v>
      </c>
      <c r="K71" s="56" t="n">
        <f aca="false">Resources!K71*J71*B71</f>
        <v>50.0231207379152</v>
      </c>
      <c r="L71" s="47" t="n">
        <v>96</v>
      </c>
      <c r="M71" s="62" t="n">
        <v>0.503</v>
      </c>
      <c r="N71" s="47" t="n">
        <v>32</v>
      </c>
      <c r="O71" s="71" t="n">
        <v>0.592</v>
      </c>
      <c r="P71" s="56" t="n">
        <f aca="false">(IF(Gulf!E71=1,0,L71*M71)+N71)*O71*B71</f>
        <v>62.7758923585054</v>
      </c>
      <c r="Q71" s="56" t="n">
        <f aca="false">P71*oil_book</f>
        <v>439.431246509538</v>
      </c>
      <c r="R71" s="71" t="n">
        <v>3.575</v>
      </c>
      <c r="S71" s="47" t="n">
        <v>18</v>
      </c>
      <c r="T71" s="56" t="n">
        <f aca="false">R71*S71*B71</f>
        <v>84.990248645203</v>
      </c>
      <c r="U71" s="47" t="n">
        <v>70</v>
      </c>
      <c r="V71" s="47" t="n">
        <v>375</v>
      </c>
      <c r="W71" s="56" t="n">
        <f aca="false">U71/1000*V71*B71</f>
        <v>34.6696818482763</v>
      </c>
      <c r="X71" s="47" t="n">
        <v>2346</v>
      </c>
      <c r="Y71" s="62" t="n">
        <v>0.075</v>
      </c>
      <c r="Z71" s="56" t="n">
        <f aca="false">X71*Y71*chem_va*B71</f>
        <v>104.573666077786</v>
      </c>
      <c r="AA71" s="62" t="n">
        <v>0.045</v>
      </c>
      <c r="AB71" s="56" t="n">
        <f aca="false">X71*AA71*roy_rate*B71*(1-IF(union_resp=2,lic_cut*Labour!S71,0))</f>
        <v>2.92806265017802</v>
      </c>
      <c r="AC71" s="47" t="n">
        <v>908</v>
      </c>
      <c r="AD71" s="62" t="n">
        <v>0.22</v>
      </c>
      <c r="AE71" s="62" t="n">
        <v>0.371</v>
      </c>
      <c r="AF71" s="56" t="n">
        <f aca="false">AC71*AD71*elec_va*B71</f>
        <v>118.724839645914</v>
      </c>
      <c r="AG71" s="56" t="n">
        <f aca="false">MAX(0,AE71-AD71)*AC71*roy_rate*B71*(1-IF(union_resp=2,lic_cut*Labour!S71,0))</f>
        <v>3.80279259108277</v>
      </c>
      <c r="AH71" s="55" t="n">
        <v>81</v>
      </c>
      <c r="AI71" s="56" t="n">
        <f aca="false">AH71*B71</f>
        <v>106.980732560395</v>
      </c>
      <c r="AJ71" s="55" t="n">
        <v>64</v>
      </c>
      <c r="AK71" s="56" t="n">
        <f aca="false">AJ71*B71</f>
        <v>84.5279862205593</v>
      </c>
      <c r="AL71" s="47" t="n">
        <v>177</v>
      </c>
      <c r="AM71" s="56" t="n">
        <f aca="false">AL71*uw_fee*B71</f>
        <v>5.84431779728086</v>
      </c>
      <c r="AN71" s="55" t="n">
        <v>0</v>
      </c>
      <c r="AO71" s="55" t="n">
        <v>16</v>
      </c>
      <c r="AP71" s="56" t="n">
        <f aca="false">K71+T71+W71+Z71+AF71+AI71+AK71+AM71+AN71+AO71</f>
        <v>606.334593533331</v>
      </c>
      <c r="AQ71" s="56" t="n">
        <f aca="false">AP71*(1-1/champ_prem+champ_spill)</f>
        <v>421.065689953702</v>
      </c>
      <c r="AR71" s="66" t="n">
        <f aca="false">AP71/Economy!O71</f>
        <v>0.0405840261829506</v>
      </c>
      <c r="AS71" s="55" t="n">
        <v>788</v>
      </c>
      <c r="AT71" s="55" t="n">
        <v>163</v>
      </c>
      <c r="AU71" s="55" t="n">
        <v>218</v>
      </c>
      <c r="AV71" s="55" t="n">
        <v>6</v>
      </c>
      <c r="AW71" s="55" t="n">
        <v>35</v>
      </c>
      <c r="AX71" s="55" t="n">
        <v>582</v>
      </c>
      <c r="AY71" s="56" t="n">
        <f aca="false">Q71+(AS71+AT71+AU71+AV71+AW71+AX71)*B71</f>
        <v>2806.2148606852</v>
      </c>
      <c r="AZ71" s="56" t="n">
        <f aca="false">P71+(AS71*ret_rail+AT71*ret_tel+AU71*ret_elec+AV71*ret_auto+AW71*ret_chem+AX71*ret_steel)*B71*IF(OR($A71=1931,$A71=1932),abroad_slump,1)+AB71+AG71</f>
        <v>215.845823744109</v>
      </c>
      <c r="BA71" s="56" t="n">
        <f aca="false">AP71*champ_profit+AZ71</f>
        <v>337.112742450776</v>
      </c>
      <c r="BB71" s="56" t="n">
        <f aca="false">(K71+AI71+AK71)*champ_profit+P71+(AS71*ret_rail+AT71*ret_tel+AU71*ret_elec)*B71*IF(OR($A71=1931,$A71=1932),abroad_slump,1)</f>
        <v>204.802664984324</v>
      </c>
      <c r="BC71" s="56" t="n">
        <f aca="false">(T71+W71+Z71+AF71+AN71+AO71)*champ_profit+(AV71*ret_auto+AW71*ret_chem+AX71*ret_steel)*B71*IF(OR($A71=1931,$A71=1932),abroad_slump,1)+AB71+AG71</f>
        <v>131.141213906995</v>
      </c>
      <c r="BD71" s="56" t="n">
        <f aca="false">IF($A71&gt;=crown_start,(BB71*crown_charter+BC71*crown_comp)*crown_payout,0)</f>
        <v>30.8459816793204</v>
      </c>
      <c r="BE71" s="66" t="n">
        <f aca="false">IF(BB71+BC71&gt;0,(BB71*crown_charter+BC71*crown_comp)/(BA71),0)</f>
        <v>0.183000983321326</v>
      </c>
    </row>
    <row r="72" customFormat="false" ht="14.25" hidden="false" customHeight="true" outlineLevel="0" collapsed="false">
      <c r="A72" s="61" t="n">
        <v>1912</v>
      </c>
      <c r="B72" s="68" t="n">
        <f aca="false">champ_scale*(1+Labour!AP72)*(1+Partners!BX72)*(1-IF(union_resp=2,tariff_cut*Labour!S72,0))</f>
        <v>1.32750411543069</v>
      </c>
      <c r="C72" s="47" t="n">
        <v>4310</v>
      </c>
      <c r="D72" s="47" t="n">
        <v>780</v>
      </c>
      <c r="E72" s="47" t="n">
        <v>7730</v>
      </c>
      <c r="F72" s="49" t="n">
        <f aca="false">E72*B72</f>
        <v>10261.6068122792</v>
      </c>
      <c r="G72" s="49" t="n">
        <f aca="false">F72/Economy!B72*1000000</f>
        <v>571.757330000615</v>
      </c>
      <c r="H72" s="47" t="n">
        <v>347</v>
      </c>
      <c r="I72" s="70" t="n">
        <f aca="false">IF(H72&gt;0,G72/H72,0)</f>
        <v>1.64771564841676</v>
      </c>
      <c r="J72" s="71" t="n">
        <v>0.443</v>
      </c>
      <c r="K72" s="56" t="n">
        <f aca="false">Resources!K72*J72*B72</f>
        <v>54.8859098782638</v>
      </c>
      <c r="L72" s="47" t="n">
        <v>103</v>
      </c>
      <c r="M72" s="62" t="n">
        <v>0.505</v>
      </c>
      <c r="N72" s="47" t="n">
        <v>33</v>
      </c>
      <c r="O72" s="71" t="n">
        <v>0.596</v>
      </c>
      <c r="P72" s="56" t="n">
        <f aca="false">(IF(Gulf!E72=1,0,L72*M72)+N72)*O72*B72</f>
        <v>67.2632263745107</v>
      </c>
      <c r="Q72" s="56" t="n">
        <f aca="false">P72*oil_book</f>
        <v>470.842584621575</v>
      </c>
      <c r="R72" s="71" t="n">
        <v>3.788</v>
      </c>
      <c r="S72" s="47" t="n">
        <v>18</v>
      </c>
      <c r="T72" s="56" t="n">
        <f aca="false">R72*S72*B72</f>
        <v>90.5145406065261</v>
      </c>
      <c r="U72" s="47" t="n">
        <v>120</v>
      </c>
      <c r="V72" s="47" t="n">
        <v>338</v>
      </c>
      <c r="W72" s="56" t="n">
        <f aca="false">U72/1000*V72*B72</f>
        <v>53.8435669218687</v>
      </c>
      <c r="X72" s="47" t="n">
        <v>2423</v>
      </c>
      <c r="Y72" s="62" t="n">
        <v>0.077</v>
      </c>
      <c r="Z72" s="56" t="n">
        <f aca="false">X72*Y72*chem_va*B72</f>
        <v>111.453196644009</v>
      </c>
      <c r="AA72" s="62" t="n">
        <v>0.048</v>
      </c>
      <c r="AB72" s="56" t="n">
        <f aca="false">X72*AA72*roy_rate*B72*(1-IF(union_resp=2,lic_cut*Labour!S72,0))</f>
        <v>3.24227481146207</v>
      </c>
      <c r="AC72" s="47" t="n">
        <v>954</v>
      </c>
      <c r="AD72" s="62" t="n">
        <v>0.22</v>
      </c>
      <c r="AE72" s="62" t="n">
        <v>0.375</v>
      </c>
      <c r="AF72" s="56" t="n">
        <f aca="false">AC72*AD72*elec_va*B72</f>
        <v>125.377453685967</v>
      </c>
      <c r="AG72" s="56" t="n">
        <f aca="false">MAX(0,AE72-AD72)*AC72*roy_rate*B72*(1-IF(union_resp=2,lic_cut*Labour!S72,0))</f>
        <v>4.12225870452346</v>
      </c>
      <c r="AH72" s="55" t="n">
        <v>86</v>
      </c>
      <c r="AI72" s="56" t="n">
        <f aca="false">AH72*B72</f>
        <v>114.165353927039</v>
      </c>
      <c r="AJ72" s="55" t="n">
        <v>67</v>
      </c>
      <c r="AK72" s="56" t="n">
        <f aca="false">AJ72*B72</f>
        <v>88.9427757338562</v>
      </c>
      <c r="AL72" s="47" t="n">
        <v>189</v>
      </c>
      <c r="AM72" s="56" t="n">
        <f aca="false">AL72*uw_fee*B72</f>
        <v>6.27245694541001</v>
      </c>
      <c r="AN72" s="55" t="n">
        <v>15</v>
      </c>
      <c r="AO72" s="55" t="n">
        <v>22</v>
      </c>
      <c r="AP72" s="56" t="n">
        <f aca="false">K72+T72+W72+Z72+AF72+AI72+AK72+AM72+AN72+AO72</f>
        <v>682.45525434294</v>
      </c>
      <c r="AQ72" s="56" t="n">
        <f aca="false">AP72*(1-1/champ_prem+champ_spill)</f>
        <v>473.927259960375</v>
      </c>
      <c r="AR72" s="66" t="n">
        <f aca="false">AP72/Economy!O72</f>
        <v>0.0418476620638887</v>
      </c>
      <c r="AS72" s="55" t="n">
        <v>844</v>
      </c>
      <c r="AT72" s="55" t="n">
        <v>172</v>
      </c>
      <c r="AU72" s="55" t="n">
        <v>234</v>
      </c>
      <c r="AV72" s="55" t="n">
        <v>11</v>
      </c>
      <c r="AW72" s="55" t="n">
        <v>37</v>
      </c>
      <c r="AX72" s="55" t="n">
        <v>591</v>
      </c>
      <c r="AY72" s="56" t="n">
        <f aca="false">Q72+(AS72+AT72+AU72+AV72+AW72+AX72)*B72</f>
        <v>2978.49785867015</v>
      </c>
      <c r="AZ72" s="56" t="n">
        <f aca="false">P72+(AS72*ret_rail+AT72*ret_tel+AU72*ret_elec+AV72*ret_auto+AW72*ret_chem+AX72*ret_steel)*B72*IF(OR($A72=1931,$A72=1932),abroad_slump,1)+AB72+AG72</f>
        <v>229.945741395887</v>
      </c>
      <c r="BA72" s="56" t="n">
        <f aca="false">AP72*champ_profit+AZ72</f>
        <v>366.436792264475</v>
      </c>
      <c r="BB72" s="56" t="n">
        <f aca="false">(K72+AI72+AK72)*champ_profit+P72+(AS72*ret_rail+AT72*ret_tel+AU72*ret_elec)*B72*IF(OR($A72=1931,$A72=1932),abroad_slump,1)</f>
        <v>219.46029614968</v>
      </c>
      <c r="BC72" s="56" t="n">
        <f aca="false">(T72+W72+Z72+AF72+AN72+AO72)*champ_profit+(AV72*ret_auto+AW72*ret_chem+AX72*ret_steel)*B72*IF(OR($A72=1931,$A72=1932),abroad_slump,1)+AB72+AG72</f>
        <v>145.722004725713</v>
      </c>
      <c r="BD72" s="56" t="n">
        <f aca="false">IF($A72&gt;=crown_start,(BB72*crown_charter+BC72*crown_comp)*crown_payout,0)</f>
        <v>33.2614172077385</v>
      </c>
      <c r="BE72" s="66" t="n">
        <f aca="false">IF(BB72+BC72&gt;0,(BB72*crown_charter+BC72*crown_comp)/(BA72),0)</f>
        <v>0.181539724775956</v>
      </c>
    </row>
    <row r="73" customFormat="false" ht="14.25" hidden="false" customHeight="true" outlineLevel="0" collapsed="false">
      <c r="A73" s="61" t="n">
        <v>1913</v>
      </c>
      <c r="B73" s="68" t="n">
        <f aca="false">champ_scale*(1+Labour!AP73)*(1+Partners!BX73)*(1-IF(union_resp=2,tariff_cut*Labour!S73,0))</f>
        <v>1.33448513686735</v>
      </c>
      <c r="C73" s="47" t="n">
        <v>4500</v>
      </c>
      <c r="D73" s="47" t="n">
        <v>800</v>
      </c>
      <c r="E73" s="47" t="n">
        <v>8000</v>
      </c>
      <c r="F73" s="49" t="n">
        <f aca="false">E73*B73</f>
        <v>10675.8810949388</v>
      </c>
      <c r="G73" s="49" t="n">
        <f aca="false">F73/Economy!B73*1000000</f>
        <v>568.050988021823</v>
      </c>
      <c r="H73" s="47" t="n">
        <v>349</v>
      </c>
      <c r="I73" s="70" t="n">
        <f aca="false">IF(H73&gt;0,G73/H73,0)</f>
        <v>1.62765326080752</v>
      </c>
      <c r="J73" s="71" t="n">
        <v>0.45</v>
      </c>
      <c r="K73" s="56" t="n">
        <f aca="false">Resources!K73*J73*B73</f>
        <v>60.0518311590308</v>
      </c>
      <c r="L73" s="47" t="n">
        <v>110</v>
      </c>
      <c r="M73" s="62" t="n">
        <v>0.508</v>
      </c>
      <c r="N73" s="47" t="n">
        <v>35</v>
      </c>
      <c r="O73" s="71" t="n">
        <v>0.6</v>
      </c>
      <c r="P73" s="56" t="n">
        <f aca="false">(IF(Gulf!E73=1,0,L73*M73)+N73)*O73*B73</f>
        <v>72.7668055431029</v>
      </c>
      <c r="Q73" s="56" t="n">
        <f aca="false">P73*oil_book</f>
        <v>509.36763880172</v>
      </c>
      <c r="R73" s="71" t="n">
        <v>4</v>
      </c>
      <c r="S73" s="47" t="n">
        <v>18</v>
      </c>
      <c r="T73" s="56" t="n">
        <f aca="false">R73*S73*B73</f>
        <v>96.0829298544492</v>
      </c>
      <c r="U73" s="47" t="n">
        <v>170</v>
      </c>
      <c r="V73" s="47" t="n">
        <v>300</v>
      </c>
      <c r="W73" s="56" t="n">
        <f aca="false">U73/1000*V73*B73</f>
        <v>68.0587419802349</v>
      </c>
      <c r="X73" s="47" t="n">
        <v>2500</v>
      </c>
      <c r="Y73" s="62" t="n">
        <v>0.08</v>
      </c>
      <c r="Z73" s="56" t="n">
        <f aca="false">X73*Y73*chem_va*B73</f>
        <v>120.103662318062</v>
      </c>
      <c r="AA73" s="62" t="n">
        <v>0.05</v>
      </c>
      <c r="AB73" s="56" t="n">
        <f aca="false">X73*AA73*roy_rate*B73*(1-IF(union_resp=2,lic_cut*Labour!S73,0))</f>
        <v>3.50302348427679</v>
      </c>
      <c r="AC73" s="47" t="n">
        <v>1000</v>
      </c>
      <c r="AD73" s="62" t="n">
        <v>0.22</v>
      </c>
      <c r="AE73" s="62" t="n">
        <v>0.38</v>
      </c>
      <c r="AF73" s="56" t="n">
        <f aca="false">AC73*AD73*elec_va*B73</f>
        <v>132.114028549868</v>
      </c>
      <c r="AG73" s="56" t="n">
        <f aca="false">MAX(0,AE73-AD73)*AC73*roy_rate*B73*(1-IF(union_resp=2,lic_cut*Labour!S73,0))</f>
        <v>4.4838700598743</v>
      </c>
      <c r="AH73" s="55" t="n">
        <v>90</v>
      </c>
      <c r="AI73" s="56" t="n">
        <f aca="false">AH73*B73</f>
        <v>120.103662318062</v>
      </c>
      <c r="AJ73" s="55" t="n">
        <v>70</v>
      </c>
      <c r="AK73" s="56" t="n">
        <f aca="false">AJ73*B73</f>
        <v>93.4139595807145</v>
      </c>
      <c r="AL73" s="47" t="n">
        <v>200</v>
      </c>
      <c r="AM73" s="56" t="n">
        <f aca="false">AL73*uw_fee*B73</f>
        <v>6.67242568433675</v>
      </c>
      <c r="AN73" s="55" t="n">
        <v>27</v>
      </c>
      <c r="AO73" s="55" t="n">
        <v>28</v>
      </c>
      <c r="AP73" s="56" t="n">
        <f aca="false">K73+T73+W73+Z73+AF73+AI73+AK73+AM73+AN73+AO73</f>
        <v>751.601241444757</v>
      </c>
      <c r="AQ73" s="56" t="n">
        <f aca="false">AP73*(1-1/champ_prem+champ_spill)</f>
        <v>521.945306558859</v>
      </c>
      <c r="AR73" s="66" t="n">
        <f aca="false">AP73/Economy!O73</f>
        <v>0.0422608017189816</v>
      </c>
      <c r="AS73" s="55" t="n">
        <v>900</v>
      </c>
      <c r="AT73" s="55" t="n">
        <v>180</v>
      </c>
      <c r="AU73" s="55" t="n">
        <v>250</v>
      </c>
      <c r="AV73" s="55" t="n">
        <v>15</v>
      </c>
      <c r="AW73" s="55" t="n">
        <v>40</v>
      </c>
      <c r="AX73" s="55" t="n">
        <v>600</v>
      </c>
      <c r="AY73" s="56" t="n">
        <f aca="false">Q73+(AS73+AT73+AU73+AV73+AW73+AX73)*B73</f>
        <v>3158.32063548341</v>
      </c>
      <c r="AZ73" s="56" t="n">
        <f aca="false">P73+(AS73*ret_rail+AT73*ret_tel+AU73*ret_elec+AV73*ret_auto+AW73*ret_chem+AX73*ret_steel)*B73*IF(OR($A73=1931,$A73=1932),abroad_slump,1)+AB73+AG73</f>
        <v>245.028819435625</v>
      </c>
      <c r="BA73" s="56" t="n">
        <f aca="false">AP73*champ_profit+AZ73</f>
        <v>395.349067724576</v>
      </c>
      <c r="BB73" s="56" t="n">
        <f aca="false">(K73+AI73+AK73)*champ_profit+P73+(AS73*ret_rail+AT73*ret_tel+AU73*ret_elec)*B73*IF(OR($A73=1931,$A73=1932),abroad_slump,1)</f>
        <v>234.906749672486</v>
      </c>
      <c r="BC73" s="56" t="n">
        <f aca="false">(T73+W73+Z73+AF73+AN73+AO73)*champ_profit+(AV73*ret_auto+AW73*ret_chem+AX73*ret_steel)*B73*IF(OR($A73=1931,$A73=1932),abroad_slump,1)+AB73+AG73</f>
        <v>159.107832915223</v>
      </c>
      <c r="BD73" s="56" t="n">
        <f aca="false">IF($A73&gt;=crown_start,(BB73*crown_charter+BC73*crown_comp)*crown_payout,0)</f>
        <v>35.7276570256697</v>
      </c>
      <c r="BE73" s="66" t="n">
        <f aca="false">IF(BB73+BC73&gt;0,(BB73*crown_charter+BC73*crown_comp)/(BA73),0)</f>
        <v>0.180739806628605</v>
      </c>
    </row>
    <row r="74" customFormat="false" ht="14.25" hidden="false" customHeight="true" outlineLevel="0" collapsed="false">
      <c r="A74" s="64" t="n">
        <v>1914</v>
      </c>
      <c r="B74" s="68" t="n">
        <f aca="false">champ_scale*(1+Labour!AP74)*(1+Partners!BX74)*(1-IF(union_resp=2,tariff_cut*Labour!S74,0))</f>
        <v>1.3417090851883</v>
      </c>
      <c r="C74" s="47" t="n">
        <v>4790</v>
      </c>
      <c r="D74" s="47" t="n">
        <v>920</v>
      </c>
      <c r="E74" s="47" t="n">
        <v>8290</v>
      </c>
      <c r="F74" s="49" t="n">
        <f aca="false">E74*B74</f>
        <v>11122.768316211</v>
      </c>
      <c r="G74" s="49" t="n">
        <f aca="false">F74/Economy!B74*1000000</f>
        <v>566.629057051049</v>
      </c>
      <c r="H74" s="47" t="n">
        <v>349</v>
      </c>
      <c r="I74" s="70" t="n">
        <f aca="false">IF(H74&gt;0,G74/H74,0)</f>
        <v>1.62357896003166</v>
      </c>
      <c r="J74" s="71" t="n">
        <v>0.5</v>
      </c>
      <c r="K74" s="56" t="n">
        <f aca="false">Resources!K74*J74*B74</f>
        <v>68.7625906159002</v>
      </c>
      <c r="L74" s="47" t="n">
        <v>125</v>
      </c>
      <c r="M74" s="62" t="n">
        <v>0.511</v>
      </c>
      <c r="N74" s="47" t="n">
        <v>38</v>
      </c>
      <c r="O74" s="71" t="n">
        <v>0.657</v>
      </c>
      <c r="P74" s="56" t="n">
        <f aca="false">(IF(Gulf!E74=1,0,L74*M74)+N74)*O74*B74</f>
        <v>89.8031047761874</v>
      </c>
      <c r="Q74" s="56" t="n">
        <f aca="false">P74*oil_book</f>
        <v>628.621733433312</v>
      </c>
      <c r="R74" s="71" t="n">
        <v>4.5</v>
      </c>
      <c r="S74" s="47" t="n">
        <v>20</v>
      </c>
      <c r="T74" s="56" t="n">
        <f aca="false">R74*S74*B74</f>
        <v>120.753817666947</v>
      </c>
      <c r="U74" s="47" t="n">
        <v>223.3</v>
      </c>
      <c r="V74" s="47" t="n">
        <v>317</v>
      </c>
      <c r="W74" s="56" t="n">
        <f aca="false">U74/1000*V74*B74</f>
        <v>94.9743534750473</v>
      </c>
      <c r="X74" s="47" t="n">
        <v>2900</v>
      </c>
      <c r="Y74" s="62" t="n">
        <v>0.093</v>
      </c>
      <c r="Z74" s="56" t="n">
        <f aca="false">X74*Y74*chem_va*B74</f>
        <v>162.836523123878</v>
      </c>
      <c r="AA74" s="62" t="n">
        <v>0.058</v>
      </c>
      <c r="AB74" s="56" t="n">
        <f aca="false">X74*AA74*roy_rate*B74*(1-IF(union_resp=2,lic_cut*Labour!S74,0))</f>
        <v>4.7391848307021</v>
      </c>
      <c r="AC74" s="47" t="n">
        <v>1160</v>
      </c>
      <c r="AD74" s="62" t="n">
        <v>0.221</v>
      </c>
      <c r="AE74" s="62" t="n">
        <v>0.386</v>
      </c>
      <c r="AF74" s="56" t="n">
        <f aca="false">AC74*AD74*elec_va*B74</f>
        <v>154.782243485492</v>
      </c>
      <c r="AG74" s="56" t="n">
        <f aca="false">MAX(0,AE74-AD74)*AC74*roy_rate*B74*(1-IF(union_resp=2,lic_cut*Labour!S74,0))</f>
        <v>5.39286549700584</v>
      </c>
      <c r="AH74" s="55" t="n">
        <v>100</v>
      </c>
      <c r="AI74" s="56" t="n">
        <f aca="false">AH74*B74</f>
        <v>134.17090851883</v>
      </c>
      <c r="AJ74" s="55" t="n">
        <v>90</v>
      </c>
      <c r="AK74" s="56" t="n">
        <f aca="false">AJ74*B74</f>
        <v>120.753817666947</v>
      </c>
      <c r="AL74" s="47" t="n">
        <v>300</v>
      </c>
      <c r="AM74" s="56" t="n">
        <f aca="false">AL74*uw_fee*B74</f>
        <v>10.0628181389122</v>
      </c>
      <c r="AN74" s="55" t="n">
        <v>38</v>
      </c>
      <c r="AO74" s="55" t="n">
        <v>34</v>
      </c>
      <c r="AP74" s="56" t="n">
        <f aca="false">K74+T74+W74+Z74+AF74+AI74+AK74+AM74+AN74+AO74</f>
        <v>939.097072691952</v>
      </c>
      <c r="AQ74" s="56" t="n">
        <f aca="false">AP74*(1-1/champ_prem+champ_spill)</f>
        <v>652.150744924967</v>
      </c>
      <c r="AR74" s="66" t="n">
        <f aca="false">AP74/Economy!O74</f>
        <v>0.0506361622429321</v>
      </c>
      <c r="AS74" s="55" t="n">
        <v>920</v>
      </c>
      <c r="AT74" s="55" t="n">
        <v>191</v>
      </c>
      <c r="AU74" s="55" t="n">
        <v>279</v>
      </c>
      <c r="AV74" s="55" t="n">
        <v>21</v>
      </c>
      <c r="AW74" s="55" t="n">
        <v>51</v>
      </c>
      <c r="AX74" s="55" t="n">
        <v>611</v>
      </c>
      <c r="AY74" s="56" t="n">
        <f aca="false">Q74+(AS74+AT74+AU74+AV74+AW74+AX74)*B74</f>
        <v>3409.98466702865</v>
      </c>
      <c r="AZ74" s="56" t="n">
        <f aca="false">P74+(AS74*ret_rail+AT74*ret_tel+AU74*ret_elec+AV74*ret_auto+AW74*ret_chem+AX74*ret_steel)*B74*IF(OR($A74=1931,$A74=1932),abroad_slump,1)+AB74+AG74</f>
        <v>274.263416542411</v>
      </c>
      <c r="BA74" s="56" t="n">
        <f aca="false">AP74*champ_profit+AZ74</f>
        <v>462.082831080801</v>
      </c>
      <c r="BB74" s="56" t="n">
        <f aca="false">(K74+AI74+AK74)*champ_profit+P74+(AS74*ret_rail+AT74*ret_tel+AU74*ret_elec)*B74*IF(OR($A74=1931,$A74=1932),abroad_slump,1)</f>
        <v>268.089408016008</v>
      </c>
      <c r="BC74" s="56" t="n">
        <f aca="false">(T74+W74+Z74+AF74+AN74+AO74)*champ_profit+(AV74*ret_auto+AW74*ret_chem+AX74*ret_steel)*B74*IF(OR($A74=1931,$A74=1932),abroad_slump,1)+AB74+AG74</f>
        <v>191.98085943701</v>
      </c>
      <c r="BD74" s="56" t="n">
        <f aca="false">IF($A74&gt;=crown_start,(BB74*crown_charter+BC74*crown_comp)*crown_payout,0)</f>
        <v>41.1904103794814</v>
      </c>
      <c r="BE74" s="66" t="n">
        <f aca="false">IF(BB74+BC74&gt;0,(BB74*crown_charter+BC74*crown_comp)/(BA74),0)</f>
        <v>0.1782815011029</v>
      </c>
    </row>
    <row r="75" customFormat="false" ht="14.25" hidden="false" customHeight="true" outlineLevel="0" collapsed="false">
      <c r="A75" s="64" t="n">
        <v>1915</v>
      </c>
      <c r="B75" s="68" t="n">
        <f aca="false">champ_scale*(1+Labour!AP75)*(1+Partners!BX75)*(1-IF(union_resp=2,tariff_cut*Labour!S75,0))</f>
        <v>1.34562683880175</v>
      </c>
      <c r="C75" s="47" t="n">
        <v>5070</v>
      </c>
      <c r="D75" s="47" t="n">
        <v>1030</v>
      </c>
      <c r="E75" s="47" t="n">
        <v>8570</v>
      </c>
      <c r="F75" s="49" t="n">
        <f aca="false">E75*B75</f>
        <v>11532.022008531</v>
      </c>
      <c r="G75" s="49" t="n">
        <f aca="false">F75/Economy!B75*1000000</f>
        <v>565.050598615084</v>
      </c>
      <c r="H75" s="47" t="n">
        <v>349</v>
      </c>
      <c r="I75" s="70" t="n">
        <f aca="false">IF(H75&gt;0,G75/H75,0)</f>
        <v>1.61905615649021</v>
      </c>
      <c r="J75" s="71" t="n">
        <v>0.55</v>
      </c>
      <c r="K75" s="56" t="n">
        <f aca="false">Resources!K75*J75*B75</f>
        <v>77.709949940801</v>
      </c>
      <c r="L75" s="47" t="n">
        <v>140</v>
      </c>
      <c r="M75" s="62" t="n">
        <v>0.513</v>
      </c>
      <c r="N75" s="47" t="n">
        <v>41</v>
      </c>
      <c r="O75" s="71" t="n">
        <v>0.714</v>
      </c>
      <c r="P75" s="56" t="n">
        <f aca="false">(IF(Gulf!E75=1,0,L75*M75)+N75)*O75*B75</f>
        <v>108.39492464688</v>
      </c>
      <c r="Q75" s="56" t="n">
        <f aca="false">P75*oil_book</f>
        <v>758.76447252816</v>
      </c>
      <c r="R75" s="71" t="n">
        <v>5</v>
      </c>
      <c r="S75" s="47" t="n">
        <v>23</v>
      </c>
      <c r="T75" s="56" t="n">
        <f aca="false">R75*S75*B75</f>
        <v>154.747086462201</v>
      </c>
      <c r="U75" s="47" t="n">
        <v>276.7</v>
      </c>
      <c r="V75" s="47" t="n">
        <v>334</v>
      </c>
      <c r="W75" s="56" t="n">
        <f aca="false">U75/1000*V75*B75</f>
        <v>124.359872063012</v>
      </c>
      <c r="X75" s="47" t="n">
        <v>3300</v>
      </c>
      <c r="Y75" s="62" t="n">
        <v>0.107</v>
      </c>
      <c r="Z75" s="56" t="n">
        <f aca="false">X75*Y75*chem_va*B75</f>
        <v>213.813376551404</v>
      </c>
      <c r="AA75" s="62" t="n">
        <v>0.067</v>
      </c>
      <c r="AB75" s="56" t="n">
        <f aca="false">X75*AA75*roy_rate*B75*(1-IF(union_resp=2,lic_cut*Labour!S75,0))</f>
        <v>6.2478799752404</v>
      </c>
      <c r="AC75" s="47" t="n">
        <v>1320</v>
      </c>
      <c r="AD75" s="62" t="n">
        <v>0.223</v>
      </c>
      <c r="AE75" s="62" t="n">
        <v>0.391</v>
      </c>
      <c r="AF75" s="56" t="n">
        <f aca="false">AC75*AD75*elec_va*B75</f>
        <v>178.244422321357</v>
      </c>
      <c r="AG75" s="56" t="n">
        <f aca="false">MAX(0,AE75-AD75)*AC75*roy_rate*B75*(1-IF(union_resp=2,lic_cut*Labour!S75,0))</f>
        <v>6.26653036322619</v>
      </c>
      <c r="AH75" s="55" t="n">
        <v>110</v>
      </c>
      <c r="AI75" s="56" t="n">
        <f aca="false">AH75*B75</f>
        <v>148.018952268192</v>
      </c>
      <c r="AJ75" s="55" t="n">
        <v>110</v>
      </c>
      <c r="AK75" s="56" t="n">
        <f aca="false">AJ75*B75</f>
        <v>148.018952268192</v>
      </c>
      <c r="AL75" s="47" t="n">
        <v>375</v>
      </c>
      <c r="AM75" s="56" t="n">
        <f aca="false">AL75*uw_fee*B75</f>
        <v>12.6152516137664</v>
      </c>
      <c r="AN75" s="55" t="n">
        <v>50</v>
      </c>
      <c r="AO75" s="55" t="n">
        <v>40</v>
      </c>
      <c r="AP75" s="56" t="n">
        <f aca="false">K75+T75+W75+Z75+AF75+AI75+AK75+AM75+AN75+AO75</f>
        <v>1147.52786348893</v>
      </c>
      <c r="AQ75" s="56" t="n">
        <f aca="false">AP75*(1-1/champ_prem+champ_spill)</f>
        <v>796.894349645088</v>
      </c>
      <c r="AR75" s="66" t="n">
        <f aca="false">AP75/Economy!O75</f>
        <v>0.055198673010484</v>
      </c>
      <c r="AS75" s="55" t="n">
        <v>940</v>
      </c>
      <c r="AT75" s="55" t="n">
        <v>203</v>
      </c>
      <c r="AU75" s="55" t="n">
        <v>307</v>
      </c>
      <c r="AV75" s="55" t="n">
        <v>28</v>
      </c>
      <c r="AW75" s="55" t="n">
        <v>63</v>
      </c>
      <c r="AX75" s="55" t="n">
        <v>623</v>
      </c>
      <c r="AY75" s="56" t="n">
        <f aca="false">Q75+(AS75+AT75+AU75+AV75+AW75+AX75)*B75</f>
        <v>3670.70095169515</v>
      </c>
      <c r="AZ75" s="56" t="n">
        <f aca="false">P75+(AS75*ret_rail+AT75*ret_tel+AU75*ret_elec+AV75*ret_auto+AW75*ret_chem+AX75*ret_steel)*B75*IF(OR($A75=1931,$A75=1932),abroad_slump,1)+AB75+AG75</f>
        <v>305.381318316678</v>
      </c>
      <c r="BA75" s="56" t="n">
        <f aca="false">AP75*champ_profit+AZ75</f>
        <v>534.886891014464</v>
      </c>
      <c r="BB75" s="56" t="n">
        <f aca="false">(K75+AI75+AK75)*champ_profit+P75+(AS75*ret_rail+AT75*ret_tel+AU75*ret_elec)*B75*IF(OR($A75=1931,$A75=1932),abroad_slump,1)</f>
        <v>302.622702559524</v>
      </c>
      <c r="BC75" s="56" t="n">
        <f aca="false">(T75+W75+Z75+AF75+AN75+AO75)*champ_profit+(AV75*ret_auto+AW75*ret_chem+AX75*ret_steel)*B75*IF(OR($A75=1931,$A75=1932),abroad_slump,1)+AB75+AG75</f>
        <v>229.741138132186</v>
      </c>
      <c r="BD75" s="56" t="n">
        <f aca="false">IF($A75&gt;=crown_start,(BB75*crown_charter+BC75*crown_comp)*crown_payout,0)</f>
        <v>47.017483345228</v>
      </c>
      <c r="BE75" s="66" t="n">
        <f aca="false">IF(BB75+BC75&gt;0,(BB75*crown_charter+BC75*crown_comp)/(BA75),0)</f>
        <v>0.175803461012308</v>
      </c>
    </row>
    <row r="76" customFormat="false" ht="14.25" hidden="false" customHeight="true" outlineLevel="0" collapsed="false">
      <c r="A76" s="64" t="n">
        <v>1916</v>
      </c>
      <c r="B76" s="68" t="n">
        <f aca="false">champ_scale*(1+Labour!AP76)*(1+Partners!BX76)*(1-IF(union_resp=2,tariff_cut*Labour!S76,0))</f>
        <v>1.35211041164381</v>
      </c>
      <c r="C76" s="47" t="n">
        <v>5360</v>
      </c>
      <c r="D76" s="47" t="n">
        <v>1150</v>
      </c>
      <c r="E76" s="47" t="n">
        <v>8860</v>
      </c>
      <c r="F76" s="49" t="n">
        <f aca="false">E76*B76</f>
        <v>11979.6982471641</v>
      </c>
      <c r="G76" s="49" t="n">
        <f aca="false">F76/Economy!B76*1000000</f>
        <v>566.428892699492</v>
      </c>
      <c r="H76" s="47" t="n">
        <v>349</v>
      </c>
      <c r="I76" s="70" t="n">
        <f aca="false">IF(H76&gt;0,G76/H76,0)</f>
        <v>1.62300542320771</v>
      </c>
      <c r="J76" s="71" t="n">
        <v>0.6</v>
      </c>
      <c r="K76" s="56" t="n">
        <f aca="false">Resources!K76*J76*B76</f>
        <v>85.1829559335599</v>
      </c>
      <c r="L76" s="47" t="n">
        <v>155</v>
      </c>
      <c r="M76" s="62" t="n">
        <v>0.516</v>
      </c>
      <c r="N76" s="47" t="n">
        <v>44</v>
      </c>
      <c r="O76" s="71" t="n">
        <v>0.771</v>
      </c>
      <c r="P76" s="56" t="n">
        <f aca="false">(IF(Gulf!E76=1,0,L76*M76)+N76)*O76*B76</f>
        <v>129.246314252247</v>
      </c>
      <c r="Q76" s="56" t="n">
        <f aca="false">P76*oil_book</f>
        <v>904.72419976573</v>
      </c>
      <c r="R76" s="71" t="n">
        <v>5.5</v>
      </c>
      <c r="S76" s="47" t="n">
        <v>25</v>
      </c>
      <c r="T76" s="56" t="n">
        <f aca="false">R76*S76*B76</f>
        <v>185.915181601024</v>
      </c>
      <c r="U76" s="47" t="n">
        <v>330</v>
      </c>
      <c r="V76" s="47" t="n">
        <v>351</v>
      </c>
      <c r="W76" s="56" t="n">
        <f aca="false">U76/1000*V76*B76</f>
        <v>156.614948980702</v>
      </c>
      <c r="X76" s="47" t="n">
        <v>3700</v>
      </c>
      <c r="Y76" s="62" t="n">
        <v>0.12</v>
      </c>
      <c r="Z76" s="56" t="n">
        <f aca="false">X76*Y76*chem_va*B76</f>
        <v>270.151660246433</v>
      </c>
      <c r="AA76" s="62" t="n">
        <v>0.075</v>
      </c>
      <c r="AB76" s="56" t="n">
        <f aca="false">X76*AA76*roy_rate*B76*(1-IF(union_resp=2,lic_cut*Labour!S76,0))</f>
        <v>7.87942342385429</v>
      </c>
      <c r="AC76" s="47" t="n">
        <v>1480</v>
      </c>
      <c r="AD76" s="62" t="n">
        <v>0.224</v>
      </c>
      <c r="AE76" s="62" t="n">
        <v>0.397</v>
      </c>
      <c r="AF76" s="56" t="n">
        <f aca="false">AC76*AD76*elec_va*B76</f>
        <v>201.71323965067</v>
      </c>
      <c r="AG76" s="56" t="n">
        <f aca="false">MAX(0,AE76-AD76)*AC76*roy_rate*B76*(1-IF(union_resp=2,lic_cut*Labour!S76,0))</f>
        <v>7.2700813457429</v>
      </c>
      <c r="AH76" s="55" t="n">
        <v>120</v>
      </c>
      <c r="AI76" s="56" t="n">
        <f aca="false">AH76*B76</f>
        <v>162.253249397257</v>
      </c>
      <c r="AJ76" s="55" t="n">
        <v>137</v>
      </c>
      <c r="AK76" s="56" t="n">
        <f aca="false">AJ76*B76</f>
        <v>185.239126395202</v>
      </c>
      <c r="AL76" s="47" t="n">
        <v>450</v>
      </c>
      <c r="AM76" s="56" t="n">
        <f aca="false">AL76*uw_fee*B76</f>
        <v>15.2112421309928</v>
      </c>
      <c r="AN76" s="55" t="n">
        <v>76</v>
      </c>
      <c r="AO76" s="55" t="n">
        <v>57</v>
      </c>
      <c r="AP76" s="56" t="n">
        <f aca="false">K76+T76+W76+Z76+AF76+AI76+AK76+AM76+AN76+AO76</f>
        <v>1395.28160433584</v>
      </c>
      <c r="AQ76" s="56" t="n">
        <f aca="false">AP76*(1-1/champ_prem+champ_spill)</f>
        <v>968.945558566556</v>
      </c>
      <c r="AR76" s="66" t="n">
        <f aca="false">AP76/Economy!O76</f>
        <v>0.0564731961646498</v>
      </c>
      <c r="AS76" s="55" t="n">
        <v>960</v>
      </c>
      <c r="AT76" s="55" t="n">
        <v>214</v>
      </c>
      <c r="AU76" s="55" t="n">
        <v>336</v>
      </c>
      <c r="AV76" s="55" t="n">
        <v>34</v>
      </c>
      <c r="AW76" s="55" t="n">
        <v>74</v>
      </c>
      <c r="AX76" s="55" t="n">
        <v>634</v>
      </c>
      <c r="AY76" s="56" t="n">
        <f aca="false">Q76+(AS76+AT76+AU76+AV76+AW76+AX76)*B76</f>
        <v>3949.67684678759</v>
      </c>
      <c r="AZ76" s="56" t="n">
        <f aca="false">P76+(AS76*ret_rail+AT76*ret_tel+AU76*ret_elec+AV76*ret_auto+AW76*ret_chem+AX76*ret_steel)*B76*IF(OR($A76=1931,$A76=1932),abroad_slump,1)+AB76+AG76</f>
        <v>338.991549465621</v>
      </c>
      <c r="BA76" s="56" t="n">
        <f aca="false">AP76*champ_profit+AZ76</f>
        <v>618.047870332789</v>
      </c>
      <c r="BB76" s="56" t="n">
        <f aca="false">(K76+AI76+AK76)*champ_profit+P76+(AS76*ret_rail+AT76*ret_tel+AU76*ret_elec)*B76*IF(OR($A76=1931,$A76=1932),abroad_slump,1)</f>
        <v>341.419480047394</v>
      </c>
      <c r="BC76" s="56" t="n">
        <f aca="false">(T76+W76+Z76+AF76+AN76+AO76)*champ_profit+(AV76*ret_auto+AW76*ret_chem+AX76*ret_steel)*B76*IF(OR($A76=1931,$A76=1932),abroad_slump,1)+AB76+AG76</f>
        <v>273.586141859197</v>
      </c>
      <c r="BD76" s="56" t="n">
        <f aca="false">IF($A76&gt;=crown_start,(BB76*crown_charter+BC76*crown_comp)*crown_payout,0)</f>
        <v>53.6208806802921</v>
      </c>
      <c r="BE76" s="66" t="n">
        <f aca="false">IF(BB76+BC76&gt;0,(BB76*crown_charter+BC76*crown_comp)/(BA76),0)</f>
        <v>0.173516917553392</v>
      </c>
    </row>
    <row r="77" customFormat="false" ht="14.25" hidden="false" customHeight="true" outlineLevel="0" collapsed="false">
      <c r="A77" s="64" t="n">
        <v>1917</v>
      </c>
      <c r="B77" s="68" t="n">
        <f aca="false">champ_scale*(1+Labour!AP77)*(1+Partners!BX77)*(1-IF(union_resp=2,tariff_cut*Labour!S77,0))</f>
        <v>1.35786878436008</v>
      </c>
      <c r="C77" s="47" t="n">
        <v>5640</v>
      </c>
      <c r="D77" s="47" t="n">
        <v>1270</v>
      </c>
      <c r="E77" s="47" t="n">
        <v>9140</v>
      </c>
      <c r="F77" s="49" t="n">
        <f aca="false">E77*B77</f>
        <v>12410.9206890511</v>
      </c>
      <c r="G77" s="49" t="n">
        <f aca="false">F77/Economy!B77*1000000</f>
        <v>567.533726330121</v>
      </c>
      <c r="H77" s="47" t="n">
        <v>350</v>
      </c>
      <c r="I77" s="70" t="n">
        <f aca="false">IF(H77&gt;0,G77/H77,0)</f>
        <v>1.62152493237177</v>
      </c>
      <c r="J77" s="71" t="n">
        <v>0.65</v>
      </c>
      <c r="K77" s="56" t="n">
        <f aca="false">Resources!K77*J77*B77</f>
        <v>92.6745445325752</v>
      </c>
      <c r="L77" s="47" t="n">
        <v>170</v>
      </c>
      <c r="M77" s="62" t="n">
        <v>0.518</v>
      </c>
      <c r="N77" s="47" t="n">
        <v>46</v>
      </c>
      <c r="O77" s="71" t="n">
        <v>0.829</v>
      </c>
      <c r="P77" s="56" t="n">
        <f aca="false">(IF(Gulf!E77=1,0,L77*M77)+N77)*O77*B77</f>
        <v>150.907752172757</v>
      </c>
      <c r="Q77" s="56" t="n">
        <f aca="false">P77*oil_book</f>
        <v>1056.3542652093</v>
      </c>
      <c r="R77" s="71" t="n">
        <v>6</v>
      </c>
      <c r="S77" s="47" t="n">
        <v>28</v>
      </c>
      <c r="T77" s="56" t="n">
        <f aca="false">R77*S77*B77</f>
        <v>228.121955772493</v>
      </c>
      <c r="U77" s="47" t="n">
        <v>305</v>
      </c>
      <c r="V77" s="47" t="n">
        <v>369</v>
      </c>
      <c r="W77" s="56" t="n">
        <f aca="false">U77/1000*V77*B77</f>
        <v>152.821342335805</v>
      </c>
      <c r="X77" s="47" t="n">
        <v>4100</v>
      </c>
      <c r="Y77" s="62" t="n">
        <v>0.127</v>
      </c>
      <c r="Z77" s="56" t="n">
        <f aca="false">X77*Y77*chem_va*B77</f>
        <v>318.169024207331</v>
      </c>
      <c r="AA77" s="62" t="n">
        <v>0.083</v>
      </c>
      <c r="AB77" s="56" t="n">
        <f aca="false">X77*AA77*roy_rate*B77*(1-IF(union_resp=2,lic_cut*Labour!S77,0))</f>
        <v>9.70373769367241</v>
      </c>
      <c r="AC77" s="47" t="n">
        <v>1640</v>
      </c>
      <c r="AD77" s="62" t="n">
        <v>0.225</v>
      </c>
      <c r="AE77" s="62" t="n">
        <v>0.403</v>
      </c>
      <c r="AF77" s="56" t="n">
        <f aca="false">AC77*AD77*elec_va*B77</f>
        <v>225.474111642991</v>
      </c>
      <c r="AG77" s="56" t="n">
        <f aca="false">MAX(0,AE77-AD77)*AC77*roy_rate*B77*(1-IF(union_resp=2,lic_cut*Labour!S77,0))</f>
        <v>8.32417016613826</v>
      </c>
      <c r="AH77" s="55" t="n">
        <v>130</v>
      </c>
      <c r="AI77" s="56" t="n">
        <f aca="false">AH77*B77</f>
        <v>176.52294196681</v>
      </c>
      <c r="AJ77" s="55" t="n">
        <v>163</v>
      </c>
      <c r="AK77" s="56" t="n">
        <f aca="false">AJ77*B77</f>
        <v>221.332611850692</v>
      </c>
      <c r="AL77" s="47" t="n">
        <v>525</v>
      </c>
      <c r="AM77" s="56" t="n">
        <f aca="false">AL77*uw_fee*B77</f>
        <v>17.822027794726</v>
      </c>
      <c r="AN77" s="55" t="n">
        <v>102</v>
      </c>
      <c r="AO77" s="55" t="n">
        <v>73</v>
      </c>
      <c r="AP77" s="56" t="n">
        <f aca="false">K77+T77+W77+Z77+AF77+AI77+AK77+AM77+AN77+AO77</f>
        <v>1607.93856010342</v>
      </c>
      <c r="AQ77" s="56" t="n">
        <f aca="false">AP77*(1-1/champ_prem+champ_spill)</f>
        <v>1116.62400007182</v>
      </c>
      <c r="AR77" s="66" t="n">
        <f aca="false">AP77/Economy!O77</f>
        <v>0.0514120374620282</v>
      </c>
      <c r="AS77" s="55" t="n">
        <v>980</v>
      </c>
      <c r="AT77" s="55" t="n">
        <v>226</v>
      </c>
      <c r="AU77" s="55" t="n">
        <v>364</v>
      </c>
      <c r="AV77" s="55" t="n">
        <v>41</v>
      </c>
      <c r="AW77" s="55" t="n">
        <v>86</v>
      </c>
      <c r="AX77" s="55" t="n">
        <v>646</v>
      </c>
      <c r="AY77" s="56" t="n">
        <f aca="false">Q77+(AS77+AT77+AU77+AV77+AW77+AX77)*B77</f>
        <v>4237.84082696496</v>
      </c>
      <c r="AZ77" s="56" t="n">
        <f aca="false">P77+(AS77*ret_rail+AT77*ret_tel+AU77*ret_elec+AV77*ret_auto+AW77*ret_chem+AX77*ret_steel)*B77*IF(OR($A77=1931,$A77=1932),abroad_slump,1)+AB77+AG77</f>
        <v>374.082475973688</v>
      </c>
      <c r="BA77" s="56" t="n">
        <f aca="false">AP77*champ_profit+AZ77</f>
        <v>695.670187994373</v>
      </c>
      <c r="BB77" s="56" t="n">
        <f aca="false">(K77+AI77+AK77)*champ_profit+P77+(AS77*ret_rail+AT77*ret_tel+AU77*ret_elec)*B77*IF(OR($A77=1931,$A77=1932),abroad_slump,1)</f>
        <v>380.835673428449</v>
      </c>
      <c r="BC77" s="56" t="n">
        <f aca="false">(T77+W77+Z77+AF77+AN77+AO77)*champ_profit+(AV77*ret_auto+AW77*ret_chem+AX77*ret_steel)*B77*IF(OR($A77=1931,$A77=1932),abroad_slump,1)+AB77+AG77</f>
        <v>311.270109006979</v>
      </c>
      <c r="BD77" s="56" t="n">
        <f aca="false">IF($A77&gt;=crown_start,(BB77*crown_charter+BC77*crown_comp)*crown_payout,0)</f>
        <v>60.0552635388353</v>
      </c>
      <c r="BE77" s="66" t="n">
        <f aca="false">IF(BB77+BC77&gt;0,(BB77*crown_charter+BC77*crown_comp)/(BA77),0)</f>
        <v>0.172654411746392</v>
      </c>
    </row>
    <row r="78" customFormat="false" ht="14.25" hidden="false" customHeight="true" outlineLevel="0" collapsed="false">
      <c r="A78" s="64" t="n">
        <v>1918</v>
      </c>
      <c r="B78" s="68" t="n">
        <f aca="false">champ_scale*(1+Labour!AP78)*(1+Partners!BX78)*(1-IF(union_resp=2,tariff_cut*Labour!S78,0))</f>
        <v>1.36484734454189</v>
      </c>
      <c r="C78" s="47" t="n">
        <v>5930</v>
      </c>
      <c r="D78" s="47" t="n">
        <v>1380</v>
      </c>
      <c r="E78" s="47" t="n">
        <v>9430</v>
      </c>
      <c r="F78" s="49" t="n">
        <f aca="false">E78*B78</f>
        <v>12870.5104590301</v>
      </c>
      <c r="G78" s="49" t="n">
        <f aca="false">F78/Economy!B78*1000000</f>
        <v>570.572467592677</v>
      </c>
      <c r="H78" s="47" t="n">
        <v>350</v>
      </c>
      <c r="I78" s="70" t="n">
        <f aca="false">IF(H78&gt;0,G78/H78,0)</f>
        <v>1.63020705026479</v>
      </c>
      <c r="J78" s="71" t="n">
        <v>0.7</v>
      </c>
      <c r="K78" s="56" t="n">
        <f aca="false">Resources!K78*J78*B78</f>
        <v>100.316279823829</v>
      </c>
      <c r="L78" s="47" t="n">
        <v>197</v>
      </c>
      <c r="M78" s="62" t="n">
        <v>0.521</v>
      </c>
      <c r="N78" s="47" t="n">
        <v>49</v>
      </c>
      <c r="O78" s="71" t="n">
        <v>0.886</v>
      </c>
      <c r="P78" s="56" t="n">
        <f aca="false">(IF(Gulf!E78=1,0,L78*M78)+N78)*O78*B78</f>
        <v>183.367762110889</v>
      </c>
      <c r="Q78" s="56" t="n">
        <f aca="false">P78*oil_book</f>
        <v>1283.57433477622</v>
      </c>
      <c r="R78" s="71" t="n">
        <v>6.5</v>
      </c>
      <c r="S78" s="47" t="n">
        <v>30</v>
      </c>
      <c r="T78" s="56" t="n">
        <f aca="false">R78*S78*B78</f>
        <v>266.145232185669</v>
      </c>
      <c r="U78" s="47" t="n">
        <v>280</v>
      </c>
      <c r="V78" s="47" t="n">
        <v>386</v>
      </c>
      <c r="W78" s="56" t="n">
        <f aca="false">U78/1000*V78*B78</f>
        <v>147.512700998088</v>
      </c>
      <c r="X78" s="47" t="n">
        <v>4500</v>
      </c>
      <c r="Y78" s="62" t="n">
        <v>0.133</v>
      </c>
      <c r="Z78" s="56" t="n">
        <f aca="false">X78*Y78*chem_va*B78</f>
        <v>367.587511068746</v>
      </c>
      <c r="AA78" s="62" t="n">
        <v>0.092</v>
      </c>
      <c r="AB78" s="56" t="n">
        <f aca="false">X78*AA78*roy_rate*B78*(1-IF(union_resp=2,lic_cut*Labour!S78,0))</f>
        <v>11.8659828134472</v>
      </c>
      <c r="AC78" s="47" t="n">
        <v>1800</v>
      </c>
      <c r="AD78" s="62" t="n">
        <v>0.226</v>
      </c>
      <c r="AE78" s="62" t="n">
        <v>0.409</v>
      </c>
      <c r="AF78" s="56" t="n">
        <f aca="false">AC78*AD78*elec_va*B78</f>
        <v>249.848954891839</v>
      </c>
      <c r="AG78" s="56" t="n">
        <f aca="false">MAX(0,AE78-AD78)*AC78*roy_rate*B78*(1-IF(union_resp=2,lic_cut*Labour!S78,0))</f>
        <v>9.4411950211341</v>
      </c>
      <c r="AH78" s="55" t="n">
        <v>140</v>
      </c>
      <c r="AI78" s="56" t="n">
        <f aca="false">AH78*B78</f>
        <v>191.078628235865</v>
      </c>
      <c r="AJ78" s="55" t="n">
        <v>190</v>
      </c>
      <c r="AK78" s="56" t="n">
        <f aca="false">AJ78*B78</f>
        <v>259.32099546296</v>
      </c>
      <c r="AL78" s="47" t="n">
        <v>600</v>
      </c>
      <c r="AM78" s="56" t="n">
        <f aca="false">AL78*uw_fee*B78</f>
        <v>20.4727101681284</v>
      </c>
      <c r="AN78" s="55" t="n">
        <v>128</v>
      </c>
      <c r="AO78" s="55" t="n">
        <v>90</v>
      </c>
      <c r="AP78" s="56" t="n">
        <f aca="false">K78+T78+W78+Z78+AF78+AI78+AK78+AM78+AN78+AO78</f>
        <v>1820.28301283513</v>
      </c>
      <c r="AQ78" s="56" t="n">
        <f aca="false">AP78*(1-1/champ_prem+champ_spill)</f>
        <v>1264.08542557995</v>
      </c>
      <c r="AR78" s="66" t="n">
        <f aca="false">AP78/Economy!O78</f>
        <v>0.0478335306580745</v>
      </c>
      <c r="AS78" s="55" t="n">
        <v>1000</v>
      </c>
      <c r="AT78" s="55" t="n">
        <v>237</v>
      </c>
      <c r="AU78" s="55" t="n">
        <v>393</v>
      </c>
      <c r="AV78" s="55" t="n">
        <v>47</v>
      </c>
      <c r="AW78" s="55" t="n">
        <v>97</v>
      </c>
      <c r="AX78" s="55" t="n">
        <v>657</v>
      </c>
      <c r="AY78" s="56" t="n">
        <f aca="false">Q78+(AS78+AT78+AU78+AV78+AW78+AX78)*B78</f>
        <v>4601.51822935757</v>
      </c>
      <c r="AZ78" s="56" t="n">
        <f aca="false">P78+(AS78*ret_rail+AT78*ret_tel+AU78*ret_elec+AV78*ret_auto+AW78*ret_chem+AX78*ret_steel)*B78*IF(OR($A78=1931,$A78=1932),abroad_slump,1)+AB78+AG78</f>
        <v>420.197984122081</v>
      </c>
      <c r="BA78" s="56" t="n">
        <f aca="false">AP78*champ_profit+AZ78</f>
        <v>784.254586689106</v>
      </c>
      <c r="BB78" s="56" t="n">
        <f aca="false">(K78+AI78+AK78)*champ_profit+P78+(AS78*ret_rail+AT78*ret_tel+AU78*ret_elec)*B78*IF(OR($A78=1931,$A78=1932),abroad_slump,1)</f>
        <v>431.647142556505</v>
      </c>
      <c r="BC78" s="56" t="n">
        <f aca="false">(T78+W78+Z78+AF78+AN78+AO78)*champ_profit+(AV78*ret_auto+AW78*ret_chem+AX78*ret_steel)*B78*IF(OR($A78=1931,$A78=1932),abroad_slump,1)+AB78+AG78</f>
        <v>348.512902098975</v>
      </c>
      <c r="BD78" s="56" t="n">
        <f aca="false">IF($A78&gt;=crown_start,(BB78*crown_charter+BC78*crown_comp)*crown_payout,0)</f>
        <v>67.8964089035222</v>
      </c>
      <c r="BE78" s="66" t="n">
        <f aca="false">IF(BB78+BC78&gt;0,(BB78*crown_charter+BC78*crown_comp)/(BA78),0)</f>
        <v>0.17314889847227</v>
      </c>
    </row>
    <row r="79" customFormat="false" ht="14.25" hidden="false" customHeight="true" outlineLevel="0" collapsed="false">
      <c r="A79" s="64" t="n">
        <v>1919</v>
      </c>
      <c r="B79" s="68" t="n">
        <f aca="false">champ_scale*(1+Labour!AP79)*(1+Partners!BX79)*(1-IF(union_resp=2,tariff_cut*Labour!S79,0))</f>
        <v>1.37233252248367</v>
      </c>
      <c r="C79" s="47" t="n">
        <v>6210</v>
      </c>
      <c r="D79" s="47" t="n">
        <v>1500</v>
      </c>
      <c r="E79" s="47" t="n">
        <v>9710</v>
      </c>
      <c r="F79" s="49" t="n">
        <f aca="false">E79*B79</f>
        <v>13325.3487933165</v>
      </c>
      <c r="G79" s="49" t="n">
        <f aca="false">F79/Economy!B79*1000000</f>
        <v>571.936575506678</v>
      </c>
      <c r="H79" s="47" t="n">
        <v>350</v>
      </c>
      <c r="I79" s="70" t="n">
        <f aca="false">IF(H79&gt;0,G79/H79,0)</f>
        <v>1.63410450144765</v>
      </c>
      <c r="J79" s="71" t="n">
        <v>0.75</v>
      </c>
      <c r="K79" s="56" t="n">
        <f aca="false">Resources!K79*J79*B79</f>
        <v>113.217433104903</v>
      </c>
      <c r="L79" s="47" t="n">
        <v>223</v>
      </c>
      <c r="M79" s="62" t="n">
        <v>0.524</v>
      </c>
      <c r="N79" s="47" t="n">
        <v>52</v>
      </c>
      <c r="O79" s="71" t="n">
        <v>0.943</v>
      </c>
      <c r="P79" s="56" t="n">
        <f aca="false">(IF(Gulf!E79=1,0,L79*M79)+N79)*O79*B79</f>
        <v>218.512988894487</v>
      </c>
      <c r="Q79" s="56" t="n">
        <f aca="false">P79*oil_book</f>
        <v>1529.59092226141</v>
      </c>
      <c r="R79" s="71" t="n">
        <v>5.667</v>
      </c>
      <c r="S79" s="47" t="n">
        <v>28</v>
      </c>
      <c r="T79" s="56" t="n">
        <f aca="false">R79*S79*B79</f>
        <v>217.756235337619</v>
      </c>
      <c r="U79" s="47" t="n">
        <v>370</v>
      </c>
      <c r="V79" s="47" t="n">
        <v>403</v>
      </c>
      <c r="W79" s="56" t="n">
        <f aca="false">U79/1000*V79*B79</f>
        <v>204.62850242754</v>
      </c>
      <c r="X79" s="47" t="n">
        <v>4750</v>
      </c>
      <c r="Y79" s="62" t="n">
        <v>0.14</v>
      </c>
      <c r="Z79" s="56" t="n">
        <f aca="false">X79*Y79*chem_va*B79</f>
        <v>410.670507353239</v>
      </c>
      <c r="AA79" s="62" t="n">
        <v>0.1</v>
      </c>
      <c r="AB79" s="56" t="n">
        <f aca="false">X79*AA79*roy_rate*B79*(1-IF(union_resp=2,lic_cut*Labour!S79,0))</f>
        <v>13.6890169117746</v>
      </c>
      <c r="AC79" s="47" t="n">
        <v>2000</v>
      </c>
      <c r="AD79" s="62" t="n">
        <v>0.228</v>
      </c>
      <c r="AE79" s="62" t="n">
        <v>0.414</v>
      </c>
      <c r="AF79" s="56" t="n">
        <f aca="false">AC79*AD79*elec_va*B79</f>
        <v>281.60263361365</v>
      </c>
      <c r="AG79" s="56" t="n">
        <f aca="false">MAX(0,AE79-AD79)*AC79*roy_rate*B79*(1-IF(union_resp=2,lic_cut*Labour!S79,0))</f>
        <v>10.7206616656424</v>
      </c>
      <c r="AH79" s="55" t="n">
        <v>150</v>
      </c>
      <c r="AI79" s="56" t="n">
        <f aca="false">AH79*B79</f>
        <v>205.849878372551</v>
      </c>
      <c r="AJ79" s="55" t="n">
        <v>170</v>
      </c>
      <c r="AK79" s="56" t="n">
        <f aca="false">AJ79*B79</f>
        <v>233.296528822224</v>
      </c>
      <c r="AL79" s="47" t="n">
        <v>500</v>
      </c>
      <c r="AM79" s="56" t="n">
        <f aca="false">AL79*uw_fee*B79</f>
        <v>17.1541565310459</v>
      </c>
      <c r="AN79" s="55" t="n">
        <v>154</v>
      </c>
      <c r="AO79" s="55" t="n">
        <v>75</v>
      </c>
      <c r="AP79" s="56" t="n">
        <f aca="false">K79+T79+W79+Z79+AF79+AI79+AK79+AM79+AN79+AO79</f>
        <v>1913.17587556277</v>
      </c>
      <c r="AQ79" s="56" t="n">
        <f aca="false">AP79*(1-1/champ_prem+champ_spill)</f>
        <v>1328.5943580297</v>
      </c>
      <c r="AR79" s="66" t="n">
        <f aca="false">AP79/Economy!O79</f>
        <v>0.043830598224623</v>
      </c>
      <c r="AS79" s="55" t="n">
        <v>1050</v>
      </c>
      <c r="AT79" s="55" t="n">
        <v>249</v>
      </c>
      <c r="AU79" s="55" t="n">
        <v>421</v>
      </c>
      <c r="AV79" s="55" t="n">
        <v>54</v>
      </c>
      <c r="AW79" s="55" t="n">
        <v>109</v>
      </c>
      <c r="AX79" s="55" t="n">
        <v>669</v>
      </c>
      <c r="AY79" s="56" t="n">
        <f aca="false">Q79+(AS79+AT79+AU79+AV79+AW79+AX79)*B79</f>
        <v>5031.78351963974</v>
      </c>
      <c r="AZ79" s="56" t="n">
        <f aca="false">P79+(AS79*ret_rail+AT79*ret_tel+AU79*ret_elec+AV79*ret_auto+AW79*ret_chem+AX79*ret_steel)*B79*IF(OR($A79=1931,$A79=1932),abroad_slump,1)+AB79+AG79</f>
        <v>471.51209574201</v>
      </c>
      <c r="BA79" s="56" t="n">
        <f aca="false">AP79*champ_profit+AZ79</f>
        <v>854.147270854564</v>
      </c>
      <c r="BB79" s="56" t="n">
        <f aca="false">(K79+AI79+AK79)*champ_profit+P79+(AS79*ret_rail+AT79*ret_tel+AU79*ret_elec)*B79*IF(OR($A79=1931,$A79=1932),abroad_slump,1)</f>
        <v>475.646933632253</v>
      </c>
      <c r="BC79" s="56" t="n">
        <f aca="false">(T79+W79+Z79+AF79+AN79+AO79)*champ_profit+(AV79*ret_auto+AW79*ret_chem+AX79*ret_steel)*B79*IF(OR($A79=1931,$A79=1932),abroad_slump,1)+AB79+AG79</f>
        <v>375.069505916102</v>
      </c>
      <c r="BD79" s="56" t="n">
        <f aca="false">IF($A79&gt;=crown_start,(BB79*crown_charter+BC79*crown_comp)*crown_payout,0)</f>
        <v>74.4586469406757</v>
      </c>
      <c r="BE79" s="66" t="n">
        <f aca="false">IF(BB79+BC79&gt;0,(BB79*crown_charter+BC79*crown_comp)/(BA79),0)</f>
        <v>0.174346156643879</v>
      </c>
    </row>
    <row r="80" customFormat="false" ht="14.25" hidden="false" customHeight="true" outlineLevel="0" collapsed="false">
      <c r="A80" s="64" t="n">
        <v>1920</v>
      </c>
      <c r="B80" s="68" t="n">
        <f aca="false">champ_scale*(1+Labour!AP80)*(1+Partners!BX80)*(1-IF(union_resp=2,tariff_cut*Labour!S80,0))</f>
        <v>1.38332908958321</v>
      </c>
      <c r="C80" s="47" t="n">
        <v>6500</v>
      </c>
      <c r="D80" s="47" t="n">
        <v>1420</v>
      </c>
      <c r="E80" s="47" t="n">
        <v>10000</v>
      </c>
      <c r="F80" s="49" t="n">
        <f aca="false">E80*B80</f>
        <v>13833.2908958321</v>
      </c>
      <c r="G80" s="49" t="n">
        <f aca="false">F80/Economy!B80*1000000</f>
        <v>573.28966693234</v>
      </c>
      <c r="H80" s="47" t="n">
        <v>350</v>
      </c>
      <c r="I80" s="70" t="n">
        <f aca="false">IF(H80&gt;0,G80/H80,0)</f>
        <v>1.63797047694954</v>
      </c>
      <c r="J80" s="71" t="n">
        <v>0.8</v>
      </c>
      <c r="K80" s="56" t="n">
        <f aca="false">Resources!K80*J80*B80</f>
        <v>127.266276241656</v>
      </c>
      <c r="L80" s="47" t="n">
        <v>250</v>
      </c>
      <c r="M80" s="62" t="n">
        <v>0.526</v>
      </c>
      <c r="N80" s="47" t="n">
        <v>55</v>
      </c>
      <c r="O80" s="71" t="n">
        <v>1</v>
      </c>
      <c r="P80" s="56" t="n">
        <f aca="false">(IF(Gulf!E80=1,0,L80*M80)+N80)*O80*B80</f>
        <v>257.990875207269</v>
      </c>
      <c r="Q80" s="56" t="n">
        <f aca="false">P80*oil_book</f>
        <v>1805.93612645089</v>
      </c>
      <c r="R80" s="71" t="n">
        <v>4.833</v>
      </c>
      <c r="S80" s="47" t="n">
        <v>27</v>
      </c>
      <c r="T80" s="56" t="n">
        <f aca="false">R80*S80*B80</f>
        <v>180.511996228803</v>
      </c>
      <c r="U80" s="47" t="n">
        <v>460</v>
      </c>
      <c r="V80" s="47" t="n">
        <v>420</v>
      </c>
      <c r="W80" s="56" t="n">
        <f aca="false">U80/1000*V80*B80</f>
        <v>267.259180107477</v>
      </c>
      <c r="X80" s="47" t="n">
        <v>5000</v>
      </c>
      <c r="Y80" s="62" t="n">
        <v>0.141</v>
      </c>
      <c r="Z80" s="56" t="n">
        <f aca="false">X80*Y80*chem_va*B80</f>
        <v>438.861153670274</v>
      </c>
      <c r="AA80" s="62" t="n">
        <v>0.102</v>
      </c>
      <c r="AB80" s="56" t="n">
        <f aca="false">X80*AA80*roy_rate*B80*(1-IF(union_resp=2,lic_cut*Labour!S80,0))</f>
        <v>14.8154545494362</v>
      </c>
      <c r="AC80" s="47" t="n">
        <v>2200</v>
      </c>
      <c r="AD80" s="62" t="n">
        <v>0.229</v>
      </c>
      <c r="AE80" s="62" t="n">
        <v>0.42</v>
      </c>
      <c r="AF80" s="56" t="n">
        <f aca="false">AC80*AD80*elec_va*B80</f>
        <v>313.61453789941</v>
      </c>
      <c r="AG80" s="56" t="n">
        <f aca="false">MAX(0,AE80-AD80)*AC80*roy_rate*B80*(1-IF(union_resp=2,lic_cut*Labour!S80,0))</f>
        <v>12.2067725523002</v>
      </c>
      <c r="AH80" s="55" t="n">
        <v>160</v>
      </c>
      <c r="AI80" s="56" t="n">
        <f aca="false">AH80*B80</f>
        <v>221.332654333314</v>
      </c>
      <c r="AJ80" s="55" t="n">
        <v>150</v>
      </c>
      <c r="AK80" s="56" t="n">
        <f aca="false">AJ80*B80</f>
        <v>207.499363437482</v>
      </c>
      <c r="AL80" s="47" t="n">
        <v>540</v>
      </c>
      <c r="AM80" s="56" t="n">
        <f aca="false">AL80*uw_fee*B80</f>
        <v>18.6749427093734</v>
      </c>
      <c r="AN80" s="55" t="n">
        <v>180</v>
      </c>
      <c r="AO80" s="55" t="n">
        <v>60</v>
      </c>
      <c r="AP80" s="56" t="n">
        <f aca="false">K80+T80+W80+Z80+AF80+AI80+AK80+AM80+AN80+AO80</f>
        <v>2015.02010462779</v>
      </c>
      <c r="AQ80" s="56" t="n">
        <f aca="false">AP80*(1-1/champ_prem+champ_spill)</f>
        <v>1399.31951710263</v>
      </c>
      <c r="AR80" s="66" t="n">
        <f aca="false">AP80/Economy!O80</f>
        <v>0.0393022451669644</v>
      </c>
      <c r="AS80" s="55" t="n">
        <v>1100</v>
      </c>
      <c r="AT80" s="55" t="n">
        <v>260</v>
      </c>
      <c r="AU80" s="55" t="n">
        <v>450</v>
      </c>
      <c r="AV80" s="55" t="n">
        <v>60</v>
      </c>
      <c r="AW80" s="55" t="n">
        <v>120</v>
      </c>
      <c r="AX80" s="55" t="n">
        <v>680</v>
      </c>
      <c r="AY80" s="56" t="n">
        <f aca="false">Q80+(AS80+AT80+AU80+AV80+AW80+AX80)*B80</f>
        <v>5499.42479563807</v>
      </c>
      <c r="AZ80" s="56" t="n">
        <f aca="false">P80+(AS80*ret_rail+AT80*ret_tel+AU80*ret_elec+AV80*ret_auto+AW80*ret_chem+AX80*ret_steel)*B80*IF(OR($A80=1931,$A80=1932),abroad_slump,1)+AB80+AG80</f>
        <v>526.95736007711</v>
      </c>
      <c r="BA80" s="56" t="n">
        <f aca="false">AP80*champ_profit+AZ80</f>
        <v>929.961381002668</v>
      </c>
      <c r="BB80" s="56" t="n">
        <f aca="false">(K80+AI80+AK80)*champ_profit+P80+(AS80*ret_rail+AT80*ret_tel+AU80*ret_elec)*B80*IF(OR($A80=1931,$A80=1932),abroad_slump,1)</f>
        <v>524.835056587871</v>
      </c>
      <c r="BC80" s="56" t="n">
        <f aca="false">(T80+W80+Z80+AF80+AN80+AO80)*champ_profit+(AV80*ret_auto+AW80*ret_chem+AX80*ret_steel)*B80*IF(OR($A80=1931,$A80=1932),abroad_slump,1)+AB80+AG80</f>
        <v>401.391335872922</v>
      </c>
      <c r="BD80" s="56" t="n">
        <f aca="false">IF($A80&gt;=crown_start,(BB80*crown_charter+BC80*crown_comp)*crown_payout,0)</f>
        <v>81.6600355084008</v>
      </c>
      <c r="BE80" s="66" t="n">
        <f aca="false">IF(BB80+BC80&gt;0,(BB80*crown_charter+BC80*crown_comp)/(BA80),0)</f>
        <v>0.175620272360894</v>
      </c>
    </row>
    <row r="81" customFormat="false" ht="14.25" hidden="false" customHeight="true" outlineLevel="0" collapsed="false">
      <c r="A81" s="64" t="n">
        <v>1921</v>
      </c>
      <c r="B81" s="68" t="n">
        <f aca="false">champ_scale*(1+Labour!AP81)*(1+Partners!BX81)*(1-IF(union_resp=2,tariff_cut*Labour!S81,0))</f>
        <v>1.39480717762658</v>
      </c>
      <c r="C81" s="47" t="n">
        <v>6890</v>
      </c>
      <c r="D81" s="47" t="n">
        <v>1330</v>
      </c>
      <c r="E81" s="47" t="n">
        <v>10440</v>
      </c>
      <c r="F81" s="49" t="n">
        <f aca="false">E81*B81</f>
        <v>14561.7869344215</v>
      </c>
      <c r="G81" s="49" t="n">
        <f aca="false">F81/Economy!B81*1000000</f>
        <v>582.15029736619</v>
      </c>
      <c r="H81" s="47" t="n">
        <v>352</v>
      </c>
      <c r="I81" s="70" t="n">
        <f aca="false">IF(H81&gt;0,G81/H81,0)</f>
        <v>1.65383607206304</v>
      </c>
      <c r="J81" s="71" t="n">
        <v>0.789</v>
      </c>
      <c r="K81" s="56" t="n">
        <f aca="false">Resources!K81*J81*B81</f>
        <v>145.816629367027</v>
      </c>
      <c r="L81" s="47" t="n">
        <v>277</v>
      </c>
      <c r="M81" s="62" t="n">
        <v>0.529</v>
      </c>
      <c r="N81" s="47" t="n">
        <v>59</v>
      </c>
      <c r="O81" s="71" t="n">
        <v>0.978</v>
      </c>
      <c r="P81" s="56" t="n">
        <f aca="false">(IF(Gulf!E81=1,0,L81*M81)+N81)*O81*B81</f>
        <v>280.371967759064</v>
      </c>
      <c r="Q81" s="56" t="n">
        <f aca="false">P81*oil_book</f>
        <v>1962.60377431345</v>
      </c>
      <c r="R81" s="71" t="n">
        <v>4</v>
      </c>
      <c r="S81" s="47" t="n">
        <v>25</v>
      </c>
      <c r="T81" s="56" t="n">
        <f aca="false">R81*S81*B81</f>
        <v>139.480717762658</v>
      </c>
      <c r="U81" s="47" t="n">
        <v>300</v>
      </c>
      <c r="V81" s="47" t="n">
        <v>402</v>
      </c>
      <c r="W81" s="56" t="n">
        <f aca="false">U81/1000*V81*B81</f>
        <v>168.213745621766</v>
      </c>
      <c r="X81" s="47" t="n">
        <v>4000</v>
      </c>
      <c r="Y81" s="62" t="n">
        <v>0.142</v>
      </c>
      <c r="Z81" s="56" t="n">
        <f aca="false">X81*Y81*chem_va*B81</f>
        <v>356.512714601354</v>
      </c>
      <c r="AA81" s="62" t="n">
        <v>0.104</v>
      </c>
      <c r="AB81" s="56" t="n">
        <f aca="false">X81*AA81*roy_rate*B81*(1-IF(union_resp=2,lic_cut*Labour!S81,0))</f>
        <v>12.1850355037458</v>
      </c>
      <c r="AC81" s="47" t="n">
        <v>1700</v>
      </c>
      <c r="AD81" s="62" t="n">
        <v>0.23</v>
      </c>
      <c r="AE81" s="62" t="n">
        <v>0.423</v>
      </c>
      <c r="AF81" s="56" t="n">
        <f aca="false">AC81*AD81*elec_va*B81</f>
        <v>245.416322903397</v>
      </c>
      <c r="AG81" s="56" t="n">
        <f aca="false">MAX(0,AE81-AD81)*AC81*roy_rate*B81*(1-IF(union_resp=2,lic_cut*Labour!S81,0))</f>
        <v>9.61036093456491</v>
      </c>
      <c r="AH81" s="55" t="n">
        <v>172</v>
      </c>
      <c r="AI81" s="56" t="n">
        <f aca="false">AH81*B81</f>
        <v>239.906834551772</v>
      </c>
      <c r="AJ81" s="55" t="n">
        <v>156</v>
      </c>
      <c r="AK81" s="56" t="n">
        <f aca="false">AJ81*B81</f>
        <v>217.589919709747</v>
      </c>
      <c r="AL81" s="47" t="n">
        <v>580</v>
      </c>
      <c r="AM81" s="56" t="n">
        <f aca="false">AL81*uw_fee*B81</f>
        <v>20.2247040755854</v>
      </c>
      <c r="AN81" s="55" t="n">
        <v>220</v>
      </c>
      <c r="AO81" s="55" t="n">
        <v>70</v>
      </c>
      <c r="AP81" s="56" t="n">
        <f aca="false">K81+T81+W81+Z81+AF81+AI81+AK81+AM81+AN81+AO81</f>
        <v>1823.16158859331</v>
      </c>
      <c r="AQ81" s="56" t="n">
        <f aca="false">AP81*(1-1/champ_prem+champ_spill)</f>
        <v>1266.08443652313</v>
      </c>
      <c r="AR81" s="66" t="n">
        <f aca="false">AP81/Economy!O81</f>
        <v>0.0434965274749421</v>
      </c>
      <c r="AS81" s="55" t="n">
        <v>1180</v>
      </c>
      <c r="AT81" s="55" t="n">
        <v>278</v>
      </c>
      <c r="AU81" s="55" t="n">
        <v>540</v>
      </c>
      <c r="AV81" s="55" t="n">
        <v>78</v>
      </c>
      <c r="AW81" s="55" t="n">
        <v>146</v>
      </c>
      <c r="AX81" s="55" t="n">
        <v>697</v>
      </c>
      <c r="AY81" s="56" t="n">
        <f aca="false">Q81+(AS81+AT81+AU81+AV81+AW81+AX81)*B81</f>
        <v>6034.04592580544</v>
      </c>
      <c r="AZ81" s="56" t="n">
        <f aca="false">P81+(AS81*ret_rail+AT81*ret_tel+AU81*ret_elec+AV81*ret_auto+AW81*ret_chem+AX81*ret_steel)*B81*IF(OR($A81=1931,$A81=1932),abroad_slump,1)+AB81+AG81</f>
        <v>571.783591632593</v>
      </c>
      <c r="BA81" s="56" t="n">
        <f aca="false">AP81*champ_profit+AZ81</f>
        <v>936.415909351254</v>
      </c>
      <c r="BB81" s="56" t="n">
        <f aca="false">(K81+AI81+AK81)*champ_profit+P81+(AS81*ret_rail+AT81*ret_tel+AU81*ret_elec)*B81*IF(OR($A81=1931,$A81=1932),abroad_slump,1)</f>
        <v>574.827618817045</v>
      </c>
      <c r="BC81" s="56" t="n">
        <f aca="false">(T81+W81+Z81+AF81+AN81+AO81)*champ_profit+(AV81*ret_auto+AW81*ret_chem+AX81*ret_steel)*B81*IF(OR($A81=1931,$A81=1932),abroad_slump,1)+AB81+AG81</f>
        <v>357.543349719092</v>
      </c>
      <c r="BD81" s="56" t="n">
        <f aca="false">IF($A81&gt;=crown_start,(BB81*crown_charter+BC81*crown_comp)*crown_payout,0)</f>
        <v>86.1551863408943</v>
      </c>
      <c r="BE81" s="66" t="n">
        <f aca="false">IF(BB81+BC81&gt;0,(BB81*crown_charter+BC81*crown_comp)/(BA81),0)</f>
        <v>0.18401051387643</v>
      </c>
    </row>
    <row r="82" customFormat="false" ht="14.25" hidden="false" customHeight="true" outlineLevel="0" collapsed="false">
      <c r="A82" s="64" t="n">
        <v>1922</v>
      </c>
      <c r="B82" s="68" t="n">
        <f aca="false">champ_scale*(1+Labour!AP82)*(1+Partners!BX82)*(1-IF(union_resp=2,tariff_cut*Labour!S82,0))</f>
        <v>1.40719921521875</v>
      </c>
      <c r="C82" s="47" t="n">
        <v>7280</v>
      </c>
      <c r="D82" s="47" t="n">
        <v>1250</v>
      </c>
      <c r="E82" s="47" t="n">
        <v>10890</v>
      </c>
      <c r="F82" s="49" t="n">
        <f aca="false">E82*B82</f>
        <v>15324.3994537322</v>
      </c>
      <c r="G82" s="49" t="n">
        <f aca="false">F82/Economy!B82*1000000</f>
        <v>590.794675185282</v>
      </c>
      <c r="H82" s="47" t="n">
        <v>355</v>
      </c>
      <c r="I82" s="70" t="n">
        <f aca="false">IF(H82&gt;0,G82/H82,0)</f>
        <v>1.6642103526346</v>
      </c>
      <c r="J82" s="71" t="n">
        <v>0.778</v>
      </c>
      <c r="K82" s="56" t="n">
        <f aca="false">Resources!K82*J82*B82</f>
        <v>164.220148416028</v>
      </c>
      <c r="L82" s="47" t="n">
        <v>303</v>
      </c>
      <c r="M82" s="62" t="n">
        <v>0.532</v>
      </c>
      <c r="N82" s="47" t="n">
        <v>63</v>
      </c>
      <c r="O82" s="71" t="n">
        <v>0.956</v>
      </c>
      <c r="P82" s="56" t="n">
        <f aca="false">(IF(Gulf!E82=1,0,L82*M82)+N82)*O82*B82</f>
        <v>301.606944103954</v>
      </c>
      <c r="Q82" s="56" t="n">
        <f aca="false">P82*oil_book</f>
        <v>2111.24860872768</v>
      </c>
      <c r="R82" s="71" t="n">
        <v>4.875</v>
      </c>
      <c r="S82" s="47" t="n">
        <v>25</v>
      </c>
      <c r="T82" s="56" t="n">
        <f aca="false">R82*S82*B82</f>
        <v>171.502404354785</v>
      </c>
      <c r="U82" s="47" t="n">
        <v>500</v>
      </c>
      <c r="V82" s="47" t="n">
        <v>384</v>
      </c>
      <c r="W82" s="56" t="n">
        <f aca="false">U82/1000*V82*B82</f>
        <v>270.182249321999</v>
      </c>
      <c r="X82" s="47" t="n">
        <v>4625</v>
      </c>
      <c r="Y82" s="62" t="n">
        <v>0.143</v>
      </c>
      <c r="Z82" s="56" t="n">
        <f aca="false">X82*Y82*chem_va*B82</f>
        <v>418.808871434385</v>
      </c>
      <c r="AA82" s="62" t="n">
        <v>0.106</v>
      </c>
      <c r="AB82" s="56" t="n">
        <f aca="false">X82*AA82*roy_rate*B82*(1-IF(union_resp=2,lic_cut*Labour!S82,0))</f>
        <v>14.4874677204808</v>
      </c>
      <c r="AC82" s="47" t="n">
        <v>2025</v>
      </c>
      <c r="AD82" s="62" t="n">
        <v>0.231</v>
      </c>
      <c r="AE82" s="62" t="n">
        <v>0.427</v>
      </c>
      <c r="AF82" s="56" t="n">
        <f aca="false">AC82*AD82*elec_va*B82</f>
        <v>296.213675804527</v>
      </c>
      <c r="AG82" s="56" t="n">
        <f aca="false">MAX(0,AE82-AD82)*AC82*roy_rate*B82*(1-IF(union_resp=2,lic_cut*Labour!S82,0))</f>
        <v>11.7288647389267</v>
      </c>
      <c r="AH82" s="55" t="n">
        <v>184</v>
      </c>
      <c r="AI82" s="56" t="n">
        <f aca="false">AH82*B82</f>
        <v>258.92465560025</v>
      </c>
      <c r="AJ82" s="55" t="n">
        <v>162</v>
      </c>
      <c r="AK82" s="56" t="n">
        <f aca="false">AJ82*B82</f>
        <v>227.966272865437</v>
      </c>
      <c r="AL82" s="47" t="n">
        <v>620</v>
      </c>
      <c r="AM82" s="56" t="n">
        <f aca="false">AL82*uw_fee*B82</f>
        <v>21.8115878358906</v>
      </c>
      <c r="AN82" s="55" t="n">
        <v>260</v>
      </c>
      <c r="AO82" s="55" t="n">
        <v>80</v>
      </c>
      <c r="AP82" s="56" t="n">
        <f aca="false">K82+T82+W82+Z82+AF82+AI82+AK82+AM82+AN82+AO82</f>
        <v>2169.6298656333</v>
      </c>
      <c r="AQ82" s="56" t="n">
        <f aca="false">AP82*(1-1/champ_prem+champ_spill)</f>
        <v>1506.68740668979</v>
      </c>
      <c r="AR82" s="66" t="n">
        <f aca="false">AP82/Economy!O82</f>
        <v>0.0500083231229424</v>
      </c>
      <c r="AS82" s="55" t="n">
        <v>1260</v>
      </c>
      <c r="AT82" s="55" t="n">
        <v>296</v>
      </c>
      <c r="AU82" s="55" t="n">
        <v>630</v>
      </c>
      <c r="AV82" s="55" t="n">
        <v>96</v>
      </c>
      <c r="AW82" s="55" t="n">
        <v>171</v>
      </c>
      <c r="AX82" s="55" t="n">
        <v>713</v>
      </c>
      <c r="AY82" s="56" t="n">
        <f aca="false">Q82+(AS82+AT82+AU82+AV82+AW82+AX82)*B82</f>
        <v>6566.44132411023</v>
      </c>
      <c r="AZ82" s="56" t="n">
        <f aca="false">P82+(AS82*ret_rail+AT82*ret_tel+AU82*ret_elec+AV82*ret_auto+AW82*ret_chem+AX82*ret_steel)*B82*IF(OR($A82=1931,$A82=1932),abroad_slump,1)+AB82+AG82</f>
        <v>625.474054566431</v>
      </c>
      <c r="BA82" s="56" t="n">
        <f aca="false">AP82*champ_profit+AZ82</f>
        <v>1059.40002769309</v>
      </c>
      <c r="BB82" s="56" t="n">
        <f aca="false">(K82+AI82+AK82)*champ_profit+P82+(AS82*ret_rail+AT82*ret_tel+AU82*ret_elec)*B82*IF(OR($A82=1931,$A82=1932),abroad_slump,1)</f>
        <v>624.1932922007</v>
      </c>
      <c r="BC82" s="56" t="n">
        <f aca="false">(T82+W82+Z82+AF82+AN82+AO82)*champ_profit+(AV82*ret_auto+AW82*ret_chem+AX82*ret_steel)*B82*IF(OR($A82=1931,$A82=1932),abroad_slump,1)+AB82+AG82</f>
        <v>430.844417925213</v>
      </c>
      <c r="BD82" s="56" t="n">
        <f aca="false">IF($A82&gt;=crown_start,(BB82*crown_charter+BC82*crown_comp)*crown_payout,0)</f>
        <v>95.257938242096</v>
      </c>
      <c r="BE82" s="66" t="n">
        <f aca="false">IF(BB82+BC82&gt;0,(BB82*crown_charter+BC82*crown_comp)/(BA82),0)</f>
        <v>0.179833746936039</v>
      </c>
    </row>
    <row r="83" customFormat="false" ht="14.25" hidden="false" customHeight="true" outlineLevel="0" collapsed="false">
      <c r="A83" s="61" t="n">
        <v>1923</v>
      </c>
      <c r="B83" s="68" t="n">
        <f aca="false">champ_scale*(1+Labour!AP83)*(1+Partners!BX83)*(1-IF(union_resp=2,tariff_cut*Labour!S83,0))</f>
        <v>1.42097805693482</v>
      </c>
      <c r="C83" s="47" t="n">
        <v>7670</v>
      </c>
      <c r="D83" s="47" t="n">
        <v>1170</v>
      </c>
      <c r="E83" s="47" t="n">
        <v>11330</v>
      </c>
      <c r="F83" s="49" t="n">
        <f aca="false">E83*B83</f>
        <v>16099.6813850715</v>
      </c>
      <c r="G83" s="49" t="n">
        <f aca="false">F83/Economy!B83*1000000</f>
        <v>598.729851421267</v>
      </c>
      <c r="H83" s="47" t="n">
        <v>357</v>
      </c>
      <c r="I83" s="70" t="n">
        <f aca="false">IF(H83&gt;0,G83/H83,0)</f>
        <v>1.67711442975145</v>
      </c>
      <c r="J83" s="71" t="n">
        <v>0.767</v>
      </c>
      <c r="K83" s="56" t="n">
        <f aca="false">Resources!K83*J83*B83</f>
        <v>207.079132237111</v>
      </c>
      <c r="L83" s="47" t="n">
        <v>330</v>
      </c>
      <c r="M83" s="62" t="n">
        <v>0.534</v>
      </c>
      <c r="N83" s="47" t="n">
        <v>67</v>
      </c>
      <c r="O83" s="71" t="n">
        <v>0.933</v>
      </c>
      <c r="P83" s="56" t="n">
        <f aca="false">(IF(Gulf!E83=1,0,L83*M83)+N83)*O83*B83</f>
        <v>322.454394046172</v>
      </c>
      <c r="Q83" s="56" t="n">
        <f aca="false">P83*oil_book</f>
        <v>2257.1807583232</v>
      </c>
      <c r="R83" s="71" t="n">
        <v>5.75</v>
      </c>
      <c r="S83" s="47" t="n">
        <v>25</v>
      </c>
      <c r="T83" s="56" t="n">
        <f aca="false">R83*S83*B83</f>
        <v>204.265595684381</v>
      </c>
      <c r="U83" s="47" t="n">
        <v>700</v>
      </c>
      <c r="V83" s="47" t="n">
        <v>366</v>
      </c>
      <c r="W83" s="56" t="n">
        <f aca="false">U83/1000*V83*B83</f>
        <v>364.054578186701</v>
      </c>
      <c r="X83" s="47" t="n">
        <v>5250</v>
      </c>
      <c r="Y83" s="62" t="n">
        <v>0.144</v>
      </c>
      <c r="Z83" s="56" t="n">
        <f aca="false">X83*Y83*chem_va*B83</f>
        <v>483.416734969226</v>
      </c>
      <c r="AA83" s="62" t="n">
        <v>0.108</v>
      </c>
      <c r="AB83" s="56" t="n">
        <f aca="false">X83*AA83*roy_rate*B83*(1-IF(union_resp=2,lic_cut*Labour!S83,0))</f>
        <v>16.9195857239229</v>
      </c>
      <c r="AC83" s="47" t="n">
        <v>2350</v>
      </c>
      <c r="AD83" s="62" t="n">
        <v>0.232</v>
      </c>
      <c r="AE83" s="62" t="n">
        <v>0.43</v>
      </c>
      <c r="AF83" s="56" t="n">
        <f aca="false">AC83*AD83*elec_va*B83</f>
        <v>348.622756488389</v>
      </c>
      <c r="AG83" s="56" t="n">
        <f aca="false">MAX(0,AE83-AD83)*AC83*roy_rate*B83*(1-IF(union_resp=2,lic_cut*Labour!S83,0))</f>
        <v>13.8848028877272</v>
      </c>
      <c r="AH83" s="55" t="n">
        <v>196</v>
      </c>
      <c r="AI83" s="56" t="n">
        <f aca="false">AH83*B83</f>
        <v>278.511699159225</v>
      </c>
      <c r="AJ83" s="55" t="n">
        <v>168</v>
      </c>
      <c r="AK83" s="56" t="n">
        <f aca="false">AJ83*B83</f>
        <v>238.72431356505</v>
      </c>
      <c r="AL83" s="47" t="n">
        <v>660</v>
      </c>
      <c r="AM83" s="56" t="n">
        <f aca="false">AL83*uw_fee*B83</f>
        <v>23.4461379394245</v>
      </c>
      <c r="AN83" s="55" t="n">
        <v>300</v>
      </c>
      <c r="AO83" s="55" t="n">
        <v>90</v>
      </c>
      <c r="AP83" s="56" t="n">
        <f aca="false">K83+T83+W83+Z83+AF83+AI83+AK83+AM83+AN83+AO83</f>
        <v>2538.12094822951</v>
      </c>
      <c r="AQ83" s="56" t="n">
        <f aca="false">AP83*(1-1/champ_prem+champ_spill)</f>
        <v>1762.58399182605</v>
      </c>
      <c r="AR83" s="66" t="n">
        <f aca="false">AP83/Economy!O83</f>
        <v>0.0518294013802038</v>
      </c>
      <c r="AS83" s="55" t="n">
        <v>1340</v>
      </c>
      <c r="AT83" s="55" t="n">
        <v>314</v>
      </c>
      <c r="AU83" s="55" t="n">
        <v>720</v>
      </c>
      <c r="AV83" s="55" t="n">
        <v>114</v>
      </c>
      <c r="AW83" s="55" t="n">
        <v>197</v>
      </c>
      <c r="AX83" s="55" t="n">
        <v>730</v>
      </c>
      <c r="AY83" s="56" t="n">
        <f aca="false">Q83+(AS83+AT83+AU83+AV83+AW83+AX83)*B83</f>
        <v>7109.82082275562</v>
      </c>
      <c r="AZ83" s="56" t="n">
        <f aca="false">P83+(AS83*ret_rail+AT83*ret_tel+AU83*ret_elec+AV83*ret_auto+AW83*ret_chem+AX83*ret_steel)*B83*IF(OR($A83=1931,$A83=1932),abroad_slump,1)+AB83+AG83</f>
        <v>679.970057508276</v>
      </c>
      <c r="BA83" s="56" t="n">
        <f aca="false">AP83*champ_profit+AZ83</f>
        <v>1187.59424715418</v>
      </c>
      <c r="BB83" s="56" t="n">
        <f aca="false">(K83+AI83+AK83)*champ_profit+P83+(AS83*ret_rail+AT83*ret_tel+AU83*ret_elec)*B83*IF(OR($A83=1931,$A83=1932),abroad_slump,1)</f>
        <v>678.758957910351</v>
      </c>
      <c r="BC83" s="56" t="n">
        <f aca="false">(T83+W83+Z83+AF83+AN83+AO83)*champ_profit+(AV83*ret_auto+AW83*ret_chem+AX83*ret_steel)*B83*IF(OR($A83=1931,$A83=1932),abroad_slump,1)+AB83+AG83</f>
        <v>504.146061655942</v>
      </c>
      <c r="BD83" s="56" t="n">
        <f aca="false">IF($A83&gt;=crown_start,(BB83*crown_charter+BC83*crown_comp)*crown_payout,0)</f>
        <v>105.010712205032</v>
      </c>
      <c r="BE83" s="66" t="n">
        <f aca="false">IF(BB83+BC83&gt;0,(BB83*crown_charter+BC83*crown_comp)/(BA83),0)</f>
        <v>0.176846111298818</v>
      </c>
    </row>
    <row r="84" customFormat="false" ht="14.25" hidden="false" customHeight="true" outlineLevel="0" collapsed="false">
      <c r="A84" s="61" t="n">
        <v>1924</v>
      </c>
      <c r="B84" s="68" t="n">
        <f aca="false">champ_scale*(1+Labour!AP84)*(1+Partners!BX84)*(1-IF(union_resp=2,tariff_cut*Labour!S84,0))</f>
        <v>1.43280787854025</v>
      </c>
      <c r="C84" s="47" t="n">
        <v>8060</v>
      </c>
      <c r="D84" s="47" t="n">
        <v>1080</v>
      </c>
      <c r="E84" s="47" t="n">
        <v>11780</v>
      </c>
      <c r="F84" s="49" t="n">
        <f aca="false">E84*B84</f>
        <v>16878.4768092042</v>
      </c>
      <c r="G84" s="49" t="n">
        <f aca="false">F84/Economy!B84*1000000</f>
        <v>605.664831967123</v>
      </c>
      <c r="H84" s="47" t="n">
        <v>359</v>
      </c>
      <c r="I84" s="70" t="n">
        <f aca="false">IF(H84&gt;0,G84/H84,0)</f>
        <v>1.6870886684321</v>
      </c>
      <c r="J84" s="71" t="n">
        <v>0.756</v>
      </c>
      <c r="K84" s="56" t="n">
        <f aca="false">Resources!K84*J84*B84</f>
        <v>249.136633920579</v>
      </c>
      <c r="L84" s="47" t="n">
        <v>353</v>
      </c>
      <c r="M84" s="62" t="n">
        <v>0.537</v>
      </c>
      <c r="N84" s="47" t="n">
        <v>71</v>
      </c>
      <c r="O84" s="71" t="n">
        <v>0.911</v>
      </c>
      <c r="P84" s="56" t="n">
        <f aca="false">(IF(Gulf!E84=1,0,L84*M84)+N84)*O84*B84</f>
        <v>340.107140666337</v>
      </c>
      <c r="Q84" s="56" t="n">
        <f aca="false">P84*oil_book</f>
        <v>2380.74998466436</v>
      </c>
      <c r="R84" s="71" t="n">
        <v>6.625</v>
      </c>
      <c r="S84" s="47" t="n">
        <v>25</v>
      </c>
      <c r="T84" s="56" t="n">
        <f aca="false">R84*S84*B84</f>
        <v>237.308804883229</v>
      </c>
      <c r="U84" s="47" t="n">
        <v>766.7</v>
      </c>
      <c r="V84" s="47" t="n">
        <v>348</v>
      </c>
      <c r="W84" s="56" t="n">
        <f aca="false">U84/1000*V84*B84</f>
        <v>382.28976256593</v>
      </c>
      <c r="X84" s="47" t="n">
        <v>5875</v>
      </c>
      <c r="Y84" s="62" t="n">
        <v>0.145</v>
      </c>
      <c r="Z84" s="56" t="n">
        <f aca="false">X84*Y84*chem_va*B84</f>
        <v>549.257945189164</v>
      </c>
      <c r="AA84" s="62" t="n">
        <v>0.11</v>
      </c>
      <c r="AB84" s="56" t="n">
        <f aca="false">X84*AA84*roy_rate*B84*(1-IF(union_resp=2,lic_cut*Labour!S84,0))</f>
        <v>19.4449939216394</v>
      </c>
      <c r="AC84" s="47" t="n">
        <v>2675</v>
      </c>
      <c r="AD84" s="62" t="n">
        <v>0.234</v>
      </c>
      <c r="AE84" s="62" t="n">
        <v>0.433</v>
      </c>
      <c r="AF84" s="56" t="n">
        <f aca="false">AC84*AD84*elec_va*B84</f>
        <v>403.589741207522</v>
      </c>
      <c r="AG84" s="56" t="n">
        <f aca="false">MAX(0,AE84-AD84)*AC84*roy_rate*B84*(1-IF(union_resp=2,lic_cut*Labour!S84,0))</f>
        <v>16.0171085328227</v>
      </c>
      <c r="AH84" s="55" t="n">
        <v>208</v>
      </c>
      <c r="AI84" s="56" t="n">
        <f aca="false">AH84*B84</f>
        <v>298.024038736372</v>
      </c>
      <c r="AJ84" s="55" t="n">
        <v>174</v>
      </c>
      <c r="AK84" s="56" t="n">
        <f aca="false">AJ84*B84</f>
        <v>249.308570866004</v>
      </c>
      <c r="AL84" s="47" t="n">
        <v>700</v>
      </c>
      <c r="AM84" s="56" t="n">
        <f aca="false">AL84*uw_fee*B84</f>
        <v>25.0741378744544</v>
      </c>
      <c r="AN84" s="55" t="n">
        <v>340</v>
      </c>
      <c r="AO84" s="55" t="n">
        <v>100</v>
      </c>
      <c r="AP84" s="56" t="n">
        <f aca="false">K84+T84+W84+Z84+AF84+AI84+AK84+AM84+AN84+AO84</f>
        <v>2833.98963524325</v>
      </c>
      <c r="AQ84" s="56" t="n">
        <f aca="false">AP84*(1-1/champ_prem+champ_spill)</f>
        <v>1968.04835780782</v>
      </c>
      <c r="AR84" s="66" t="n">
        <f aca="false">AP84/Economy!O84</f>
        <v>0.0542285732903866</v>
      </c>
      <c r="AS84" s="55" t="n">
        <v>1420</v>
      </c>
      <c r="AT84" s="55" t="n">
        <v>332</v>
      </c>
      <c r="AU84" s="55" t="n">
        <v>810</v>
      </c>
      <c r="AV84" s="55" t="n">
        <v>132</v>
      </c>
      <c r="AW84" s="55" t="n">
        <v>222</v>
      </c>
      <c r="AX84" s="55" t="n">
        <v>747</v>
      </c>
      <c r="AY84" s="56" t="n">
        <f aca="false">Q84+(AS84+AT84+AU84+AV84+AW84+AX84)*B84</f>
        <v>7629.1252437573</v>
      </c>
      <c r="AZ84" s="56" t="n">
        <f aca="false">P84+(AS84*ret_rail+AT84*ret_tel+AU84*ret_elec+AV84*ret_auto+AW84*ret_chem+AX84*ret_steel)*B84*IF(OR($A84=1931,$A84=1932),abroad_slump,1)+AB84+AG84</f>
        <v>731.19215857449</v>
      </c>
      <c r="BA84" s="56" t="n">
        <f aca="false">AP84*champ_profit+AZ84</f>
        <v>1297.99008562314</v>
      </c>
      <c r="BB84" s="56" t="n">
        <f aca="false">(K84+AI84+AK84)*champ_profit+P84+(AS84*ret_rail+AT84*ret_tel+AU84*ret_elec)*B84*IF(OR($A84=1931,$A84=1932),abroad_slump,1)</f>
        <v>729.939777028055</v>
      </c>
      <c r="BC84" s="56" t="n">
        <f aca="false">(T84+W84+Z84+AF84+AN84+AO84)*champ_profit+(AV84*ret_auto+AW84*ret_chem+AX84*ret_steel)*B84*IF(OR($A84=1931,$A84=1932),abroad_slump,1)+AB84+AG84</f>
        <v>563.035481020195</v>
      </c>
      <c r="BD84" s="56" t="n">
        <f aca="false">IF($A84&gt;=crown_start,(BB84*crown_charter+BC84*crown_comp)*crown_payout,0)</f>
        <v>113.763891369315</v>
      </c>
      <c r="BE84" s="66" t="n">
        <f aca="false">IF(BB84+BC84&gt;0,(BB84*crown_charter+BC84*crown_comp)/(BA84),0)</f>
        <v>0.175292388793091</v>
      </c>
    </row>
    <row r="85" customFormat="false" ht="14.25" hidden="false" customHeight="true" outlineLevel="0" collapsed="false">
      <c r="A85" s="61" t="n">
        <v>1925</v>
      </c>
      <c r="B85" s="68" t="n">
        <f aca="false">champ_scale*(1+Labour!AP85)*(1+Partners!BX85)*(1-IF(union_resp=2,tariff_cut*Labour!S85,0))</f>
        <v>1.44319339622676</v>
      </c>
      <c r="C85" s="47" t="n">
        <v>8440</v>
      </c>
      <c r="D85" s="47" t="n">
        <v>1000</v>
      </c>
      <c r="E85" s="47" t="n">
        <v>12220</v>
      </c>
      <c r="F85" s="49" t="n">
        <f aca="false">E85*B85</f>
        <v>17635.823301891</v>
      </c>
      <c r="G85" s="49" t="n">
        <f aca="false">F85/Economy!B85*1000000</f>
        <v>611.427349392007</v>
      </c>
      <c r="H85" s="47" t="n">
        <v>362</v>
      </c>
      <c r="I85" s="70" t="n">
        <f aca="false">IF(H85&gt;0,G85/H85,0)</f>
        <v>1.68902582704974</v>
      </c>
      <c r="J85" s="71" t="n">
        <v>0.744</v>
      </c>
      <c r="K85" s="56" t="n">
        <f aca="false">Resources!K85*J85*B85</f>
        <v>246.959253962322</v>
      </c>
      <c r="L85" s="47" t="n">
        <v>377</v>
      </c>
      <c r="M85" s="62" t="n">
        <v>0.539</v>
      </c>
      <c r="N85" s="47" t="n">
        <v>74</v>
      </c>
      <c r="O85" s="71" t="n">
        <v>0.889</v>
      </c>
      <c r="P85" s="56" t="n">
        <f aca="false">(IF(Gulf!E85=1,0,L85*M85)+N85)*O85*B85</f>
        <v>355.651152183664</v>
      </c>
      <c r="Q85" s="56" t="n">
        <f aca="false">P85*oil_book</f>
        <v>2489.55806528565</v>
      </c>
      <c r="R85" s="71" t="n">
        <v>7.5</v>
      </c>
      <c r="S85" s="47" t="n">
        <v>25</v>
      </c>
      <c r="T85" s="56" t="n">
        <f aca="false">R85*S85*B85</f>
        <v>270.598761792517</v>
      </c>
      <c r="U85" s="47" t="n">
        <v>833.3</v>
      </c>
      <c r="V85" s="47" t="n">
        <v>330</v>
      </c>
      <c r="W85" s="56" t="n">
        <f aca="false">U85/1000*V85*B85</f>
        <v>396.862308834999</v>
      </c>
      <c r="X85" s="47" t="n">
        <v>6500</v>
      </c>
      <c r="Y85" s="62" t="n">
        <v>0.146</v>
      </c>
      <c r="Z85" s="56" t="n">
        <f aca="false">X85*Y85*chem_va*B85</f>
        <v>616.315739858636</v>
      </c>
      <c r="AA85" s="62" t="n">
        <v>0.112</v>
      </c>
      <c r="AB85" s="56" t="n">
        <f aca="false">X85*AA85*roy_rate*B85*(1-IF(union_resp=2,lic_cut*Labour!S85,0))</f>
        <v>22.0635406415146</v>
      </c>
      <c r="AC85" s="47" t="n">
        <v>3000</v>
      </c>
      <c r="AD85" s="62" t="n">
        <v>0.235</v>
      </c>
      <c r="AE85" s="62" t="n">
        <v>0.437</v>
      </c>
      <c r="AF85" s="56" t="n">
        <f aca="false">AC85*AD85*elec_va*B85</f>
        <v>457.853104952938</v>
      </c>
      <c r="AG85" s="56" t="n">
        <f aca="false">MAX(0,AE85-AD85)*AC85*roy_rate*B85*(1-IF(union_resp=2,lic_cut*Labour!S85,0))</f>
        <v>18.3660791603817</v>
      </c>
      <c r="AH85" s="55" t="n">
        <v>220</v>
      </c>
      <c r="AI85" s="56" t="n">
        <f aca="false">AH85*B85</f>
        <v>317.502547169886</v>
      </c>
      <c r="AJ85" s="55" t="n">
        <v>180</v>
      </c>
      <c r="AK85" s="56" t="n">
        <f aca="false">AJ85*B85</f>
        <v>259.774811320816</v>
      </c>
      <c r="AL85" s="47" t="n">
        <v>750</v>
      </c>
      <c r="AM85" s="56" t="n">
        <f aca="false">AL85*uw_fee*B85</f>
        <v>27.0598761792517</v>
      </c>
      <c r="AN85" s="55" t="n">
        <v>380</v>
      </c>
      <c r="AO85" s="55" t="n">
        <v>110</v>
      </c>
      <c r="AP85" s="56" t="n">
        <f aca="false">K85+T85+W85+Z85+AF85+AI85+AK85+AM85+AN85+AO85</f>
        <v>3082.92640407137</v>
      </c>
      <c r="AQ85" s="56" t="n">
        <f aca="false">AP85*(1-1/champ_prem+champ_spill)</f>
        <v>2140.92111393845</v>
      </c>
      <c r="AR85" s="66" t="n">
        <f aca="false">AP85/Economy!O85</f>
        <v>0.0545708228553247</v>
      </c>
      <c r="AS85" s="55" t="n">
        <v>1500</v>
      </c>
      <c r="AT85" s="55" t="n">
        <v>350</v>
      </c>
      <c r="AU85" s="55" t="n">
        <v>900</v>
      </c>
      <c r="AV85" s="55" t="n">
        <v>150</v>
      </c>
      <c r="AW85" s="55" t="n">
        <v>248</v>
      </c>
      <c r="AX85" s="55" t="n">
        <v>763</v>
      </c>
      <c r="AY85" s="56" t="n">
        <f aca="false">Q85+(AS85+AT85+AU85+AV85+AW85+AX85)*B85</f>
        <v>8133.88743792849</v>
      </c>
      <c r="AZ85" s="56" t="n">
        <f aca="false">P85+(AS85*ret_rail+AT85*ret_tel+AU85*ret_elec+AV85*ret_auto+AW85*ret_chem+AX85*ret_steel)*B85*IF(OR($A85=1931,$A85=1932),abroad_slump,1)+AB85+AG85</f>
        <v>780.749539815839</v>
      </c>
      <c r="BA85" s="56" t="n">
        <f aca="false">AP85*champ_profit+AZ85</f>
        <v>1397.33482063011</v>
      </c>
      <c r="BB85" s="56" t="n">
        <f aca="false">(K85+AI85+AK85)*champ_profit+P85+(AS85*ret_rail+AT85*ret_tel+AU85*ret_elec)*B85*IF(OR($A85=1931,$A85=1932),abroad_slump,1)</f>
        <v>770.170932221498</v>
      </c>
      <c r="BC85" s="56" t="n">
        <f aca="false">(T85+W85+Z85+AF85+AN85+AO85)*champ_profit+(AV85*ret_auto+AW85*ret_chem+AX85*ret_steel)*B85*IF(OR($A85=1931,$A85=1932),abroad_slump,1)+AB85+AG85</f>
        <v>621.751913172765</v>
      </c>
      <c r="BD85" s="56" t="n">
        <f aca="false">IF($A85&gt;=crown_start,(BB85*crown_charter+BC85*crown_comp)*crown_payout,0)</f>
        <v>121.141443054598</v>
      </c>
      <c r="BE85" s="66" t="n">
        <f aca="false">IF(BB85+BC85&gt;0,(BB85*crown_charter+BC85*crown_comp)/(BA85),0)</f>
        <v>0.173389285468418</v>
      </c>
    </row>
    <row r="86" customFormat="false" ht="14.25" hidden="false" customHeight="true" outlineLevel="0" collapsed="false">
      <c r="A86" s="61" t="n">
        <v>1926</v>
      </c>
      <c r="B86" s="68" t="n">
        <f aca="false">champ_scale*(1+Labour!AP86)*(1+Partners!BX86)*(1-IF(union_resp=2,tariff_cut*Labour!S86,0))</f>
        <v>1.45516053704054</v>
      </c>
      <c r="C86" s="47" t="n">
        <v>8830</v>
      </c>
      <c r="D86" s="47" t="n">
        <v>980</v>
      </c>
      <c r="E86" s="47" t="n">
        <v>12670</v>
      </c>
      <c r="F86" s="49" t="n">
        <f aca="false">E86*B86</f>
        <v>18436.8840043037</v>
      </c>
      <c r="G86" s="49" t="n">
        <f aca="false">F86/Economy!B86*1000000</f>
        <v>618.300571970207</v>
      </c>
      <c r="H86" s="47" t="n">
        <v>364</v>
      </c>
      <c r="I86" s="70" t="n">
        <f aca="false">IF(H86&gt;0,G86/H86,0)</f>
        <v>1.6986279449731</v>
      </c>
      <c r="J86" s="71" t="n">
        <v>0.733</v>
      </c>
      <c r="K86" s="56" t="n">
        <f aca="false">Resources!K86*J86*B86</f>
        <v>245.325514939665</v>
      </c>
      <c r="L86" s="47" t="n">
        <v>400</v>
      </c>
      <c r="M86" s="62" t="n">
        <v>0.542</v>
      </c>
      <c r="N86" s="47" t="n">
        <v>78</v>
      </c>
      <c r="O86" s="71" t="n">
        <v>0.867</v>
      </c>
      <c r="P86" s="56" t="n">
        <f aca="false">(IF(Gulf!E86=1,0,L86*M86)+N86)*O86*B86</f>
        <v>371.926809919052</v>
      </c>
      <c r="Q86" s="56" t="n">
        <f aca="false">P86*oil_book</f>
        <v>2603.48766943336</v>
      </c>
      <c r="R86" s="71" t="n">
        <v>7.875</v>
      </c>
      <c r="S86" s="47" t="n">
        <v>25</v>
      </c>
      <c r="T86" s="56" t="n">
        <f aca="false">R86*S86*B86</f>
        <v>286.484730729857</v>
      </c>
      <c r="U86" s="47" t="n">
        <v>900</v>
      </c>
      <c r="V86" s="47" t="n">
        <v>330</v>
      </c>
      <c r="W86" s="56" t="n">
        <f aca="false">U86/1000*V86*B86</f>
        <v>432.182679501041</v>
      </c>
      <c r="X86" s="47" t="n">
        <v>6875</v>
      </c>
      <c r="Y86" s="62" t="n">
        <v>0.147</v>
      </c>
      <c r="Z86" s="56" t="n">
        <f aca="false">X86*Y86*chem_va*B86</f>
        <v>661.779727985969</v>
      </c>
      <c r="AA86" s="62" t="n">
        <v>0.114</v>
      </c>
      <c r="AB86" s="56" t="n">
        <f aca="false">X86*AA86*roy_rate*B86*(1-IF(union_resp=2,lic_cut*Labour!S86,0))</f>
        <v>23.950123489016</v>
      </c>
      <c r="AC86" s="47" t="n">
        <v>3250</v>
      </c>
      <c r="AD86" s="62" t="n">
        <v>0.236</v>
      </c>
      <c r="AE86" s="62" t="n">
        <v>0.44</v>
      </c>
      <c r="AF86" s="56" t="n">
        <f aca="false">AC86*AD86*elec_va*B86</f>
        <v>502.248659359543</v>
      </c>
      <c r="AG86" s="56" t="n">
        <f aca="false">MAX(0,AE86-AD86)*AC86*roy_rate*B86*(1-IF(union_resp=2,lic_cut*Labour!S86,0))</f>
        <v>20.2602001572155</v>
      </c>
      <c r="AH86" s="55" t="n">
        <v>235</v>
      </c>
      <c r="AI86" s="56" t="n">
        <f aca="false">AH86*B86</f>
        <v>341.962726204528</v>
      </c>
      <c r="AJ86" s="55" t="n">
        <v>192</v>
      </c>
      <c r="AK86" s="56" t="n">
        <f aca="false">AJ86*B86</f>
        <v>279.390823111784</v>
      </c>
      <c r="AL86" s="47" t="n">
        <v>800</v>
      </c>
      <c r="AM86" s="56" t="n">
        <f aca="false">AL86*uw_fee*B86</f>
        <v>29.1032107408109</v>
      </c>
      <c r="AN86" s="55" t="n">
        <v>425</v>
      </c>
      <c r="AO86" s="55" t="n">
        <v>128</v>
      </c>
      <c r="AP86" s="56" t="n">
        <f aca="false">K86+T86+W86+Z86+AF86+AI86+AK86+AM86+AN86+AO86</f>
        <v>3331.4780725732</v>
      </c>
      <c r="AQ86" s="56" t="n">
        <f aca="false">AP86*(1-1/champ_prem+champ_spill)</f>
        <v>2313.52643928694</v>
      </c>
      <c r="AR86" s="66" t="n">
        <f aca="false">AP86/Economy!O86</f>
        <v>0.0565329095579691</v>
      </c>
      <c r="AS86" s="55" t="n">
        <v>1600</v>
      </c>
      <c r="AT86" s="55" t="n">
        <v>375</v>
      </c>
      <c r="AU86" s="55" t="n">
        <v>1075</v>
      </c>
      <c r="AV86" s="55" t="n">
        <v>188</v>
      </c>
      <c r="AW86" s="55" t="n">
        <v>273</v>
      </c>
      <c r="AX86" s="55" t="n">
        <v>780</v>
      </c>
      <c r="AY86" s="56" t="n">
        <f aca="false">Q86+(AS86+AT86+AU86+AV86+AW86+AX86)*B86</f>
        <v>8847.58153387433</v>
      </c>
      <c r="AZ86" s="56" t="n">
        <f aca="false">P86+(AS86*ret_rail+AT86*ret_tel+AU86*ret_elec+AV86*ret_auto+AW86*ret_chem+AX86*ret_steel)*B86*IF(OR($A86=1931,$A86=1932),abroad_slump,1)+AB86+AG86</f>
        <v>845.220321122428</v>
      </c>
      <c r="BA86" s="56" t="n">
        <f aca="false">AP86*champ_profit+AZ86</f>
        <v>1511.51593563707</v>
      </c>
      <c r="BB86" s="56" t="n">
        <f aca="false">(K86+AI86+AK86)*champ_profit+P86+(AS86*ret_rail+AT86*ret_tel+AU86*ret_elec)*B86*IF(OR($A86=1931,$A86=1932),abroad_slump,1)</f>
        <v>825.744816284811</v>
      </c>
      <c r="BC86" s="56" t="n">
        <f aca="false">(T86+W86+Z86+AF86+AN86+AO86)*champ_profit+(AV86*ret_auto+AW86*ret_chem+AX86*ret_steel)*B86*IF(OR($A86=1931,$A86=1932),abroad_slump,1)+AB86+AG86</f>
        <v>679.950477204094</v>
      </c>
      <c r="BD86" s="56" t="n">
        <f aca="false">IF($A86&gt;=crown_start,(BB86*crown_charter+BC86*crown_comp)*crown_payout,0)</f>
        <v>130.416121123765</v>
      </c>
      <c r="BE86" s="66" t="n">
        <f aca="false">IF(BB86+BC86&gt;0,(BB86*crown_charter+BC86*crown_comp)/(BA86),0)</f>
        <v>0.17256334260055</v>
      </c>
    </row>
    <row r="87" customFormat="false" ht="14.25" hidden="false" customHeight="true" outlineLevel="0" collapsed="false">
      <c r="A87" s="61" t="n">
        <v>1927</v>
      </c>
      <c r="B87" s="68" t="n">
        <f aca="false">champ_scale*(1+Labour!AP87)*(1+Partners!BX87)*(1-IF(union_resp=2,tariff_cut*Labour!S87,0))</f>
        <v>1.46758145845602</v>
      </c>
      <c r="C87" s="47" t="n">
        <v>9220</v>
      </c>
      <c r="D87" s="47" t="n">
        <v>950</v>
      </c>
      <c r="E87" s="47" t="n">
        <v>13110</v>
      </c>
      <c r="F87" s="49" t="n">
        <f aca="false">E87*B87</f>
        <v>19239.9929203584</v>
      </c>
      <c r="G87" s="49" t="n">
        <f aca="false">F87/Economy!B87*1000000</f>
        <v>624.462562878235</v>
      </c>
      <c r="H87" s="47" t="n">
        <v>366</v>
      </c>
      <c r="I87" s="70" t="n">
        <f aca="false">IF(H87&gt;0,G87/H87,0)</f>
        <v>1.70618186578753</v>
      </c>
      <c r="J87" s="71" t="n">
        <v>0.722</v>
      </c>
      <c r="K87" s="56" t="n">
        <f aca="false">Resources!K87*J87*B87</f>
        <v>268.426900648619</v>
      </c>
      <c r="L87" s="47" t="n">
        <v>467</v>
      </c>
      <c r="M87" s="62" t="n">
        <v>0.545</v>
      </c>
      <c r="N87" s="47" t="n">
        <v>82</v>
      </c>
      <c r="O87" s="71" t="n">
        <v>0.844</v>
      </c>
      <c r="P87" s="56" t="n">
        <f aca="false">(IF(Gulf!E87=1,0,L87*M87)+N87)*O87*B87</f>
        <v>416.820519271524</v>
      </c>
      <c r="Q87" s="56" t="n">
        <f aca="false">P87*oil_book</f>
        <v>2917.74363490067</v>
      </c>
      <c r="R87" s="71" t="n">
        <v>8.25</v>
      </c>
      <c r="S87" s="47" t="n">
        <v>25</v>
      </c>
      <c r="T87" s="56" t="n">
        <f aca="false">R87*S87*B87</f>
        <v>302.688675806554</v>
      </c>
      <c r="U87" s="47" t="n">
        <v>983.3</v>
      </c>
      <c r="V87" s="47" t="n">
        <v>330</v>
      </c>
      <c r="W87" s="56" t="n">
        <f aca="false">U87/1000*V87*B87</f>
        <v>476.214039872935</v>
      </c>
      <c r="X87" s="47" t="n">
        <v>7250</v>
      </c>
      <c r="Y87" s="62" t="n">
        <v>0.148</v>
      </c>
      <c r="Z87" s="56" t="n">
        <f aca="false">X87*Y87*chem_va*B87</f>
        <v>708.621707215488</v>
      </c>
      <c r="AA87" s="62" t="n">
        <v>0.116</v>
      </c>
      <c r="AB87" s="56" t="n">
        <f aca="false">X87*AA87*roy_rate*B87*(1-IF(union_resp=2,lic_cut*Labour!S87,0))</f>
        <v>25.9189561377917</v>
      </c>
      <c r="AC87" s="47" t="n">
        <v>3500</v>
      </c>
      <c r="AD87" s="62" t="n">
        <v>0.237</v>
      </c>
      <c r="AE87" s="62" t="n">
        <v>0.443</v>
      </c>
      <c r="AF87" s="56" t="n">
        <f aca="false">AC87*AD87*elec_va*B87</f>
        <v>547.81146890517</v>
      </c>
      <c r="AG87" s="56" t="n">
        <f aca="false">MAX(0,AE87-AD87)*AC87*roy_rate*B87*(1-IF(union_resp=2,lic_cut*Labour!S87,0))</f>
        <v>22.2206508624826</v>
      </c>
      <c r="AH87" s="55" t="n">
        <v>250</v>
      </c>
      <c r="AI87" s="56" t="n">
        <f aca="false">AH87*B87</f>
        <v>366.895364614005</v>
      </c>
      <c r="AJ87" s="55" t="n">
        <v>205</v>
      </c>
      <c r="AK87" s="56" t="n">
        <f aca="false">AJ87*B87</f>
        <v>300.854198983484</v>
      </c>
      <c r="AL87" s="47" t="n">
        <v>850</v>
      </c>
      <c r="AM87" s="56" t="n">
        <f aca="false">AL87*uw_fee*B87</f>
        <v>31.1861059921904</v>
      </c>
      <c r="AN87" s="55" t="n">
        <v>470</v>
      </c>
      <c r="AO87" s="55" t="n">
        <v>145</v>
      </c>
      <c r="AP87" s="56" t="n">
        <f aca="false">K87+T87+W87+Z87+AF87+AI87+AK87+AM87+AN87+AO87</f>
        <v>3617.69846203844</v>
      </c>
      <c r="AQ87" s="56" t="n">
        <f aca="false">AP87*(1-1/champ_prem+champ_spill)</f>
        <v>2512.29059863781</v>
      </c>
      <c r="AR87" s="66" t="n">
        <f aca="false">AP87/Economy!O87</f>
        <v>0.0592420704369388</v>
      </c>
      <c r="AS87" s="55" t="n">
        <v>1700</v>
      </c>
      <c r="AT87" s="55" t="n">
        <v>400</v>
      </c>
      <c r="AU87" s="55" t="n">
        <v>1250</v>
      </c>
      <c r="AV87" s="55" t="n">
        <v>225</v>
      </c>
      <c r="AW87" s="55" t="n">
        <v>299</v>
      </c>
      <c r="AX87" s="55" t="n">
        <v>797</v>
      </c>
      <c r="AY87" s="56" t="n">
        <f aca="false">Q87+(AS87+AT87+AU87+AV87+AW87+AX87)*B87</f>
        <v>9772.81662734873</v>
      </c>
      <c r="AZ87" s="56" t="n">
        <f aca="false">P87+(AS87*ret_rail+AT87*ret_tel+AU87*ret_elec+AV87*ret_auto+AW87*ret_chem+AX87*ret_steel)*B87*IF(OR($A87=1931,$A87=1932),abroad_slump,1)+AB87+AG87</f>
        <v>939.282453644783</v>
      </c>
      <c r="BA87" s="56" t="n">
        <f aca="false">AP87*champ_profit+AZ87</f>
        <v>1662.82214605247</v>
      </c>
      <c r="BB87" s="56" t="n">
        <f aca="false">(K87+AI87+AK87)*champ_profit+P87+(AS87*ret_rail+AT87*ret_tel+AU87*ret_elec)*B87*IF(OR($A87=1931,$A87=1932),abroad_slump,1)</f>
        <v>915.916872042649</v>
      </c>
      <c r="BC87" s="56" t="n">
        <f aca="false">(T87+W87+Z87+AF87+AN87+AO87)*champ_profit+(AV87*ret_auto+AW87*ret_chem+AX87*ret_steel)*B87*IF(OR($A87=1931,$A87=1932),abroad_slump,1)+AB87+AG87</f>
        <v>740.668052811385</v>
      </c>
      <c r="BD87" s="56" t="n">
        <f aca="false">IF($A87&gt;=crown_start,(BB87*crown_charter+BC87*crown_comp)*crown_payout,0)</f>
        <v>144.116331117787</v>
      </c>
      <c r="BE87" s="66" t="n">
        <f aca="false">IF(BB87+BC87&gt;0,(BB87*crown_charter+BC87*crown_comp)/(BA87),0)</f>
        <v>0.173339441575177</v>
      </c>
    </row>
    <row r="88" customFormat="false" ht="14.25" hidden="false" customHeight="true" outlineLevel="0" collapsed="false">
      <c r="A88" s="61" t="n">
        <v>1928</v>
      </c>
      <c r="B88" s="68" t="n">
        <f aca="false">champ_scale*(1+Labour!AP88)*(1+Partners!BX88)*(1-IF(union_resp=2,tariff_cut*Labour!S88,0))</f>
        <v>1.47889320938999</v>
      </c>
      <c r="C88" s="47" t="n">
        <v>9610</v>
      </c>
      <c r="D88" s="47" t="n">
        <v>920</v>
      </c>
      <c r="E88" s="47" t="n">
        <v>13560</v>
      </c>
      <c r="F88" s="49" t="n">
        <f aca="false">E88*B88</f>
        <v>20053.7919193282</v>
      </c>
      <c r="G88" s="49" t="n">
        <f aca="false">F88/Economy!B88*1000000</f>
        <v>630.00419561466</v>
      </c>
      <c r="H88" s="47" t="n">
        <v>369</v>
      </c>
      <c r="I88" s="70" t="n">
        <f aca="false">IF(H88&gt;0,G88/H88,0)</f>
        <v>1.70732844340016</v>
      </c>
      <c r="J88" s="71" t="n">
        <v>0.711</v>
      </c>
      <c r="K88" s="56" t="n">
        <f aca="false">Resources!K88*J88*B88</f>
        <v>290.916588196011</v>
      </c>
      <c r="L88" s="47" t="n">
        <v>533</v>
      </c>
      <c r="M88" s="62" t="n">
        <v>0.547</v>
      </c>
      <c r="N88" s="47" t="n">
        <v>86</v>
      </c>
      <c r="O88" s="71" t="n">
        <v>0.822</v>
      </c>
      <c r="P88" s="56" t="n">
        <f aca="false">(IF(Gulf!E88=1,0,L88*M88)+N88)*O88*B88</f>
        <v>458.969955500884</v>
      </c>
      <c r="Q88" s="56" t="n">
        <f aca="false">P88*oil_book</f>
        <v>3212.78968850619</v>
      </c>
      <c r="R88" s="71" t="n">
        <v>8.625</v>
      </c>
      <c r="S88" s="47" t="n">
        <v>25</v>
      </c>
      <c r="T88" s="56" t="n">
        <f aca="false">R88*S88*B88</f>
        <v>318.886348274716</v>
      </c>
      <c r="U88" s="47" t="n">
        <v>1066.7</v>
      </c>
      <c r="V88" s="47" t="n">
        <v>330</v>
      </c>
      <c r="W88" s="56" t="n">
        <f aca="false">U88/1000*V88*B88</f>
        <v>520.586677530579</v>
      </c>
      <c r="X88" s="47" t="n">
        <v>7625</v>
      </c>
      <c r="Y88" s="62" t="n">
        <v>0.149</v>
      </c>
      <c r="Z88" s="56" t="n">
        <f aca="false">X88*Y88*chem_va*B88</f>
        <v>756.09339638319</v>
      </c>
      <c r="AA88" s="62" t="n">
        <v>0.118</v>
      </c>
      <c r="AB88" s="56" t="n">
        <f aca="false">X88*AA88*roy_rate*B88*(1-IF(union_resp=2,lic_cut*Labour!S88,0))</f>
        <v>27.9433174681215</v>
      </c>
      <c r="AC88" s="47" t="n">
        <v>3750</v>
      </c>
      <c r="AD88" s="62" t="n">
        <v>0.239</v>
      </c>
      <c r="AE88" s="62" t="n">
        <v>0.447</v>
      </c>
      <c r="AF88" s="56" t="n">
        <f aca="false">AC88*AD88*elec_va*B88</f>
        <v>596.456117512099</v>
      </c>
      <c r="AG88" s="56" t="n">
        <f aca="false">MAX(0,AE88-AD88)*AC88*roy_rate*B88*(1-IF(union_resp=2,lic_cut*Labour!S88,0))</f>
        <v>24.224270769808</v>
      </c>
      <c r="AH88" s="55" t="n">
        <v>265</v>
      </c>
      <c r="AI88" s="56" t="n">
        <f aca="false">AH88*B88</f>
        <v>391.906700488347</v>
      </c>
      <c r="AJ88" s="55" t="n">
        <v>218</v>
      </c>
      <c r="AK88" s="56" t="n">
        <f aca="false">AJ88*B88</f>
        <v>322.398719647017</v>
      </c>
      <c r="AL88" s="47" t="n">
        <v>900</v>
      </c>
      <c r="AM88" s="56" t="n">
        <f aca="false">AL88*uw_fee*B88</f>
        <v>33.2750972112747</v>
      </c>
      <c r="AN88" s="55" t="n">
        <v>515</v>
      </c>
      <c r="AO88" s="55" t="n">
        <v>162</v>
      </c>
      <c r="AP88" s="56" t="n">
        <f aca="false">K88+T88+W88+Z88+AF88+AI88+AK88+AM88+AN88+AO88</f>
        <v>3907.51964524323</v>
      </c>
      <c r="AQ88" s="56" t="n">
        <f aca="false">AP88*(1-1/champ_prem+champ_spill)</f>
        <v>2713.55530919669</v>
      </c>
      <c r="AR88" s="66" t="n">
        <f aca="false">AP88/Economy!O88</f>
        <v>0.0596399318115834</v>
      </c>
      <c r="AS88" s="55" t="n">
        <v>1800</v>
      </c>
      <c r="AT88" s="55" t="n">
        <v>425</v>
      </c>
      <c r="AU88" s="55" t="n">
        <v>1425</v>
      </c>
      <c r="AV88" s="55" t="n">
        <v>262</v>
      </c>
      <c r="AW88" s="55" t="n">
        <v>324</v>
      </c>
      <c r="AX88" s="55" t="n">
        <v>813</v>
      </c>
      <c r="AY88" s="56" t="n">
        <f aca="false">Q88+(AS88+AT88+AU88+AV88+AW88+AX88)*B88</f>
        <v>10679.7215027162</v>
      </c>
      <c r="AZ88" s="56" t="n">
        <f aca="false">P88+(AS88*ret_rail+AT88*ret_tel+AU88*ret_elec+AV88*ret_auto+AW88*ret_chem+AX88*ret_steel)*B88*IF(OR($A88=1931,$A88=1932),abroad_slump,1)+AB88+AG88</f>
        <v>1030.74667285799</v>
      </c>
      <c r="BA88" s="56" t="n">
        <f aca="false">AP88*champ_profit+AZ88</f>
        <v>1812.25060190663</v>
      </c>
      <c r="BB88" s="56" t="n">
        <f aca="false">(K88+AI88+AK88)*champ_profit+P88+(AS88*ret_rail+AT88*ret_tel+AU88*ret_elec)*B88*IF(OR($A88=1931,$A88=1932),abroad_slump,1)</f>
        <v>1003.48730504798</v>
      </c>
      <c r="BC88" s="56" t="n">
        <f aca="false">(T88+W88+Z88+AF88+AN88+AO88)*champ_profit+(AV88*ret_auto+AW88*ret_chem+AX88*ret_steel)*B88*IF(OR($A88=1931,$A88=1932),abroad_slump,1)+AB88+AG88</f>
        <v>802.108277416394</v>
      </c>
      <c r="BD88" s="56" t="n">
        <f aca="false">IF($A88&gt;=crown_start,(BB88*crown_charter+BC88*crown_comp)*crown_payout,0)</f>
        <v>157.520244227654</v>
      </c>
      <c r="BE88" s="66" t="n">
        <f aca="false">IF(BB88+BC88&gt;0,(BB88*crown_charter+BC88*crown_comp)/(BA88),0)</f>
        <v>0.173839362019723</v>
      </c>
    </row>
    <row r="89" customFormat="false" ht="14.25" hidden="false" customHeight="true" outlineLevel="0" collapsed="false">
      <c r="A89" s="61" t="n">
        <v>1929</v>
      </c>
      <c r="B89" s="68" t="n">
        <f aca="false">champ_scale*(1+Labour!AP89)*(1+Partners!BX89)*(1-IF(union_resp=2,tariff_cut*Labour!S89,0))</f>
        <v>1.49096036679854</v>
      </c>
      <c r="C89" s="47" t="n">
        <v>10000</v>
      </c>
      <c r="D89" s="47" t="n">
        <v>900</v>
      </c>
      <c r="E89" s="47" t="n">
        <v>14000</v>
      </c>
      <c r="F89" s="49" t="n">
        <f aca="false">E89*B89</f>
        <v>20873.4451351795</v>
      </c>
      <c r="G89" s="49" t="n">
        <f aca="false">F89/Economy!B89*1000000</f>
        <v>634.964631591348</v>
      </c>
      <c r="H89" s="47" t="n">
        <v>371</v>
      </c>
      <c r="I89" s="70" t="n">
        <f aca="false">IF(H89&gt;0,G89/H89,0)</f>
        <v>1.71149496385808</v>
      </c>
      <c r="J89" s="71" t="n">
        <v>0.7</v>
      </c>
      <c r="K89" s="56" t="n">
        <f aca="false">Resources!K89*J89*B89</f>
        <v>313.101677027692</v>
      </c>
      <c r="L89" s="47" t="n">
        <v>600</v>
      </c>
      <c r="M89" s="62" t="n">
        <v>0.55</v>
      </c>
      <c r="N89" s="47" t="n">
        <v>90</v>
      </c>
      <c r="O89" s="71" t="n">
        <v>0.8</v>
      </c>
      <c r="P89" s="56" t="n">
        <f aca="false">(IF(Gulf!E89=1,0,L89*M89)+N89)*O89*B89</f>
        <v>500.962683244308</v>
      </c>
      <c r="Q89" s="56" t="n">
        <f aca="false">P89*oil_book</f>
        <v>3506.73878271015</v>
      </c>
      <c r="R89" s="71" t="n">
        <v>9</v>
      </c>
      <c r="S89" s="47" t="n">
        <v>25</v>
      </c>
      <c r="T89" s="56" t="n">
        <f aca="false">R89*S89*B89</f>
        <v>335.46608252967</v>
      </c>
      <c r="U89" s="47" t="n">
        <v>1150</v>
      </c>
      <c r="V89" s="47" t="n">
        <v>330</v>
      </c>
      <c r="W89" s="56" t="n">
        <f aca="false">U89/1000*V89*B89</f>
        <v>565.819459200044</v>
      </c>
      <c r="X89" s="47" t="n">
        <v>8000</v>
      </c>
      <c r="Y89" s="62" t="n">
        <v>0.15</v>
      </c>
      <c r="Z89" s="56" t="n">
        <f aca="false">X89*Y89*chem_va*B89</f>
        <v>805.118598071209</v>
      </c>
      <c r="AA89" s="62" t="n">
        <v>0.12</v>
      </c>
      <c r="AB89" s="56" t="n">
        <f aca="false">X89*AA89*roy_rate*B89*(1-IF(union_resp=2,lic_cut*Labour!S89,0))</f>
        <v>30.0577609946585</v>
      </c>
      <c r="AC89" s="47" t="n">
        <v>4000</v>
      </c>
      <c r="AD89" s="62" t="n">
        <v>0.24</v>
      </c>
      <c r="AE89" s="62" t="n">
        <v>0.45</v>
      </c>
      <c r="AF89" s="56" t="n">
        <f aca="false">AC89*AD89*elec_va*B89</f>
        <v>644.094878456967</v>
      </c>
      <c r="AG89" s="56" t="n">
        <f aca="false">MAX(0,AE89-AD89)*AC89*roy_rate*B89*(1-IF(union_resp=2,lic_cut*Labour!S89,0))</f>
        <v>26.3005408703262</v>
      </c>
      <c r="AH89" s="55" t="n">
        <v>280</v>
      </c>
      <c r="AI89" s="56" t="n">
        <f aca="false">AH89*B89</f>
        <v>417.46890270359</v>
      </c>
      <c r="AJ89" s="55" t="n">
        <v>230</v>
      </c>
      <c r="AK89" s="56" t="n">
        <f aca="false">AJ89*B89</f>
        <v>342.920884363663</v>
      </c>
      <c r="AL89" s="47" t="n">
        <v>600</v>
      </c>
      <c r="AM89" s="56" t="n">
        <f aca="false">AL89*uw_fee*B89</f>
        <v>22.364405501978</v>
      </c>
      <c r="AN89" s="55" t="n">
        <v>560</v>
      </c>
      <c r="AO89" s="55" t="n">
        <v>180</v>
      </c>
      <c r="AP89" s="56" t="n">
        <f aca="false">K89+T89+W89+Z89+AF89+AI89+AK89+AM89+AN89+AO89</f>
        <v>4186.35488785481</v>
      </c>
      <c r="AQ89" s="56" t="n">
        <f aca="false">AP89*(1-1/champ_prem+champ_spill)</f>
        <v>2907.19089434362</v>
      </c>
      <c r="AR89" s="66" t="n">
        <f aca="false">AP89/Economy!O89</f>
        <v>0.0602593028856386</v>
      </c>
      <c r="AS89" s="55" t="n">
        <v>1900</v>
      </c>
      <c r="AT89" s="55" t="n">
        <v>450</v>
      </c>
      <c r="AU89" s="55" t="n">
        <v>1600</v>
      </c>
      <c r="AV89" s="55" t="n">
        <v>300</v>
      </c>
      <c r="AW89" s="55" t="n">
        <v>350</v>
      </c>
      <c r="AX89" s="55" t="n">
        <v>830</v>
      </c>
      <c r="AY89" s="56" t="n">
        <f aca="false">Q89+(AS89+AT89+AU89+AV89+AW89+AX89)*B89</f>
        <v>11602.6535744262</v>
      </c>
      <c r="AZ89" s="56" t="n">
        <f aca="false">P89+(AS89*ret_rail+AT89*ret_tel+AU89*ret_elec+AV89*ret_auto+AW89*ret_chem+AX89*ret_steel)*B89*IF(OR($A89=1931,$A89=1932),abroad_slump,1)+AB89+AG89</f>
        <v>1123.58773241938</v>
      </c>
      <c r="BA89" s="56" t="n">
        <f aca="false">AP89*champ_profit+AZ89</f>
        <v>1960.85870999034</v>
      </c>
      <c r="BB89" s="56" t="n">
        <f aca="false">(K89+AI89+AK89)*champ_profit+P89+(AS89*ret_rail+AT89*ret_tel+AU89*ret_elec)*B89*IF(OR($A89=1931,$A89=1932),abroad_slump,1)</f>
        <v>1091.38298849653</v>
      </c>
      <c r="BC89" s="56" t="n">
        <f aca="false">(T89+W89+Z89+AF89+AN89+AO89)*champ_profit+(AV89*ret_auto+AW89*ret_chem+AX89*ret_steel)*B89*IF(OR($A89=1931,$A89=1932),abroad_slump,1)+AB89+AG89</f>
        <v>865.002840393416</v>
      </c>
      <c r="BD89" s="56" t="n">
        <f aca="false">IF($A89&gt;=crown_start,(BB89*crown_charter+BC89*crown_comp)*crown_payout,0)</f>
        <v>171.022987177803</v>
      </c>
      <c r="BE89" s="66" t="n">
        <f aca="false">IF(BB89+BC89&gt;0,(BB89*crown_charter+BC89*crown_comp)/(BA89),0)</f>
        <v>0.17443682842263</v>
      </c>
    </row>
    <row r="90" customFormat="false" ht="14.25" hidden="false" customHeight="true" outlineLevel="0" collapsed="false">
      <c r="A90" s="61" t="n">
        <v>1930</v>
      </c>
      <c r="B90" s="68" t="n">
        <f aca="false">champ_scale*(1+Labour!AP90)*(1+Partners!BX90)*(1-IF(union_resp=2,tariff_cut*Labour!S90,0))</f>
        <v>1.50374807036164</v>
      </c>
      <c r="C90" s="47" t="n">
        <v>10170</v>
      </c>
      <c r="D90" s="47" t="n">
        <v>1100</v>
      </c>
      <c r="E90" s="47" t="n">
        <v>13500</v>
      </c>
      <c r="F90" s="49" t="n">
        <f aca="false">E90*B90</f>
        <v>20300.5989498821</v>
      </c>
      <c r="G90" s="49" t="n">
        <f aca="false">F90/Economy!B90*1000000</f>
        <v>599.31030305476</v>
      </c>
      <c r="H90" s="47" t="n">
        <v>390</v>
      </c>
      <c r="I90" s="70" t="n">
        <f aca="false">IF(H90&gt;0,G90/H90,0)</f>
        <v>1.53669308475579</v>
      </c>
      <c r="J90" s="71" t="n">
        <v>0.617</v>
      </c>
      <c r="K90" s="56" t="n">
        <f aca="false">Resources!K90*J90*B90</f>
        <v>241.231265447414</v>
      </c>
      <c r="L90" s="47" t="n">
        <v>560</v>
      </c>
      <c r="M90" s="62" t="n">
        <v>0.55</v>
      </c>
      <c r="N90" s="47" t="n">
        <v>85</v>
      </c>
      <c r="O90" s="71" t="n">
        <v>0.717</v>
      </c>
      <c r="P90" s="56" t="n">
        <f aca="false">(IF(Gulf!E90=1,0,L90*M90)+N90)*O90*B90</f>
        <v>423.727635014573</v>
      </c>
      <c r="Q90" s="56" t="n">
        <f aca="false">P90*oil_book</f>
        <v>2966.09344510201</v>
      </c>
      <c r="R90" s="71" t="n">
        <v>7</v>
      </c>
      <c r="S90" s="47" t="n">
        <v>23</v>
      </c>
      <c r="T90" s="56" t="n">
        <f aca="false">R90*S90*B90</f>
        <v>242.103439328224</v>
      </c>
      <c r="U90" s="47" t="n">
        <v>850</v>
      </c>
      <c r="V90" s="47" t="n">
        <v>320</v>
      </c>
      <c r="W90" s="56" t="n">
        <f aca="false">U90/1000*V90*B90</f>
        <v>409.019475138366</v>
      </c>
      <c r="X90" s="47" t="n">
        <v>7000</v>
      </c>
      <c r="Y90" s="62" t="n">
        <v>0.153</v>
      </c>
      <c r="Z90" s="56" t="n">
        <f aca="false">X90*Y90*chem_va*B90</f>
        <v>724.731382510792</v>
      </c>
      <c r="AA90" s="62" t="n">
        <v>0.12</v>
      </c>
      <c r="AB90" s="56" t="n">
        <f aca="false">X90*AA90*roy_rate*B90*(1-IF(union_resp=2,lic_cut*Labour!S90,0))</f>
        <v>26.5261159611793</v>
      </c>
      <c r="AC90" s="47" t="n">
        <v>3500</v>
      </c>
      <c r="AD90" s="62" t="n">
        <v>0.24</v>
      </c>
      <c r="AE90" s="62" t="n">
        <v>0.45</v>
      </c>
      <c r="AF90" s="56" t="n">
        <f aca="false">AC90*AD90*elec_va*B90</f>
        <v>568.416770596699</v>
      </c>
      <c r="AG90" s="56" t="n">
        <f aca="false">MAX(0,AE90-AD90)*AC90*roy_rate*B90*(1-IF(union_resp=2,lic_cut*Labour!S90,0))</f>
        <v>23.2103514660319</v>
      </c>
      <c r="AH90" s="55" t="n">
        <v>267</v>
      </c>
      <c r="AI90" s="56" t="n">
        <f aca="false">AH90*B90</f>
        <v>401.500734786558</v>
      </c>
      <c r="AJ90" s="55" t="n">
        <v>203</v>
      </c>
      <c r="AK90" s="56" t="n">
        <f aca="false">AJ90*B90</f>
        <v>305.260858283413</v>
      </c>
      <c r="AL90" s="47" t="n">
        <v>300</v>
      </c>
      <c r="AM90" s="56" t="n">
        <f aca="false">AL90*uw_fee*B90</f>
        <v>11.2781105277123</v>
      </c>
      <c r="AN90" s="55" t="n">
        <v>513</v>
      </c>
      <c r="AO90" s="55" t="n">
        <v>157</v>
      </c>
      <c r="AP90" s="56" t="n">
        <f aca="false">K90+T90+W90+Z90+AF90+AI90+AK90+AM90+AN90+AO90</f>
        <v>3573.54203661918</v>
      </c>
      <c r="AQ90" s="56" t="n">
        <f aca="false">AP90*(1-1/champ_prem+champ_spill)</f>
        <v>2481.62641431887</v>
      </c>
      <c r="AR90" s="66" t="n">
        <f aca="false">AP90/Economy!O90</f>
        <v>0.0546501087348231</v>
      </c>
      <c r="AS90" s="55" t="n">
        <v>1867</v>
      </c>
      <c r="AT90" s="55" t="n">
        <v>443</v>
      </c>
      <c r="AU90" s="55" t="n">
        <v>1567</v>
      </c>
      <c r="AV90" s="55" t="n">
        <v>287</v>
      </c>
      <c r="AW90" s="55" t="n">
        <v>343</v>
      </c>
      <c r="AX90" s="55" t="n">
        <v>820</v>
      </c>
      <c r="AY90" s="56" t="n">
        <f aca="false">Q90+(AS90+AT90+AU90+AV90+AW90+AX90)*B90</f>
        <v>10976.5594159185</v>
      </c>
      <c r="AZ90" s="56" t="n">
        <f aca="false">P90+(AS90*ret_rail+AT90*ret_tel+AU90*ret_elec+AV90*ret_auto+AW90*ret_chem+AX90*ret_steel)*B90*IF(OR($A90=1931,$A90=1932),abroad_slump,1)+AB90+AG90</f>
        <v>1033.06890934616</v>
      </c>
      <c r="BA90" s="56" t="n">
        <f aca="false">AP90*champ_profit+AZ90</f>
        <v>1747.77731667</v>
      </c>
      <c r="BB90" s="56" t="n">
        <f aca="false">(K90+AI90+AK90)*champ_profit+P90+(AS90*ret_rail+AT90*ret_tel+AU90*ret_elec)*B90*IF(OR($A90=1931,$A90=1932),abroad_slump,1)</f>
        <v>985.263254441298</v>
      </c>
      <c r="BC90" s="56" t="n">
        <f aca="false">(T90+W90+Z90+AF90+AN90+AO90)*champ_profit+(AV90*ret_auto+AW90*ret_chem+AX90*ret_steel)*B90*IF(OR($A90=1931,$A90=1932),abroad_slump,1)+AB90+AG90</f>
        <v>760.25844012316</v>
      </c>
      <c r="BD90" s="56" t="n">
        <f aca="false">IF($A90&gt;=crown_start,(BB90*crown_charter+BC90*crown_comp)*crown_payout,0)</f>
        <v>153.568244410089</v>
      </c>
      <c r="BE90" s="66" t="n">
        <f aca="false">IF(BB90+BC90&gt;0,(BB90*crown_charter+BC90*crown_comp)/(BA90),0)</f>
        <v>0.175729760245062</v>
      </c>
    </row>
    <row r="91" customFormat="false" ht="14.25" hidden="false" customHeight="true" outlineLevel="0" collapsed="false">
      <c r="A91" s="61" t="n">
        <v>1931</v>
      </c>
      <c r="B91" s="68" t="n">
        <f aca="false">champ_scale*(1+Labour!AP91)*(1+Partners!BX91)*(1-IF(union_resp=2,tariff_cut*Labour!S91,0))</f>
        <v>1.51608962845871</v>
      </c>
      <c r="C91" s="47" t="n">
        <v>10330</v>
      </c>
      <c r="D91" s="47" t="n">
        <v>1300</v>
      </c>
      <c r="E91" s="47" t="n">
        <v>13000</v>
      </c>
      <c r="F91" s="49" t="n">
        <f aca="false">E91*B91</f>
        <v>19709.1651699632</v>
      </c>
      <c r="G91" s="49" t="n">
        <f aca="false">F91/Economy!B91*1000000</f>
        <v>566.38097443104</v>
      </c>
      <c r="H91" s="47" t="n">
        <v>409</v>
      </c>
      <c r="I91" s="70" t="n">
        <f aca="false">IF(H91&gt;0,G91/H91,0)</f>
        <v>1.3847945585111</v>
      </c>
      <c r="J91" s="71" t="n">
        <v>0.533</v>
      </c>
      <c r="K91" s="56" t="n">
        <f aca="false">Resources!K91*J91*B91</f>
        <v>177.776669833068</v>
      </c>
      <c r="L91" s="47" t="n">
        <v>520</v>
      </c>
      <c r="M91" s="62" t="n">
        <v>0.55</v>
      </c>
      <c r="N91" s="47" t="n">
        <v>78</v>
      </c>
      <c r="O91" s="71" t="n">
        <v>0.633</v>
      </c>
      <c r="P91" s="56" t="n">
        <f aca="false">(IF(Gulf!E91=1,0,L91*M91)+N91)*O91*B91</f>
        <v>349.325243472428</v>
      </c>
      <c r="Q91" s="56" t="n">
        <f aca="false">P91*oil_book</f>
        <v>2445.276704307</v>
      </c>
      <c r="R91" s="71" t="n">
        <v>5.5</v>
      </c>
      <c r="S91" s="47" t="n">
        <v>22</v>
      </c>
      <c r="T91" s="56" t="n">
        <f aca="false">R91*S91*B91</f>
        <v>183.446845043504</v>
      </c>
      <c r="U91" s="47" t="n">
        <v>650</v>
      </c>
      <c r="V91" s="47" t="n">
        <v>310</v>
      </c>
      <c r="W91" s="56" t="n">
        <f aca="false">U91/1000*V91*B91</f>
        <v>305.49206013443</v>
      </c>
      <c r="X91" s="47" t="n">
        <v>6000</v>
      </c>
      <c r="Y91" s="62" t="n">
        <v>0.157</v>
      </c>
      <c r="Z91" s="56" t="n">
        <f aca="false">X91*Y91*chem_va*B91</f>
        <v>642.670393503647</v>
      </c>
      <c r="AA91" s="62" t="n">
        <v>0.12</v>
      </c>
      <c r="AB91" s="56" t="n">
        <f aca="false">X91*AA91*roy_rate*B91*(1-IF(union_resp=2,lic_cut*Labour!S91,0))</f>
        <v>22.9232751822957</v>
      </c>
      <c r="AC91" s="47" t="n">
        <v>2900</v>
      </c>
      <c r="AD91" s="62" t="n">
        <v>0.24</v>
      </c>
      <c r="AE91" s="62" t="n">
        <v>0.45</v>
      </c>
      <c r="AF91" s="56" t="n">
        <f aca="false">AC91*AD91*elec_va*B91</f>
        <v>474.839271633268</v>
      </c>
      <c r="AG91" s="56" t="n">
        <f aca="false">MAX(0,AE91-AD91)*AC91*roy_rate*B91*(1-IF(union_resp=2,lic_cut*Labour!S91,0))</f>
        <v>19.3892702583584</v>
      </c>
      <c r="AH91" s="55" t="n">
        <v>253</v>
      </c>
      <c r="AI91" s="56" t="n">
        <f aca="false">AH91*B91</f>
        <v>383.570676000054</v>
      </c>
      <c r="AJ91" s="55" t="n">
        <v>177</v>
      </c>
      <c r="AK91" s="56" t="n">
        <f aca="false">AJ91*B91</f>
        <v>268.347864237192</v>
      </c>
      <c r="AL91" s="47" t="n">
        <v>50</v>
      </c>
      <c r="AM91" s="56" t="n">
        <f aca="false">AL91*uw_fee*B91</f>
        <v>1.89511203557339</v>
      </c>
      <c r="AN91" s="55" t="n">
        <v>467</v>
      </c>
      <c r="AO91" s="55" t="n">
        <v>133</v>
      </c>
      <c r="AP91" s="56" t="n">
        <f aca="false">K91+T91+W91+Z91+AF91+AI91+AK91+AM91+AN91+AO91</f>
        <v>3038.03889242074</v>
      </c>
      <c r="AQ91" s="56" t="n">
        <f aca="false">AP91*(1-1/champ_prem+champ_spill)</f>
        <v>2109.74923084773</v>
      </c>
      <c r="AR91" s="66" t="n">
        <f aca="false">AP91/Economy!O91</f>
        <v>0.0512055347557662</v>
      </c>
      <c r="AS91" s="55" t="n">
        <v>1833</v>
      </c>
      <c r="AT91" s="55" t="n">
        <v>437</v>
      </c>
      <c r="AU91" s="55" t="n">
        <v>1533</v>
      </c>
      <c r="AV91" s="55" t="n">
        <v>273</v>
      </c>
      <c r="AW91" s="55" t="n">
        <v>337</v>
      </c>
      <c r="AX91" s="55" t="n">
        <v>810</v>
      </c>
      <c r="AY91" s="56" t="n">
        <f aca="false">Q91+(AS91+AT91+AU91+AV91+AW91+AX91)*B91</f>
        <v>10363.8128337468</v>
      </c>
      <c r="AZ91" s="56" t="n">
        <f aca="false">P91+(AS91*ret_rail+AT91*ret_tel+AU91*ret_elec+AV91*ret_auto+AW91*ret_chem+AX91*ret_steel)*B91*IF(OR($A91=1931,$A91=1932),abroad_slump,1)+AB91+AG91</f>
        <v>778.425607104726</v>
      </c>
      <c r="BA91" s="56" t="n">
        <f aca="false">AP91*champ_profit+AZ91</f>
        <v>1386.03338558887</v>
      </c>
      <c r="BB91" s="56" t="n">
        <f aca="false">(K91+AI91+AK91)*champ_profit+P91+(AS91*ret_rail+AT91*ret_tel+AU91*ret_elec)*B91*IF(OR($A91=1931,$A91=1932),abroad_slump,1)</f>
        <v>772.790301955745</v>
      </c>
      <c r="BC91" s="56" t="n">
        <f aca="false">(T91+W91+Z91+AF91+AN91+AO91)*champ_profit+(AV91*ret_auto+AW91*ret_chem+AX91*ret_steel)*B91*IF(OR($A91=1931,$A91=1932),abroad_slump,1)+AB91+AG91</f>
        <v>612.864061226014</v>
      </c>
      <c r="BD91" s="56" t="n">
        <f aca="false">IF($A91&gt;=crown_start,(BB91*crown_charter+BC91*crown_comp)*crown_payout,0)</f>
        <v>121.113350193509</v>
      </c>
      <c r="BE91" s="66" t="n">
        <f aca="false">IF(BB91+BC91&gt;0,(BB91*crown_charter+BC91*crown_comp)/(BA91),0)</f>
        <v>0.174762529463967</v>
      </c>
    </row>
    <row r="92" customFormat="false" ht="14.25" hidden="false" customHeight="true" outlineLevel="0" collapsed="false">
      <c r="A92" s="61" t="n">
        <v>1932</v>
      </c>
      <c r="B92" s="68" t="n">
        <f aca="false">champ_scale*(1+Labour!AP92)*(1+Partners!BX92)*(1-IF(union_resp=2,tariff_cut*Labour!S92,0))</f>
        <v>1.53017203375985</v>
      </c>
      <c r="C92" s="47" t="n">
        <v>10500</v>
      </c>
      <c r="D92" s="47" t="n">
        <v>1500</v>
      </c>
      <c r="E92" s="47" t="n">
        <v>12500</v>
      </c>
      <c r="F92" s="49" t="n">
        <f aca="false">E92*B92</f>
        <v>19127.1504219982</v>
      </c>
      <c r="G92" s="49" t="n">
        <f aca="false">F92/Economy!B92*1000000</f>
        <v>535.563542542134</v>
      </c>
      <c r="H92" s="47" t="n">
        <v>428</v>
      </c>
      <c r="I92" s="70" t="n">
        <f aca="false">IF(H92&gt;0,G92/H92,0)</f>
        <v>1.25131668818256</v>
      </c>
      <c r="J92" s="71" t="n">
        <v>0.45</v>
      </c>
      <c r="K92" s="56" t="n">
        <f aca="false">Resources!K92*J92*B92</f>
        <v>105.352344524366</v>
      </c>
      <c r="L92" s="47" t="n">
        <v>450</v>
      </c>
      <c r="M92" s="62" t="n">
        <v>0.55</v>
      </c>
      <c r="N92" s="47" t="n">
        <v>72</v>
      </c>
      <c r="O92" s="71" t="n">
        <v>0.55</v>
      </c>
      <c r="P92" s="56" t="n">
        <f aca="false">(IF(Gulf!E92=1,0,L92*M92)+N92)*O92*B92</f>
        <v>268.88948063245</v>
      </c>
      <c r="Q92" s="56" t="n">
        <f aca="false">P92*oil_book</f>
        <v>1882.22636442715</v>
      </c>
      <c r="R92" s="71" t="n">
        <v>4</v>
      </c>
      <c r="S92" s="47" t="n">
        <v>20</v>
      </c>
      <c r="T92" s="56" t="n">
        <f aca="false">R92*S92*B92</f>
        <v>122.413762700788</v>
      </c>
      <c r="U92" s="47" t="n">
        <v>450</v>
      </c>
      <c r="V92" s="47" t="n">
        <v>300</v>
      </c>
      <c r="W92" s="56" t="n">
        <f aca="false">U92/1000*V92*B92</f>
        <v>206.57322455758</v>
      </c>
      <c r="X92" s="47" t="n">
        <v>5500</v>
      </c>
      <c r="Y92" s="62" t="n">
        <v>0.16</v>
      </c>
      <c r="Z92" s="56" t="n">
        <f aca="false">X92*Y92*chem_va*B92</f>
        <v>605.948125368902</v>
      </c>
      <c r="AA92" s="62" t="n">
        <v>0.12</v>
      </c>
      <c r="AB92" s="56" t="n">
        <f aca="false">X92*AA92*roy_rate*B92*(1-IF(union_resp=2,lic_cut*Labour!S92,0))</f>
        <v>21.2081843879116</v>
      </c>
      <c r="AC92" s="47" t="n">
        <v>2500</v>
      </c>
      <c r="AD92" s="62" t="n">
        <v>0.24</v>
      </c>
      <c r="AE92" s="62" t="n">
        <v>0.45</v>
      </c>
      <c r="AF92" s="56" t="n">
        <f aca="false">AC92*AD92*elec_va*B92</f>
        <v>413.14644911516</v>
      </c>
      <c r="AG92" s="56" t="n">
        <f aca="false">MAX(0,AE92-AD92)*AC92*roy_rate*B92*(1-IF(union_resp=2,lic_cut*Labour!S92,0))</f>
        <v>16.8701466722024</v>
      </c>
      <c r="AH92" s="55" t="n">
        <v>240</v>
      </c>
      <c r="AI92" s="56" t="n">
        <f aca="false">AH92*B92</f>
        <v>367.241288102365</v>
      </c>
      <c r="AJ92" s="55" t="n">
        <v>150</v>
      </c>
      <c r="AK92" s="56" t="n">
        <f aca="false">AJ92*B92</f>
        <v>229.525805063978</v>
      </c>
      <c r="AL92" s="47" t="n">
        <v>20</v>
      </c>
      <c r="AM92" s="56" t="n">
        <f aca="false">AL92*uw_fee*B92</f>
        <v>0.765086016879927</v>
      </c>
      <c r="AN92" s="55" t="n">
        <v>420</v>
      </c>
      <c r="AO92" s="55" t="n">
        <v>110</v>
      </c>
      <c r="AP92" s="56" t="n">
        <f aca="false">K92+T92+W92+Z92+AF92+AI92+AK92+AM92+AN92+AO92</f>
        <v>2580.96608545002</v>
      </c>
      <c r="AQ92" s="56" t="n">
        <f aca="false">AP92*(1-1/champ_prem+champ_spill)</f>
        <v>1792.33755934029</v>
      </c>
      <c r="AR92" s="66" t="n">
        <f aca="false">AP92/Economy!O92</f>
        <v>0.0470583175612251</v>
      </c>
      <c r="AS92" s="55" t="n">
        <v>1800</v>
      </c>
      <c r="AT92" s="55" t="n">
        <v>430</v>
      </c>
      <c r="AU92" s="55" t="n">
        <v>1500</v>
      </c>
      <c r="AV92" s="55" t="n">
        <v>260</v>
      </c>
      <c r="AW92" s="55" t="n">
        <v>330</v>
      </c>
      <c r="AX92" s="55" t="n">
        <v>800</v>
      </c>
      <c r="AY92" s="56" t="n">
        <f aca="false">Q92+(AS92+AT92+AU92+AV92+AW92+AX92)*B92</f>
        <v>9716.7071772776</v>
      </c>
      <c r="AZ92" s="56" t="n">
        <f aca="false">P92+(AS92*ret_rail+AT92*ret_tel+AU92*ret_elec+AV92*ret_auto+AW92*ret_chem+AX92*ret_steel)*B92*IF(OR($A92=1931,$A92=1932),abroad_slump,1)+AB92+AG92</f>
        <v>689.143578844425</v>
      </c>
      <c r="BA92" s="56" t="n">
        <f aca="false">AP92*champ_profit+AZ92</f>
        <v>1205.33679593443</v>
      </c>
      <c r="BB92" s="56" t="n">
        <f aca="false">(K92+AI92+AK92)*champ_profit+P92+(AS92*ret_rail+AT92*ret_tel+AU92*ret_elec)*B92*IF(OR($A92=1931,$A92=1932),abroad_slump,1)</f>
        <v>664.240028994984</v>
      </c>
      <c r="BC92" s="56" t="n">
        <f aca="false">(T92+W92+Z92+AF92+AN92+AO92)*champ_profit+(AV92*ret_auto+AW92*ret_chem+AX92*ret_steel)*B92*IF(OR($A92=1931,$A92=1932),abroad_slump,1)+AB92+AG92</f>
        <v>540.94374973607</v>
      </c>
      <c r="BD92" s="56" t="n">
        <f aca="false">IF($A92&gt;=crown_start,(BB92*crown_charter+BC92*crown_comp)*crown_payout,0)</f>
        <v>104.667753613816</v>
      </c>
      <c r="BE92" s="66" t="n">
        <f aca="false">IF(BB92+BC92&gt;0,(BB92*crown_charter+BC92*crown_comp)/(BA92),0)</f>
        <v>0.173673871015732</v>
      </c>
    </row>
  </sheetData>
  <mergeCells count="10">
    <mergeCell ref="B4:I4"/>
    <mergeCell ref="J4:Q4"/>
    <mergeCell ref="R4:T4"/>
    <mergeCell ref="U4:W4"/>
    <mergeCell ref="X4:AB4"/>
    <mergeCell ref="AC4:AG4"/>
    <mergeCell ref="AH4:AO4"/>
    <mergeCell ref="AP4:AR4"/>
    <mergeCell ref="AS4:AY4"/>
    <mergeCell ref="BA4:BE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P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68" min="2" style="1" width="12.44"/>
  </cols>
  <sheetData>
    <row r="1" customFormat="false" ht="18" hidden="false" customHeight="true" outlineLevel="0" collapsed="false">
      <c r="A1" s="19" t="s">
        <v>1657</v>
      </c>
    </row>
    <row r="2" customFormat="false" ht="14.25" hidden="false" customHeight="true" outlineLevel="0" collapsed="false">
      <c r="A2" s="3" t="s">
        <v>1658</v>
      </c>
    </row>
    <row r="3" customFormat="false" ht="14.25" hidden="false" customHeight="true" outlineLevel="0" collapsed="false">
      <c r="A3" s="20" t="s">
        <v>1315</v>
      </c>
    </row>
    <row r="4" customFormat="false" ht="14.25" hidden="false" customHeight="true" outlineLevel="0" collapsed="false">
      <c r="B4" s="58" t="s">
        <v>1659</v>
      </c>
      <c r="C4" s="58"/>
      <c r="D4" s="58"/>
      <c r="E4" s="58"/>
      <c r="F4" s="58"/>
      <c r="G4" s="58"/>
      <c r="H4" s="58"/>
      <c r="I4" s="58"/>
      <c r="J4" s="58" t="s">
        <v>146</v>
      </c>
      <c r="K4" s="58"/>
      <c r="L4" s="58"/>
      <c r="M4" s="58"/>
      <c r="N4" s="58"/>
      <c r="O4" s="58"/>
      <c r="P4" s="58"/>
      <c r="Q4" s="58"/>
      <c r="R4" s="58"/>
      <c r="S4" s="58" t="s">
        <v>1660</v>
      </c>
      <c r="T4" s="58"/>
      <c r="U4" s="58"/>
      <c r="V4" s="58"/>
      <c r="W4" s="58"/>
      <c r="X4" s="58"/>
      <c r="Y4" s="58"/>
      <c r="Z4" s="58"/>
      <c r="AA4" s="58"/>
      <c r="AB4" s="58"/>
      <c r="AC4" s="58"/>
      <c r="AD4" s="58"/>
      <c r="AE4" s="58"/>
      <c r="AF4" s="58"/>
      <c r="AG4" s="58" t="s">
        <v>1661</v>
      </c>
      <c r="AH4" s="58"/>
      <c r="AI4" s="58"/>
      <c r="AJ4" s="58"/>
      <c r="AK4" s="58"/>
      <c r="AL4" s="58"/>
      <c r="AM4" s="58" t="s">
        <v>1662</v>
      </c>
      <c r="AN4" s="58"/>
      <c r="AO4" s="58"/>
      <c r="AP4" s="58"/>
      <c r="AQ4" s="58" t="s">
        <v>1663</v>
      </c>
      <c r="AR4" s="58"/>
      <c r="AS4" s="58"/>
      <c r="AT4" s="58"/>
      <c r="AU4" s="58" t="s">
        <v>53</v>
      </c>
      <c r="AV4" s="58"/>
      <c r="AW4" s="58"/>
      <c r="AX4" s="58"/>
      <c r="AY4" s="58"/>
      <c r="AZ4" s="58"/>
      <c r="BA4" s="58"/>
      <c r="BB4" s="58"/>
      <c r="BC4" s="58"/>
      <c r="BD4" s="58"/>
      <c r="BE4" s="58"/>
      <c r="BF4" s="58"/>
      <c r="BG4" s="58"/>
      <c r="BH4" s="58"/>
      <c r="BI4" s="58"/>
      <c r="BJ4" s="58"/>
      <c r="BK4" s="58"/>
      <c r="BL4" s="58"/>
      <c r="BM4" s="58"/>
      <c r="BN4" s="58"/>
      <c r="BO4" s="58"/>
      <c r="BP4" s="58"/>
    </row>
    <row r="5" customFormat="false" ht="54" hidden="false" customHeight="true" outlineLevel="0" collapsed="false">
      <c r="A5" s="60" t="s">
        <v>103</v>
      </c>
      <c r="B5" s="7" t="s">
        <v>1664</v>
      </c>
      <c r="C5" s="7" t="s">
        <v>1665</v>
      </c>
      <c r="D5" s="7" t="s">
        <v>1666</v>
      </c>
      <c r="E5" s="7" t="s">
        <v>1667</v>
      </c>
      <c r="F5" s="7" t="s">
        <v>1668</v>
      </c>
      <c r="G5" s="7" t="s">
        <v>19</v>
      </c>
      <c r="H5" s="7" t="s">
        <v>1669</v>
      </c>
      <c r="I5" s="7" t="s">
        <v>1670</v>
      </c>
      <c r="J5" s="7" t="s">
        <v>1671</v>
      </c>
      <c r="K5" s="7" t="s">
        <v>1672</v>
      </c>
      <c r="L5" s="7" t="s">
        <v>1673</v>
      </c>
      <c r="M5" s="7" t="s">
        <v>1674</v>
      </c>
      <c r="N5" s="7" t="s">
        <v>1675</v>
      </c>
      <c r="O5" s="7" t="s">
        <v>1390</v>
      </c>
      <c r="P5" s="7" t="s">
        <v>1676</v>
      </c>
      <c r="Q5" s="7" t="s">
        <v>1677</v>
      </c>
      <c r="R5" s="7" t="s">
        <v>1678</v>
      </c>
      <c r="S5" s="7" t="s">
        <v>1679</v>
      </c>
      <c r="T5" s="7" t="s">
        <v>1680</v>
      </c>
      <c r="U5" s="7" t="s">
        <v>1681</v>
      </c>
      <c r="V5" s="7" t="s">
        <v>1682</v>
      </c>
      <c r="W5" s="7" t="s">
        <v>1683</v>
      </c>
      <c r="X5" s="7" t="s">
        <v>1684</v>
      </c>
      <c r="Y5" s="7" t="s">
        <v>1685</v>
      </c>
      <c r="Z5" s="7" t="s">
        <v>1686</v>
      </c>
      <c r="AA5" s="7" t="s">
        <v>1687</v>
      </c>
      <c r="AB5" s="7" t="s">
        <v>1688</v>
      </c>
      <c r="AC5" s="7" t="s">
        <v>1689</v>
      </c>
      <c r="AD5" s="7" t="s">
        <v>1690</v>
      </c>
      <c r="AE5" s="7" t="s">
        <v>1691</v>
      </c>
      <c r="AF5" s="7" t="s">
        <v>1692</v>
      </c>
      <c r="AG5" s="7" t="s">
        <v>1693</v>
      </c>
      <c r="AH5" s="7" t="s">
        <v>1694</v>
      </c>
      <c r="AI5" s="7" t="s">
        <v>1695</v>
      </c>
      <c r="AJ5" s="7" t="s">
        <v>1696</v>
      </c>
      <c r="AK5" s="7" t="s">
        <v>1697</v>
      </c>
      <c r="AL5" s="7" t="s">
        <v>1698</v>
      </c>
      <c r="AM5" s="7" t="s">
        <v>1699</v>
      </c>
      <c r="AN5" s="7" t="s">
        <v>1700</v>
      </c>
      <c r="AO5" s="7" t="s">
        <v>1701</v>
      </c>
      <c r="AP5" s="7" t="s">
        <v>1702</v>
      </c>
      <c r="AQ5" s="7" t="s">
        <v>1703</v>
      </c>
      <c r="AR5" s="7" t="s">
        <v>1704</v>
      </c>
      <c r="AS5" s="7" t="s">
        <v>1705</v>
      </c>
      <c r="AT5" s="7" t="s">
        <v>1706</v>
      </c>
      <c r="AU5" s="7" t="s">
        <v>1707</v>
      </c>
      <c r="AV5" s="7" t="s">
        <v>1708</v>
      </c>
      <c r="AW5" s="7" t="s">
        <v>1709</v>
      </c>
      <c r="AX5" s="7" t="s">
        <v>21</v>
      </c>
      <c r="AY5" s="7" t="s">
        <v>1710</v>
      </c>
      <c r="AZ5" s="7" t="s">
        <v>1711</v>
      </c>
      <c r="BA5" s="7" t="s">
        <v>1712</v>
      </c>
      <c r="BB5" s="7" t="s">
        <v>1713</v>
      </c>
      <c r="BC5" s="7" t="s">
        <v>1714</v>
      </c>
      <c r="BD5" s="7" t="s">
        <v>1715</v>
      </c>
      <c r="BE5" s="7" t="s">
        <v>1716</v>
      </c>
      <c r="BF5" s="7" t="s">
        <v>1717</v>
      </c>
      <c r="BG5" s="7" t="s">
        <v>1718</v>
      </c>
      <c r="BH5" s="7" t="s">
        <v>1719</v>
      </c>
      <c r="BI5" s="7" t="s">
        <v>1720</v>
      </c>
      <c r="BJ5" s="7" t="s">
        <v>1721</v>
      </c>
      <c r="BK5" s="7" t="s">
        <v>1722</v>
      </c>
      <c r="BL5" s="7" t="s">
        <v>20</v>
      </c>
      <c r="BM5" s="7" t="s">
        <v>1723</v>
      </c>
      <c r="BN5" s="7" t="s">
        <v>1724</v>
      </c>
      <c r="BO5" s="7" t="s">
        <v>1725</v>
      </c>
      <c r="BP5" s="7" t="s">
        <v>1726</v>
      </c>
    </row>
    <row r="6" customFormat="false" ht="14.25" hidden="false" customHeight="true" outlineLevel="0" collapsed="false">
      <c r="A6" s="61" t="n">
        <v>1846</v>
      </c>
      <c r="B6" s="49" t="n">
        <f aca="false">Economy!B6*lf_rate</f>
        <v>71426.5881</v>
      </c>
      <c r="C6" s="49" t="n">
        <f aca="false">Economy!O6*1000000/(B6+L6)</f>
        <v>264.285714285714</v>
      </c>
      <c r="D6" s="49" t="n">
        <f aca="false">Champions!AP6*1000000/(C6*champ_prem)</f>
        <v>0</v>
      </c>
      <c r="E6" s="49" t="n">
        <f aca="false">D6*job_mult</f>
        <v>0</v>
      </c>
      <c r="F6" s="49" t="n">
        <f aca="false">D6+E6</f>
        <v>0</v>
      </c>
      <c r="G6" s="66" t="n">
        <f aca="false">F6/B6</f>
        <v>0</v>
      </c>
      <c r="H6" s="49" t="n">
        <f aca="false">0</f>
        <v>0</v>
      </c>
      <c r="I6" s="66" t="n">
        <f aca="false">pac_u_base</f>
        <v>0.015</v>
      </c>
      <c r="J6" s="49" t="n">
        <f aca="false">0</f>
        <v>0</v>
      </c>
      <c r="K6" s="49" t="n">
        <f aca="false">0</f>
        <v>0</v>
      </c>
      <c r="L6" s="49" t="n">
        <f aca="false">0</f>
        <v>0</v>
      </c>
      <c r="M6" s="49" t="n">
        <f aca="false">0</f>
        <v>0</v>
      </c>
      <c r="N6" s="66" t="n">
        <f aca="false">L6/B6</f>
        <v>0</v>
      </c>
      <c r="O6" s="56" t="n">
        <f aca="false">Economy!L6</f>
        <v>0</v>
      </c>
      <c r="P6" s="56" t="n">
        <f aca="false">O6*gw_wage_share</f>
        <v>0</v>
      </c>
      <c r="Q6" s="56" t="n">
        <f aca="false">P6*gw_levy</f>
        <v>0</v>
      </c>
      <c r="R6" s="56" t="n">
        <f aca="false">P6*gw_remit</f>
        <v>0</v>
      </c>
      <c r="S6" s="66" t="n">
        <f aca="false">IF(union_resp&gt;=1,MIN(1,MAX(0,($A6-resp_start)/(resp_full-resp_start))),0)</f>
        <v>0</v>
      </c>
      <c r="T6" s="70" t="n">
        <f aca="false">0</f>
        <v>0</v>
      </c>
      <c r="U6" s="70" t="n">
        <f aca="false">MAX(0,T6-gap_base)</f>
        <v>0</v>
      </c>
      <c r="V6" s="71" t="n">
        <v>15</v>
      </c>
      <c r="W6" s="49" t="n">
        <f aca="false">V6*1000000*lf_rate*union_skill_share</f>
        <v>756000</v>
      </c>
      <c r="X6" s="47" t="n">
        <v>0</v>
      </c>
      <c r="Y6" s="49" t="n">
        <f aca="false">IF(AND(mig_endo=1,$A6&gt;=talent_start),talent_rate_u*W6*U6*(1-(1-bd_keep)*S6),0)</f>
        <v>0</v>
      </c>
      <c r="Z6" s="49" t="n">
        <f aca="false">IF(AND(mig_endo=1,$A6&gt;=talent_start),X6*MIN(0.5,talent_share_o*U6)*(1-eu_comp*S6),0)</f>
        <v>0</v>
      </c>
      <c r="AA6" s="47" t="n">
        <v>0</v>
      </c>
      <c r="AB6" s="49" t="n">
        <f aca="false">IF(AND(mig_endo=1,$A6&gt;=talent_start),AA6*MIN(0.5,talent_share_a*U6),0)</f>
        <v>0</v>
      </c>
      <c r="AC6" s="49" t="n">
        <f aca="false">entry_cap*People!B6</f>
        <v>510</v>
      </c>
      <c r="AD6" s="49" t="n">
        <f aca="false">MIN(AC6,Y6+Z6+AB6)</f>
        <v>0</v>
      </c>
      <c r="AE6" s="49" t="n">
        <f aca="false">IF(Y6+Z6+AB6&gt;0,AD6*Y6/(Y6+Z6+AB6),0)</f>
        <v>0</v>
      </c>
      <c r="AF6" s="49" t="n">
        <f aca="false">IF(Y6+Z6+AB6&gt;0,AD6*AB6/(Y6+Z6+AB6),0)</f>
        <v>0</v>
      </c>
      <c r="AG6" s="49" t="n">
        <f aca="false">AD6*family_mult</f>
        <v>0</v>
      </c>
      <c r="AH6" s="49" t="n">
        <f aca="false">0</f>
        <v>0</v>
      </c>
      <c r="AI6" s="49" t="n">
        <f aca="false">0</f>
        <v>0</v>
      </c>
      <c r="AJ6" s="49" t="n">
        <f aca="false">0</f>
        <v>0</v>
      </c>
      <c r="AK6" s="49" t="n">
        <f aca="false">K6*gw_conv_family</f>
        <v>0</v>
      </c>
      <c r="AL6" s="49" t="n">
        <f aca="false">AG6+AI6+AJ6+AK6+AR6</f>
        <v>0</v>
      </c>
      <c r="AM6" s="49" t="n">
        <f aca="false">0</f>
        <v>0</v>
      </c>
      <c r="AN6" s="67" t="n">
        <f aca="false">AM6/B6</f>
        <v>0</v>
      </c>
      <c r="AO6" s="67" t="n">
        <f aca="false">0</f>
        <v>0</v>
      </c>
      <c r="AP6" s="67" t="n">
        <f aca="false">0</f>
        <v>0</v>
      </c>
      <c r="AQ6" s="47" t="n">
        <v>150000</v>
      </c>
      <c r="AR6" s="49" t="n">
        <f aca="false">IF(AND(div_on=1,$A6&gt;=div_start),AQ6*MIN(div_max,div_rate*U6)*(1-div_comp*S6),0)</f>
        <v>0</v>
      </c>
      <c r="AS6" s="49" t="n">
        <f aca="false">0</f>
        <v>0</v>
      </c>
      <c r="AT6" s="67" t="n">
        <f aca="false">0</f>
        <v>0</v>
      </c>
      <c r="AU6" s="49" t="n">
        <f aca="false">0</f>
        <v>0</v>
      </c>
      <c r="AV6" s="49" t="n">
        <f aca="false">0</f>
        <v>0</v>
      </c>
      <c r="AW6" s="49" t="n">
        <f aca="false">0</f>
        <v>0</v>
      </c>
      <c r="AX6" s="70" t="n">
        <f aca="false">V6-(AV6+AW6)/1000000</f>
        <v>15</v>
      </c>
      <c r="AY6" s="49" t="n">
        <f aca="false">L6*gw_union</f>
        <v>0</v>
      </c>
      <c r="AZ6" s="48" t="n">
        <v>1.12</v>
      </c>
      <c r="BA6" s="49" t="n">
        <f aca="false">Economy!Q6*AZ6/lf_rate</f>
        <v>253.333333333333</v>
      </c>
      <c r="BB6" s="67" t="n">
        <f aca="false">0</f>
        <v>0</v>
      </c>
      <c r="BC6" s="67" t="n">
        <f aca="false">0</f>
        <v>0</v>
      </c>
      <c r="BD6" s="67" t="n">
        <f aca="false">emu_g*S6</f>
        <v>0</v>
      </c>
      <c r="BE6" s="68" t="n">
        <f aca="false">1</f>
        <v>1</v>
      </c>
      <c r="BF6" s="48" t="n">
        <v>1</v>
      </c>
      <c r="BG6" s="56" t="n">
        <f aca="false">AU6*BA6*BE6*(skill_rel-1+skill_spill)/1000000</f>
        <v>0</v>
      </c>
      <c r="BH6" s="56" t="n">
        <f aca="false">union_disp*(Champions!AP6+Champions!AZ6)*(1-IF(union_resp=2,mkt_cut*S6,0))</f>
        <v>0</v>
      </c>
      <c r="BI6" s="56" t="n">
        <f aca="false">AY6*BA6*BE6/1000000</f>
        <v>0</v>
      </c>
      <c r="BJ6" s="49" t="n">
        <f aca="false">V6*Economy!Q6*AZ6</f>
        <v>1596</v>
      </c>
      <c r="BK6" s="49" t="n">
        <f aca="false">BJ6</f>
        <v>1596</v>
      </c>
      <c r="BL6" s="66" t="n">
        <f aca="false">1-BK6/BJ6</f>
        <v>0</v>
      </c>
      <c r="BM6" s="49" t="n">
        <f aca="false">0</f>
        <v>0</v>
      </c>
      <c r="BN6" s="49" t="n">
        <f aca="false">0</f>
        <v>0</v>
      </c>
      <c r="BO6" s="62" t="n">
        <v>0.04</v>
      </c>
      <c r="BP6" s="66" t="n">
        <f aca="false">BO6+BN6/(AX6*1000000*lf_rate)</f>
        <v>0.04</v>
      </c>
    </row>
    <row r="7" customFormat="false" ht="14.25" hidden="false" customHeight="true" outlineLevel="0" collapsed="false">
      <c r="A7" s="61" t="n">
        <v>1847</v>
      </c>
      <c r="B7" s="49" t="n">
        <f aca="false">Economy!B7*lf_rate</f>
        <v>71666.0402335731</v>
      </c>
      <c r="C7" s="49" t="n">
        <f aca="false">Economy!O7*1000000/(B7+L7)</f>
        <v>274.857142857143</v>
      </c>
      <c r="D7" s="49" t="n">
        <f aca="false">Champions!AP7*1000000/(C7*champ_prem)</f>
        <v>0</v>
      </c>
      <c r="E7" s="49" t="n">
        <f aca="false">D7*job_mult</f>
        <v>0</v>
      </c>
      <c r="F7" s="49" t="n">
        <f aca="false">D7+E7</f>
        <v>0</v>
      </c>
      <c r="G7" s="66" t="n">
        <f aca="false">F7/B7</f>
        <v>0</v>
      </c>
      <c r="H7" s="49" t="n">
        <f aca="false">F7-F6</f>
        <v>0</v>
      </c>
      <c r="I7" s="66" t="n">
        <f aca="false">MAX(0.005,pac_u_base*IF(Paths!AC7=1,pac_u_war,1)+(okun*(1-Economy!G7)*(B7+L7)-MAX(0,L6-L7))/B7)</f>
        <v>0.015</v>
      </c>
      <c r="J7" s="49" t="n">
        <f aca="false">IF(AND(gw_on=1,$A7&gt;=gw_start),MIN(gw_cap*B6,gw_cover*F6+gw_gen*B6),0)</f>
        <v>0</v>
      </c>
      <c r="K7" s="49" t="n">
        <f aca="false">L6*gw_conv</f>
        <v>0</v>
      </c>
      <c r="L7" s="49" t="n">
        <f aca="false">MAX(0,L6-K7+gw_adj*(J7-L6))*MAX(0,1-gw_slump*(1-Economy!G7))</f>
        <v>0</v>
      </c>
      <c r="M7" s="49" t="n">
        <f aca="false">MAX(0,L7-L6+L6/gw_term)</f>
        <v>0</v>
      </c>
      <c r="N7" s="66" t="n">
        <f aca="false">L7/B7</f>
        <v>0</v>
      </c>
      <c r="O7" s="56" t="n">
        <f aca="false">Economy!L7</f>
        <v>0</v>
      </c>
      <c r="P7" s="56" t="n">
        <f aca="false">O7*gw_wage_share</f>
        <v>0</v>
      </c>
      <c r="Q7" s="56" t="n">
        <f aca="false">P7*gw_levy</f>
        <v>0</v>
      </c>
      <c r="R7" s="56" t="n">
        <f aca="false">P7*gw_remit</f>
        <v>0</v>
      </c>
      <c r="S7" s="66" t="n">
        <f aca="false">IF(union_resp&gt;=1,MIN(1,MAX(0,($A7-resp_start)/(resp_full-resp_start))),0)</f>
        <v>0</v>
      </c>
      <c r="T7" s="70" t="n">
        <f aca="false">Economy!R6</f>
        <v>1.16842105263158</v>
      </c>
      <c r="U7" s="70" t="n">
        <f aca="false">MAX(0,T7-gap_base)</f>
        <v>0</v>
      </c>
      <c r="V7" s="71" t="n">
        <v>15.47</v>
      </c>
      <c r="W7" s="49" t="n">
        <f aca="false">V7*1000000*lf_rate*union_skill_share</f>
        <v>779688</v>
      </c>
      <c r="X7" s="47" t="n">
        <v>0</v>
      </c>
      <c r="Y7" s="49" t="n">
        <f aca="false">IF(AND(mig_endo=1,$A7&gt;=talent_start),talent_rate_u*W7*U7*(1-(1-bd_keep)*S7),0)</f>
        <v>0</v>
      </c>
      <c r="Z7" s="49" t="n">
        <f aca="false">IF(AND(mig_endo=1,$A7&gt;=talent_start),X7*MIN(0.5,talent_share_o*U7)*(1-eu_comp*S7),0)</f>
        <v>0</v>
      </c>
      <c r="AA7" s="47" t="n">
        <v>0</v>
      </c>
      <c r="AB7" s="49" t="n">
        <f aca="false">IF(AND(mig_endo=1,$A7&gt;=talent_start),AA7*MIN(0.5,talent_share_a*U7),0)</f>
        <v>0</v>
      </c>
      <c r="AC7" s="49" t="n">
        <f aca="false">entry_cap*People!B7</f>
        <v>510.37983</v>
      </c>
      <c r="AD7" s="49" t="n">
        <f aca="false">MIN(AC7,Y7+Z7+AB7)</f>
        <v>0</v>
      </c>
      <c r="AE7" s="49" t="n">
        <f aca="false">IF(Y7+Z7+AB7&gt;0,AD7*Y7/(Y7+Z7+AB7),0)</f>
        <v>0</v>
      </c>
      <c r="AF7" s="49" t="n">
        <f aca="false">IF(Y7+Z7+AB7&gt;0,AD7*AB7/(Y7+Z7+AB7),0)</f>
        <v>0</v>
      </c>
      <c r="AG7" s="49" t="n">
        <f aca="false">AD7*family_mult</f>
        <v>0</v>
      </c>
      <c r="AH7" s="49" t="n">
        <f aca="false">AH6*(1+Paths!C7)+AG7</f>
        <v>0</v>
      </c>
      <c r="AI7" s="49" t="n">
        <f aca="false">IF(AND(mig_endo=1,$A7&gt;=talent_start),chain_rate*AH6,0)</f>
        <v>0</v>
      </c>
      <c r="AJ7" s="49" t="n">
        <f aca="false">IF(AND(mig_endo=1,$A7&gt;=talent_start),IF(H6&gt;0,H6*job_fill,H6*job_return)*job_family,0)</f>
        <v>0</v>
      </c>
      <c r="AK7" s="49" t="n">
        <f aca="false">K7*gw_conv_family</f>
        <v>0</v>
      </c>
      <c r="AL7" s="49" t="n">
        <f aca="false">AG7+AI7+AJ7+AK7+AR7</f>
        <v>0</v>
      </c>
      <c r="AM7" s="49" t="n">
        <f aca="false">AM6*(1-skill_ret)+AD7</f>
        <v>0</v>
      </c>
      <c r="AN7" s="67" t="n">
        <f aca="false">AM7/B7</f>
        <v>0</v>
      </c>
      <c r="AO7" s="67" t="n">
        <f aca="false">(skill_rel-1+skill_spill)*AM6/B6-AT7</f>
        <v>0</v>
      </c>
      <c r="AP7" s="67" t="n">
        <f aca="false">talent_champ*AM6/(skill_base_share*B6)</f>
        <v>0</v>
      </c>
      <c r="AQ7" s="47" t="n">
        <v>205000</v>
      </c>
      <c r="AR7" s="49" t="n">
        <f aca="false">IF(AND(div_on=1,$A7&gt;=div_start),AQ7*MIN(div_max,div_rate*U7)*(1-div_comp*S7),0)</f>
        <v>0</v>
      </c>
      <c r="AS7" s="49" t="n">
        <f aca="false">AS6*(1-div_assim)+AR7</f>
        <v>0</v>
      </c>
      <c r="AT7" s="67" t="n">
        <f aca="false">(1-div_rel)*AS6/Economy!B6</f>
        <v>0</v>
      </c>
      <c r="AU7" s="49" t="n">
        <f aca="false">AU6*(1-skill_ret)+AE7</f>
        <v>0</v>
      </c>
      <c r="AV7" s="49" t="n">
        <f aca="false">AV6*(1+union_nat)+AR7</f>
        <v>0</v>
      </c>
      <c r="AW7" s="49" t="n">
        <f aca="false">AW6*(1+union_nat)+AE7*family_mult</f>
        <v>0</v>
      </c>
      <c r="AX7" s="70" t="n">
        <f aca="false">V7-(AV7+AW7)/1000000</f>
        <v>15.47</v>
      </c>
      <c r="AY7" s="49" t="n">
        <f aca="false">L7*gw_union</f>
        <v>0</v>
      </c>
      <c r="AZ7" s="48" t="n">
        <v>1.12</v>
      </c>
      <c r="BA7" s="49" t="n">
        <f aca="false">Economy!Q7*AZ7/lf_rate</f>
        <v>261.333333333333</v>
      </c>
      <c r="BB7" s="67" t="n">
        <f aca="false">bd_growth*AU6/W6</f>
        <v>0</v>
      </c>
      <c r="BC7" s="67" t="n">
        <f aca="false">tg_k*MIN(1,Economy!O6/BK6)</f>
        <v>3.54831331860902E-005</v>
      </c>
      <c r="BD7" s="67" t="n">
        <f aca="false">emu_g*S7</f>
        <v>0</v>
      </c>
      <c r="BE7" s="68" t="n">
        <f aca="false">BE6*(1-BB7-BC7+BD7)</f>
        <v>0.999964516866814</v>
      </c>
      <c r="BF7" s="48" t="n">
        <v>1</v>
      </c>
      <c r="BG7" s="56" t="n">
        <f aca="false">AU7*BA7*BE7*(skill_rel-1+skill_spill)/1000000</f>
        <v>0</v>
      </c>
      <c r="BH7" s="56" t="n">
        <f aca="false">union_disp*(Champions!AP7+Champions!AZ7)*(1-IF(union_resp=2,mkt_cut*S7,0))</f>
        <v>0</v>
      </c>
      <c r="BI7" s="56" t="n">
        <f aca="false">AY7*BA7*BE7/1000000</f>
        <v>0</v>
      </c>
      <c r="BJ7" s="49" t="n">
        <f aca="false">V7*Economy!Q7*AZ7</f>
        <v>1697.9872</v>
      </c>
      <c r="BK7" s="49" t="n">
        <f aca="false">MAX(0.3*BJ7,AX7*Economy!Q7*AZ7*BE7*BF7-BG7-BH7-BI7)</f>
        <v>1697.92695009403</v>
      </c>
      <c r="BL7" s="66" t="n">
        <f aca="false">1-BK7/BJ7</f>
        <v>3.54831331861316E-005</v>
      </c>
      <c r="BM7" s="49" t="n">
        <f aca="false">MAX(0,BH7-BH6)*1000000/BA7</f>
        <v>0</v>
      </c>
      <c r="BN7" s="49" t="n">
        <f aca="false">BN6*(1-IF(AND($A7&gt;=1930,$A7&lt;=1932),0,union_reabsorb))+BM7</f>
        <v>0</v>
      </c>
      <c r="BO7" s="62" t="n">
        <v>0.04</v>
      </c>
      <c r="BP7" s="66" t="n">
        <f aca="false">BO7+BN7/(AX7*1000000*lf_rate)</f>
        <v>0.04</v>
      </c>
    </row>
    <row r="8" customFormat="false" ht="14.25" hidden="false" customHeight="true" outlineLevel="0" collapsed="false">
      <c r="A8" s="61" t="n">
        <v>1848</v>
      </c>
      <c r="B8" s="49" t="n">
        <f aca="false">Economy!B8*lf_rate</f>
        <v>76896.2549739414</v>
      </c>
      <c r="C8" s="49" t="n">
        <f aca="false">Economy!O8*1000000/(B8+L8)</f>
        <v>376.883170005028</v>
      </c>
      <c r="D8" s="49" t="n">
        <f aca="false">Champions!AP8*1000000/(C8*champ_prem)</f>
        <v>0</v>
      </c>
      <c r="E8" s="49" t="n">
        <f aca="false">D8*job_mult</f>
        <v>0</v>
      </c>
      <c r="F8" s="49" t="n">
        <f aca="false">D8+E8</f>
        <v>0</v>
      </c>
      <c r="G8" s="66" t="n">
        <f aca="false">F8/B8</f>
        <v>0</v>
      </c>
      <c r="H8" s="49" t="n">
        <f aca="false">F8-F7</f>
        <v>0</v>
      </c>
      <c r="I8" s="66" t="n">
        <f aca="false">MAX(0.005,pac_u_base*IF(Paths!AC8=1,pac_u_war,1)+(okun*(1-Economy!G8)*(B8+L8)-MAX(0,L7-L8))/B8)</f>
        <v>0.015</v>
      </c>
      <c r="J8" s="49" t="n">
        <f aca="false">IF(AND(gw_on=1,$A8&gt;=gw_start),MIN(gw_cap*B7,gw_cover*F7+gw_gen*B7),0)</f>
        <v>0</v>
      </c>
      <c r="K8" s="49" t="n">
        <f aca="false">L7*gw_conv</f>
        <v>0</v>
      </c>
      <c r="L8" s="49" t="n">
        <f aca="false">MAX(0,L7-K8+gw_adj*(J8-L7))*MAX(0,1-gw_slump*(1-Economy!G8))</f>
        <v>0</v>
      </c>
      <c r="M8" s="49" t="n">
        <f aca="false">MAX(0,L8-L7+L7/gw_term)</f>
        <v>0</v>
      </c>
      <c r="N8" s="66" t="n">
        <f aca="false">L8/B8</f>
        <v>0</v>
      </c>
      <c r="O8" s="56" t="n">
        <f aca="false">Economy!L8</f>
        <v>0</v>
      </c>
      <c r="P8" s="56" t="n">
        <f aca="false">O8*gw_wage_share</f>
        <v>0</v>
      </c>
      <c r="Q8" s="56" t="n">
        <f aca="false">P8*gw_levy</f>
        <v>0</v>
      </c>
      <c r="R8" s="56" t="n">
        <f aca="false">P8*gw_remit</f>
        <v>0</v>
      </c>
      <c r="S8" s="66" t="n">
        <f aca="false">IF(union_resp&gt;=1,MIN(1,MAX(0,($A8-resp_start)/(resp_full-resp_start))),0)</f>
        <v>0</v>
      </c>
      <c r="T8" s="70" t="n">
        <f aca="false">Economy!R7</f>
        <v>1.17795918367347</v>
      </c>
      <c r="U8" s="70" t="n">
        <f aca="false">MAX(0,T8-gap_base)</f>
        <v>0</v>
      </c>
      <c r="V8" s="71" t="n">
        <v>15.93</v>
      </c>
      <c r="W8" s="49" t="n">
        <f aca="false">V8*1000000*lf_rate*union_skill_share</f>
        <v>802872</v>
      </c>
      <c r="X8" s="47" t="n">
        <v>0</v>
      </c>
      <c r="Y8" s="49" t="n">
        <f aca="false">IF(AND(mig_endo=1,$A8&gt;=talent_start),talent_rate_u*W8*U8*(1-(1-bd_keep)*S8),0)</f>
        <v>0</v>
      </c>
      <c r="Z8" s="49" t="n">
        <f aca="false">IF(AND(mig_endo=1,$A8&gt;=talent_start),X8*MIN(0.5,talent_share_o*U8)*(1-eu_comp*S8),0)</f>
        <v>0</v>
      </c>
      <c r="AA8" s="47" t="n">
        <v>0</v>
      </c>
      <c r="AB8" s="49" t="n">
        <f aca="false">IF(AND(mig_endo=1,$A8&gt;=talent_start),AA8*MIN(0.5,talent_share_a*U8),0)</f>
        <v>0</v>
      </c>
      <c r="AC8" s="49" t="n">
        <f aca="false">entry_cap*People!B8</f>
        <v>513.42074476533</v>
      </c>
      <c r="AD8" s="49" t="n">
        <f aca="false">MIN(AC8,Y8+Z8+AB8)</f>
        <v>0</v>
      </c>
      <c r="AE8" s="49" t="n">
        <f aca="false">IF(Y8+Z8+AB8&gt;0,AD8*Y8/(Y8+Z8+AB8),0)</f>
        <v>0</v>
      </c>
      <c r="AF8" s="49" t="n">
        <f aca="false">IF(Y8+Z8+AB8&gt;0,AD8*AB8/(Y8+Z8+AB8),0)</f>
        <v>0</v>
      </c>
      <c r="AG8" s="49" t="n">
        <f aca="false">AD8*family_mult</f>
        <v>0</v>
      </c>
      <c r="AH8" s="49" t="n">
        <f aca="false">AH7*(1+Paths!C8)+AG8</f>
        <v>0</v>
      </c>
      <c r="AI8" s="49" t="n">
        <f aca="false">IF(AND(mig_endo=1,$A8&gt;=talent_start),chain_rate*AH7,0)</f>
        <v>0</v>
      </c>
      <c r="AJ8" s="49" t="n">
        <f aca="false">IF(AND(mig_endo=1,$A8&gt;=talent_start),IF(H7&gt;0,H7*job_fill,H7*job_return)*job_family,0)</f>
        <v>0</v>
      </c>
      <c r="AK8" s="49" t="n">
        <f aca="false">K8*gw_conv_family</f>
        <v>0</v>
      </c>
      <c r="AL8" s="49" t="n">
        <f aca="false">AG8+AI8+AJ8+AK8+AR8</f>
        <v>0</v>
      </c>
      <c r="AM8" s="49" t="n">
        <f aca="false">AM7*(1-skill_ret)+AD8</f>
        <v>0</v>
      </c>
      <c r="AN8" s="67" t="n">
        <f aca="false">AM8/B8</f>
        <v>0</v>
      </c>
      <c r="AO8" s="67" t="n">
        <f aca="false">(skill_rel-1+skill_spill)*AM7/B7-AT8</f>
        <v>0</v>
      </c>
      <c r="AP8" s="67" t="n">
        <f aca="false">talent_champ*AM7/(skill_base_share*B7)</f>
        <v>0</v>
      </c>
      <c r="AQ8" s="47" t="n">
        <v>260000</v>
      </c>
      <c r="AR8" s="49" t="n">
        <f aca="false">IF(AND(div_on=1,$A8&gt;=div_start),AQ8*MIN(div_max,div_rate*U8)*(1-div_comp*S8),0)</f>
        <v>0</v>
      </c>
      <c r="AS8" s="49" t="n">
        <f aca="false">AS7*(1-div_assim)+AR8</f>
        <v>0</v>
      </c>
      <c r="AT8" s="67" t="n">
        <f aca="false">(1-div_rel)*AS7/Economy!B7</f>
        <v>0</v>
      </c>
      <c r="AU8" s="49" t="n">
        <f aca="false">AU7*(1-skill_ret)+AE8</f>
        <v>0</v>
      </c>
      <c r="AV8" s="49" t="n">
        <f aca="false">AV7*(1+union_nat)+AR8</f>
        <v>0</v>
      </c>
      <c r="AW8" s="49" t="n">
        <f aca="false">AW7*(1+union_nat)+AE8*family_mult</f>
        <v>0</v>
      </c>
      <c r="AX8" s="70" t="n">
        <f aca="false">V8-(AV8+AW8)/1000000</f>
        <v>15.93</v>
      </c>
      <c r="AY8" s="49" t="n">
        <f aca="false">L8*gw_union</f>
        <v>0</v>
      </c>
      <c r="AZ8" s="48" t="n">
        <v>1.12</v>
      </c>
      <c r="BA8" s="49" t="n">
        <f aca="false">Economy!Q8*AZ8/lf_rate</f>
        <v>266.666666666667</v>
      </c>
      <c r="BB8" s="67" t="n">
        <f aca="false">bd_growth*AU7/W7</f>
        <v>0</v>
      </c>
      <c r="BC8" s="67" t="n">
        <f aca="false">tg_k*MIN(1,Economy!O7/BK7)</f>
        <v>3.48034814879298E-005</v>
      </c>
      <c r="BD8" s="67" t="n">
        <f aca="false">emu_g*S8</f>
        <v>0</v>
      </c>
      <c r="BE8" s="68" t="n">
        <f aca="false">BE7*(1-BB8-BC8+BD8)</f>
        <v>0.999929714620263</v>
      </c>
      <c r="BF8" s="48" t="n">
        <v>1</v>
      </c>
      <c r="BG8" s="56" t="n">
        <f aca="false">AU8*BA8*BE8*(skill_rel-1+skill_spill)/1000000</f>
        <v>0</v>
      </c>
      <c r="BH8" s="56" t="n">
        <f aca="false">union_disp*(Champions!AP8+Champions!AZ8)*(1-IF(union_resp=2,mkt_cut*S8,0))</f>
        <v>0</v>
      </c>
      <c r="BI8" s="56" t="n">
        <f aca="false">AY8*BA8*BE8/1000000</f>
        <v>0</v>
      </c>
      <c r="BJ8" s="49" t="n">
        <f aca="false">V8*Economy!Q8*AZ8</f>
        <v>1784.16</v>
      </c>
      <c r="BK8" s="49" t="n">
        <f aca="false">MAX(0.3*BJ8,AX8*Economy!Q8*AZ8*BE8*BF8-BG8-BH8-BI8)</f>
        <v>1784.03459963689</v>
      </c>
      <c r="BL8" s="66" t="n">
        <f aca="false">1-BK8/BJ8</f>
        <v>7.02853797374115E-005</v>
      </c>
      <c r="BM8" s="49" t="n">
        <f aca="false">MAX(0,BH8-BH7)*1000000/BA8</f>
        <v>0</v>
      </c>
      <c r="BN8" s="49" t="n">
        <f aca="false">BN7*(1-IF(AND($A8&gt;=1930,$A8&lt;=1932),0,union_reabsorb))+BM8</f>
        <v>0</v>
      </c>
      <c r="BO8" s="62" t="n">
        <v>0.04</v>
      </c>
      <c r="BP8" s="66" t="n">
        <f aca="false">BO8+BN8/(AX8*1000000*lf_rate)</f>
        <v>0.04</v>
      </c>
    </row>
    <row r="9" customFormat="false" ht="14.25" hidden="false" customHeight="true" outlineLevel="0" collapsed="false">
      <c r="A9" s="61" t="n">
        <v>1849</v>
      </c>
      <c r="B9" s="49" t="n">
        <f aca="false">Economy!B9*lf_rate</f>
        <v>99073.5643242231</v>
      </c>
      <c r="C9" s="49" t="n">
        <f aca="false">Economy!O9*1000000/(B9+L9)</f>
        <v>756.668105111562</v>
      </c>
      <c r="D9" s="49" t="n">
        <f aca="false">Champions!AP9*1000000/(C9*champ_prem)</f>
        <v>0</v>
      </c>
      <c r="E9" s="49" t="n">
        <f aca="false">D9*job_mult</f>
        <v>0</v>
      </c>
      <c r="F9" s="49" t="n">
        <f aca="false">D9+E9</f>
        <v>0</v>
      </c>
      <c r="G9" s="66" t="n">
        <f aca="false">F9/B9</f>
        <v>0</v>
      </c>
      <c r="H9" s="49" t="n">
        <f aca="false">F9-F8</f>
        <v>0</v>
      </c>
      <c r="I9" s="66" t="n">
        <f aca="false">MAX(0.005,pac_u_base*IF(Paths!AC9=1,pac_u_war,1)+(okun*(1-Economy!G9)*(B9+L9)-MAX(0,L8-L9))/B9)</f>
        <v>0.015</v>
      </c>
      <c r="J9" s="49" t="n">
        <f aca="false">IF(AND(gw_on=1,$A9&gt;=gw_start),MIN(gw_cap*B8,gw_cover*F8+gw_gen*B8),0)</f>
        <v>0</v>
      </c>
      <c r="K9" s="49" t="n">
        <f aca="false">L8*gw_conv</f>
        <v>0</v>
      </c>
      <c r="L9" s="49" t="n">
        <f aca="false">MAX(0,L8-K9+gw_adj*(J9-L8))*MAX(0,1-gw_slump*(1-Economy!G9))</f>
        <v>0</v>
      </c>
      <c r="M9" s="49" t="n">
        <f aca="false">MAX(0,L9-L8+L8/gw_term)</f>
        <v>0</v>
      </c>
      <c r="N9" s="66" t="n">
        <f aca="false">L9/B9</f>
        <v>0</v>
      </c>
      <c r="O9" s="56" t="n">
        <f aca="false">Economy!L9</f>
        <v>0</v>
      </c>
      <c r="P9" s="56" t="n">
        <f aca="false">O9*gw_wage_share</f>
        <v>0</v>
      </c>
      <c r="Q9" s="56" t="n">
        <f aca="false">P9*gw_levy</f>
        <v>0</v>
      </c>
      <c r="R9" s="56" t="n">
        <f aca="false">P9*gw_remit</f>
        <v>0</v>
      </c>
      <c r="S9" s="66" t="n">
        <f aca="false">IF(union_resp&gt;=1,MIN(1,MAX(0,($A9-resp_start)/(resp_full-resp_start))),0)</f>
        <v>0</v>
      </c>
      <c r="T9" s="70" t="n">
        <f aca="false">Economy!R8</f>
        <v>1.58290931402112</v>
      </c>
      <c r="U9" s="70" t="n">
        <f aca="false">MAX(0,T9-gap_base)</f>
        <v>0.082909314021119</v>
      </c>
      <c r="V9" s="71" t="n">
        <v>16.4</v>
      </c>
      <c r="W9" s="49" t="n">
        <f aca="false">V9*1000000*lf_rate*union_skill_share</f>
        <v>826560</v>
      </c>
      <c r="X9" s="47" t="n">
        <v>0</v>
      </c>
      <c r="Y9" s="49" t="n">
        <f aca="false">IF(AND(mig_endo=1,$A9&gt;=talent_start),talent_rate_u*W9*U9*(1-(1-bd_keep)*S9),0)</f>
        <v>0</v>
      </c>
      <c r="Z9" s="49" t="n">
        <f aca="false">IF(AND(mig_endo=1,$A9&gt;=talent_start),X9*MIN(0.5,talent_share_o*U9)*(1-eu_comp*S9),0)</f>
        <v>0</v>
      </c>
      <c r="AA9" s="47" t="n">
        <v>0</v>
      </c>
      <c r="AB9" s="49" t="n">
        <f aca="false">IF(AND(mig_endo=1,$A9&gt;=talent_start),AA9*MIN(0.5,talent_share_a*U9),0)</f>
        <v>0</v>
      </c>
      <c r="AC9" s="49" t="n">
        <f aca="false">entry_cap*People!B9</f>
        <v>585.097183433833</v>
      </c>
      <c r="AD9" s="49" t="n">
        <f aca="false">MIN(AC9,Y9+Z9+AB9)</f>
        <v>0</v>
      </c>
      <c r="AE9" s="49" t="n">
        <f aca="false">IF(Y9+Z9+AB9&gt;0,AD9*Y9/(Y9+Z9+AB9),0)</f>
        <v>0</v>
      </c>
      <c r="AF9" s="49" t="n">
        <f aca="false">IF(Y9+Z9+AB9&gt;0,AD9*AB9/(Y9+Z9+AB9),0)</f>
        <v>0</v>
      </c>
      <c r="AG9" s="49" t="n">
        <f aca="false">AD9*family_mult</f>
        <v>0</v>
      </c>
      <c r="AH9" s="49" t="n">
        <f aca="false">AH8*(1+Paths!C9)+AG9</f>
        <v>0</v>
      </c>
      <c r="AI9" s="49" t="n">
        <f aca="false">IF(AND(mig_endo=1,$A9&gt;=talent_start),chain_rate*AH8,0)</f>
        <v>0</v>
      </c>
      <c r="AJ9" s="49" t="n">
        <f aca="false">IF(AND(mig_endo=1,$A9&gt;=talent_start),IF(H8&gt;0,H8*job_fill,H8*job_return)*job_family,0)</f>
        <v>0</v>
      </c>
      <c r="AK9" s="49" t="n">
        <f aca="false">K9*gw_conv_family</f>
        <v>0</v>
      </c>
      <c r="AL9" s="49" t="n">
        <f aca="false">AG9+AI9+AJ9+AK9+AR9</f>
        <v>0</v>
      </c>
      <c r="AM9" s="49" t="n">
        <f aca="false">AM8*(1-skill_ret)+AD9</f>
        <v>0</v>
      </c>
      <c r="AN9" s="67" t="n">
        <f aca="false">AM9/B9</f>
        <v>0</v>
      </c>
      <c r="AO9" s="67" t="n">
        <f aca="false">(skill_rel-1+skill_spill)*AM8/B8-AT9</f>
        <v>0</v>
      </c>
      <c r="AP9" s="67" t="n">
        <f aca="false">talent_champ*AM8/(skill_base_share*B8)</f>
        <v>0</v>
      </c>
      <c r="AQ9" s="47" t="n">
        <v>315000</v>
      </c>
      <c r="AR9" s="49" t="n">
        <f aca="false">IF(AND(div_on=1,$A9&gt;=div_start),AQ9*MIN(div_max,div_rate*U9)*(1-div_comp*S9),0)</f>
        <v>0</v>
      </c>
      <c r="AS9" s="49" t="n">
        <f aca="false">AS8*(1-div_assim)+AR9</f>
        <v>0</v>
      </c>
      <c r="AT9" s="67" t="n">
        <f aca="false">(1-div_rel)*AS8/Economy!B8</f>
        <v>0</v>
      </c>
      <c r="AU9" s="49" t="n">
        <f aca="false">AU8*(1-skill_ret)+AE9</f>
        <v>0</v>
      </c>
      <c r="AV9" s="49" t="n">
        <f aca="false">AV8*(1+union_nat)+AR9</f>
        <v>0</v>
      </c>
      <c r="AW9" s="49" t="n">
        <f aca="false">AW8*(1+union_nat)+AE9*family_mult</f>
        <v>0</v>
      </c>
      <c r="AX9" s="70" t="n">
        <f aca="false">V9-(AV9+AW9)/1000000</f>
        <v>16.4</v>
      </c>
      <c r="AY9" s="49" t="n">
        <f aca="false">L9*gw_union</f>
        <v>0</v>
      </c>
      <c r="AZ9" s="48" t="n">
        <v>1.119</v>
      </c>
      <c r="BA9" s="49" t="n">
        <f aca="false">Economy!Q9*AZ9/lf_rate</f>
        <v>271.757142857143</v>
      </c>
      <c r="BB9" s="67" t="n">
        <f aca="false">bd_growth*AU8/W8</f>
        <v>0</v>
      </c>
      <c r="BC9" s="67" t="n">
        <f aca="false">tg_k*MIN(1,Economy!O8/BK8)</f>
        <v>4.87337594382854E-005</v>
      </c>
      <c r="BD9" s="67" t="n">
        <f aca="false">emu_g*S9</f>
        <v>0</v>
      </c>
      <c r="BE9" s="68" t="n">
        <f aca="false">BE8*(1-BB9-BC9+BD9)</f>
        <v>0.999880984286095</v>
      </c>
      <c r="BF9" s="48" t="n">
        <v>1</v>
      </c>
      <c r="BG9" s="56" t="n">
        <f aca="false">AU9*BA9*BE9*(skill_rel-1+skill_spill)/1000000</f>
        <v>0</v>
      </c>
      <c r="BH9" s="56" t="n">
        <f aca="false">union_disp*(Champions!AP9+Champions!AZ9)*(1-IF(union_resp=2,mkt_cut*S9,0))</f>
        <v>0</v>
      </c>
      <c r="BI9" s="56" t="n">
        <f aca="false">AY9*BA9*BE9/1000000</f>
        <v>0</v>
      </c>
      <c r="BJ9" s="49" t="n">
        <f aca="false">V9*Economy!Q9*AZ9</f>
        <v>1871.8632</v>
      </c>
      <c r="BK9" s="49" t="n">
        <f aca="false">MAX(0.3*BJ9,AX9*Economy!Q9*AZ9*BE9*BF9-BG9-BH9-BI9)</f>
        <v>1871.64041886492</v>
      </c>
      <c r="BL9" s="66" t="n">
        <f aca="false">1-BK9/BJ9</f>
        <v>0.000119015713904935</v>
      </c>
      <c r="BM9" s="49" t="n">
        <f aca="false">MAX(0,BH9-BH8)*1000000/BA9</f>
        <v>0</v>
      </c>
      <c r="BN9" s="49" t="n">
        <f aca="false">BN8*(1-IF(AND($A9&gt;=1930,$A9&lt;=1932),0,union_reabsorb))+BM9</f>
        <v>0</v>
      </c>
      <c r="BO9" s="62" t="n">
        <v>0.04</v>
      </c>
      <c r="BP9" s="66" t="n">
        <f aca="false">BO9+BN9/(AX9*1000000*lf_rate)</f>
        <v>0.04</v>
      </c>
    </row>
    <row r="10" customFormat="false" ht="14.25" hidden="false" customHeight="true" outlineLevel="0" collapsed="false">
      <c r="A10" s="61" t="n">
        <v>1850</v>
      </c>
      <c r="B10" s="49" t="n">
        <f aca="false">Economy!B10*lf_rate</f>
        <v>132205.376870178</v>
      </c>
      <c r="C10" s="49" t="n">
        <f aca="false">Economy!O10*1000000/(B10+L10)</f>
        <v>676.673772171201</v>
      </c>
      <c r="D10" s="49" t="n">
        <f aca="false">Champions!AP10*1000000/(C10*champ_prem)</f>
        <v>0</v>
      </c>
      <c r="E10" s="49" t="n">
        <f aca="false">D10*job_mult</f>
        <v>0</v>
      </c>
      <c r="F10" s="49" t="n">
        <f aca="false">D10+E10</f>
        <v>0</v>
      </c>
      <c r="G10" s="66" t="n">
        <f aca="false">F10/B10</f>
        <v>0</v>
      </c>
      <c r="H10" s="49" t="n">
        <f aca="false">F10-F9</f>
        <v>0</v>
      </c>
      <c r="I10" s="66" t="n">
        <f aca="false">MAX(0.005,pac_u_base*IF(Paths!AC10=1,pac_u_war,1)+(okun*(1-Economy!G10)*(B10+L10)-MAX(0,L9-L10))/B10)</f>
        <v>0.015</v>
      </c>
      <c r="J10" s="49" t="n">
        <f aca="false">IF(AND(gw_on=1,$A10&gt;=gw_start),MIN(gw_cap*B9,gw_cover*F9+gw_gen*B9),0)</f>
        <v>0</v>
      </c>
      <c r="K10" s="49" t="n">
        <f aca="false">L9*gw_conv</f>
        <v>0</v>
      </c>
      <c r="L10" s="49" t="n">
        <f aca="false">MAX(0,L9-K10+gw_adj*(J10-L9))*MAX(0,1-gw_slump*(1-Economy!G10))</f>
        <v>0</v>
      </c>
      <c r="M10" s="49" t="n">
        <f aca="false">MAX(0,L10-L9+L9/gw_term)</f>
        <v>0</v>
      </c>
      <c r="N10" s="66" t="n">
        <f aca="false">L10/B10</f>
        <v>0</v>
      </c>
      <c r="O10" s="56" t="n">
        <f aca="false">Economy!L10</f>
        <v>0</v>
      </c>
      <c r="P10" s="56" t="n">
        <f aca="false">O10*gw_wage_share</f>
        <v>0</v>
      </c>
      <c r="Q10" s="56" t="n">
        <f aca="false">P10*gw_levy</f>
        <v>0</v>
      </c>
      <c r="R10" s="56" t="n">
        <f aca="false">P10*gw_remit</f>
        <v>0</v>
      </c>
      <c r="S10" s="66" t="n">
        <f aca="false">IF(union_resp&gt;=1,MIN(1,MAX(0,($A10-resp_start)/(resp_full-resp_start))),0)</f>
        <v>0</v>
      </c>
      <c r="T10" s="70" t="n">
        <f aca="false">Economy!R9</f>
        <v>3.1156921975182</v>
      </c>
      <c r="U10" s="70" t="n">
        <f aca="false">MAX(0,T10-gap_base)</f>
        <v>1.6156921975182</v>
      </c>
      <c r="V10" s="71" t="n">
        <v>16.87</v>
      </c>
      <c r="W10" s="49" t="n">
        <f aca="false">V10*1000000*lf_rate*union_skill_share</f>
        <v>850248</v>
      </c>
      <c r="X10" s="47" t="n">
        <v>0</v>
      </c>
      <c r="Y10" s="49" t="n">
        <f aca="false">IF(AND(mig_endo=1,$A10&gt;=talent_start),talent_rate_u*W10*U10*(1-(1-bd_keep)*S10),0)</f>
        <v>0</v>
      </c>
      <c r="Z10" s="49" t="n">
        <f aca="false">IF(AND(mig_endo=1,$A10&gt;=talent_start),X10*MIN(0.5,talent_share_o*U10)*(1-eu_comp*S10),0)</f>
        <v>0</v>
      </c>
      <c r="AA10" s="47" t="n">
        <v>0</v>
      </c>
      <c r="AB10" s="49" t="n">
        <f aca="false">IF(AND(mig_endo=1,$A10&gt;=talent_start),AA10*MIN(0.5,talent_share_a*U10),0)</f>
        <v>0</v>
      </c>
      <c r="AC10" s="49" t="n">
        <f aca="false">entry_cap*People!B10</f>
        <v>830.239449769354</v>
      </c>
      <c r="AD10" s="49" t="n">
        <f aca="false">MIN(AC10,Y10+Z10+AB10)</f>
        <v>0</v>
      </c>
      <c r="AE10" s="49" t="n">
        <f aca="false">IF(Y10+Z10+AB10&gt;0,AD10*Y10/(Y10+Z10+AB10),0)</f>
        <v>0</v>
      </c>
      <c r="AF10" s="49" t="n">
        <f aca="false">IF(Y10+Z10+AB10&gt;0,AD10*AB10/(Y10+Z10+AB10),0)</f>
        <v>0</v>
      </c>
      <c r="AG10" s="49" t="n">
        <f aca="false">AD10*family_mult</f>
        <v>0</v>
      </c>
      <c r="AH10" s="49" t="n">
        <f aca="false">AH9*(1+Paths!C10)+AG10</f>
        <v>0</v>
      </c>
      <c r="AI10" s="49" t="n">
        <f aca="false">IF(AND(mig_endo=1,$A10&gt;=talent_start),chain_rate*AH9,0)</f>
        <v>0</v>
      </c>
      <c r="AJ10" s="49" t="n">
        <f aca="false">IF(AND(mig_endo=1,$A10&gt;=talent_start),IF(H9&gt;0,H9*job_fill,H9*job_return)*job_family,0)</f>
        <v>0</v>
      </c>
      <c r="AK10" s="49" t="n">
        <f aca="false">K10*gw_conv_family</f>
        <v>0</v>
      </c>
      <c r="AL10" s="49" t="n">
        <f aca="false">AG10+AI10+AJ10+AK10+AR10</f>
        <v>0</v>
      </c>
      <c r="AM10" s="49" t="n">
        <f aca="false">AM9*(1-skill_ret)+AD10</f>
        <v>0</v>
      </c>
      <c r="AN10" s="67" t="n">
        <f aca="false">AM10/B10</f>
        <v>0</v>
      </c>
      <c r="AO10" s="67" t="n">
        <f aca="false">(skill_rel-1+skill_spill)*AM9/B9-AT10</f>
        <v>0</v>
      </c>
      <c r="AP10" s="67" t="n">
        <f aca="false">talent_champ*AM9/(skill_base_share*B9)</f>
        <v>0</v>
      </c>
      <c r="AQ10" s="47" t="n">
        <v>370000</v>
      </c>
      <c r="AR10" s="49" t="n">
        <f aca="false">IF(AND(div_on=1,$A10&gt;=div_start),AQ10*MIN(div_max,div_rate*U10)*(1-div_comp*S10),0)</f>
        <v>0</v>
      </c>
      <c r="AS10" s="49" t="n">
        <f aca="false">AS9*(1-div_assim)+AR10</f>
        <v>0</v>
      </c>
      <c r="AT10" s="67" t="n">
        <f aca="false">(1-div_rel)*AS9/Economy!B9</f>
        <v>0</v>
      </c>
      <c r="AU10" s="49" t="n">
        <f aca="false">AU9*(1-skill_ret)+AE10</f>
        <v>0</v>
      </c>
      <c r="AV10" s="49" t="n">
        <f aca="false">AV9*(1+union_nat)+AR10</f>
        <v>0</v>
      </c>
      <c r="AW10" s="49" t="n">
        <f aca="false">AW9*(1+union_nat)+AE10*family_mult</f>
        <v>0</v>
      </c>
      <c r="AX10" s="70" t="n">
        <f aca="false">V10-(AV10+AW10)/1000000</f>
        <v>16.87</v>
      </c>
      <c r="AY10" s="49" t="n">
        <f aca="false">L10*gw_union</f>
        <v>0</v>
      </c>
      <c r="AZ10" s="48" t="n">
        <v>1.119</v>
      </c>
      <c r="BA10" s="49" t="n">
        <f aca="false">Economy!Q10*AZ10/lf_rate</f>
        <v>279.75</v>
      </c>
      <c r="BB10" s="67" t="n">
        <f aca="false">bd_growth*AU9/W9</f>
        <v>0</v>
      </c>
      <c r="BC10" s="67" t="n">
        <f aca="false">tg_k*MIN(1,Economy!O9/BK9)</f>
        <v>0.00012016059082971</v>
      </c>
      <c r="BD10" s="67" t="n">
        <f aca="false">emu_g*S10</f>
        <v>0</v>
      </c>
      <c r="BE10" s="68" t="n">
        <f aca="false">BE9*(1-BB10-BC10+BD10)</f>
        <v>0.999760837996264</v>
      </c>
      <c r="BF10" s="48" t="n">
        <v>1</v>
      </c>
      <c r="BG10" s="56" t="n">
        <f aca="false">AU10*BA10*BE10*(skill_rel-1+skill_spill)/1000000</f>
        <v>0</v>
      </c>
      <c r="BH10" s="56" t="n">
        <f aca="false">union_disp*(Champions!AP10+Champions!AZ10)*(1-IF(union_resp=2,mkt_cut*S10,0))</f>
        <v>0</v>
      </c>
      <c r="BI10" s="56" t="n">
        <f aca="false">AY10*BA10*BE10/1000000</f>
        <v>0</v>
      </c>
      <c r="BJ10" s="49" t="n">
        <f aca="false">V10*Economy!Q10*AZ10</f>
        <v>1982.14065</v>
      </c>
      <c r="BK10" s="49" t="n">
        <f aca="false">MAX(0.3*BJ10,AX10*Economy!Q10*AZ10*BE10*BF10-BG10-BH10-BI10)</f>
        <v>1981.66659727046</v>
      </c>
      <c r="BL10" s="66" t="n">
        <f aca="false">1-BK10/BJ10</f>
        <v>0.000239162003736193</v>
      </c>
      <c r="BM10" s="49" t="n">
        <f aca="false">MAX(0,BH10-BH9)*1000000/BA10</f>
        <v>0</v>
      </c>
      <c r="BN10" s="49" t="n">
        <f aca="false">BN9*(1-IF(AND($A10&gt;=1930,$A10&lt;=1932),0,union_reabsorb))+BM10</f>
        <v>0</v>
      </c>
      <c r="BO10" s="62" t="n">
        <v>0.04</v>
      </c>
      <c r="BP10" s="66" t="n">
        <f aca="false">BO10+BN10/(AX10*1000000*lf_rate)</f>
        <v>0.04</v>
      </c>
    </row>
    <row r="11" customFormat="false" ht="14.25" hidden="false" customHeight="true" outlineLevel="0" collapsed="false">
      <c r="A11" s="61" t="n">
        <v>1851</v>
      </c>
      <c r="B11" s="49" t="n">
        <f aca="false">Economy!B11*lf_rate</f>
        <v>161337.862344356</v>
      </c>
      <c r="C11" s="49" t="n">
        <f aca="false">Economy!O11*1000000/(B11+L11)</f>
        <v>768.613359861076</v>
      </c>
      <c r="D11" s="49" t="n">
        <f aca="false">Champions!AP11*1000000/(C11*champ_prem)</f>
        <v>0</v>
      </c>
      <c r="E11" s="49" t="n">
        <f aca="false">D11*job_mult</f>
        <v>0</v>
      </c>
      <c r="F11" s="49" t="n">
        <f aca="false">D11+E11</f>
        <v>0</v>
      </c>
      <c r="G11" s="66" t="n">
        <f aca="false">F11/B11</f>
        <v>0</v>
      </c>
      <c r="H11" s="49" t="n">
        <f aca="false">F11-F10</f>
        <v>0</v>
      </c>
      <c r="I11" s="66" t="n">
        <f aca="false">MAX(0.005,pac_u_base*IF(Paths!AC11=1,pac_u_war,1)+(okun*(1-Economy!G11)*(B11+L11)-MAX(0,L10-L11))/B11)</f>
        <v>0.015</v>
      </c>
      <c r="J11" s="49" t="n">
        <f aca="false">IF(AND(gw_on=1,$A11&gt;=gw_start),MIN(gw_cap*B10,gw_cover*F10+gw_gen*B10),0)</f>
        <v>0</v>
      </c>
      <c r="K11" s="49" t="n">
        <f aca="false">L10*gw_conv</f>
        <v>0</v>
      </c>
      <c r="L11" s="49" t="n">
        <f aca="false">MAX(0,L10-K11+gw_adj*(J11-L10))*MAX(0,1-gw_slump*(1-Economy!G11))</f>
        <v>0</v>
      </c>
      <c r="M11" s="49" t="n">
        <f aca="false">MAX(0,L11-L10+L10/gw_term)</f>
        <v>0</v>
      </c>
      <c r="N11" s="66" t="n">
        <f aca="false">L11/B11</f>
        <v>0</v>
      </c>
      <c r="O11" s="56" t="n">
        <f aca="false">Economy!L11</f>
        <v>0</v>
      </c>
      <c r="P11" s="56" t="n">
        <f aca="false">O11*gw_wage_share</f>
        <v>0</v>
      </c>
      <c r="Q11" s="56" t="n">
        <f aca="false">P11*gw_levy</f>
        <v>0</v>
      </c>
      <c r="R11" s="56" t="n">
        <f aca="false">P11*gw_remit</f>
        <v>0</v>
      </c>
      <c r="S11" s="66" t="n">
        <f aca="false">IF(union_resp&gt;=1,MIN(1,MAX(0,($A11-resp_start)/(resp_full-resp_start))),0)</f>
        <v>0</v>
      </c>
      <c r="T11" s="70" t="n">
        <f aca="false">Economy!R10</f>
        <v>2.70669508868481</v>
      </c>
      <c r="U11" s="70" t="n">
        <f aca="false">MAX(0,T11-gap_base)</f>
        <v>1.20669508868481</v>
      </c>
      <c r="V11" s="71" t="n">
        <v>17.33</v>
      </c>
      <c r="W11" s="49" t="n">
        <f aca="false">V11*1000000*lf_rate*union_skill_share</f>
        <v>873432</v>
      </c>
      <c r="X11" s="47" t="n">
        <v>0</v>
      </c>
      <c r="Y11" s="49" t="n">
        <f aca="false">IF(AND(mig_endo=1,$A11&gt;=talent_start),talent_rate_u*W11*U11*(1-(1-bd_keep)*S11),0)</f>
        <v>0</v>
      </c>
      <c r="Z11" s="49" t="n">
        <f aca="false">IF(AND(mig_endo=1,$A11&gt;=talent_start),X11*MIN(0.5,talent_share_o*U11)*(1-eu_comp*S11),0)</f>
        <v>0</v>
      </c>
      <c r="AA11" s="47" t="n">
        <v>0</v>
      </c>
      <c r="AB11" s="49" t="n">
        <f aca="false">IF(AND(mig_endo=1,$A11&gt;=talent_start),AA11*MIN(0.5,talent_share_a*U11),0)</f>
        <v>0</v>
      </c>
      <c r="AC11" s="49" t="n">
        <f aca="false">entry_cap*People!B11</f>
        <v>1058.40879123319</v>
      </c>
      <c r="AD11" s="49" t="n">
        <f aca="false">MIN(AC11,Y11+Z11+AB11)</f>
        <v>0</v>
      </c>
      <c r="AE11" s="49" t="n">
        <f aca="false">IF(Y11+Z11+AB11&gt;0,AD11*Y11/(Y11+Z11+AB11),0)</f>
        <v>0</v>
      </c>
      <c r="AF11" s="49" t="n">
        <f aca="false">IF(Y11+Z11+AB11&gt;0,AD11*AB11/(Y11+Z11+AB11),0)</f>
        <v>0</v>
      </c>
      <c r="AG11" s="49" t="n">
        <f aca="false">AD11*family_mult</f>
        <v>0</v>
      </c>
      <c r="AH11" s="49" t="n">
        <f aca="false">AH10*(1+Paths!C11)+AG11</f>
        <v>0</v>
      </c>
      <c r="AI11" s="49" t="n">
        <f aca="false">IF(AND(mig_endo=1,$A11&gt;=talent_start),chain_rate*AH10,0)</f>
        <v>0</v>
      </c>
      <c r="AJ11" s="49" t="n">
        <f aca="false">IF(AND(mig_endo=1,$A11&gt;=talent_start),IF(H10&gt;0,H10*job_fill,H10*job_return)*job_family,0)</f>
        <v>0</v>
      </c>
      <c r="AK11" s="49" t="n">
        <f aca="false">K11*gw_conv_family</f>
        <v>0</v>
      </c>
      <c r="AL11" s="49" t="n">
        <f aca="false">AG11+AI11+AJ11+AK11+AR11</f>
        <v>0</v>
      </c>
      <c r="AM11" s="49" t="n">
        <f aca="false">AM10*(1-skill_ret)+AD11</f>
        <v>0</v>
      </c>
      <c r="AN11" s="67" t="n">
        <f aca="false">AM11/B11</f>
        <v>0</v>
      </c>
      <c r="AO11" s="67" t="n">
        <f aca="false">(skill_rel-1+skill_spill)*AM10/B10-AT11</f>
        <v>0</v>
      </c>
      <c r="AP11" s="67" t="n">
        <f aca="false">talent_champ*AM10/(skill_base_share*B10)</f>
        <v>0</v>
      </c>
      <c r="AQ11" s="47" t="n">
        <v>385000</v>
      </c>
      <c r="AR11" s="49" t="n">
        <f aca="false">IF(AND(div_on=1,$A11&gt;=div_start),AQ11*MIN(div_max,div_rate*U11)*(1-div_comp*S11),0)</f>
        <v>0</v>
      </c>
      <c r="AS11" s="49" t="n">
        <f aca="false">AS10*(1-div_assim)+AR11</f>
        <v>0</v>
      </c>
      <c r="AT11" s="67" t="n">
        <f aca="false">(1-div_rel)*AS10/Economy!B10</f>
        <v>0</v>
      </c>
      <c r="AU11" s="49" t="n">
        <f aca="false">AU10*(1-skill_ret)+AE11</f>
        <v>0</v>
      </c>
      <c r="AV11" s="49" t="n">
        <f aca="false">AV10*(1+union_nat)+AR11</f>
        <v>0</v>
      </c>
      <c r="AW11" s="49" t="n">
        <f aca="false">AW10*(1+union_nat)+AE11*family_mult</f>
        <v>0</v>
      </c>
      <c r="AX11" s="70" t="n">
        <f aca="false">V11-(AV11+AW11)/1000000</f>
        <v>17.33</v>
      </c>
      <c r="AY11" s="49" t="n">
        <f aca="false">L11*gw_union</f>
        <v>0</v>
      </c>
      <c r="AZ11" s="48" t="n">
        <v>1.119</v>
      </c>
      <c r="BA11" s="49" t="n">
        <f aca="false">Economy!Q11*AZ11/lf_rate</f>
        <v>290.407142857143</v>
      </c>
      <c r="BB11" s="67" t="n">
        <f aca="false">bd_growth*AU10/W10</f>
        <v>0</v>
      </c>
      <c r="BC11" s="67" t="n">
        <f aca="false">tg_k*MIN(1,Economy!O10/BK10)</f>
        <v>0.000135431325114851</v>
      </c>
      <c r="BD11" s="67" t="n">
        <f aca="false">emu_g*S11</f>
        <v>0</v>
      </c>
      <c r="BE11" s="68" t="n">
        <f aca="false">BE10*(1-BB11-BC11+BD11)</f>
        <v>0.999625439061176</v>
      </c>
      <c r="BF11" s="48" t="n">
        <v>1</v>
      </c>
      <c r="BG11" s="56" t="n">
        <f aca="false">AU11*BA11*BE11*(skill_rel-1+skill_spill)/1000000</f>
        <v>0</v>
      </c>
      <c r="BH11" s="56" t="n">
        <f aca="false">union_disp*(Champions!AP11+Champions!AZ11)*(1-IF(union_resp=2,mkt_cut*S11,0))</f>
        <v>0</v>
      </c>
      <c r="BI11" s="56" t="n">
        <f aca="false">AY11*BA11*BE11/1000000</f>
        <v>0</v>
      </c>
      <c r="BJ11" s="49" t="n">
        <f aca="false">V11*Economy!Q11*AZ11</f>
        <v>2113.75743</v>
      </c>
      <c r="BK11" s="49" t="n">
        <f aca="false">MAX(0.3*BJ11,AX11*Economy!Q11*AZ11*BE11*BF11-BG11-BH11-BI11)</f>
        <v>2112.96569903257</v>
      </c>
      <c r="BL11" s="66" t="n">
        <f aca="false">1-BK11/BJ11</f>
        <v>0.00037456093882382</v>
      </c>
      <c r="BM11" s="49" t="n">
        <f aca="false">MAX(0,BH11-BH10)*1000000/BA11</f>
        <v>0</v>
      </c>
      <c r="BN11" s="49" t="n">
        <f aca="false">BN10*(1-IF(AND($A11&gt;=1930,$A11&lt;=1932),0,union_reabsorb))+BM11</f>
        <v>0</v>
      </c>
      <c r="BO11" s="62" t="n">
        <v>0.04</v>
      </c>
      <c r="BP11" s="66" t="n">
        <f aca="false">BO11+BN11/(AX11*1000000*lf_rate)</f>
        <v>0.04</v>
      </c>
    </row>
    <row r="12" customFormat="false" ht="14.25" hidden="false" customHeight="true" outlineLevel="0" collapsed="false">
      <c r="A12" s="61" t="n">
        <v>1852</v>
      </c>
      <c r="B12" s="49" t="n">
        <f aca="false">Economy!B12*lf_rate</f>
        <v>197635.023859239</v>
      </c>
      <c r="C12" s="49" t="n">
        <f aca="false">Economy!O12*1000000/(B12+L12)</f>
        <v>738.792118686243</v>
      </c>
      <c r="D12" s="49" t="n">
        <f aca="false">Champions!AP12*1000000/(C12*champ_prem)</f>
        <v>0</v>
      </c>
      <c r="E12" s="49" t="n">
        <f aca="false">D12*job_mult</f>
        <v>0</v>
      </c>
      <c r="F12" s="49" t="n">
        <f aca="false">D12+E12</f>
        <v>0</v>
      </c>
      <c r="G12" s="66" t="n">
        <f aca="false">F12/B12</f>
        <v>0</v>
      </c>
      <c r="H12" s="49" t="n">
        <f aca="false">F12-F11</f>
        <v>0</v>
      </c>
      <c r="I12" s="66" t="n">
        <f aca="false">MAX(0.005,pac_u_base*IF(Paths!AC12=1,pac_u_war,1)+(okun*(1-Economy!G12)*(B12+L12)-MAX(0,L11-L12))/B12)</f>
        <v>0.015</v>
      </c>
      <c r="J12" s="49" t="n">
        <f aca="false">IF(AND(gw_on=1,$A12&gt;=gw_start),MIN(gw_cap*B11,gw_cover*F11+gw_gen*B11),0)</f>
        <v>0</v>
      </c>
      <c r="K12" s="49" t="n">
        <f aca="false">L11*gw_conv</f>
        <v>0</v>
      </c>
      <c r="L12" s="49" t="n">
        <f aca="false">MAX(0,L11-K12+gw_adj*(J12-L11))*MAX(0,1-gw_slump*(1-Economy!G12))</f>
        <v>0</v>
      </c>
      <c r="M12" s="49" t="n">
        <f aca="false">MAX(0,L12-L11+L11/gw_term)</f>
        <v>0</v>
      </c>
      <c r="N12" s="66" t="n">
        <f aca="false">L12/B12</f>
        <v>0</v>
      </c>
      <c r="O12" s="56" t="n">
        <f aca="false">Economy!L12</f>
        <v>0</v>
      </c>
      <c r="P12" s="56" t="n">
        <f aca="false">O12*gw_wage_share</f>
        <v>0</v>
      </c>
      <c r="Q12" s="56" t="n">
        <f aca="false">P12*gw_levy</f>
        <v>0</v>
      </c>
      <c r="R12" s="56" t="n">
        <f aca="false">P12*gw_remit</f>
        <v>0</v>
      </c>
      <c r="S12" s="66" t="n">
        <f aca="false">IF(union_resp&gt;=1,MIN(1,MAX(0,($A12-resp_start)/(resp_full-resp_start))),0)</f>
        <v>0</v>
      </c>
      <c r="T12" s="70" t="n">
        <f aca="false">Economy!R11</f>
        <v>2.96162946001516</v>
      </c>
      <c r="U12" s="70" t="n">
        <f aca="false">MAX(0,T12-gap_base)</f>
        <v>1.46162946001516</v>
      </c>
      <c r="V12" s="71" t="n">
        <v>17.8</v>
      </c>
      <c r="W12" s="49" t="n">
        <f aca="false">V12*1000000*lf_rate*union_skill_share</f>
        <v>897120</v>
      </c>
      <c r="X12" s="47" t="n">
        <v>0</v>
      </c>
      <c r="Y12" s="49" t="n">
        <f aca="false">IF(AND(mig_endo=1,$A12&gt;=talent_start),talent_rate_u*W12*U12*(1-(1-bd_keep)*S12),0)</f>
        <v>0</v>
      </c>
      <c r="Z12" s="49" t="n">
        <f aca="false">IF(AND(mig_endo=1,$A12&gt;=talent_start),X12*MIN(0.5,talent_share_o*U12)*(1-eu_comp*S12),0)</f>
        <v>0</v>
      </c>
      <c r="AA12" s="47" t="n">
        <v>0</v>
      </c>
      <c r="AB12" s="49" t="n">
        <f aca="false">IF(AND(mig_endo=1,$A12&gt;=talent_start),AA12*MIN(0.5,talent_share_a*U12),0)</f>
        <v>0</v>
      </c>
      <c r="AC12" s="49" t="n">
        <f aca="false">entry_cap*People!B12</f>
        <v>1246.41781368618</v>
      </c>
      <c r="AD12" s="49" t="n">
        <f aca="false">MIN(AC12,Y12+Z12+AB12)</f>
        <v>0</v>
      </c>
      <c r="AE12" s="49" t="n">
        <f aca="false">IF(Y12+Z12+AB12&gt;0,AD12*Y12/(Y12+Z12+AB12),0)</f>
        <v>0</v>
      </c>
      <c r="AF12" s="49" t="n">
        <f aca="false">IF(Y12+Z12+AB12&gt;0,AD12*AB12/(Y12+Z12+AB12),0)</f>
        <v>0</v>
      </c>
      <c r="AG12" s="49" t="n">
        <f aca="false">AD12*family_mult</f>
        <v>0</v>
      </c>
      <c r="AH12" s="49" t="n">
        <f aca="false">AH11*(1+Paths!C12)+AG12</f>
        <v>0</v>
      </c>
      <c r="AI12" s="49" t="n">
        <f aca="false">IF(AND(mig_endo=1,$A12&gt;=talent_start),chain_rate*AH11,0)</f>
        <v>0</v>
      </c>
      <c r="AJ12" s="49" t="n">
        <f aca="false">IF(AND(mig_endo=1,$A12&gt;=talent_start),IF(H11&gt;0,H11*job_fill,H11*job_return)*job_family,0)</f>
        <v>0</v>
      </c>
      <c r="AK12" s="49" t="n">
        <f aca="false">K12*gw_conv_family</f>
        <v>0</v>
      </c>
      <c r="AL12" s="49" t="n">
        <f aca="false">AG12+AI12+AJ12+AK12+AR12</f>
        <v>0</v>
      </c>
      <c r="AM12" s="49" t="n">
        <f aca="false">AM11*(1-skill_ret)+AD12</f>
        <v>0</v>
      </c>
      <c r="AN12" s="67" t="n">
        <f aca="false">AM12/B12</f>
        <v>0</v>
      </c>
      <c r="AO12" s="67" t="n">
        <f aca="false">(skill_rel-1+skill_spill)*AM11/B11-AT12</f>
        <v>0</v>
      </c>
      <c r="AP12" s="67" t="n">
        <f aca="false">talent_champ*AM11/(skill_base_share*B11)</f>
        <v>0</v>
      </c>
      <c r="AQ12" s="47" t="n">
        <v>400000</v>
      </c>
      <c r="AR12" s="49" t="n">
        <f aca="false">IF(AND(div_on=1,$A12&gt;=div_start),AQ12*MIN(div_max,div_rate*U12)*(1-div_comp*S12),0)</f>
        <v>0</v>
      </c>
      <c r="AS12" s="49" t="n">
        <f aca="false">AS11*(1-div_assim)+AR12</f>
        <v>0</v>
      </c>
      <c r="AT12" s="67" t="n">
        <f aca="false">(1-div_rel)*AS11/Economy!B11</f>
        <v>0</v>
      </c>
      <c r="AU12" s="49" t="n">
        <f aca="false">AU11*(1-skill_ret)+AE12</f>
        <v>0</v>
      </c>
      <c r="AV12" s="49" t="n">
        <f aca="false">AV11*(1+union_nat)+AR12</f>
        <v>0</v>
      </c>
      <c r="AW12" s="49" t="n">
        <f aca="false">AW11*(1+union_nat)+AE12*family_mult</f>
        <v>0</v>
      </c>
      <c r="AX12" s="70" t="n">
        <f aca="false">V12-(AV12+AW12)/1000000</f>
        <v>17.8</v>
      </c>
      <c r="AY12" s="49" t="n">
        <f aca="false">L12*gw_union</f>
        <v>0</v>
      </c>
      <c r="AZ12" s="48" t="n">
        <v>1.119</v>
      </c>
      <c r="BA12" s="49" t="n">
        <f aca="false">Economy!Q12*AZ12/lf_rate</f>
        <v>301.064285714286</v>
      </c>
      <c r="BB12" s="67" t="n">
        <f aca="false">bd_growth*AU11/W11</f>
        <v>0</v>
      </c>
      <c r="BC12" s="67" t="n">
        <f aca="false">tg_k*MIN(1,Economy!O11/BK11)</f>
        <v>0.000176065001679027</v>
      </c>
      <c r="BD12" s="67" t="n">
        <f aca="false">emu_g*S12</f>
        <v>0</v>
      </c>
      <c r="BE12" s="68" t="n">
        <f aca="false">BE11*(1-BB12-BC12+BD12)</f>
        <v>0.999449440006569</v>
      </c>
      <c r="BF12" s="48" t="n">
        <v>1</v>
      </c>
      <c r="BG12" s="56" t="n">
        <f aca="false">AU12*BA12*BE12*(skill_rel-1+skill_spill)/1000000</f>
        <v>0</v>
      </c>
      <c r="BH12" s="56" t="n">
        <f aca="false">union_disp*(Champions!AP12+Champions!AZ12)*(1-IF(union_resp=2,mkt_cut*S12,0))</f>
        <v>0</v>
      </c>
      <c r="BI12" s="56" t="n">
        <f aca="false">AY12*BA12*BE12/1000000</f>
        <v>0</v>
      </c>
      <c r="BJ12" s="49" t="n">
        <f aca="false">V12*Economy!Q12*AZ12</f>
        <v>2250.7566</v>
      </c>
      <c r="BK12" s="49" t="n">
        <f aca="false">MAX(0.3*BJ12,AX12*Economy!Q12*AZ12*BE12*BF12-BG12-BH12-BI12)</f>
        <v>2249.51742346109</v>
      </c>
      <c r="BL12" s="66" t="n">
        <f aca="false">1-BK12/BJ12</f>
        <v>0.000550559993430566</v>
      </c>
      <c r="BM12" s="49" t="n">
        <f aca="false">MAX(0,BH12-BH11)*1000000/BA12</f>
        <v>0</v>
      </c>
      <c r="BN12" s="49" t="n">
        <f aca="false">BN11*(1-IF(AND($A12&gt;=1930,$A12&lt;=1932),0,union_reabsorb))+BM12</f>
        <v>0</v>
      </c>
      <c r="BO12" s="62" t="n">
        <v>0.04</v>
      </c>
      <c r="BP12" s="66" t="n">
        <f aca="false">BO12+BN12/(AX12*1000000*lf_rate)</f>
        <v>0.04</v>
      </c>
    </row>
    <row r="13" customFormat="false" ht="14.25" hidden="false" customHeight="true" outlineLevel="0" collapsed="false">
      <c r="A13" s="61" t="n">
        <v>1853</v>
      </c>
      <c r="B13" s="49" t="n">
        <f aca="false">Economy!B13*lf_rate</f>
        <v>236232.718102261</v>
      </c>
      <c r="C13" s="49" t="n">
        <f aca="false">Economy!O13*1000000/(B13+L13)</f>
        <v>663.808920474128</v>
      </c>
      <c r="D13" s="49" t="n">
        <f aca="false">Champions!AP13*1000000/(C13*champ_prem)</f>
        <v>0</v>
      </c>
      <c r="E13" s="49" t="n">
        <f aca="false">D13*job_mult</f>
        <v>0</v>
      </c>
      <c r="F13" s="49" t="n">
        <f aca="false">D13+E13</f>
        <v>0</v>
      </c>
      <c r="G13" s="66" t="n">
        <f aca="false">F13/B13</f>
        <v>0</v>
      </c>
      <c r="H13" s="49" t="n">
        <f aca="false">F13-F12</f>
        <v>0</v>
      </c>
      <c r="I13" s="66" t="n">
        <f aca="false">MAX(0.005,pac_u_base*IF(Paths!AC13=1,pac_u_war,1)+(okun*(1-Economy!G13)*(B13+L13)-MAX(0,L12-L13))/B13)</f>
        <v>0.015</v>
      </c>
      <c r="J13" s="49" t="n">
        <f aca="false">IF(AND(gw_on=1,$A13&gt;=gw_start),MIN(gw_cap*B12,gw_cover*F12+gw_gen*B12),0)</f>
        <v>0</v>
      </c>
      <c r="K13" s="49" t="n">
        <f aca="false">L12*gw_conv</f>
        <v>0</v>
      </c>
      <c r="L13" s="49" t="n">
        <f aca="false">MAX(0,L12-K13+gw_adj*(J13-L12))*MAX(0,1-gw_slump*(1-Economy!G13))</f>
        <v>0</v>
      </c>
      <c r="M13" s="49" t="n">
        <f aca="false">MAX(0,L13-L12+L12/gw_term)</f>
        <v>0</v>
      </c>
      <c r="N13" s="66" t="n">
        <f aca="false">L13/B13</f>
        <v>0</v>
      </c>
      <c r="O13" s="56" t="n">
        <f aca="false">Economy!L13</f>
        <v>0</v>
      </c>
      <c r="P13" s="56" t="n">
        <f aca="false">O13*gw_wage_share</f>
        <v>0</v>
      </c>
      <c r="Q13" s="56" t="n">
        <f aca="false">P13*gw_levy</f>
        <v>0</v>
      </c>
      <c r="R13" s="56" t="n">
        <f aca="false">P13*gw_remit</f>
        <v>0</v>
      </c>
      <c r="S13" s="66" t="n">
        <f aca="false">IF(union_resp&gt;=1,MIN(1,MAX(0,($A13-resp_start)/(resp_full-resp_start))),0)</f>
        <v>0</v>
      </c>
      <c r="T13" s="70" t="n">
        <f aca="false">Economy!R12</f>
        <v>2.74595300750639</v>
      </c>
      <c r="U13" s="70" t="n">
        <f aca="false">MAX(0,T13-gap_base)</f>
        <v>1.24595300750639</v>
      </c>
      <c r="V13" s="71" t="n">
        <v>18.27</v>
      </c>
      <c r="W13" s="49" t="n">
        <f aca="false">V13*1000000*lf_rate*union_skill_share</f>
        <v>920808</v>
      </c>
      <c r="X13" s="47" t="n">
        <v>0</v>
      </c>
      <c r="Y13" s="49" t="n">
        <f aca="false">IF(AND(mig_endo=1,$A13&gt;=talent_start),talent_rate_u*W13*U13*(1-(1-bd_keep)*S13),0)</f>
        <v>0</v>
      </c>
      <c r="Z13" s="49" t="n">
        <f aca="false">IF(AND(mig_endo=1,$A13&gt;=talent_start),X13*MIN(0.5,talent_share_o*U13)*(1-eu_comp*S13),0)</f>
        <v>0</v>
      </c>
      <c r="AA13" s="47" t="n">
        <v>0</v>
      </c>
      <c r="AB13" s="49" t="n">
        <f aca="false">IF(AND(mig_endo=1,$A13&gt;=talent_start),AA13*MIN(0.5,talent_share_a*U13),0)</f>
        <v>0</v>
      </c>
      <c r="AC13" s="49" t="n">
        <f aca="false">entry_cap*People!B13</f>
        <v>1576.93967001724</v>
      </c>
      <c r="AD13" s="49" t="n">
        <f aca="false">MIN(AC13,Y13+Z13+AB13)</f>
        <v>0</v>
      </c>
      <c r="AE13" s="49" t="n">
        <f aca="false">IF(Y13+Z13+AB13&gt;0,AD13*Y13/(Y13+Z13+AB13),0)</f>
        <v>0</v>
      </c>
      <c r="AF13" s="49" t="n">
        <f aca="false">IF(Y13+Z13+AB13&gt;0,AD13*AB13/(Y13+Z13+AB13),0)</f>
        <v>0</v>
      </c>
      <c r="AG13" s="49" t="n">
        <f aca="false">AD13*family_mult</f>
        <v>0</v>
      </c>
      <c r="AH13" s="49" t="n">
        <f aca="false">AH12*(1+Paths!C13)+AG13</f>
        <v>0</v>
      </c>
      <c r="AI13" s="49" t="n">
        <f aca="false">IF(AND(mig_endo=1,$A13&gt;=talent_start),chain_rate*AH12,0)</f>
        <v>0</v>
      </c>
      <c r="AJ13" s="49" t="n">
        <f aca="false">IF(AND(mig_endo=1,$A13&gt;=talent_start),IF(H12&gt;0,H12*job_fill,H12*job_return)*job_family,0)</f>
        <v>0</v>
      </c>
      <c r="AK13" s="49" t="n">
        <f aca="false">K13*gw_conv_family</f>
        <v>0</v>
      </c>
      <c r="AL13" s="49" t="n">
        <f aca="false">AG13+AI13+AJ13+AK13+AR13</f>
        <v>0</v>
      </c>
      <c r="AM13" s="49" t="n">
        <f aca="false">AM12*(1-skill_ret)+AD13</f>
        <v>0</v>
      </c>
      <c r="AN13" s="67" t="n">
        <f aca="false">AM13/B13</f>
        <v>0</v>
      </c>
      <c r="AO13" s="67" t="n">
        <f aca="false">(skill_rel-1+skill_spill)*AM12/B12-AT13</f>
        <v>0</v>
      </c>
      <c r="AP13" s="67" t="n">
        <f aca="false">talent_champ*AM12/(skill_base_share*B12)</f>
        <v>0</v>
      </c>
      <c r="AQ13" s="47" t="n">
        <v>415000</v>
      </c>
      <c r="AR13" s="49" t="n">
        <f aca="false">IF(AND(div_on=1,$A13&gt;=div_start),AQ13*MIN(div_max,div_rate*U13)*(1-div_comp*S13),0)</f>
        <v>0</v>
      </c>
      <c r="AS13" s="49" t="n">
        <f aca="false">AS12*(1-div_assim)+AR13</f>
        <v>0</v>
      </c>
      <c r="AT13" s="67" t="n">
        <f aca="false">(1-div_rel)*AS12/Economy!B12</f>
        <v>0</v>
      </c>
      <c r="AU13" s="49" t="n">
        <f aca="false">AU12*(1-skill_ret)+AE13</f>
        <v>0</v>
      </c>
      <c r="AV13" s="49" t="n">
        <f aca="false">AV12*(1+union_nat)+AR13</f>
        <v>0</v>
      </c>
      <c r="AW13" s="49" t="n">
        <f aca="false">AW12*(1+union_nat)+AE13*family_mult</f>
        <v>0</v>
      </c>
      <c r="AX13" s="70" t="n">
        <f aca="false">V13-(AV13+AW13)/1000000</f>
        <v>18.27</v>
      </c>
      <c r="AY13" s="49" t="n">
        <f aca="false">L13*gw_union</f>
        <v>0</v>
      </c>
      <c r="AZ13" s="48" t="n">
        <v>1.119</v>
      </c>
      <c r="BA13" s="49" t="n">
        <f aca="false">Economy!Q13*AZ13/lf_rate</f>
        <v>311.721428571429</v>
      </c>
      <c r="BB13" s="67" t="n">
        <f aca="false">bd_growth*AU12/W12</f>
        <v>0</v>
      </c>
      <c r="BC13" s="67" t="n">
        <f aca="false">tg_k*MIN(1,Economy!O12/BK12)</f>
        <v>0.000194723361305095</v>
      </c>
      <c r="BD13" s="67" t="n">
        <f aca="false">emu_g*S13</f>
        <v>0</v>
      </c>
      <c r="BE13" s="68" t="n">
        <f aca="false">BE12*(1-BB13-BC13+BD13)</f>
        <v>0.999254823852157</v>
      </c>
      <c r="BF13" s="48" t="n">
        <v>1</v>
      </c>
      <c r="BG13" s="56" t="n">
        <f aca="false">AU13*BA13*BE13*(skill_rel-1+skill_spill)/1000000</f>
        <v>0</v>
      </c>
      <c r="BH13" s="56" t="n">
        <f aca="false">union_disp*(Champions!AP13+Champions!AZ13)*(1-IF(union_resp=2,mkt_cut*S13,0))</f>
        <v>0</v>
      </c>
      <c r="BI13" s="56" t="n">
        <f aca="false">AY13*BA13*BE13/1000000</f>
        <v>0</v>
      </c>
      <c r="BJ13" s="49" t="n">
        <f aca="false">V13*Economy!Q13*AZ13</f>
        <v>2391.96321</v>
      </c>
      <c r="BK13" s="49" t="n">
        <f aca="false">MAX(0.3*BJ13,AX13*Economy!Q13*AZ13*BE13*BF13-BG13-BH13-BI13)</f>
        <v>2390.18077606939</v>
      </c>
      <c r="BL13" s="66" t="n">
        <f aca="false">1-BK13/BJ13</f>
        <v>0.000745176147843085</v>
      </c>
      <c r="BM13" s="49" t="n">
        <f aca="false">MAX(0,BH13-BH12)*1000000/BA13</f>
        <v>0</v>
      </c>
      <c r="BN13" s="49" t="n">
        <f aca="false">BN12*(1-IF(AND($A13&gt;=1930,$A13&lt;=1932),0,union_reabsorb))+BM13</f>
        <v>0</v>
      </c>
      <c r="BO13" s="62" t="n">
        <v>0.04</v>
      </c>
      <c r="BP13" s="66" t="n">
        <f aca="false">BO13+BN13/(AX13*1000000*lf_rate)</f>
        <v>0.04</v>
      </c>
    </row>
    <row r="14" customFormat="false" ht="14.25" hidden="false" customHeight="true" outlineLevel="0" collapsed="false">
      <c r="A14" s="61" t="n">
        <v>1854</v>
      </c>
      <c r="B14" s="49" t="n">
        <f aca="false">Economy!B14*lf_rate</f>
        <v>266212.495625318</v>
      </c>
      <c r="C14" s="49" t="n">
        <f aca="false">Economy!O14*1000000/(B14+L14)</f>
        <v>655.545428804176</v>
      </c>
      <c r="D14" s="49" t="n">
        <f aca="false">Champions!AP14*1000000/(C14*champ_prem)</f>
        <v>0</v>
      </c>
      <c r="E14" s="49" t="n">
        <f aca="false">D14*job_mult</f>
        <v>0</v>
      </c>
      <c r="F14" s="49" t="n">
        <f aca="false">D14+E14</f>
        <v>0</v>
      </c>
      <c r="G14" s="66" t="n">
        <f aca="false">F14/B14</f>
        <v>0</v>
      </c>
      <c r="H14" s="49" t="n">
        <f aca="false">F14-F13</f>
        <v>0</v>
      </c>
      <c r="I14" s="66" t="n">
        <f aca="false">MAX(0.005,pac_u_base*IF(Paths!AC14=1,pac_u_war,1)+(okun*(1-Economy!G14)*(B14+L14)-MAX(0,L13-L14))/B14)</f>
        <v>0.015</v>
      </c>
      <c r="J14" s="49" t="n">
        <f aca="false">IF(AND(gw_on=1,$A14&gt;=gw_start),MIN(gw_cap*B13,gw_cover*F13+gw_gen*B13),0)</f>
        <v>0</v>
      </c>
      <c r="K14" s="49" t="n">
        <f aca="false">L13*gw_conv</f>
        <v>0</v>
      </c>
      <c r="L14" s="49" t="n">
        <f aca="false">MAX(0,L13-K14+gw_adj*(J14-L13))*MAX(0,1-gw_slump*(1-Economy!G14))</f>
        <v>0</v>
      </c>
      <c r="M14" s="49" t="n">
        <f aca="false">MAX(0,L14-L13+L13/gw_term)</f>
        <v>0</v>
      </c>
      <c r="N14" s="66" t="n">
        <f aca="false">L14/B14</f>
        <v>0</v>
      </c>
      <c r="O14" s="56" t="n">
        <f aca="false">Economy!L14</f>
        <v>0</v>
      </c>
      <c r="P14" s="56" t="n">
        <f aca="false">O14*gw_wage_share</f>
        <v>0</v>
      </c>
      <c r="Q14" s="56" t="n">
        <f aca="false">P14*gw_levy</f>
        <v>0</v>
      </c>
      <c r="R14" s="56" t="n">
        <f aca="false">P14*gw_remit</f>
        <v>0</v>
      </c>
      <c r="S14" s="66" t="n">
        <f aca="false">IF(union_resp&gt;=1,MIN(1,MAX(0,($A14-resp_start)/(resp_full-resp_start))),0)</f>
        <v>0</v>
      </c>
      <c r="T14" s="70" t="n">
        <f aca="false">Economy!R13</f>
        <v>2.38290381708661</v>
      </c>
      <c r="U14" s="70" t="n">
        <f aca="false">MAX(0,T14-gap_base)</f>
        <v>0.882903817086615</v>
      </c>
      <c r="V14" s="71" t="n">
        <v>18.73</v>
      </c>
      <c r="W14" s="49" t="n">
        <f aca="false">V14*1000000*lf_rate*union_skill_share</f>
        <v>943992</v>
      </c>
      <c r="X14" s="47" t="n">
        <v>0</v>
      </c>
      <c r="Y14" s="49" t="n">
        <f aca="false">IF(AND(mig_endo=1,$A14&gt;=talent_start),talent_rate_u*W14*U14*(1-(1-bd_keep)*S14),0)</f>
        <v>0</v>
      </c>
      <c r="Z14" s="49" t="n">
        <f aca="false">IF(AND(mig_endo=1,$A14&gt;=talent_start),X14*MIN(0.5,talent_share_o*U14)*(1-eu_comp*S14),0)</f>
        <v>0</v>
      </c>
      <c r="AA14" s="47" t="n">
        <v>0</v>
      </c>
      <c r="AB14" s="49" t="n">
        <f aca="false">IF(AND(mig_endo=1,$A14&gt;=talent_start),AA14*MIN(0.5,talent_share_a*U14),0)</f>
        <v>0</v>
      </c>
      <c r="AC14" s="49" t="n">
        <f aca="false">entry_cap*People!B14</f>
        <v>1797.81344572935</v>
      </c>
      <c r="AD14" s="49" t="n">
        <f aca="false">MIN(AC14,Y14+Z14+AB14)</f>
        <v>0</v>
      </c>
      <c r="AE14" s="49" t="n">
        <f aca="false">IF(Y14+Z14+AB14&gt;0,AD14*Y14/(Y14+Z14+AB14),0)</f>
        <v>0</v>
      </c>
      <c r="AF14" s="49" t="n">
        <f aca="false">IF(Y14+Z14+AB14&gt;0,AD14*AB14/(Y14+Z14+AB14),0)</f>
        <v>0</v>
      </c>
      <c r="AG14" s="49" t="n">
        <f aca="false">AD14*family_mult</f>
        <v>0</v>
      </c>
      <c r="AH14" s="49" t="n">
        <f aca="false">AH13*(1+Paths!C14)+AG14</f>
        <v>0</v>
      </c>
      <c r="AI14" s="49" t="n">
        <f aca="false">IF(AND(mig_endo=1,$A14&gt;=talent_start),chain_rate*AH13,0)</f>
        <v>0</v>
      </c>
      <c r="AJ14" s="49" t="n">
        <f aca="false">IF(AND(mig_endo=1,$A14&gt;=talent_start),IF(H13&gt;0,H13*job_fill,H13*job_return)*job_family,0)</f>
        <v>0</v>
      </c>
      <c r="AK14" s="49" t="n">
        <f aca="false">K14*gw_conv_family</f>
        <v>0</v>
      </c>
      <c r="AL14" s="49" t="n">
        <f aca="false">AG14+AI14+AJ14+AK14+AR14</f>
        <v>0</v>
      </c>
      <c r="AM14" s="49" t="n">
        <f aca="false">AM13*(1-skill_ret)+AD14</f>
        <v>0</v>
      </c>
      <c r="AN14" s="67" t="n">
        <f aca="false">AM14/B14</f>
        <v>0</v>
      </c>
      <c r="AO14" s="67" t="n">
        <f aca="false">(skill_rel-1+skill_spill)*AM13/B13-AT14</f>
        <v>0</v>
      </c>
      <c r="AP14" s="67" t="n">
        <f aca="false">talent_champ*AM13/(skill_base_share*B13)</f>
        <v>0</v>
      </c>
      <c r="AQ14" s="47" t="n">
        <v>430000</v>
      </c>
      <c r="AR14" s="49" t="n">
        <f aca="false">IF(AND(div_on=1,$A14&gt;=div_start),AQ14*MIN(div_max,div_rate*U14)*(1-div_comp*S14),0)</f>
        <v>0</v>
      </c>
      <c r="AS14" s="49" t="n">
        <f aca="false">AS13*(1-div_assim)+AR14</f>
        <v>0</v>
      </c>
      <c r="AT14" s="67" t="n">
        <f aca="false">(1-div_rel)*AS13/Economy!B13</f>
        <v>0</v>
      </c>
      <c r="AU14" s="49" t="n">
        <f aca="false">AU13*(1-skill_ret)+AE14</f>
        <v>0</v>
      </c>
      <c r="AV14" s="49" t="n">
        <f aca="false">AV13*(1+union_nat)+AR14</f>
        <v>0</v>
      </c>
      <c r="AW14" s="49" t="n">
        <f aca="false">AW13*(1+union_nat)+AE14*family_mult</f>
        <v>0</v>
      </c>
      <c r="AX14" s="70" t="n">
        <f aca="false">V14-(AV14+AW14)/1000000</f>
        <v>18.73</v>
      </c>
      <c r="AY14" s="49" t="n">
        <f aca="false">L14*gw_union</f>
        <v>0</v>
      </c>
      <c r="AZ14" s="48" t="n">
        <v>1.118</v>
      </c>
      <c r="BA14" s="49" t="n">
        <f aca="false">Economy!Q14*AZ14/lf_rate</f>
        <v>322.090476190476</v>
      </c>
      <c r="BB14" s="67" t="n">
        <f aca="false">bd_growth*AU13/W13</f>
        <v>0</v>
      </c>
      <c r="BC14" s="67" t="n">
        <f aca="false">tg_k*MIN(1,Economy!O13/BK13)</f>
        <v>0.000196821998345256</v>
      </c>
      <c r="BD14" s="67" t="n">
        <f aca="false">emu_g*S14</f>
        <v>0</v>
      </c>
      <c r="BE14" s="68" t="n">
        <f aca="false">BE13*(1-BB14-BC14+BD14)</f>
        <v>0.99905814852087</v>
      </c>
      <c r="BF14" s="48" t="n">
        <v>1</v>
      </c>
      <c r="BG14" s="56" t="n">
        <f aca="false">AU14*BA14*BE14*(skill_rel-1+skill_spill)/1000000</f>
        <v>0</v>
      </c>
      <c r="BH14" s="56" t="n">
        <f aca="false">union_disp*(Champions!AP14+Champions!AZ14)*(1-IF(union_resp=2,mkt_cut*S14,0))</f>
        <v>0</v>
      </c>
      <c r="BI14" s="56" t="n">
        <f aca="false">AY14*BA14*BE14/1000000</f>
        <v>0</v>
      </c>
      <c r="BJ14" s="49" t="n">
        <f aca="false">V14*Economy!Q14*AZ14</f>
        <v>2533.75694</v>
      </c>
      <c r="BK14" s="49" t="n">
        <f aca="false">MAX(0.3*BJ14,AX14*Economy!Q14*AZ14*BE14*BF14-BG14-BH14-BI14)</f>
        <v>2531.37051727831</v>
      </c>
      <c r="BL14" s="66" t="n">
        <f aca="false">1-BK14/BJ14</f>
        <v>0.000941851479130063</v>
      </c>
      <c r="BM14" s="49" t="n">
        <f aca="false">MAX(0,BH14-BH13)*1000000/BA14</f>
        <v>0</v>
      </c>
      <c r="BN14" s="49" t="n">
        <f aca="false">BN13*(1-IF(AND($A14&gt;=1930,$A14&lt;=1932),0,union_reabsorb))+BM14</f>
        <v>0</v>
      </c>
      <c r="BO14" s="62" t="n">
        <v>0.04</v>
      </c>
      <c r="BP14" s="66" t="n">
        <f aca="false">BO14+BN14/(AX14*1000000*lf_rate)</f>
        <v>0.04</v>
      </c>
    </row>
    <row r="15" customFormat="false" ht="14.25" hidden="false" customHeight="true" outlineLevel="0" collapsed="false">
      <c r="A15" s="61" t="n">
        <v>1855</v>
      </c>
      <c r="B15" s="49" t="n">
        <f aca="false">Economy!B15*lf_rate</f>
        <v>294276.608219576</v>
      </c>
      <c r="C15" s="49" t="n">
        <f aca="false">Economy!O15*1000000/(B15+L15)</f>
        <v>613.738655890482</v>
      </c>
      <c r="D15" s="49" t="n">
        <f aca="false">Champions!AP15*1000000/(C15*champ_prem)</f>
        <v>0</v>
      </c>
      <c r="E15" s="49" t="n">
        <f aca="false">D15*job_mult</f>
        <v>0</v>
      </c>
      <c r="F15" s="49" t="n">
        <f aca="false">D15+E15</f>
        <v>0</v>
      </c>
      <c r="G15" s="66" t="n">
        <f aca="false">F15/B15</f>
        <v>0</v>
      </c>
      <c r="H15" s="49" t="n">
        <f aca="false">F15-F14</f>
        <v>0</v>
      </c>
      <c r="I15" s="66" t="n">
        <f aca="false">MAX(0.005,pac_u_base*IF(Paths!AC15=1,pac_u_war,1)+(okun*(1-Economy!G15)*(B15+L15)-MAX(0,L14-L15))/B15)</f>
        <v>0.015</v>
      </c>
      <c r="J15" s="49" t="n">
        <f aca="false">IF(AND(gw_on=1,$A15&gt;=gw_start),MIN(gw_cap*B14,gw_cover*F14+gw_gen*B14),0)</f>
        <v>0</v>
      </c>
      <c r="K15" s="49" t="n">
        <f aca="false">L14*gw_conv</f>
        <v>0</v>
      </c>
      <c r="L15" s="49" t="n">
        <f aca="false">MAX(0,L14-K15+gw_adj*(J15-L14))*MAX(0,1-gw_slump*(1-Economy!G15))</f>
        <v>0</v>
      </c>
      <c r="M15" s="49" t="n">
        <f aca="false">MAX(0,L15-L14+L14/gw_term)</f>
        <v>0</v>
      </c>
      <c r="N15" s="66" t="n">
        <f aca="false">L15/B15</f>
        <v>0</v>
      </c>
      <c r="O15" s="56" t="n">
        <f aca="false">Economy!L15</f>
        <v>0</v>
      </c>
      <c r="P15" s="56" t="n">
        <f aca="false">O15*gw_wage_share</f>
        <v>0</v>
      </c>
      <c r="Q15" s="56" t="n">
        <f aca="false">P15*gw_levy</f>
        <v>0</v>
      </c>
      <c r="R15" s="56" t="n">
        <f aca="false">P15*gw_remit</f>
        <v>0</v>
      </c>
      <c r="S15" s="66" t="n">
        <f aca="false">IF(union_resp&gt;=1,MIN(1,MAX(0,($A15-resp_start)/(resp_full-resp_start))),0)</f>
        <v>0</v>
      </c>
      <c r="T15" s="70" t="n">
        <f aca="false">Economy!R14</f>
        <v>2.27544694295664</v>
      </c>
      <c r="U15" s="70" t="n">
        <f aca="false">MAX(0,T15-gap_base)</f>
        <v>0.775446942956642</v>
      </c>
      <c r="V15" s="71" t="n">
        <v>19.2</v>
      </c>
      <c r="W15" s="49" t="n">
        <f aca="false">V15*1000000*lf_rate*union_skill_share</f>
        <v>967680</v>
      </c>
      <c r="X15" s="47" t="n">
        <v>0</v>
      </c>
      <c r="Y15" s="49" t="n">
        <f aca="false">IF(AND(mig_endo=1,$A15&gt;=talent_start),talent_rate_u*W15*U15*(1-(1-bd_keep)*S15),0)</f>
        <v>0</v>
      </c>
      <c r="Z15" s="49" t="n">
        <f aca="false">IF(AND(mig_endo=1,$A15&gt;=talent_start),X15*MIN(0.5,talent_share_o*U15)*(1-eu_comp*S15),0)</f>
        <v>0</v>
      </c>
      <c r="AA15" s="47" t="n">
        <v>0</v>
      </c>
      <c r="AB15" s="49" t="n">
        <f aca="false">IF(AND(mig_endo=1,$A15&gt;=talent_start),AA15*MIN(0.5,talent_share_a*U15),0)</f>
        <v>0</v>
      </c>
      <c r="AC15" s="49" t="n">
        <f aca="false">entry_cap*People!B15</f>
        <v>2005.22220606092</v>
      </c>
      <c r="AD15" s="49" t="n">
        <f aca="false">MIN(AC15,Y15+Z15+AB15)</f>
        <v>0</v>
      </c>
      <c r="AE15" s="49" t="n">
        <f aca="false">IF(Y15+Z15+AB15&gt;0,AD15*Y15/(Y15+Z15+AB15),0)</f>
        <v>0</v>
      </c>
      <c r="AF15" s="49" t="n">
        <f aca="false">IF(Y15+Z15+AB15&gt;0,AD15*AB15/(Y15+Z15+AB15),0)</f>
        <v>0</v>
      </c>
      <c r="AG15" s="49" t="n">
        <f aca="false">AD15*family_mult</f>
        <v>0</v>
      </c>
      <c r="AH15" s="49" t="n">
        <f aca="false">AH14*(1+Paths!C15)+AG15</f>
        <v>0</v>
      </c>
      <c r="AI15" s="49" t="n">
        <f aca="false">IF(AND(mig_endo=1,$A15&gt;=talent_start),chain_rate*AH14,0)</f>
        <v>0</v>
      </c>
      <c r="AJ15" s="49" t="n">
        <f aca="false">IF(AND(mig_endo=1,$A15&gt;=talent_start),IF(H14&gt;0,H14*job_fill,H14*job_return)*job_family,0)</f>
        <v>0</v>
      </c>
      <c r="AK15" s="49" t="n">
        <f aca="false">K15*gw_conv_family</f>
        <v>0</v>
      </c>
      <c r="AL15" s="49" t="n">
        <f aca="false">AG15+AI15+AJ15+AK15+AR15</f>
        <v>0</v>
      </c>
      <c r="AM15" s="49" t="n">
        <f aca="false">AM14*(1-skill_ret)+AD15</f>
        <v>0</v>
      </c>
      <c r="AN15" s="67" t="n">
        <f aca="false">AM15/B15</f>
        <v>0</v>
      </c>
      <c r="AO15" s="67" t="n">
        <f aca="false">(skill_rel-1+skill_spill)*AM14/B14-AT15</f>
        <v>0</v>
      </c>
      <c r="AP15" s="67" t="n">
        <f aca="false">talent_champ*AM14/(skill_base_share*B14)</f>
        <v>0</v>
      </c>
      <c r="AQ15" s="47" t="n">
        <v>315000</v>
      </c>
      <c r="AR15" s="49" t="n">
        <f aca="false">IF(AND(div_on=1,$A15&gt;=div_start),AQ15*MIN(div_max,div_rate*U15)*(1-div_comp*S15),0)</f>
        <v>0</v>
      </c>
      <c r="AS15" s="49" t="n">
        <f aca="false">AS14*(1-div_assim)+AR15</f>
        <v>0</v>
      </c>
      <c r="AT15" s="67" t="n">
        <f aca="false">(1-div_rel)*AS14/Economy!B14</f>
        <v>0</v>
      </c>
      <c r="AU15" s="49" t="n">
        <f aca="false">AU14*(1-skill_ret)+AE15</f>
        <v>0</v>
      </c>
      <c r="AV15" s="49" t="n">
        <f aca="false">AV14*(1+union_nat)+AR15</f>
        <v>0</v>
      </c>
      <c r="AW15" s="49" t="n">
        <f aca="false">AW14*(1+union_nat)+AE15*family_mult</f>
        <v>0</v>
      </c>
      <c r="AX15" s="70" t="n">
        <f aca="false">V15-(AV15+AW15)/1000000</f>
        <v>19.2</v>
      </c>
      <c r="AY15" s="49" t="n">
        <f aca="false">L15*gw_union</f>
        <v>0</v>
      </c>
      <c r="AZ15" s="48" t="n">
        <v>1.118</v>
      </c>
      <c r="BA15" s="49" t="n">
        <f aca="false">Economy!Q15*AZ15/lf_rate</f>
        <v>332.738095238095</v>
      </c>
      <c r="BB15" s="67" t="n">
        <f aca="false">bd_growth*AU14/W14</f>
        <v>0</v>
      </c>
      <c r="BC15" s="67" t="n">
        <f aca="false">tg_k*MIN(1,Economy!O14/BK14)</f>
        <v>0.000206822016065864</v>
      </c>
      <c r="BD15" s="67" t="n">
        <f aca="false">emu_g*S15</f>
        <v>0</v>
      </c>
      <c r="BE15" s="68" t="n">
        <f aca="false">BE14*(1-BB15-BC15+BD15)</f>
        <v>0.998851521300426</v>
      </c>
      <c r="BF15" s="48" t="n">
        <v>1</v>
      </c>
      <c r="BG15" s="56" t="n">
        <f aca="false">AU15*BA15*BE15*(skill_rel-1+skill_spill)/1000000</f>
        <v>0</v>
      </c>
      <c r="BH15" s="56" t="n">
        <f aca="false">union_disp*(Champions!AP15+Champions!AZ15)*(1-IF(union_resp=2,mkt_cut*S15,0))</f>
        <v>0</v>
      </c>
      <c r="BI15" s="56" t="n">
        <f aca="false">AY15*BA15*BE15/1000000</f>
        <v>0</v>
      </c>
      <c r="BJ15" s="49" t="n">
        <f aca="false">V15*Economy!Q15*AZ15</f>
        <v>2683.2</v>
      </c>
      <c r="BK15" s="49" t="n">
        <f aca="false">MAX(0.3*BJ15,AX15*Economy!Q15*AZ15*BE15*BF15-BG15-BH15-BI15)</f>
        <v>2680.1184019533</v>
      </c>
      <c r="BL15" s="66" t="n">
        <f aca="false">1-BK15/BJ15</f>
        <v>0.00114847869957391</v>
      </c>
      <c r="BM15" s="49" t="n">
        <f aca="false">MAX(0,BH15-BH14)*1000000/BA15</f>
        <v>0</v>
      </c>
      <c r="BN15" s="49" t="n">
        <f aca="false">BN14*(1-IF(AND($A15&gt;=1930,$A15&lt;=1932),0,union_reabsorb))+BM15</f>
        <v>0</v>
      </c>
      <c r="BO15" s="62" t="n">
        <v>0.04</v>
      </c>
      <c r="BP15" s="66" t="n">
        <f aca="false">BO15+BN15/(AX15*1000000*lf_rate)</f>
        <v>0.04</v>
      </c>
    </row>
    <row r="16" customFormat="false" ht="14.25" hidden="false" customHeight="true" outlineLevel="0" collapsed="false">
      <c r="A16" s="61" t="n">
        <v>1856</v>
      </c>
      <c r="B16" s="49" t="n">
        <f aca="false">Economy!B16*lf_rate</f>
        <v>339654.546906766</v>
      </c>
      <c r="C16" s="49" t="n">
        <f aca="false">Economy!O16*1000000/(B16+L16)</f>
        <v>604.638889779387</v>
      </c>
      <c r="D16" s="49" t="n">
        <f aca="false">Champions!AP16*1000000/(C16*champ_prem)</f>
        <v>0</v>
      </c>
      <c r="E16" s="49" t="n">
        <f aca="false">D16*job_mult</f>
        <v>0</v>
      </c>
      <c r="F16" s="49" t="n">
        <f aca="false">D16+E16</f>
        <v>0</v>
      </c>
      <c r="G16" s="66" t="n">
        <f aca="false">F16/B16</f>
        <v>0</v>
      </c>
      <c r="H16" s="49" t="n">
        <f aca="false">F16-F15</f>
        <v>0</v>
      </c>
      <c r="I16" s="66" t="n">
        <f aca="false">MAX(0.005,pac_u_base*IF(Paths!AC16=1,pac_u_war,1)+(okun*(1-Economy!G16)*(B16+L16)-MAX(0,L15-L16))/B16)</f>
        <v>0.015</v>
      </c>
      <c r="J16" s="49" t="n">
        <f aca="false">IF(AND(gw_on=1,$A16&gt;=gw_start),MIN(gw_cap*B15,gw_cover*F15+gw_gen*B15),0)</f>
        <v>0</v>
      </c>
      <c r="K16" s="49" t="n">
        <f aca="false">L15*gw_conv</f>
        <v>0</v>
      </c>
      <c r="L16" s="49" t="n">
        <f aca="false">MAX(0,L15-K16+gw_adj*(J16-L15))*MAX(0,1-gw_slump*(1-Economy!G16))</f>
        <v>0</v>
      </c>
      <c r="M16" s="49" t="n">
        <f aca="false">MAX(0,L16-L15+L15/gw_term)</f>
        <v>0</v>
      </c>
      <c r="N16" s="66" t="n">
        <f aca="false">L16/B16</f>
        <v>0</v>
      </c>
      <c r="O16" s="56" t="n">
        <f aca="false">Economy!L16</f>
        <v>0</v>
      </c>
      <c r="P16" s="56" t="n">
        <f aca="false">O16*gw_wage_share</f>
        <v>0</v>
      </c>
      <c r="Q16" s="56" t="n">
        <f aca="false">P16*gw_levy</f>
        <v>0</v>
      </c>
      <c r="R16" s="56" t="n">
        <f aca="false">P16*gw_remit</f>
        <v>0</v>
      </c>
      <c r="S16" s="66" t="n">
        <f aca="false">IF(union_resp&gt;=1,MIN(1,MAX(0,($A16-resp_start)/(resp_full-resp_start))),0)</f>
        <v>0</v>
      </c>
      <c r="T16" s="70" t="n">
        <f aca="false">Economy!R15</f>
        <v>2.06216188379202</v>
      </c>
      <c r="U16" s="70" t="n">
        <f aca="false">MAX(0,T16-gap_base)</f>
        <v>0.562161883792021</v>
      </c>
      <c r="V16" s="71" t="n">
        <v>19.67</v>
      </c>
      <c r="W16" s="49" t="n">
        <f aca="false">V16*1000000*lf_rate*union_skill_share</f>
        <v>991368</v>
      </c>
      <c r="X16" s="47" t="n">
        <v>0</v>
      </c>
      <c r="Y16" s="49" t="n">
        <f aca="false">IF(AND(mig_endo=1,$A16&gt;=talent_start),talent_rate_u*W16*U16*(1-(1-bd_keep)*S16),0)</f>
        <v>5573.09302411128</v>
      </c>
      <c r="Z16" s="49" t="n">
        <f aca="false">IF(AND(mig_endo=1,$A16&gt;=talent_start),X16*MIN(0.5,talent_share_o*U16)*(1-eu_comp*S16),0)</f>
        <v>0</v>
      </c>
      <c r="AA16" s="47" t="n">
        <v>0</v>
      </c>
      <c r="AB16" s="49" t="n">
        <f aca="false">IF(AND(mig_endo=1,$A16&gt;=talent_start),AA16*MIN(0.5,talent_share_a*U16),0)</f>
        <v>0</v>
      </c>
      <c r="AC16" s="49" t="n">
        <f aca="false">entry_cap*People!B16</f>
        <v>2198.72933993302</v>
      </c>
      <c r="AD16" s="49" t="n">
        <f aca="false">MIN(AC16,Y16+Z16+AB16)</f>
        <v>2198.72933993302</v>
      </c>
      <c r="AE16" s="49" t="n">
        <f aca="false">IF(Y16+Z16+AB16&gt;0,AD16*Y16/(Y16+Z16+AB16),0)</f>
        <v>2198.72933993302</v>
      </c>
      <c r="AF16" s="49" t="n">
        <f aca="false">IF(Y16+Z16+AB16&gt;0,AD16*AB16/(Y16+Z16+AB16),0)</f>
        <v>0</v>
      </c>
      <c r="AG16" s="49" t="n">
        <f aca="false">AD16*family_mult</f>
        <v>4837.20454785265</v>
      </c>
      <c r="AH16" s="49" t="n">
        <f aca="false">AH15*(1+Paths!C16)+AG16</f>
        <v>4837.20454785265</v>
      </c>
      <c r="AI16" s="49" t="n">
        <f aca="false">IF(AND(mig_endo=1,$A16&gt;=talent_start),chain_rate*AH15,0)</f>
        <v>0</v>
      </c>
      <c r="AJ16" s="49" t="n">
        <f aca="false">IF(AND(mig_endo=1,$A16&gt;=talent_start),IF(H15&gt;0,H15*job_fill,H15*job_return)*job_family,0)</f>
        <v>0</v>
      </c>
      <c r="AK16" s="49" t="n">
        <f aca="false">K16*gw_conv_family</f>
        <v>0</v>
      </c>
      <c r="AL16" s="49" t="n">
        <f aca="false">AG16+AI16+AJ16+AK16+AR16</f>
        <v>4837.20454785265</v>
      </c>
      <c r="AM16" s="49" t="n">
        <f aca="false">AM15*(1-skill_ret)+AD16</f>
        <v>2198.72933993302</v>
      </c>
      <c r="AN16" s="67" t="n">
        <f aca="false">AM16/B16</f>
        <v>0.00647342825219579</v>
      </c>
      <c r="AO16" s="67" t="n">
        <f aca="false">(skill_rel-1+skill_spill)*AM15/B15-AT16</f>
        <v>0</v>
      </c>
      <c r="AP16" s="67" t="n">
        <f aca="false">talent_champ*AM15/(skill_base_share*B15)</f>
        <v>0</v>
      </c>
      <c r="AQ16" s="47" t="n">
        <v>200000</v>
      </c>
      <c r="AR16" s="49" t="n">
        <f aca="false">IF(AND(div_on=1,$A16&gt;=div_start),AQ16*MIN(div_max,div_rate*U16)*(1-div_comp*S16),0)</f>
        <v>0</v>
      </c>
      <c r="AS16" s="49" t="n">
        <f aca="false">AS15*(1-div_assim)+AR16</f>
        <v>0</v>
      </c>
      <c r="AT16" s="67" t="n">
        <f aca="false">(1-div_rel)*AS15/Economy!B15</f>
        <v>0</v>
      </c>
      <c r="AU16" s="49" t="n">
        <f aca="false">AU15*(1-skill_ret)+AE16</f>
        <v>2198.72933993302</v>
      </c>
      <c r="AV16" s="49" t="n">
        <f aca="false">AV15*(1+union_nat)+AR16</f>
        <v>0</v>
      </c>
      <c r="AW16" s="49" t="n">
        <f aca="false">AW15*(1+union_nat)+AE16*family_mult</f>
        <v>4837.20454785265</v>
      </c>
      <c r="AX16" s="70" t="n">
        <f aca="false">V16-(AV16+AW16)/1000000</f>
        <v>19.6651627954521</v>
      </c>
      <c r="AY16" s="49" t="n">
        <f aca="false">L16*gw_union</f>
        <v>0</v>
      </c>
      <c r="AZ16" s="48" t="n">
        <v>1.118</v>
      </c>
      <c r="BA16" s="49" t="n">
        <f aca="false">Economy!Q16*AZ16/lf_rate</f>
        <v>340.72380952381</v>
      </c>
      <c r="BB16" s="67" t="n">
        <f aca="false">bd_growth*AU15/W15</f>
        <v>0</v>
      </c>
      <c r="BC16" s="67" t="n">
        <f aca="false">tg_k*MIN(1,Economy!O15/BK15)</f>
        <v>0.000202165243733705</v>
      </c>
      <c r="BD16" s="67" t="n">
        <f aca="false">emu_g*S16</f>
        <v>0</v>
      </c>
      <c r="BE16" s="68" t="n">
        <f aca="false">BE15*(1-BB16-BC16+BD16)</f>
        <v>0.998649588239169</v>
      </c>
      <c r="BF16" s="48" t="n">
        <v>1</v>
      </c>
      <c r="BG16" s="56" t="n">
        <f aca="false">AU16*BA16*BE16*(skill_rel-1+skill_spill)/1000000</f>
        <v>0.972592092029401</v>
      </c>
      <c r="BH16" s="56" t="n">
        <f aca="false">union_disp*(Champions!AP16+Champions!AZ16)*(1-IF(union_resp=2,mkt_cut*S16,0))</f>
        <v>0</v>
      </c>
      <c r="BI16" s="56" t="n">
        <f aca="false">AY16*BA16*BE16/1000000</f>
        <v>0</v>
      </c>
      <c r="BJ16" s="49" t="n">
        <f aca="false">V16*Economy!Q16*AZ16</f>
        <v>2814.85568</v>
      </c>
      <c r="BK16" s="49" t="n">
        <f aca="false">MAX(0.3*BJ16,AX16*Economy!Q16*AZ16*BE16*BF16-BG16-BH16-BI16)</f>
        <v>2809.39058515955</v>
      </c>
      <c r="BL16" s="66" t="n">
        <f aca="false">1-BK16/BJ16</f>
        <v>0.00194151866444858</v>
      </c>
      <c r="BM16" s="49" t="n">
        <f aca="false">MAX(0,BH16-BH15)*1000000/BA16</f>
        <v>0</v>
      </c>
      <c r="BN16" s="49" t="n">
        <f aca="false">BN15*(1-IF(AND($A16&gt;=1930,$A16&lt;=1932),0,union_reabsorb))+BM16</f>
        <v>0</v>
      </c>
      <c r="BO16" s="62" t="n">
        <v>0.04</v>
      </c>
      <c r="BP16" s="66" t="n">
        <f aca="false">BO16+BN16/(AX16*1000000*lf_rate)</f>
        <v>0.04</v>
      </c>
    </row>
    <row r="17" customFormat="false" ht="14.25" hidden="false" customHeight="true" outlineLevel="0" collapsed="false">
      <c r="A17" s="61" t="n">
        <v>1857</v>
      </c>
      <c r="B17" s="49" t="n">
        <f aca="false">Economy!B17*lf_rate</f>
        <v>389094.831633966</v>
      </c>
      <c r="C17" s="49" t="n">
        <f aca="false">Economy!O17*1000000/(B17+L17)</f>
        <v>557.964612917238</v>
      </c>
      <c r="D17" s="49" t="n">
        <f aca="false">Champions!AP17*1000000/(C17*champ_prem)</f>
        <v>0</v>
      </c>
      <c r="E17" s="49" t="n">
        <f aca="false">D17*job_mult</f>
        <v>0</v>
      </c>
      <c r="F17" s="49" t="n">
        <f aca="false">D17+E17</f>
        <v>0</v>
      </c>
      <c r="G17" s="66" t="n">
        <f aca="false">F17/B17</f>
        <v>0</v>
      </c>
      <c r="H17" s="49" t="n">
        <f aca="false">F17-F16</f>
        <v>0</v>
      </c>
      <c r="I17" s="66" t="n">
        <f aca="false">MAX(0.005,pac_u_base*IF(Paths!AC17=1,pac_u_war,1)+(okun*(1-Economy!G17)*(B17+L17)-MAX(0,L16-L17))/B17)</f>
        <v>0.03</v>
      </c>
      <c r="J17" s="49" t="n">
        <f aca="false">IF(AND(gw_on=1,$A17&gt;=gw_start),MIN(gw_cap*B16,gw_cover*F16+gw_gen*B16),0)</f>
        <v>0</v>
      </c>
      <c r="K17" s="49" t="n">
        <f aca="false">L16*gw_conv</f>
        <v>0</v>
      </c>
      <c r="L17" s="49" t="n">
        <f aca="false">MAX(0,L16-K17+gw_adj*(J17-L16))*MAX(0,1-gw_slump*(1-Economy!G17))</f>
        <v>0</v>
      </c>
      <c r="M17" s="49" t="n">
        <f aca="false">MAX(0,L17-L16+L16/gw_term)</f>
        <v>0</v>
      </c>
      <c r="N17" s="66" t="n">
        <f aca="false">L17/B17</f>
        <v>0</v>
      </c>
      <c r="O17" s="56" t="n">
        <f aca="false">Economy!L17</f>
        <v>0</v>
      </c>
      <c r="P17" s="56" t="n">
        <f aca="false">O17*gw_wage_share</f>
        <v>0</v>
      </c>
      <c r="Q17" s="56" t="n">
        <f aca="false">P17*gw_levy</f>
        <v>0</v>
      </c>
      <c r="R17" s="56" t="n">
        <f aca="false">P17*gw_remit</f>
        <v>0</v>
      </c>
      <c r="S17" s="66" t="n">
        <f aca="false">IF(union_resp&gt;=1,MIN(1,MAX(0,($A17-resp_start)/(resp_full-resp_start))),0)</f>
        <v>0</v>
      </c>
      <c r="T17" s="70" t="n">
        <f aca="false">Economy!R16</f>
        <v>1.98397135708861</v>
      </c>
      <c r="U17" s="70" t="n">
        <f aca="false">MAX(0,T17-gap_base)</f>
        <v>0.483971357088613</v>
      </c>
      <c r="V17" s="71" t="n">
        <v>20.13</v>
      </c>
      <c r="W17" s="49" t="n">
        <f aca="false">V17*1000000*lf_rate*union_skill_share</f>
        <v>1014552</v>
      </c>
      <c r="X17" s="47" t="n">
        <v>0</v>
      </c>
      <c r="Y17" s="49" t="n">
        <f aca="false">IF(AND(mig_endo=1,$A17&gt;=talent_start),talent_rate_u*W17*U17*(1-(1-bd_keep)*S17),0)</f>
        <v>4910.14108276967</v>
      </c>
      <c r="Z17" s="49" t="n">
        <f aca="false">IF(AND(mig_endo=1,$A17&gt;=talent_start),X17*MIN(0.5,talent_share_o*U17)*(1-eu_comp*S17),0)</f>
        <v>0</v>
      </c>
      <c r="AA17" s="47" t="n">
        <v>0</v>
      </c>
      <c r="AB17" s="49" t="n">
        <f aca="false">IF(AND(mig_endo=1,$A17&gt;=talent_start),AA17*MIN(0.5,talent_share_a*U17),0)</f>
        <v>0</v>
      </c>
      <c r="AC17" s="49" t="n">
        <f aca="false">entry_cap*People!B17</f>
        <v>2653.47847302078</v>
      </c>
      <c r="AD17" s="49" t="n">
        <f aca="false">MIN(AC17,Y17+Z17+AB17)</f>
        <v>2653.47847302078</v>
      </c>
      <c r="AE17" s="49" t="n">
        <f aca="false">IF(Y17+Z17+AB17&gt;0,AD17*Y17/(Y17+Z17+AB17),0)</f>
        <v>2653.47847302078</v>
      </c>
      <c r="AF17" s="49" t="n">
        <f aca="false">IF(Y17+Z17+AB17&gt;0,AD17*AB17/(Y17+Z17+AB17),0)</f>
        <v>0</v>
      </c>
      <c r="AG17" s="49" t="n">
        <f aca="false">AD17*family_mult</f>
        <v>5837.65264064572</v>
      </c>
      <c r="AH17" s="49" t="n">
        <f aca="false">AH16*(1+Paths!C17)+AG17</f>
        <v>10775.8386706393</v>
      </c>
      <c r="AI17" s="49" t="n">
        <f aca="false">IF(AND(mig_endo=1,$A17&gt;=talent_start),chain_rate*AH16,0)</f>
        <v>72.5580682177897</v>
      </c>
      <c r="AJ17" s="49" t="n">
        <f aca="false">IF(AND(mig_endo=1,$A17&gt;=talent_start),IF(H16&gt;0,H16*job_fill,H16*job_return)*job_family,0)</f>
        <v>0</v>
      </c>
      <c r="AK17" s="49" t="n">
        <f aca="false">K17*gw_conv_family</f>
        <v>0</v>
      </c>
      <c r="AL17" s="49" t="n">
        <f aca="false">AG17+AI17+AJ17+AK17+AR17</f>
        <v>5910.21070886351</v>
      </c>
      <c r="AM17" s="49" t="n">
        <f aca="false">AM16*(1-skill_ret)+AD17</f>
        <v>4797.23957945548</v>
      </c>
      <c r="AN17" s="67" t="n">
        <f aca="false">AM17/B17</f>
        <v>0.0123292297646564</v>
      </c>
      <c r="AO17" s="67" t="n">
        <f aca="false">(skill_rel-1+skill_spill)*AM16/B16-AT17</f>
        <v>0.00841545672785453</v>
      </c>
      <c r="AP17" s="67" t="n">
        <f aca="false">talent_champ*AM16/(skill_base_share*B16)</f>
        <v>0.0129468565043916</v>
      </c>
      <c r="AQ17" s="47" t="n">
        <v>188000</v>
      </c>
      <c r="AR17" s="49" t="n">
        <f aca="false">IF(AND(div_on=1,$A17&gt;=div_start),AQ17*MIN(div_max,div_rate*U17)*(1-div_comp*S17),0)</f>
        <v>0</v>
      </c>
      <c r="AS17" s="49" t="n">
        <f aca="false">AS16*(1-div_assim)+AR17</f>
        <v>0</v>
      </c>
      <c r="AT17" s="67" t="n">
        <f aca="false">(1-div_rel)*AS16/Economy!B16</f>
        <v>0</v>
      </c>
      <c r="AU17" s="49" t="n">
        <f aca="false">AU16*(1-skill_ret)+AE17</f>
        <v>4797.23957945548</v>
      </c>
      <c r="AV17" s="49" t="n">
        <f aca="false">AV16*(1+union_nat)+AR17</f>
        <v>0</v>
      </c>
      <c r="AW17" s="49" t="n">
        <f aca="false">AW16*(1+union_nat)+AE17*family_mult</f>
        <v>10737.7408476205</v>
      </c>
      <c r="AX17" s="70" t="n">
        <f aca="false">V17-(AV17+AW17)/1000000</f>
        <v>20.1192622591524</v>
      </c>
      <c r="AY17" s="49" t="n">
        <f aca="false">L17*gw_union</f>
        <v>0</v>
      </c>
      <c r="AZ17" s="48" t="n">
        <v>1.118</v>
      </c>
      <c r="BA17" s="49" t="n">
        <f aca="false">Economy!Q17*AZ17/lf_rate</f>
        <v>348.709523809524</v>
      </c>
      <c r="BB17" s="67" t="n">
        <f aca="false">bd_growth*AU16/W16</f>
        <v>6.65362208564233E-005</v>
      </c>
      <c r="BC17" s="67" t="n">
        <f aca="false">tg_k*MIN(1,Economy!O16/BK16)</f>
        <v>0.000219302025038891</v>
      </c>
      <c r="BD17" s="67" t="n">
        <f aca="false">emu_g*S17</f>
        <v>0</v>
      </c>
      <c r="BE17" s="68" t="n">
        <f aca="false">BE16*(1-BB17-BC17+BD17)</f>
        <v>0.998364135992602</v>
      </c>
      <c r="BF17" s="48" t="n">
        <v>1</v>
      </c>
      <c r="BG17" s="56" t="n">
        <f aca="false">AU17*BA17*BE17*(skill_rel-1+skill_spill)/1000000</f>
        <v>2.17113856113283</v>
      </c>
      <c r="BH17" s="56" t="n">
        <f aca="false">union_disp*(Champions!AP17+Champions!AZ17)*(1-IF(union_resp=2,mkt_cut*S17,0))</f>
        <v>0</v>
      </c>
      <c r="BI17" s="56" t="n">
        <f aca="false">AY17*BA17*BE17/1000000</f>
        <v>0</v>
      </c>
      <c r="BJ17" s="49" t="n">
        <f aca="false">V17*Economy!Q17*AZ17</f>
        <v>2948.19954</v>
      </c>
      <c r="BK17" s="49" t="n">
        <f aca="false">MAX(0.3*BJ17,AX17*Economy!Q17*AZ17*BE17*BF17-BG17-BH17-BI17)</f>
        <v>2939.63549248132</v>
      </c>
      <c r="BL17" s="66" t="n">
        <f aca="false">1-BK17/BJ17</f>
        <v>0.00290483985310019</v>
      </c>
      <c r="BM17" s="49" t="n">
        <f aca="false">MAX(0,BH17-BH16)*1000000/BA17</f>
        <v>0</v>
      </c>
      <c r="BN17" s="49" t="n">
        <f aca="false">BN16*(1-IF(AND($A17&gt;=1930,$A17&lt;=1932),0,union_reabsorb))+BM17</f>
        <v>0</v>
      </c>
      <c r="BO17" s="62" t="n">
        <v>0.04</v>
      </c>
      <c r="BP17" s="66" t="n">
        <f aca="false">BO17+BN17/(AX17*1000000*lf_rate)</f>
        <v>0.04</v>
      </c>
    </row>
    <row r="18" customFormat="false" ht="14.25" hidden="false" customHeight="true" outlineLevel="0" collapsed="false">
      <c r="A18" s="61" t="n">
        <v>1858</v>
      </c>
      <c r="B18" s="49" t="n">
        <f aca="false">Economy!B18*lf_rate</f>
        <v>425056.840568967</v>
      </c>
      <c r="C18" s="49" t="n">
        <f aca="false">Economy!O18*1000000/(B18+L18)</f>
        <v>571.608519145317</v>
      </c>
      <c r="D18" s="49" t="n">
        <f aca="false">Champions!AP18*1000000/(C18*champ_prem)</f>
        <v>0</v>
      </c>
      <c r="E18" s="49" t="n">
        <f aca="false">D18*job_mult</f>
        <v>0</v>
      </c>
      <c r="F18" s="49" t="n">
        <f aca="false">D18+E18</f>
        <v>0</v>
      </c>
      <c r="G18" s="66" t="n">
        <f aca="false">F18/B18</f>
        <v>0</v>
      </c>
      <c r="H18" s="49" t="n">
        <f aca="false">F18-F17</f>
        <v>0</v>
      </c>
      <c r="I18" s="66" t="n">
        <f aca="false">MAX(0.005,pac_u_base*IF(Paths!AC18=1,pac_u_war,1)+(okun*(1-Economy!G18)*(B18+L18)-MAX(0,L17-L18))/B18)</f>
        <v>0.025</v>
      </c>
      <c r="J18" s="49" t="n">
        <f aca="false">IF(AND(gw_on=1,$A18&gt;=gw_start),MIN(gw_cap*B17,gw_cover*F17+gw_gen*B17),0)</f>
        <v>0</v>
      </c>
      <c r="K18" s="49" t="n">
        <f aca="false">L17*gw_conv</f>
        <v>0</v>
      </c>
      <c r="L18" s="49" t="n">
        <f aca="false">MAX(0,L17-K18+gw_adj*(J18-L17))*MAX(0,1-gw_slump*(1-Economy!G18))</f>
        <v>0</v>
      </c>
      <c r="M18" s="49" t="n">
        <f aca="false">MAX(0,L18-L17+L17/gw_term)</f>
        <v>0</v>
      </c>
      <c r="N18" s="66" t="n">
        <f aca="false">L18/B18</f>
        <v>0</v>
      </c>
      <c r="O18" s="56" t="n">
        <f aca="false">Economy!L18</f>
        <v>0</v>
      </c>
      <c r="P18" s="56" t="n">
        <f aca="false">O18*gw_wage_share</f>
        <v>0</v>
      </c>
      <c r="Q18" s="56" t="n">
        <f aca="false">P18*gw_levy</f>
        <v>0</v>
      </c>
      <c r="R18" s="56" t="n">
        <f aca="false">P18*gw_remit</f>
        <v>0</v>
      </c>
      <c r="S18" s="66" t="n">
        <f aca="false">IF(union_resp&gt;=1,MIN(1,MAX(0,($A18-resp_start)/(resp_full-resp_start))),0)</f>
        <v>0</v>
      </c>
      <c r="T18" s="70" t="n">
        <f aca="false">Economy!R17</f>
        <v>1.78889417881863</v>
      </c>
      <c r="U18" s="70" t="n">
        <f aca="false">MAX(0,T18-gap_base)</f>
        <v>0.288894178818626</v>
      </c>
      <c r="V18" s="71" t="n">
        <v>20.6</v>
      </c>
      <c r="W18" s="49" t="n">
        <f aca="false">V18*1000000*lf_rate*union_skill_share</f>
        <v>1038240</v>
      </c>
      <c r="X18" s="47" t="n">
        <v>0</v>
      </c>
      <c r="Y18" s="49" t="n">
        <f aca="false">IF(AND(mig_endo=1,$A18&gt;=talent_start),talent_rate_u*W18*U18*(1-(1-bd_keep)*S18),0)</f>
        <v>2999.4149221665</v>
      </c>
      <c r="Z18" s="49" t="n">
        <f aca="false">IF(AND(mig_endo=1,$A18&gt;=talent_start),X18*MIN(0.5,talent_share_o*U18)*(1-eu_comp*S18),0)</f>
        <v>0</v>
      </c>
      <c r="AA18" s="47" t="n">
        <v>0</v>
      </c>
      <c r="AB18" s="49" t="n">
        <f aca="false">IF(AND(mig_endo=1,$A18&gt;=talent_start),AA18*MIN(0.5,talent_share_a*U18),0)</f>
        <v>0</v>
      </c>
      <c r="AC18" s="49" t="n">
        <f aca="false">entry_cap*People!B18</f>
        <v>2905.01912175016</v>
      </c>
      <c r="AD18" s="49" t="n">
        <f aca="false">MIN(AC18,Y18+Z18+AB18)</f>
        <v>2905.01912175016</v>
      </c>
      <c r="AE18" s="49" t="n">
        <f aca="false">IF(Y18+Z18+AB18&gt;0,AD18*Y18/(Y18+Z18+AB18),0)</f>
        <v>2905.01912175016</v>
      </c>
      <c r="AF18" s="49" t="n">
        <f aca="false">IF(Y18+Z18+AB18&gt;0,AD18*AB18/(Y18+Z18+AB18),0)</f>
        <v>0</v>
      </c>
      <c r="AG18" s="49" t="n">
        <f aca="false">AD18*family_mult</f>
        <v>6391.04206785034</v>
      </c>
      <c r="AH18" s="49" t="n">
        <f aca="false">AH17*(1+Paths!C18)+AG18</f>
        <v>17404.7573771441</v>
      </c>
      <c r="AI18" s="49" t="n">
        <f aca="false">IF(AND(mig_endo=1,$A18&gt;=talent_start),chain_rate*AH17,0)</f>
        <v>161.63758005959</v>
      </c>
      <c r="AJ18" s="49" t="n">
        <f aca="false">IF(AND(mig_endo=1,$A18&gt;=talent_start),IF(H17&gt;0,H17*job_fill,H17*job_return)*job_family,0)</f>
        <v>0</v>
      </c>
      <c r="AK18" s="49" t="n">
        <f aca="false">K18*gw_conv_family</f>
        <v>0</v>
      </c>
      <c r="AL18" s="49" t="n">
        <f aca="false">AG18+AI18+AJ18+AK18+AR18</f>
        <v>6552.67964790993</v>
      </c>
      <c r="AM18" s="49" t="n">
        <f aca="false">AM17*(1-skill_ret)+AD18</f>
        <v>7582.32771171925</v>
      </c>
      <c r="AN18" s="67" t="n">
        <f aca="false">AM18/B18</f>
        <v>0.017838385335876</v>
      </c>
      <c r="AO18" s="67" t="n">
        <f aca="false">(skill_rel-1+skill_spill)*AM17/B17-AT18</f>
        <v>0.0160279986940534</v>
      </c>
      <c r="AP18" s="67" t="n">
        <f aca="false">talent_champ*AM17/(skill_base_share*B17)</f>
        <v>0.0246584595293129</v>
      </c>
      <c r="AQ18" s="47" t="n">
        <v>175000</v>
      </c>
      <c r="AR18" s="49" t="n">
        <f aca="false">IF(AND(div_on=1,$A18&gt;=div_start),AQ18*MIN(div_max,div_rate*U18)*(1-div_comp*S18),0)</f>
        <v>0</v>
      </c>
      <c r="AS18" s="49" t="n">
        <f aca="false">AS17*(1-div_assim)+AR18</f>
        <v>0</v>
      </c>
      <c r="AT18" s="67" t="n">
        <f aca="false">(1-div_rel)*AS17/Economy!B17</f>
        <v>0</v>
      </c>
      <c r="AU18" s="49" t="n">
        <f aca="false">AU17*(1-skill_ret)+AE18</f>
        <v>7582.32771171925</v>
      </c>
      <c r="AV18" s="49" t="n">
        <f aca="false">AV17*(1+union_nat)+AR18</f>
        <v>0</v>
      </c>
      <c r="AW18" s="49" t="n">
        <f aca="false">AW17*(1+union_nat)+AE18*family_mult</f>
        <v>17268.3735464899</v>
      </c>
      <c r="AX18" s="70" t="n">
        <f aca="false">V18-(AV18+AW18)/1000000</f>
        <v>20.5827316264535</v>
      </c>
      <c r="AY18" s="49" t="n">
        <f aca="false">L18*gw_union</f>
        <v>0</v>
      </c>
      <c r="AZ18" s="48" t="n">
        <v>1.118</v>
      </c>
      <c r="BA18" s="49" t="n">
        <f aca="false">Economy!Q18*AZ18/lf_rate</f>
        <v>356.695238095238</v>
      </c>
      <c r="BB18" s="67" t="n">
        <f aca="false">bd_growth*AU17/W17</f>
        <v>0.000141852943352006</v>
      </c>
      <c r="BC18" s="67" t="n">
        <f aca="false">tg_k*MIN(1,Economy!O17/BK17)</f>
        <v>0.000221559252168531</v>
      </c>
      <c r="BD18" s="67" t="n">
        <f aca="false">emu_g*S18</f>
        <v>0</v>
      </c>
      <c r="BE18" s="68" t="n">
        <f aca="false">BE17*(1-BB18-BC18+BD18)</f>
        <v>0.998001318290012</v>
      </c>
      <c r="BF18" s="48" t="n">
        <v>1</v>
      </c>
      <c r="BG18" s="56" t="n">
        <f aca="false">AU18*BA18*BE18*(skill_rel-1+skill_spill)/1000000</f>
        <v>3.50892697153957</v>
      </c>
      <c r="BH18" s="56" t="n">
        <f aca="false">union_disp*(Champions!AP18+Champions!AZ18)*(1-IF(union_resp=2,mkt_cut*S18,0))</f>
        <v>0</v>
      </c>
      <c r="BI18" s="56" t="n">
        <f aca="false">AY18*BA18*BE18/1000000</f>
        <v>0</v>
      </c>
      <c r="BJ18" s="49" t="n">
        <f aca="false">V18*Economy!Q18*AZ18</f>
        <v>3086.1272</v>
      </c>
      <c r="BK18" s="49" t="n">
        <f aca="false">MAX(0.3*BJ18,AX18*Economy!Q18*AZ18*BE18*BF18-BG18-BH18-BI18)</f>
        <v>3073.86824807011</v>
      </c>
      <c r="BL18" s="66" t="n">
        <f aca="false">1-BK18/BJ18</f>
        <v>0.00397227694629543</v>
      </c>
      <c r="BM18" s="49" t="n">
        <f aca="false">MAX(0,BH18-BH17)*1000000/BA18</f>
        <v>0</v>
      </c>
      <c r="BN18" s="49" t="n">
        <f aca="false">BN17*(1-IF(AND($A18&gt;=1930,$A18&lt;=1932),0,union_reabsorb))+BM18</f>
        <v>0</v>
      </c>
      <c r="BO18" s="62" t="n">
        <v>0.04</v>
      </c>
      <c r="BP18" s="66" t="n">
        <f aca="false">BO18+BN18/(AX18*1000000*lf_rate)</f>
        <v>0.04</v>
      </c>
    </row>
    <row r="19" customFormat="false" ht="14.25" hidden="false" customHeight="true" outlineLevel="0" collapsed="false">
      <c r="A19" s="61" t="n">
        <v>1859</v>
      </c>
      <c r="B19" s="49" t="n">
        <f aca="false">Economy!B19*lf_rate</f>
        <v>462477.745087142</v>
      </c>
      <c r="C19" s="49" t="n">
        <f aca="false">Economy!O19*1000000/(B19+L19)</f>
        <v>582.475802022696</v>
      </c>
      <c r="D19" s="49" t="n">
        <f aca="false">Champions!AP19*1000000/(C19*champ_prem)</f>
        <v>0</v>
      </c>
      <c r="E19" s="49" t="n">
        <f aca="false">D19*job_mult</f>
        <v>0</v>
      </c>
      <c r="F19" s="49" t="n">
        <f aca="false">D19+E19</f>
        <v>0</v>
      </c>
      <c r="G19" s="66" t="n">
        <f aca="false">F19/B19</f>
        <v>0</v>
      </c>
      <c r="H19" s="49" t="n">
        <f aca="false">F19-F18</f>
        <v>0</v>
      </c>
      <c r="I19" s="66" t="n">
        <f aca="false">MAX(0.005,pac_u_base*IF(Paths!AC19=1,pac_u_war,1)+(okun*(1-Economy!G19)*(B19+L19)-MAX(0,L18-L19))/B19)</f>
        <v>0.015</v>
      </c>
      <c r="J19" s="49" t="n">
        <f aca="false">IF(AND(gw_on=1,$A19&gt;=gw_start),MIN(gw_cap*B18,gw_cover*F18+gw_gen*B18),0)</f>
        <v>0</v>
      </c>
      <c r="K19" s="49" t="n">
        <f aca="false">L18*gw_conv</f>
        <v>0</v>
      </c>
      <c r="L19" s="49" t="n">
        <f aca="false">MAX(0,L18-K19+gw_adj*(J19-L18))*MAX(0,1-gw_slump*(1-Economy!G19))</f>
        <v>0</v>
      </c>
      <c r="M19" s="49" t="n">
        <f aca="false">MAX(0,L19-L18+L18/gw_term)</f>
        <v>0</v>
      </c>
      <c r="N19" s="66" t="n">
        <f aca="false">L19/B19</f>
        <v>0</v>
      </c>
      <c r="O19" s="56" t="n">
        <f aca="false">Economy!L19</f>
        <v>0</v>
      </c>
      <c r="P19" s="56" t="n">
        <f aca="false">O19*gw_wage_share</f>
        <v>0</v>
      </c>
      <c r="Q19" s="56" t="n">
        <f aca="false">P19*gw_levy</f>
        <v>0</v>
      </c>
      <c r="R19" s="56" t="n">
        <f aca="false">P19*gw_remit</f>
        <v>0</v>
      </c>
      <c r="S19" s="66" t="n">
        <f aca="false">IF(union_resp&gt;=1,MIN(1,MAX(0,($A19-resp_start)/(resp_full-resp_start))),0)</f>
        <v>0</v>
      </c>
      <c r="T19" s="70" t="n">
        <f aca="false">Economy!R18</f>
        <v>1.79160879135099</v>
      </c>
      <c r="U19" s="70" t="n">
        <f aca="false">MAX(0,T19-gap_base)</f>
        <v>0.291608791350994</v>
      </c>
      <c r="V19" s="71" t="n">
        <v>21.07</v>
      </c>
      <c r="W19" s="49" t="n">
        <f aca="false">V19*1000000*lf_rate*union_skill_share</f>
        <v>1061928</v>
      </c>
      <c r="X19" s="47" t="n">
        <v>0</v>
      </c>
      <c r="Y19" s="49" t="n">
        <f aca="false">IF(AND(mig_endo=1,$A19&gt;=talent_start),talent_rate_u*W19*U19*(1-(1-bd_keep)*S19),0)</f>
        <v>3096.67540581779</v>
      </c>
      <c r="Z19" s="49" t="n">
        <f aca="false">IF(AND(mig_endo=1,$A19&gt;=talent_start),X19*MIN(0.5,talent_share_o*U19)*(1-eu_comp*S19),0)</f>
        <v>0</v>
      </c>
      <c r="AA19" s="47" t="n">
        <v>0</v>
      </c>
      <c r="AB19" s="49" t="n">
        <f aca="false">IF(AND(mig_endo=1,$A19&gt;=talent_start),AA19*MIN(0.5,talent_share_a*U19),0)</f>
        <v>0</v>
      </c>
      <c r="AC19" s="49" t="n">
        <f aca="false">entry_cap*People!B19</f>
        <v>3167.22145780652</v>
      </c>
      <c r="AD19" s="49" t="n">
        <f aca="false">MIN(AC19,Y19+Z19+AB19)</f>
        <v>3096.67540581779</v>
      </c>
      <c r="AE19" s="49" t="n">
        <f aca="false">IF(Y19+Z19+AB19&gt;0,AD19*Y19/(Y19+Z19+AB19),0)</f>
        <v>3096.67540581779</v>
      </c>
      <c r="AF19" s="49" t="n">
        <f aca="false">IF(Y19+Z19+AB19&gt;0,AD19*AB19/(Y19+Z19+AB19),0)</f>
        <v>0</v>
      </c>
      <c r="AG19" s="49" t="n">
        <f aca="false">AD19*family_mult</f>
        <v>6812.68589279913</v>
      </c>
      <c r="AH19" s="49" t="n">
        <f aca="false">AH18*(1+Paths!C19)+AG19</f>
        <v>24617.1957373814</v>
      </c>
      <c r="AI19" s="49" t="n">
        <f aca="false">IF(AND(mig_endo=1,$A19&gt;=talent_start),chain_rate*AH18,0)</f>
        <v>261.071360657161</v>
      </c>
      <c r="AJ19" s="49" t="n">
        <f aca="false">IF(AND(mig_endo=1,$A19&gt;=talent_start),IF(H18&gt;0,H18*job_fill,H18*job_return)*job_family,0)</f>
        <v>0</v>
      </c>
      <c r="AK19" s="49" t="n">
        <f aca="false">K19*gw_conv_family</f>
        <v>0</v>
      </c>
      <c r="AL19" s="49" t="n">
        <f aca="false">AG19+AI19+AJ19+AK19+AR19</f>
        <v>7073.75725345629</v>
      </c>
      <c r="AM19" s="49" t="n">
        <f aca="false">AM18*(1-skill_ret)+AD19</f>
        <v>10489.4449247441</v>
      </c>
      <c r="AN19" s="67" t="n">
        <f aca="false">AM19/B19</f>
        <v>0.0226809722979591</v>
      </c>
      <c r="AO19" s="67" t="n">
        <f aca="false">(skill_rel-1+skill_spill)*AM18/B18-AT19</f>
        <v>0.0231899009366388</v>
      </c>
      <c r="AP19" s="67" t="n">
        <f aca="false">talent_champ*AM18/(skill_base_share*B18)</f>
        <v>0.035676770671752</v>
      </c>
      <c r="AQ19" s="47" t="n">
        <v>162000</v>
      </c>
      <c r="AR19" s="49" t="n">
        <f aca="false">IF(AND(div_on=1,$A19&gt;=div_start),AQ19*MIN(div_max,div_rate*U19)*(1-div_comp*S19),0)</f>
        <v>0</v>
      </c>
      <c r="AS19" s="49" t="n">
        <f aca="false">AS18*(1-div_assim)+AR19</f>
        <v>0</v>
      </c>
      <c r="AT19" s="67" t="n">
        <f aca="false">(1-div_rel)*AS18/Economy!B18</f>
        <v>0</v>
      </c>
      <c r="AU19" s="49" t="n">
        <f aca="false">AU18*(1-skill_ret)+AE19</f>
        <v>10489.4449247441</v>
      </c>
      <c r="AV19" s="49" t="n">
        <f aca="false">AV18*(1+union_nat)+AR19</f>
        <v>0</v>
      </c>
      <c r="AW19" s="49" t="n">
        <f aca="false">AW18*(1+union_nat)+AE19*family_mult</f>
        <v>24305.5482953934</v>
      </c>
      <c r="AX19" s="70" t="n">
        <f aca="false">V19-(AV19+AW19)/1000000</f>
        <v>21.0456944517046</v>
      </c>
      <c r="AY19" s="49" t="n">
        <f aca="false">L19*gw_union</f>
        <v>0</v>
      </c>
      <c r="AZ19" s="48" t="n">
        <v>1.117</v>
      </c>
      <c r="BA19" s="49" t="n">
        <f aca="false">Economy!Q19*AZ19/lf_rate</f>
        <v>364.354761904762</v>
      </c>
      <c r="BB19" s="67" t="n">
        <f aca="false">bd_growth*AU18/W18</f>
        <v>0.00021909176235897</v>
      </c>
      <c r="BC19" s="67" t="n">
        <f aca="false">tg_k*MIN(1,Economy!O18/BK18)</f>
        <v>0.000237127383071241</v>
      </c>
      <c r="BD19" s="67" t="n">
        <f aca="false">emu_g*S19</f>
        <v>0</v>
      </c>
      <c r="BE19" s="68" t="n">
        <f aca="false">BE18*(1-BB19-BC19+BD19)</f>
        <v>0.997546010981444</v>
      </c>
      <c r="BF19" s="48" t="n">
        <v>1</v>
      </c>
      <c r="BG19" s="56" t="n">
        <f aca="false">AU19*BA19*BE19*(skill_rel-1+skill_spill)/1000000</f>
        <v>4.9562504659998</v>
      </c>
      <c r="BH19" s="56" t="n">
        <f aca="false">union_disp*(Champions!AP19+Champions!AZ19)*(1-IF(union_resp=2,mkt_cut*S19,0))</f>
        <v>0</v>
      </c>
      <c r="BI19" s="56" t="n">
        <f aca="false">AY19*BA19*BE19/1000000</f>
        <v>0</v>
      </c>
      <c r="BJ19" s="49" t="n">
        <f aca="false">V19*Economy!Q19*AZ19</f>
        <v>3224.32103</v>
      </c>
      <c r="BK19" s="49" t="n">
        <f aca="false">MAX(0.3*BJ19,AX19*Economy!Q19*AZ19*BE19*BF19-BG19-BH19-BI19)</f>
        <v>3207.74200488264</v>
      </c>
      <c r="BL19" s="66" t="n">
        <f aca="false">1-BK19/BJ19</f>
        <v>0.00514186551621321</v>
      </c>
      <c r="BM19" s="49" t="n">
        <f aca="false">MAX(0,BH19-BH18)*1000000/BA19</f>
        <v>0</v>
      </c>
      <c r="BN19" s="49" t="n">
        <f aca="false">BN18*(1-IF(AND($A19&gt;=1930,$A19&lt;=1932),0,union_reabsorb))+BM19</f>
        <v>0</v>
      </c>
      <c r="BO19" s="62" t="n">
        <v>0.04</v>
      </c>
      <c r="BP19" s="66" t="n">
        <f aca="false">BO19+BN19/(AX19*1000000*lf_rate)</f>
        <v>0.04</v>
      </c>
    </row>
    <row r="20" customFormat="false" ht="14.25" hidden="false" customHeight="true" outlineLevel="0" collapsed="false">
      <c r="A20" s="61" t="n">
        <v>1860</v>
      </c>
      <c r="B20" s="49" t="n">
        <f aca="false">Economy!B20*lf_rate</f>
        <v>501854.873968796</v>
      </c>
      <c r="C20" s="49" t="n">
        <f aca="false">Economy!O20*1000000/(B20+L20)</f>
        <v>585.245385887357</v>
      </c>
      <c r="D20" s="49" t="n">
        <f aca="false">Champions!AP20*1000000/(C20*champ_prem)</f>
        <v>992.330140298449</v>
      </c>
      <c r="E20" s="49" t="n">
        <f aca="false">D20*job_mult</f>
        <v>694.631098208914</v>
      </c>
      <c r="F20" s="49" t="n">
        <f aca="false">D20+E20</f>
        <v>1686.96123850736</v>
      </c>
      <c r="G20" s="66" t="n">
        <f aca="false">F20/B20</f>
        <v>0.0033614523361434</v>
      </c>
      <c r="H20" s="49" t="n">
        <f aca="false">F20-F19</f>
        <v>1686.96123850736</v>
      </c>
      <c r="I20" s="66" t="n">
        <f aca="false">MAX(0.005,pac_u_base*IF(Paths!AC20=1,pac_u_war,1)+(okun*(1-Economy!G20)*(B20+L20)-MAX(0,L19-L20))/B20)</f>
        <v>0.015</v>
      </c>
      <c r="J20" s="49" t="n">
        <f aca="false">IF(AND(gw_on=1,$A20&gt;=gw_start),MIN(gw_cap*B19,gw_cover*F19+gw_gen*B19),0)</f>
        <v>0</v>
      </c>
      <c r="K20" s="49" t="n">
        <f aca="false">L19*gw_conv</f>
        <v>0</v>
      </c>
      <c r="L20" s="49" t="n">
        <f aca="false">MAX(0,L19-K20+gw_adj*(J20-L19))*MAX(0,1-gw_slump*(1-Economy!G20))</f>
        <v>0</v>
      </c>
      <c r="M20" s="49" t="n">
        <f aca="false">MAX(0,L20-L19+L19/gw_term)</f>
        <v>0</v>
      </c>
      <c r="N20" s="66" t="n">
        <f aca="false">L20/B20</f>
        <v>0</v>
      </c>
      <c r="O20" s="56" t="n">
        <f aca="false">Economy!L20</f>
        <v>0</v>
      </c>
      <c r="P20" s="56" t="n">
        <f aca="false">O20*gw_wage_share</f>
        <v>0</v>
      </c>
      <c r="Q20" s="56" t="n">
        <f aca="false">P20*gw_levy</f>
        <v>0</v>
      </c>
      <c r="R20" s="56" t="n">
        <f aca="false">P20*gw_remit</f>
        <v>0</v>
      </c>
      <c r="S20" s="66" t="n">
        <f aca="false">IF(union_resp&gt;=1,MIN(1,MAX(0,($A20-resp_start)/(resp_full-resp_start))),0)</f>
        <v>0</v>
      </c>
      <c r="T20" s="70" t="n">
        <f aca="false">Economy!R19</f>
        <v>1.78569223977761</v>
      </c>
      <c r="U20" s="70" t="n">
        <f aca="false">MAX(0,T20-gap_base)</f>
        <v>0.285692239777608</v>
      </c>
      <c r="V20" s="71" t="n">
        <v>21.53</v>
      </c>
      <c r="W20" s="49" t="n">
        <f aca="false">V20*1000000*lf_rate*union_skill_share</f>
        <v>1085112</v>
      </c>
      <c r="X20" s="47" t="n">
        <v>0</v>
      </c>
      <c r="Y20" s="49" t="n">
        <f aca="false">IF(AND(mig_endo=1,$A20&gt;=talent_start),talent_rate_u*W20*U20*(1-(1-bd_keep)*S20),0)</f>
        <v>3100.0807768956</v>
      </c>
      <c r="Z20" s="49" t="n">
        <f aca="false">IF(AND(mig_endo=1,$A20&gt;=talent_start),X20*MIN(0.5,talent_share_o*U20)*(1-eu_comp*S20),0)</f>
        <v>0</v>
      </c>
      <c r="AA20" s="47" t="n">
        <v>0</v>
      </c>
      <c r="AB20" s="49" t="n">
        <f aca="false">IF(AND(mig_endo=1,$A20&gt;=talent_start),AA20*MIN(0.5,talent_share_a*U20),0)</f>
        <v>0</v>
      </c>
      <c r="AC20" s="49" t="n">
        <f aca="false">entry_cap*People!B20</f>
        <v>3439.60347200979</v>
      </c>
      <c r="AD20" s="49" t="n">
        <f aca="false">MIN(AC20,Y20+Z20+AB20)</f>
        <v>3100.0807768956</v>
      </c>
      <c r="AE20" s="49" t="n">
        <f aca="false">IF(Y20+Z20+AB20&gt;0,AD20*Y20/(Y20+Z20+AB20),0)</f>
        <v>3100.0807768956</v>
      </c>
      <c r="AF20" s="49" t="n">
        <f aca="false">IF(Y20+Z20+AB20&gt;0,AD20*AB20/(Y20+Z20+AB20),0)</f>
        <v>0</v>
      </c>
      <c r="AG20" s="49" t="n">
        <f aca="false">AD20*family_mult</f>
        <v>6820.17770917032</v>
      </c>
      <c r="AH20" s="49" t="n">
        <f aca="false">AH19*(1+Paths!C20)+AG20</f>
        <v>32017.7484532563</v>
      </c>
      <c r="AI20" s="49" t="n">
        <f aca="false">IF(AND(mig_endo=1,$A20&gt;=talent_start),chain_rate*AH19,0)</f>
        <v>369.257936060722</v>
      </c>
      <c r="AJ20" s="49" t="n">
        <f aca="false">IF(AND(mig_endo=1,$A20&gt;=talent_start),IF(H19&gt;0,H19*job_fill,H19*job_return)*job_family,0)</f>
        <v>0</v>
      </c>
      <c r="AK20" s="49" t="n">
        <f aca="false">K20*gw_conv_family</f>
        <v>0</v>
      </c>
      <c r="AL20" s="49" t="n">
        <f aca="false">AG20+AI20+AJ20+AK20+AR20</f>
        <v>7189.43564523104</v>
      </c>
      <c r="AM20" s="49" t="n">
        <f aca="false">AM19*(1-skill_ret)+AD20</f>
        <v>13327.2895785211</v>
      </c>
      <c r="AN20" s="67" t="n">
        <f aca="false">AM20/B20</f>
        <v>0.0265560628576255</v>
      </c>
      <c r="AO20" s="67" t="n">
        <f aca="false">(skill_rel-1+skill_spill)*AM19/B19-AT20</f>
        <v>0.0294852639873468</v>
      </c>
      <c r="AP20" s="67" t="n">
        <f aca="false">talent_champ*AM19/(skill_base_share*B19)</f>
        <v>0.0453619445959182</v>
      </c>
      <c r="AQ20" s="47" t="n">
        <v>150000</v>
      </c>
      <c r="AR20" s="49" t="n">
        <f aca="false">IF(AND(div_on=1,$A20&gt;=div_start),AQ20*MIN(div_max,div_rate*U20)*(1-div_comp*S20),0)</f>
        <v>0</v>
      </c>
      <c r="AS20" s="49" t="n">
        <f aca="false">AS19*(1-div_assim)+AR20</f>
        <v>0</v>
      </c>
      <c r="AT20" s="67" t="n">
        <f aca="false">(1-div_rel)*AS19/Economy!B19</f>
        <v>0</v>
      </c>
      <c r="AU20" s="49" t="n">
        <f aca="false">AU19*(1-skill_ret)+AE20</f>
        <v>13327.2895785211</v>
      </c>
      <c r="AV20" s="49" t="n">
        <f aca="false">AV19*(1+union_nat)+AR20</f>
        <v>0</v>
      </c>
      <c r="AW20" s="49" t="n">
        <f aca="false">AW19*(1+union_nat)+AE20*family_mult</f>
        <v>31441.6981324038</v>
      </c>
      <c r="AX20" s="70" t="n">
        <f aca="false">V20-(AV20+AW20)/1000000</f>
        <v>21.4985583018676</v>
      </c>
      <c r="AY20" s="49" t="n">
        <f aca="false">L20*gw_union</f>
        <v>0</v>
      </c>
      <c r="AZ20" s="48" t="n">
        <v>1.117</v>
      </c>
      <c r="BA20" s="49" t="n">
        <f aca="false">Economy!Q20*AZ20/lf_rate</f>
        <v>372.333333333333</v>
      </c>
      <c r="BB20" s="67" t="n">
        <f aca="false">bd_growth*AU19/W19</f>
        <v>0.00029633209383529</v>
      </c>
      <c r="BC20" s="67" t="n">
        <f aca="false">tg_k*MIN(1,Economy!O19/BK19)</f>
        <v>0.000251936186024851</v>
      </c>
      <c r="BD20" s="67" t="n">
        <f aca="false">emu_g*S20</f>
        <v>0</v>
      </c>
      <c r="BE20" s="68" t="n">
        <f aca="false">BE19*(1-BB20-BC20+BD20)</f>
        <v>0.996999088145922</v>
      </c>
      <c r="BF20" s="48" t="n">
        <v>1</v>
      </c>
      <c r="BG20" s="56" t="n">
        <f aca="false">AU20*BA20*BE20*(skill_rel-1+skill_spill)/1000000</f>
        <v>6.4314939595571</v>
      </c>
      <c r="BH20" s="56" t="n">
        <f aca="false">union_disp*(Champions!AP20+Champions!AZ20)*(1-IF(union_resp=2,mkt_cut*S20,0))</f>
        <v>0.313608583378775</v>
      </c>
      <c r="BI20" s="56" t="n">
        <f aca="false">AY20*BA20*BE20/1000000</f>
        <v>0</v>
      </c>
      <c r="BJ20" s="49" t="n">
        <f aca="false">V20*Economy!Q20*AZ20</f>
        <v>3366.8614</v>
      </c>
      <c r="BK20" s="49" t="n">
        <f aca="false">MAX(0.3*BJ20,AX20*Economy!Q20*AZ20*BE20*BF20-BG20-BH20-BI20)</f>
        <v>3345.11054545853</v>
      </c>
      <c r="BL20" s="66" t="n">
        <f aca="false">1-BK20/BJ20</f>
        <v>0.00646027619119283</v>
      </c>
      <c r="BM20" s="49" t="n">
        <f aca="false">MAX(0,BH20-BH19)*1000000/BA20</f>
        <v>842.279095914348</v>
      </c>
      <c r="BN20" s="49" t="n">
        <f aca="false">BN19*(1-IF(AND($A20&gt;=1930,$A20&lt;=1932),0,union_reabsorb))+BM20</f>
        <v>842.279095914348</v>
      </c>
      <c r="BO20" s="62" t="n">
        <v>0.04</v>
      </c>
      <c r="BP20" s="66" t="n">
        <f aca="false">BO20+BN20/(AX20*1000000*lf_rate)</f>
        <v>0.0400932819024739</v>
      </c>
    </row>
    <row r="21" customFormat="false" ht="14.25" hidden="false" customHeight="true" outlineLevel="0" collapsed="false">
      <c r="A21" s="64" t="n">
        <v>1861</v>
      </c>
      <c r="B21" s="49" t="n">
        <f aca="false">Economy!B21*lf_rate</f>
        <v>537013.166371849</v>
      </c>
      <c r="C21" s="49" t="n">
        <f aca="false">Economy!O21*1000000/(B21+L21)</f>
        <v>578.177460046769</v>
      </c>
      <c r="D21" s="49" t="n">
        <f aca="false">Champions!AP21*1000000/(C21*champ_prem)</f>
        <v>1011.90781808876</v>
      </c>
      <c r="E21" s="49" t="n">
        <f aca="false">D21*job_mult</f>
        <v>708.335472662134</v>
      </c>
      <c r="F21" s="49" t="n">
        <f aca="false">D21+E21</f>
        <v>1720.2432907509</v>
      </c>
      <c r="G21" s="66" t="n">
        <f aca="false">F21/B21</f>
        <v>0.00320335403016866</v>
      </c>
      <c r="H21" s="49" t="n">
        <f aca="false">F21-F20</f>
        <v>33.2820522435331</v>
      </c>
      <c r="I21" s="66" t="n">
        <f aca="false">MAX(0.005,pac_u_base*IF(Paths!AC21=1,pac_u_war,1)+(okun*(1-Economy!G21)*(B21+L21)-MAX(0,L20-L21))/B21)</f>
        <v>0.019</v>
      </c>
      <c r="J21" s="49" t="n">
        <f aca="false">IF(AND(gw_on=1,$A21&gt;=gw_start),MIN(gw_cap*B20,gw_cover*F20+gw_gen*B20),0)</f>
        <v>0</v>
      </c>
      <c r="K21" s="49" t="n">
        <f aca="false">L20*gw_conv</f>
        <v>0</v>
      </c>
      <c r="L21" s="49" t="n">
        <f aca="false">MAX(0,L20-K21+gw_adj*(J21-L20))*MAX(0,1-gw_slump*(1-Economy!G21))</f>
        <v>0</v>
      </c>
      <c r="M21" s="49" t="n">
        <f aca="false">MAX(0,L21-L20+L20/gw_term)</f>
        <v>0</v>
      </c>
      <c r="N21" s="66" t="n">
        <f aca="false">L21/B21</f>
        <v>0</v>
      </c>
      <c r="O21" s="56" t="n">
        <f aca="false">Economy!L21</f>
        <v>0</v>
      </c>
      <c r="P21" s="56" t="n">
        <f aca="false">O21*gw_wage_share</f>
        <v>0</v>
      </c>
      <c r="Q21" s="56" t="n">
        <f aca="false">P21*gw_levy</f>
        <v>0</v>
      </c>
      <c r="R21" s="56" t="n">
        <f aca="false">P21*gw_remit</f>
        <v>0</v>
      </c>
      <c r="S21" s="66" t="n">
        <f aca="false">IF(union_resp&gt;=1,MIN(1,MAX(0,($A21-resp_start)/(resp_full-resp_start))),0)</f>
        <v>0</v>
      </c>
      <c r="T21" s="70" t="n">
        <f aca="false">Economy!R20</f>
        <v>1.75573615766207</v>
      </c>
      <c r="U21" s="70" t="n">
        <f aca="false">MAX(0,T21-gap_base)</f>
        <v>0.255736157662072</v>
      </c>
      <c r="V21" s="71" t="n">
        <v>22</v>
      </c>
      <c r="W21" s="49" t="n">
        <f aca="false">V21*1000000*lf_rate*union_skill_share</f>
        <v>1108800</v>
      </c>
      <c r="X21" s="47" t="n">
        <v>0</v>
      </c>
      <c r="Y21" s="49" t="n">
        <f aca="false">IF(AND(mig_endo=1,$A21&gt;=talent_start),talent_rate_u*W21*U21*(1-(1-bd_keep)*S21),0)</f>
        <v>2835.60251615705</v>
      </c>
      <c r="Z21" s="49" t="n">
        <f aca="false">IF(AND(mig_endo=1,$A21&gt;=talent_start),X21*MIN(0.5,talent_share_o*U21)*(1-eu_comp*S21),0)</f>
        <v>0</v>
      </c>
      <c r="AA21" s="47" t="n">
        <v>0</v>
      </c>
      <c r="AB21" s="49" t="n">
        <f aca="false">IF(AND(mig_endo=1,$A21&gt;=talent_start),AA21*MIN(0.5,talent_share_a*U21),0)</f>
        <v>0</v>
      </c>
      <c r="AC21" s="49" t="n">
        <f aca="false">entry_cap*People!B21</f>
        <v>3729.75187040158</v>
      </c>
      <c r="AD21" s="49" t="n">
        <f aca="false">MIN(AC21,Y21+Z21+AB21)</f>
        <v>2835.60251615705</v>
      </c>
      <c r="AE21" s="49" t="n">
        <f aca="false">IF(Y21+Z21+AB21&gt;0,AD21*Y21/(Y21+Z21+AB21),0)</f>
        <v>2835.60251615705</v>
      </c>
      <c r="AF21" s="49" t="n">
        <f aca="false">IF(Y21+Z21+AB21&gt;0,AD21*AB21/(Y21+Z21+AB21),0)</f>
        <v>0</v>
      </c>
      <c r="AG21" s="49" t="n">
        <f aca="false">AD21*family_mult</f>
        <v>6238.32553554552</v>
      </c>
      <c r="AH21" s="49" t="n">
        <f aca="false">AH20*(1+Paths!C21)+AG21</f>
        <v>39007.1143142698</v>
      </c>
      <c r="AI21" s="49" t="n">
        <f aca="false">IF(AND(mig_endo=1,$A21&gt;=talent_start),chain_rate*AH20,0)</f>
        <v>480.266226798844</v>
      </c>
      <c r="AJ21" s="49" t="n">
        <f aca="false">IF(AND(mig_endo=1,$A21&gt;=talent_start),IF(H20&gt;0,H20*job_fill,H20*job_return)*job_family,0)</f>
        <v>1062.78558025964</v>
      </c>
      <c r="AK21" s="49" t="n">
        <f aca="false">K21*gw_conv_family</f>
        <v>0</v>
      </c>
      <c r="AL21" s="49" t="n">
        <f aca="false">AG21+AI21+AJ21+AK21+AR21</f>
        <v>7781.377342604</v>
      </c>
      <c r="AM21" s="49" t="n">
        <f aca="false">AM20*(1-skill_ret)+AD21</f>
        <v>15829.7098552151</v>
      </c>
      <c r="AN21" s="67" t="n">
        <f aca="false">AM21/B21</f>
        <v>0.0294773216868466</v>
      </c>
      <c r="AO21" s="67" t="n">
        <f aca="false">(skill_rel-1+skill_spill)*AM20/B20-AT21</f>
        <v>0.0345228817149131</v>
      </c>
      <c r="AP21" s="67" t="n">
        <f aca="false">talent_champ*AM20/(skill_base_share*B20)</f>
        <v>0.0531121257152509</v>
      </c>
      <c r="AQ21" s="47" t="n">
        <v>178000</v>
      </c>
      <c r="AR21" s="49" t="n">
        <f aca="false">IF(AND(div_on=1,$A21&gt;=div_start),AQ21*MIN(div_max,div_rate*U21)*(1-div_comp*S21),0)</f>
        <v>0</v>
      </c>
      <c r="AS21" s="49" t="n">
        <f aca="false">AS20*(1-div_assim)+AR21</f>
        <v>0</v>
      </c>
      <c r="AT21" s="67" t="n">
        <f aca="false">(1-div_rel)*AS20/Economy!B20</f>
        <v>0</v>
      </c>
      <c r="AU21" s="49" t="n">
        <f aca="false">AU20*(1-skill_ret)+AE21</f>
        <v>15829.7098552151</v>
      </c>
      <c r="AV21" s="49" t="n">
        <f aca="false">AV20*(1+union_nat)+AR21</f>
        <v>0</v>
      </c>
      <c r="AW21" s="49" t="n">
        <f aca="false">AW20*(1+union_nat)+AE21*family_mult</f>
        <v>38088.7657436706</v>
      </c>
      <c r="AX21" s="70" t="n">
        <f aca="false">V21-(AV21+AW21)/1000000</f>
        <v>21.9619112342563</v>
      </c>
      <c r="AY21" s="49" t="n">
        <f aca="false">L21*gw_union</f>
        <v>0</v>
      </c>
      <c r="AZ21" s="48" t="n">
        <v>1.117</v>
      </c>
      <c r="BA21" s="49" t="n">
        <f aca="false">Economy!Q21*AZ21/lf_rate</f>
        <v>377.652380952381</v>
      </c>
      <c r="BB21" s="67" t="n">
        <f aca="false">bd_growth*AU20/W20</f>
        <v>0.000368458451621244</v>
      </c>
      <c r="BC21" s="67" t="n">
        <f aca="false">tg_k*MIN(1,Economy!O20/BK20)</f>
        <v>0.000263406765232979</v>
      </c>
      <c r="BD21" s="67" t="n">
        <f aca="false">emu_g*S21</f>
        <v>0</v>
      </c>
      <c r="BE21" s="68" t="n">
        <f aca="false">BE20*(1-BB21-BC21+BD21)</f>
        <v>0.996369119100887</v>
      </c>
      <c r="BF21" s="48" t="n">
        <v>1</v>
      </c>
      <c r="BG21" s="56" t="n">
        <f aca="false">AU21*BA21*BE21*(skill_rel-1+skill_spill)/1000000</f>
        <v>7.74334827140127</v>
      </c>
      <c r="BH21" s="56" t="n">
        <f aca="false">union_disp*(Champions!AP21+Champions!AZ21)*(1-IF(union_resp=2,mkt_cut*S21,0))</f>
        <v>0.315933637714575</v>
      </c>
      <c r="BI21" s="56" t="n">
        <f aca="false">AY21*BA21*BE21/1000000</f>
        <v>0</v>
      </c>
      <c r="BJ21" s="49" t="n">
        <f aca="false">V21*Economy!Q21*AZ21</f>
        <v>3489.508</v>
      </c>
      <c r="BK21" s="49" t="n">
        <f aca="false">MAX(0.3*BJ21,AX21*Economy!Q21*AZ21*BE21*BF21-BG21-BH21-BI21)</f>
        <v>3462.7592543023</v>
      </c>
      <c r="BL21" s="66" t="n">
        <f aca="false">1-BK21/BJ21</f>
        <v>0.00766547768272863</v>
      </c>
      <c r="BM21" s="49" t="n">
        <f aca="false">MAX(0,BH21-BH20)*1000000/BA21</f>
        <v>6.15659917180026</v>
      </c>
      <c r="BN21" s="49" t="n">
        <f aca="false">BN20*(1-IF(AND($A21&gt;=1930,$A21&lt;=1932),0,union_reabsorb))+BM21</f>
        <v>637.865921107561</v>
      </c>
      <c r="BO21" s="62" t="n">
        <v>0.04</v>
      </c>
      <c r="BP21" s="66" t="n">
        <f aca="false">BO21+BN21/(AX21*1000000*lf_rate)</f>
        <v>0.040069152833166</v>
      </c>
    </row>
    <row r="22" customFormat="false" ht="14.25" hidden="false" customHeight="true" outlineLevel="0" collapsed="false">
      <c r="A22" s="64" t="n">
        <v>1862</v>
      </c>
      <c r="B22" s="49" t="n">
        <f aca="false">Economy!B22*lf_rate</f>
        <v>603724.154070863</v>
      </c>
      <c r="C22" s="49" t="n">
        <f aca="false">Economy!O22*1000000/(B22+L22)</f>
        <v>575.60957513135</v>
      </c>
      <c r="D22" s="49" t="n">
        <f aca="false">Champions!AP22*1000000/(C22*champ_prem)</f>
        <v>1022.06106469539</v>
      </c>
      <c r="E22" s="49" t="n">
        <f aca="false">D22*job_mult</f>
        <v>715.442745286771</v>
      </c>
      <c r="F22" s="49" t="n">
        <f aca="false">D22+E22</f>
        <v>1737.50380998216</v>
      </c>
      <c r="G22" s="66" t="n">
        <f aca="false">F22/B22</f>
        <v>0.00287797630468536</v>
      </c>
      <c r="H22" s="49" t="n">
        <f aca="false">F22-F21</f>
        <v>17.2605192312619</v>
      </c>
      <c r="I22" s="66" t="n">
        <f aca="false">MAX(0.005,pac_u_base*IF(Paths!AC22=1,pac_u_war,1)+(okun*(1-Economy!G22)*(B22+L22)-MAX(0,L21-L22))/B22)</f>
        <v>0.024</v>
      </c>
      <c r="J22" s="49" t="n">
        <f aca="false">IF(AND(gw_on=1,$A22&gt;=gw_start),MIN(gw_cap*B21,gw_cover*F21+gw_gen*B21),0)</f>
        <v>0</v>
      </c>
      <c r="K22" s="49" t="n">
        <f aca="false">L21*gw_conv</f>
        <v>0</v>
      </c>
      <c r="L22" s="49" t="n">
        <f aca="false">MAX(0,L21-K22+gw_adj*(J22-L21))*MAX(0,1-gw_slump*(1-Economy!G22))</f>
        <v>0</v>
      </c>
      <c r="M22" s="49" t="n">
        <f aca="false">MAX(0,L22-L21+L21/gw_term)</f>
        <v>0</v>
      </c>
      <c r="N22" s="66" t="n">
        <f aca="false">L22/B22</f>
        <v>0</v>
      </c>
      <c r="O22" s="56" t="n">
        <f aca="false">Economy!L22</f>
        <v>0</v>
      </c>
      <c r="P22" s="56" t="n">
        <f aca="false">O22*gw_wage_share</f>
        <v>0</v>
      </c>
      <c r="Q22" s="56" t="n">
        <f aca="false">P22*gw_levy</f>
        <v>0</v>
      </c>
      <c r="R22" s="56" t="n">
        <f aca="false">P22*gw_remit</f>
        <v>0</v>
      </c>
      <c r="S22" s="66" t="n">
        <f aca="false">IF(union_resp&gt;=1,MIN(1,MAX(0,($A22-resp_start)/(resp_full-resp_start))),0)</f>
        <v>0</v>
      </c>
      <c r="T22" s="70" t="n">
        <f aca="false">Economy!R21</f>
        <v>1.7101023466172</v>
      </c>
      <c r="U22" s="70" t="n">
        <f aca="false">MAX(0,T22-gap_base)</f>
        <v>0.210102346617203</v>
      </c>
      <c r="V22" s="71" t="n">
        <v>22.75</v>
      </c>
      <c r="W22" s="49" t="n">
        <f aca="false">V22*1000000*lf_rate*union_skill_share</f>
        <v>1146600</v>
      </c>
      <c r="X22" s="47" t="n">
        <v>0</v>
      </c>
      <c r="Y22" s="49" t="n">
        <f aca="false">IF(AND(mig_endo=1,$A22&gt;=talent_start),talent_rate_u*W22*U22*(1-(1-bd_keep)*S22),0)</f>
        <v>2409.03350631285</v>
      </c>
      <c r="Z22" s="49" t="n">
        <f aca="false">IF(AND(mig_endo=1,$A22&gt;=talent_start),X22*MIN(0.5,talent_share_o*U22)*(1-eu_comp*S22),0)</f>
        <v>0</v>
      </c>
      <c r="AA22" s="47" t="n">
        <v>0</v>
      </c>
      <c r="AB22" s="49" t="n">
        <f aca="false">IF(AND(mig_endo=1,$A22&gt;=talent_start),AA22*MIN(0.5,talent_share_a*U22),0)</f>
        <v>0</v>
      </c>
      <c r="AC22" s="49" t="n">
        <f aca="false">entry_cap*People!B22</f>
        <v>3941.86479205341</v>
      </c>
      <c r="AD22" s="49" t="n">
        <f aca="false">MIN(AC22,Y22+Z22+AB22)</f>
        <v>2409.03350631285</v>
      </c>
      <c r="AE22" s="49" t="n">
        <f aca="false">IF(Y22+Z22+AB22&gt;0,AD22*Y22/(Y22+Z22+AB22),0)</f>
        <v>2409.03350631285</v>
      </c>
      <c r="AF22" s="49" t="n">
        <f aca="false">IF(Y22+Z22+AB22&gt;0,AD22*AB22/(Y22+Z22+AB22),0)</f>
        <v>0</v>
      </c>
      <c r="AG22" s="49" t="n">
        <f aca="false">AD22*family_mult</f>
        <v>5299.87371388827</v>
      </c>
      <c r="AH22" s="49" t="n">
        <f aca="false">AH21*(1+Paths!C22)+AG22</f>
        <v>45206.5310913595</v>
      </c>
      <c r="AI22" s="49" t="n">
        <f aca="false">IF(AND(mig_endo=1,$A22&gt;=talent_start),chain_rate*AH21,0)</f>
        <v>585.106714714047</v>
      </c>
      <c r="AJ22" s="49" t="n">
        <f aca="false">IF(AND(mig_endo=1,$A22&gt;=talent_start),IF(H21&gt;0,H21*job_fill,H21*job_return)*job_family,0)</f>
        <v>20.9676929134259</v>
      </c>
      <c r="AK22" s="49" t="n">
        <f aca="false">K22*gw_conv_family</f>
        <v>0</v>
      </c>
      <c r="AL22" s="49" t="n">
        <f aca="false">AG22+AI22+AJ22+AK22+AR22</f>
        <v>5905.94812151575</v>
      </c>
      <c r="AM22" s="49" t="n">
        <f aca="false">AM21*(1-skill_ret)+AD22</f>
        <v>17843.0006151476</v>
      </c>
      <c r="AN22" s="67" t="n">
        <f aca="false">AM22/B22</f>
        <v>0.0295548894223192</v>
      </c>
      <c r="AO22" s="67" t="n">
        <f aca="false">(skill_rel-1+skill_spill)*AM21/B21-AT22</f>
        <v>0.0383205181929006</v>
      </c>
      <c r="AP22" s="67" t="n">
        <f aca="false">talent_champ*AM21/(skill_base_share*B21)</f>
        <v>0.0589546433736932</v>
      </c>
      <c r="AQ22" s="47" t="n">
        <v>207000</v>
      </c>
      <c r="AR22" s="49" t="n">
        <f aca="false">IF(AND(div_on=1,$A22&gt;=div_start),AQ22*MIN(div_max,div_rate*U22)*(1-div_comp*S22),0)</f>
        <v>0</v>
      </c>
      <c r="AS22" s="49" t="n">
        <f aca="false">AS21*(1-div_assim)+AR22</f>
        <v>0</v>
      </c>
      <c r="AT22" s="67" t="n">
        <f aca="false">(1-div_rel)*AS21/Economy!B21</f>
        <v>0</v>
      </c>
      <c r="AU22" s="49" t="n">
        <f aca="false">AU21*(1-skill_ret)+AE22</f>
        <v>17843.0006151476</v>
      </c>
      <c r="AV22" s="49" t="n">
        <f aca="false">AV21*(1+union_nat)+AR22</f>
        <v>0</v>
      </c>
      <c r="AW22" s="49" t="n">
        <f aca="false">AW21*(1+union_nat)+AE22*family_mult</f>
        <v>43883.7934122266</v>
      </c>
      <c r="AX22" s="70" t="n">
        <f aca="false">V22-(AV22+AW22)/1000000</f>
        <v>22.7061162065878</v>
      </c>
      <c r="AY22" s="49" t="n">
        <f aca="false">L22*gw_union</f>
        <v>0</v>
      </c>
      <c r="AZ22" s="48" t="n">
        <v>1.117</v>
      </c>
      <c r="BA22" s="49" t="n">
        <f aca="false">Economy!Q22*AZ22/lf_rate</f>
        <v>382.971428571429</v>
      </c>
      <c r="BB22" s="67" t="n">
        <f aca="false">bd_growth*AU21/W21</f>
        <v>0.000428293015563179</v>
      </c>
      <c r="BC22" s="67" t="n">
        <f aca="false">tg_k*MIN(1,Economy!O21/BK21)</f>
        <v>0.000268995519823201</v>
      </c>
      <c r="BD22" s="67" t="n">
        <f aca="false">emu_g*S22</f>
        <v>0</v>
      </c>
      <c r="BE22" s="68" t="n">
        <f aca="false">BE21*(1-BB22-BC22+BD22)</f>
        <v>0.995674362337125</v>
      </c>
      <c r="BF22" s="48" t="n">
        <v>1</v>
      </c>
      <c r="BG22" s="56" t="n">
        <f aca="false">AU22*BA22*BE22*(skill_rel-1+skill_spill)/1000000</f>
        <v>8.84494103823904</v>
      </c>
      <c r="BH22" s="56" t="n">
        <f aca="false">union_disp*(Champions!AP22+Champions!AZ22)*(1-IF(union_resp=2,mkt_cut*S22,0))</f>
        <v>0.317686393012108</v>
      </c>
      <c r="BI22" s="56" t="n">
        <f aca="false">AY22*BA22*BE22/1000000</f>
        <v>0</v>
      </c>
      <c r="BJ22" s="49" t="n">
        <f aca="false">V22*Economy!Q22*AZ22</f>
        <v>3659.292</v>
      </c>
      <c r="BK22" s="49" t="n">
        <f aca="false">MAX(0.3*BJ22,AX22*Economy!Q22*AZ22*BE22*BF22-BG22-BH22-BI22)</f>
        <v>3627.27251390558</v>
      </c>
      <c r="BL22" s="66" t="n">
        <f aca="false">1-BK22/BJ22</f>
        <v>0.00875018612737566</v>
      </c>
      <c r="BM22" s="49" t="n">
        <f aca="false">MAX(0,BH22-BH21)*1000000/BA22</f>
        <v>4.57672600817988</v>
      </c>
      <c r="BN22" s="49" t="n">
        <f aca="false">BN21*(1-IF(AND($A22&gt;=1930,$A22&lt;=1932),0,union_reabsorb))+BM22</f>
        <v>482.976166838851</v>
      </c>
      <c r="BO22" s="62" t="n">
        <v>0.04</v>
      </c>
      <c r="BP22" s="66" t="n">
        <f aca="false">BO22+BN22/(AX22*1000000*lf_rate)</f>
        <v>0.0400506446476322</v>
      </c>
    </row>
    <row r="23" customFormat="false" ht="14.25" hidden="false" customHeight="true" outlineLevel="0" collapsed="false">
      <c r="A23" s="64" t="n">
        <v>1863</v>
      </c>
      <c r="B23" s="49" t="n">
        <f aca="false">Economy!B23*lf_rate</f>
        <v>688198.242660663</v>
      </c>
      <c r="C23" s="49" t="n">
        <f aca="false">Economy!O23*1000000/(B23+L23)</f>
        <v>601.829038019192</v>
      </c>
      <c r="D23" s="49" t="n">
        <f aca="false">Champions!AP23*1000000/(C23*champ_prem)</f>
        <v>1955.6106243573</v>
      </c>
      <c r="E23" s="49" t="n">
        <f aca="false">D23*job_mult</f>
        <v>1368.92743705011</v>
      </c>
      <c r="F23" s="49" t="n">
        <f aca="false">D23+E23</f>
        <v>3324.53806140741</v>
      </c>
      <c r="G23" s="66" t="n">
        <f aca="false">F23/B23</f>
        <v>0.00483078545588015</v>
      </c>
      <c r="H23" s="49" t="n">
        <f aca="false">F23-F22</f>
        <v>1587.03425142525</v>
      </c>
      <c r="I23" s="66" t="n">
        <f aca="false">MAX(0.005,pac_u_base*IF(Paths!AC23=1,pac_u_war,1)+(okun*(1-Economy!G23)*(B23+L23)-MAX(0,L22-L23))/B23)</f>
        <v>0.019</v>
      </c>
      <c r="J23" s="49" t="n">
        <f aca="false">IF(AND(gw_on=1,$A23&gt;=gw_start),MIN(gw_cap*B22,gw_cover*F22+gw_gen*B22),0)</f>
        <v>0</v>
      </c>
      <c r="K23" s="49" t="n">
        <f aca="false">L22*gw_conv</f>
        <v>0</v>
      </c>
      <c r="L23" s="49" t="n">
        <f aca="false">MAX(0,L22-K23+gw_adj*(J23-L22))*MAX(0,1-gw_slump*(1-Economy!G23))</f>
        <v>0</v>
      </c>
      <c r="M23" s="49" t="n">
        <f aca="false">MAX(0,L23-L22+L22/gw_term)</f>
        <v>0</v>
      </c>
      <c r="N23" s="66" t="n">
        <f aca="false">L23/B23</f>
        <v>0</v>
      </c>
      <c r="O23" s="56" t="n">
        <f aca="false">Economy!L23</f>
        <v>0</v>
      </c>
      <c r="P23" s="56" t="n">
        <f aca="false">O23*gw_wage_share</f>
        <v>0</v>
      </c>
      <c r="Q23" s="56" t="n">
        <f aca="false">P23*gw_levy</f>
        <v>0</v>
      </c>
      <c r="R23" s="56" t="n">
        <f aca="false">P23*gw_remit</f>
        <v>0</v>
      </c>
      <c r="S23" s="66" t="n">
        <f aca="false">IF(union_resp&gt;=1,MIN(1,MAX(0,($A23-resp_start)/(resp_full-resp_start))),0)</f>
        <v>0</v>
      </c>
      <c r="T23" s="70" t="n">
        <f aca="false">Economy!R22</f>
        <v>1.67886126079977</v>
      </c>
      <c r="U23" s="70" t="n">
        <f aca="false">MAX(0,T23-gap_base)</f>
        <v>0.178861260799772</v>
      </c>
      <c r="V23" s="71" t="n">
        <v>23.5</v>
      </c>
      <c r="W23" s="49" t="n">
        <f aca="false">V23*1000000*lf_rate*union_skill_share</f>
        <v>1184400</v>
      </c>
      <c r="X23" s="47" t="n">
        <v>0</v>
      </c>
      <c r="Y23" s="49" t="n">
        <f aca="false">IF(AND(mig_endo=1,$A23&gt;=talent_start),talent_rate_u*W23*U23*(1-(1-bd_keep)*S23),0)</f>
        <v>2118.4327729125</v>
      </c>
      <c r="Z23" s="49" t="n">
        <f aca="false">IF(AND(mig_endo=1,$A23&gt;=talent_start),X23*MIN(0.5,talent_share_o*U23)*(1-eu_comp*S23),0)</f>
        <v>0</v>
      </c>
      <c r="AA23" s="47" t="n">
        <v>0</v>
      </c>
      <c r="AB23" s="49" t="n">
        <f aca="false">IF(AND(mig_endo=1,$A23&gt;=talent_start),AA23*MIN(0.5,talent_share_a*U23),0)</f>
        <v>0</v>
      </c>
      <c r="AC23" s="49" t="n">
        <f aca="false">entry_cap*People!B23</f>
        <v>4682.7659803875</v>
      </c>
      <c r="AD23" s="49" t="n">
        <f aca="false">MIN(AC23,Y23+Z23+AB23)</f>
        <v>2118.4327729125</v>
      </c>
      <c r="AE23" s="49" t="n">
        <f aca="false">IF(Y23+Z23+AB23&gt;0,AD23*Y23/(Y23+Z23+AB23),0)</f>
        <v>2118.4327729125</v>
      </c>
      <c r="AF23" s="49" t="n">
        <f aca="false">IF(Y23+Z23+AB23&gt;0,AD23*AB23/(Y23+Z23+AB23),0)</f>
        <v>0</v>
      </c>
      <c r="AG23" s="49" t="n">
        <f aca="false">AD23*family_mult</f>
        <v>4660.55210040749</v>
      </c>
      <c r="AH23" s="49" t="n">
        <f aca="false">AH22*(1+Paths!C23)+AG23</f>
        <v>50770.1288568479</v>
      </c>
      <c r="AI23" s="49" t="n">
        <f aca="false">IF(AND(mig_endo=1,$A23&gt;=talent_start),chain_rate*AH22,0)</f>
        <v>678.097966370392</v>
      </c>
      <c r="AJ23" s="49" t="n">
        <f aca="false">IF(AND(mig_endo=1,$A23&gt;=talent_start),IF(H22&gt;0,H22*job_fill,H22*job_return)*job_family,0)</f>
        <v>10.874127115695</v>
      </c>
      <c r="AK23" s="49" t="n">
        <f aca="false">K23*gw_conv_family</f>
        <v>0</v>
      </c>
      <c r="AL23" s="49" t="n">
        <f aca="false">AG23+AI23+AJ23+AK23+AR23</f>
        <v>5349.52419389358</v>
      </c>
      <c r="AM23" s="49" t="n">
        <f aca="false">AM22*(1-skill_ret)+AD23</f>
        <v>19515.3583726814</v>
      </c>
      <c r="AN23" s="67" t="n">
        <f aca="false">AM23/B23</f>
        <v>0.0283571755388861</v>
      </c>
      <c r="AO23" s="67" t="n">
        <f aca="false">(skill_rel-1+skill_spill)*AM22/B22-AT23</f>
        <v>0.0384213562490149</v>
      </c>
      <c r="AP23" s="67" t="n">
        <f aca="false">talent_champ*AM22/(skill_base_share*B22)</f>
        <v>0.0591097788446384</v>
      </c>
      <c r="AQ23" s="47" t="n">
        <v>235000</v>
      </c>
      <c r="AR23" s="49" t="n">
        <f aca="false">IF(AND(div_on=1,$A23&gt;=div_start),AQ23*MIN(div_max,div_rate*U23)*(1-div_comp*S23),0)</f>
        <v>0</v>
      </c>
      <c r="AS23" s="49" t="n">
        <f aca="false">AS22*(1-div_assim)+AR23</f>
        <v>0</v>
      </c>
      <c r="AT23" s="67" t="n">
        <f aca="false">(1-div_rel)*AS22/Economy!B22</f>
        <v>0</v>
      </c>
      <c r="AU23" s="49" t="n">
        <f aca="false">AU22*(1-skill_ret)+AE23</f>
        <v>19515.3583726814</v>
      </c>
      <c r="AV23" s="49" t="n">
        <f aca="false">AV22*(1+union_nat)+AR23</f>
        <v>0</v>
      </c>
      <c r="AW23" s="49" t="n">
        <f aca="false">AW22*(1+union_nat)+AE23*family_mult</f>
        <v>49114.834826993</v>
      </c>
      <c r="AX23" s="70" t="n">
        <f aca="false">V23-(AV23+AW23)/1000000</f>
        <v>23.450885165173</v>
      </c>
      <c r="AY23" s="49" t="n">
        <f aca="false">L23*gw_union</f>
        <v>0</v>
      </c>
      <c r="AZ23" s="48" t="n">
        <v>1.116</v>
      </c>
      <c r="BA23" s="49" t="n">
        <f aca="false">Economy!Q23*AZ23/lf_rate</f>
        <v>387.942857142857</v>
      </c>
      <c r="BB23" s="67" t="n">
        <f aca="false">bd_growth*AU22/W22</f>
        <v>0.000466849832944729</v>
      </c>
      <c r="BC23" s="67" t="n">
        <f aca="false">tg_k*MIN(1,Economy!O22/BK22)</f>
        <v>0.000287413809540677</v>
      </c>
      <c r="BD23" s="67" t="n">
        <f aca="false">emu_g*S23</f>
        <v>0</v>
      </c>
      <c r="BE23" s="68" t="n">
        <f aca="false">BE22*(1-BB23-BC23+BD23)</f>
        <v>0.994923361365859</v>
      </c>
      <c r="BF23" s="48" t="n">
        <v>1</v>
      </c>
      <c r="BG23" s="56" t="n">
        <f aca="false">AU23*BA23*BE23*(skill_rel-1+skill_spill)/1000000</f>
        <v>9.79213228071494</v>
      </c>
      <c r="BH23" s="56" t="n">
        <f aca="false">union_disp*(Champions!AP23+Champions!AZ23)*(1-IF(union_resp=2,mkt_cut*S23,0))</f>
        <v>0.635549360830415</v>
      </c>
      <c r="BI23" s="56" t="n">
        <f aca="false">AY23*BA23*BE23/1000000</f>
        <v>0</v>
      </c>
      <c r="BJ23" s="49" t="n">
        <f aca="false">V23*Economy!Q23*AZ23</f>
        <v>3828.996</v>
      </c>
      <c r="BK23" s="49" t="n">
        <f aca="false">MAX(0.3*BJ23,AX23*Economy!Q23*AZ23*BE23*BF23-BG23-BH23-BI23)</f>
        <v>3791.16794078755</v>
      </c>
      <c r="BL23" s="66" t="n">
        <f aca="false">1-BK23/BJ23</f>
        <v>0.00987936764949726</v>
      </c>
      <c r="BM23" s="49" t="n">
        <f aca="false">MAX(0,BH23-BH22)*1000000/BA23</f>
        <v>819.355123997699</v>
      </c>
      <c r="BN23" s="49" t="n">
        <f aca="false">BN22*(1-IF(AND($A23&gt;=1930,$A23&lt;=1932),0,union_reabsorb))+BM23</f>
        <v>1181.58724912684</v>
      </c>
      <c r="BO23" s="62" t="n">
        <v>0.04</v>
      </c>
      <c r="BP23" s="66" t="n">
        <f aca="false">BO23+BN23/(AX23*1000000*lf_rate)</f>
        <v>0.0401199657477446</v>
      </c>
    </row>
    <row r="24" customFormat="false" ht="14.25" hidden="false" customHeight="true" outlineLevel="0" collapsed="false">
      <c r="A24" s="64" t="n">
        <v>1864</v>
      </c>
      <c r="B24" s="49" t="n">
        <f aca="false">Economy!B24*lf_rate</f>
        <v>741438.512077189</v>
      </c>
      <c r="C24" s="49" t="n">
        <f aca="false">Economy!O24*1000000/(B24+L24)</f>
        <v>655.850487219084</v>
      </c>
      <c r="D24" s="49" t="n">
        <f aca="false">Champions!AP24*1000000/(C24*champ_prem)</f>
        <v>1790.72712813025</v>
      </c>
      <c r="E24" s="49" t="n">
        <f aca="false">D24*job_mult</f>
        <v>1253.50898969117</v>
      </c>
      <c r="F24" s="49" t="n">
        <f aca="false">D24+E24</f>
        <v>3044.23611782142</v>
      </c>
      <c r="G24" s="66" t="n">
        <f aca="false">F24/B24</f>
        <v>0.00410585108304234</v>
      </c>
      <c r="H24" s="49" t="n">
        <f aca="false">F24-F23</f>
        <v>-280.301943585984</v>
      </c>
      <c r="I24" s="66" t="n">
        <f aca="false">MAX(0.005,pac_u_base*IF(Paths!AC24=1,pac_u_war,1)+(okun*(1-Economy!G24)*(B24+L24)-MAX(0,L23-L24))/B24)</f>
        <v>0.009</v>
      </c>
      <c r="J24" s="49" t="n">
        <f aca="false">IF(AND(gw_on=1,$A24&gt;=gw_start),MIN(gw_cap*B23,gw_cover*F23+gw_gen*B23),0)</f>
        <v>0</v>
      </c>
      <c r="K24" s="49" t="n">
        <f aca="false">L23*gw_conv</f>
        <v>0</v>
      </c>
      <c r="L24" s="49" t="n">
        <f aca="false">MAX(0,L23-K24+gw_adj*(J24-L23))*MAX(0,1-gw_slump*(1-Economy!G24))</f>
        <v>0</v>
      </c>
      <c r="M24" s="49" t="n">
        <f aca="false">MAX(0,L24-L23+L23/gw_term)</f>
        <v>0</v>
      </c>
      <c r="N24" s="66" t="n">
        <f aca="false">L24/B24</f>
        <v>0</v>
      </c>
      <c r="O24" s="56" t="n">
        <f aca="false">Economy!L24</f>
        <v>0</v>
      </c>
      <c r="P24" s="56" t="n">
        <f aca="false">O24*gw_wage_share</f>
        <v>0</v>
      </c>
      <c r="Q24" s="56" t="n">
        <f aca="false">P24*gw_levy</f>
        <v>0</v>
      </c>
      <c r="R24" s="56" t="n">
        <f aca="false">P24*gw_remit</f>
        <v>0</v>
      </c>
      <c r="S24" s="66" t="n">
        <f aca="false">IF(union_resp&gt;=1,MIN(1,MAX(0,($A24-resp_start)/(resp_full-resp_start))),0)</f>
        <v>0</v>
      </c>
      <c r="T24" s="70" t="n">
        <f aca="false">Economy!R23</f>
        <v>1.73128901347987</v>
      </c>
      <c r="U24" s="70" t="n">
        <f aca="false">MAX(0,T24-gap_base)</f>
        <v>0.231289013479868</v>
      </c>
      <c r="V24" s="71" t="n">
        <v>24.25</v>
      </c>
      <c r="W24" s="49" t="n">
        <f aca="false">V24*1000000*lf_rate*union_skill_share</f>
        <v>1222200</v>
      </c>
      <c r="X24" s="47" t="n">
        <v>0</v>
      </c>
      <c r="Y24" s="49" t="n">
        <f aca="false">IF(AND(mig_endo=1,$A24&gt;=talent_start),talent_rate_u*W24*U24*(1-(1-bd_keep)*S24),0)</f>
        <v>2826.81432275094</v>
      </c>
      <c r="Z24" s="49" t="n">
        <f aca="false">IF(AND(mig_endo=1,$A24&gt;=talent_start),X24*MIN(0.5,talent_share_o*U24)*(1-eu_comp*S24),0)</f>
        <v>0</v>
      </c>
      <c r="AA24" s="47" t="n">
        <v>0</v>
      </c>
      <c r="AB24" s="49" t="n">
        <f aca="false">IF(AND(mig_endo=1,$A24&gt;=talent_start),AA24*MIN(0.5,talent_share_a*U24),0)</f>
        <v>0</v>
      </c>
      <c r="AC24" s="49" t="n">
        <f aca="false">entry_cap*People!B24</f>
        <v>5148.6374861934</v>
      </c>
      <c r="AD24" s="49" t="n">
        <f aca="false">MIN(AC24,Y24+Z24+AB24)</f>
        <v>2826.81432275094</v>
      </c>
      <c r="AE24" s="49" t="n">
        <f aca="false">IF(Y24+Z24+AB24&gt;0,AD24*Y24/(Y24+Z24+AB24),0)</f>
        <v>2826.81432275094</v>
      </c>
      <c r="AF24" s="49" t="n">
        <f aca="false">IF(Y24+Z24+AB24&gt;0,AD24*AB24/(Y24+Z24+AB24),0)</f>
        <v>0</v>
      </c>
      <c r="AG24" s="49" t="n">
        <f aca="false">AD24*family_mult</f>
        <v>6218.99151005207</v>
      </c>
      <c r="AH24" s="49" t="n">
        <f aca="false">AH23*(1+Paths!C24)+AG24</f>
        <v>57920.803001552</v>
      </c>
      <c r="AI24" s="49" t="n">
        <f aca="false">IF(AND(mig_endo=1,$A24&gt;=talent_start),chain_rate*AH23,0)</f>
        <v>761.551932852719</v>
      </c>
      <c r="AJ24" s="49" t="n">
        <f aca="false">IF(AND(mig_endo=1,$A24&gt;=talent_start),IF(H23&gt;0,H23*job_fill,H23*job_return)*job_family,0)</f>
        <v>999.831578397908</v>
      </c>
      <c r="AK24" s="49" t="n">
        <f aca="false">K24*gw_conv_family</f>
        <v>0</v>
      </c>
      <c r="AL24" s="49" t="n">
        <f aca="false">AG24+AI24+AJ24+AK24+AR24</f>
        <v>7980.3750213027</v>
      </c>
      <c r="AM24" s="49" t="n">
        <f aca="false">AM23*(1-skill_ret)+AD24</f>
        <v>21854.2887361153</v>
      </c>
      <c r="AN24" s="67" t="n">
        <f aca="false">AM24/B24</f>
        <v>0.0294755241063605</v>
      </c>
      <c r="AO24" s="67" t="n">
        <f aca="false">(skill_rel-1+skill_spill)*AM23/B23-AT24</f>
        <v>0.036864328200552</v>
      </c>
      <c r="AP24" s="67" t="n">
        <f aca="false">talent_champ*AM23/(skill_base_share*B23)</f>
        <v>0.0567143510777722</v>
      </c>
      <c r="AQ24" s="47" t="n">
        <v>263000</v>
      </c>
      <c r="AR24" s="49" t="n">
        <f aca="false">IF(AND(div_on=1,$A24&gt;=div_start),AQ24*MIN(div_max,div_rate*U24)*(1-div_comp*S24),0)</f>
        <v>0</v>
      </c>
      <c r="AS24" s="49" t="n">
        <f aca="false">AS23*(1-div_assim)+AR24</f>
        <v>0</v>
      </c>
      <c r="AT24" s="67" t="n">
        <f aca="false">(1-div_rel)*AS23/Economy!B23</f>
        <v>0</v>
      </c>
      <c r="AU24" s="49" t="n">
        <f aca="false">AU23*(1-skill_ret)+AE24</f>
        <v>21854.2887361153</v>
      </c>
      <c r="AV24" s="49" t="n">
        <f aca="false">AV23*(1+union_nat)+AR24</f>
        <v>0</v>
      </c>
      <c r="AW24" s="49" t="n">
        <f aca="false">AW23*(1+union_nat)+AE24*family_mult</f>
        <v>55972.319189796</v>
      </c>
      <c r="AX24" s="70" t="n">
        <f aca="false">V24-(AV24+AW24)/1000000</f>
        <v>24.1940276808102</v>
      </c>
      <c r="AY24" s="49" t="n">
        <f aca="false">L24*gw_union</f>
        <v>0</v>
      </c>
      <c r="AZ24" s="48" t="n">
        <v>1.116</v>
      </c>
      <c r="BA24" s="49" t="n">
        <f aca="false">Economy!Q24*AZ24/lf_rate</f>
        <v>393.257142857143</v>
      </c>
      <c r="BB24" s="67" t="n">
        <f aca="false">bd_growth*AU23/W23</f>
        <v>0.000494309989176326</v>
      </c>
      <c r="BC24" s="67" t="n">
        <f aca="false">tg_k*MIN(1,Economy!O23/BK23)</f>
        <v>0.000327744135434629</v>
      </c>
      <c r="BD24" s="67" t="n">
        <f aca="false">emu_g*S24</f>
        <v>0</v>
      </c>
      <c r="BE24" s="68" t="n">
        <f aca="false">BE23*(1-BB24-BC24+BD24)</f>
        <v>0.994105480512976</v>
      </c>
      <c r="BF24" s="48" t="n">
        <v>1</v>
      </c>
      <c r="BG24" s="56" t="n">
        <f aca="false">AU24*BA24*BE24*(skill_rel-1+skill_spill)/1000000</f>
        <v>11.1068042197374</v>
      </c>
      <c r="BH24" s="56" t="n">
        <f aca="false">union_disp*(Champions!AP24+Champions!AZ24)*(1-IF(union_resp=2,mkt_cut*S24,0))</f>
        <v>0.634202600108754</v>
      </c>
      <c r="BI24" s="56" t="n">
        <f aca="false">AY24*BA24*BE24/1000000</f>
        <v>0</v>
      </c>
      <c r="BJ24" s="49" t="n">
        <f aca="false">V24*Economy!Q24*AZ24</f>
        <v>4005.324</v>
      </c>
      <c r="BK24" s="49" t="n">
        <f aca="false">MAX(0.3*BJ24,AX24*Economy!Q24*AZ24*BE24*BF24-BG24-BH24-BI24)</f>
        <v>3960.78319066042</v>
      </c>
      <c r="BL24" s="66" t="n">
        <f aca="false">1-BK24/BJ24</f>
        <v>0.0111204010810561</v>
      </c>
      <c r="BM24" s="49" t="n">
        <f aca="false">MAX(0,BH24-BH23)*1000000/BA24</f>
        <v>0</v>
      </c>
      <c r="BN24" s="49" t="n">
        <f aca="false">BN23*(1-IF(AND($A24&gt;=1930,$A24&lt;=1932),0,union_reabsorb))+BM24</f>
        <v>886.190436845128</v>
      </c>
      <c r="BO24" s="62" t="n">
        <v>0.04</v>
      </c>
      <c r="BP24" s="66" t="n">
        <f aca="false">BO24+BN24/(AX24*1000000*lf_rate)</f>
        <v>0.0400872106644838</v>
      </c>
    </row>
    <row r="25" customFormat="false" ht="14.25" hidden="false" customHeight="true" outlineLevel="0" collapsed="false">
      <c r="A25" s="64" t="n">
        <v>1865</v>
      </c>
      <c r="B25" s="49" t="n">
        <f aca="false">Economy!B25*lf_rate</f>
        <v>780158.540510267</v>
      </c>
      <c r="C25" s="49" t="n">
        <f aca="false">Economy!O25*1000000/(B25+L25)</f>
        <v>680.275563286628</v>
      </c>
      <c r="D25" s="49" t="n">
        <f aca="false">Champions!AP25*1000000/(C25*champ_prem)</f>
        <v>1730.35726059052</v>
      </c>
      <c r="E25" s="49" t="n">
        <f aca="false">D25*job_mult</f>
        <v>1211.25008241336</v>
      </c>
      <c r="F25" s="49" t="n">
        <f aca="false">D25+E25</f>
        <v>2941.60734300388</v>
      </c>
      <c r="G25" s="66" t="n">
        <f aca="false">F25/B25</f>
        <v>0.00377052507953051</v>
      </c>
      <c r="H25" s="49" t="n">
        <f aca="false">F25-F24</f>
        <v>-102.628774817544</v>
      </c>
      <c r="I25" s="66" t="n">
        <f aca="false">MAX(0.005,pac_u_base*IF(Paths!AC25=1,pac_u_war,1)+(okun*(1-Economy!G25)*(B25+L25)-MAX(0,L24-L25))/B25)</f>
        <v>0.009</v>
      </c>
      <c r="J25" s="49" t="n">
        <f aca="false">IF(AND(gw_on=1,$A25&gt;=gw_start),MIN(gw_cap*B24,gw_cover*F24+gw_gen*B24),0)</f>
        <v>0</v>
      </c>
      <c r="K25" s="49" t="n">
        <f aca="false">L24*gw_conv</f>
        <v>0</v>
      </c>
      <c r="L25" s="49" t="n">
        <f aca="false">MAX(0,L24-K25+gw_adj*(J25-L24))*MAX(0,1-gw_slump*(1-Economy!G25))</f>
        <v>0</v>
      </c>
      <c r="M25" s="49" t="n">
        <f aca="false">MAX(0,L25-L24+L24/gw_term)</f>
        <v>0</v>
      </c>
      <c r="N25" s="66" t="n">
        <f aca="false">L25/B25</f>
        <v>0</v>
      </c>
      <c r="O25" s="56" t="n">
        <f aca="false">Economy!L25</f>
        <v>0</v>
      </c>
      <c r="P25" s="56" t="n">
        <f aca="false">O25*gw_wage_share</f>
        <v>0</v>
      </c>
      <c r="Q25" s="56" t="n">
        <f aca="false">P25*gw_levy</f>
        <v>0</v>
      </c>
      <c r="R25" s="56" t="n">
        <f aca="false">P25*gw_remit</f>
        <v>0</v>
      </c>
      <c r="S25" s="66" t="n">
        <f aca="false">IF(union_resp&gt;=1,MIN(1,MAX(0,($A25-resp_start)/(resp_full-resp_start))),0)</f>
        <v>0</v>
      </c>
      <c r="T25" s="70" t="n">
        <f aca="false">Economy!R24</f>
        <v>1.8611973285947</v>
      </c>
      <c r="U25" s="70" t="n">
        <f aca="false">MAX(0,T25-gap_base)</f>
        <v>0.361197328594697</v>
      </c>
      <c r="V25" s="71" t="n">
        <v>25</v>
      </c>
      <c r="W25" s="49" t="n">
        <f aca="false">V25*1000000*lf_rate*union_skill_share</f>
        <v>1260000</v>
      </c>
      <c r="X25" s="47" t="n">
        <v>0</v>
      </c>
      <c r="Y25" s="49" t="n">
        <f aca="false">IF(AND(mig_endo=1,$A25&gt;=talent_start),talent_rate_u*W25*U25*(1-(1-bd_keep)*S25),0)</f>
        <v>4551.08634029319</v>
      </c>
      <c r="Z25" s="49" t="n">
        <f aca="false">IF(AND(mig_endo=1,$A25&gt;=talent_start),X25*MIN(0.5,talent_share_o*U25)*(1-eu_comp*S25),0)</f>
        <v>0</v>
      </c>
      <c r="AA25" s="47" t="n">
        <v>0</v>
      </c>
      <c r="AB25" s="49" t="n">
        <f aca="false">IF(AND(mig_endo=1,$A25&gt;=talent_start),AA25*MIN(0.5,talent_share_a*U25),0)</f>
        <v>0</v>
      </c>
      <c r="AC25" s="49" t="n">
        <f aca="false">entry_cap*People!B25</f>
        <v>5443.34125776644</v>
      </c>
      <c r="AD25" s="49" t="n">
        <f aca="false">MIN(AC25,Y25+Z25+AB25)</f>
        <v>4551.08634029319</v>
      </c>
      <c r="AE25" s="49" t="n">
        <f aca="false">IF(Y25+Z25+AB25&gt;0,AD25*Y25/(Y25+Z25+AB25),0)</f>
        <v>4551.08634029319</v>
      </c>
      <c r="AF25" s="49" t="n">
        <f aca="false">IF(Y25+Z25+AB25&gt;0,AD25*AB25/(Y25+Z25+AB25),0)</f>
        <v>0</v>
      </c>
      <c r="AG25" s="49" t="n">
        <f aca="false">AD25*family_mult</f>
        <v>10012.389948645</v>
      </c>
      <c r="AH25" s="49" t="n">
        <f aca="false">AH24*(1+Paths!C25)+AG25</f>
        <v>68943.7372001651</v>
      </c>
      <c r="AI25" s="49" t="n">
        <f aca="false">IF(AND(mig_endo=1,$A25&gt;=talent_start),chain_rate*AH24,0)</f>
        <v>868.812045023281</v>
      </c>
      <c r="AJ25" s="49" t="n">
        <f aca="false">IF(AND(mig_endo=1,$A25&gt;=talent_start),IF(H24&gt;0,H24*job_fill,H24*job_return)*job_family,0)</f>
        <v>-151.363049536431</v>
      </c>
      <c r="AK25" s="49" t="n">
        <f aca="false">K25*gw_conv_family</f>
        <v>0</v>
      </c>
      <c r="AL25" s="49" t="n">
        <f aca="false">AG25+AI25+AJ25+AK25+AR25</f>
        <v>10729.8389441319</v>
      </c>
      <c r="AM25" s="49" t="n">
        <f aca="false">AM24*(1-skill_ret)+AD25</f>
        <v>25859.0178580056</v>
      </c>
      <c r="AN25" s="67" t="n">
        <f aca="false">AM25/B25</f>
        <v>0.0331458498693001</v>
      </c>
      <c r="AO25" s="67" t="n">
        <f aca="false">(skill_rel-1+skill_spill)*AM24/B24-AT25</f>
        <v>0.0383181813382687</v>
      </c>
      <c r="AP25" s="67" t="n">
        <f aca="false">talent_champ*AM24/(skill_base_share*B24)</f>
        <v>0.0589510482127211</v>
      </c>
      <c r="AQ25" s="47" t="n">
        <v>292000</v>
      </c>
      <c r="AR25" s="49" t="n">
        <f aca="false">IF(AND(div_on=1,$A25&gt;=div_start),AQ25*MIN(div_max,div_rate*U25)*(1-div_comp*S25),0)</f>
        <v>0</v>
      </c>
      <c r="AS25" s="49" t="n">
        <f aca="false">AS24*(1-div_assim)+AR25</f>
        <v>0</v>
      </c>
      <c r="AT25" s="67" t="n">
        <f aca="false">(1-div_rel)*AS24/Economy!B24</f>
        <v>0</v>
      </c>
      <c r="AU25" s="49" t="n">
        <f aca="false">AU24*(1-skill_ret)+AE25</f>
        <v>25859.0178580056</v>
      </c>
      <c r="AV25" s="49" t="n">
        <f aca="false">AV24*(1+union_nat)+AR25</f>
        <v>0</v>
      </c>
      <c r="AW25" s="49" t="n">
        <f aca="false">AW24*(1+union_nat)+AE25*family_mult</f>
        <v>66712.3492879083</v>
      </c>
      <c r="AX25" s="70" t="n">
        <f aca="false">V25-(AV25+AW25)/1000000</f>
        <v>24.9332876507121</v>
      </c>
      <c r="AY25" s="49" t="n">
        <f aca="false">L25*gw_union</f>
        <v>0</v>
      </c>
      <c r="AZ25" s="48" t="n">
        <v>1.116</v>
      </c>
      <c r="BA25" s="49" t="n">
        <f aca="false">Economy!Q25*AZ25/lf_rate</f>
        <v>398.571428571429</v>
      </c>
      <c r="BB25" s="67" t="n">
        <f aca="false">bd_growth*AU24/W24</f>
        <v>0.000536433204126541</v>
      </c>
      <c r="BC25" s="67" t="n">
        <f aca="false">tg_k*MIN(1,Economy!O24/BK24)</f>
        <v>0.000368315648179472</v>
      </c>
      <c r="BD25" s="67" t="n">
        <f aca="false">emu_g*S25</f>
        <v>0</v>
      </c>
      <c r="BE25" s="68" t="n">
        <f aca="false">BE24*(1-BB25-BC25+BD25)</f>
        <v>0.993206064720411</v>
      </c>
      <c r="BF25" s="48" t="n">
        <v>1</v>
      </c>
      <c r="BG25" s="56" t="n">
        <f aca="false">AU25*BA25*BE25*(skill_rel-1+skill_spill)/1000000</f>
        <v>13.3076357303229</v>
      </c>
      <c r="BH25" s="56" t="n">
        <f aca="false">union_disp*(Champions!AP25+Champions!AZ25)*(1-IF(union_resp=2,mkt_cut*S25,0))</f>
        <v>0.635644670473073</v>
      </c>
      <c r="BI25" s="56" t="n">
        <f aca="false">AY25*BA25*BE25/1000000</f>
        <v>0</v>
      </c>
      <c r="BJ25" s="49" t="n">
        <f aca="false">V25*Economy!Q25*AZ25</f>
        <v>4185</v>
      </c>
      <c r="BK25" s="49" t="n">
        <f aca="false">MAX(0.3*BJ25,AX25*Economy!Q25*AZ25*BE25*BF25-BG25-BH25-BI25)</f>
        <v>4131.53232545611</v>
      </c>
      <c r="BL25" s="66" t="n">
        <f aca="false">1-BK25/BJ25</f>
        <v>0.0127760273701045</v>
      </c>
      <c r="BM25" s="49" t="n">
        <f aca="false">MAX(0,BH25-BH24)*1000000/BA25</f>
        <v>3.61809768825718</v>
      </c>
      <c r="BN25" s="49" t="n">
        <f aca="false">BN24*(1-IF(AND($A25&gt;=1930,$A25&lt;=1932),0,union_reabsorb))+BM25</f>
        <v>668.260925322103</v>
      </c>
      <c r="BO25" s="62" t="n">
        <v>0.04</v>
      </c>
      <c r="BP25" s="66" t="n">
        <f aca="false">BO25+BN25/(AX25*1000000*lf_rate)</f>
        <v>0.0400638141854188</v>
      </c>
    </row>
    <row r="26" customFormat="false" ht="14.25" hidden="false" customHeight="true" outlineLevel="0" collapsed="false">
      <c r="A26" s="61" t="n">
        <v>1866</v>
      </c>
      <c r="B26" s="49" t="n">
        <f aca="false">Economy!B26*lf_rate</f>
        <v>822220.193315965</v>
      </c>
      <c r="C26" s="49" t="n">
        <f aca="false">Economy!O26*1000000/(B26+L26)</f>
        <v>691.289702144937</v>
      </c>
      <c r="D26" s="49" t="n">
        <f aca="false">Champions!AP26*1000000/(C26*champ_prem)</f>
        <v>1714.87665653275</v>
      </c>
      <c r="E26" s="49" t="n">
        <f aca="false">D26*job_mult</f>
        <v>1200.41365957292</v>
      </c>
      <c r="F26" s="49" t="n">
        <f aca="false">D26+E26</f>
        <v>2915.29031610567</v>
      </c>
      <c r="G26" s="66" t="n">
        <f aca="false">F26/B26</f>
        <v>0.00354563210658751</v>
      </c>
      <c r="H26" s="49" t="n">
        <f aca="false">F26-F25</f>
        <v>-26.3170268982076</v>
      </c>
      <c r="I26" s="66" t="n">
        <f aca="false">MAX(0.005,pac_u_base*IF(Paths!AC26=1,pac_u_war,1)+(okun*(1-Economy!G26)*(B26+L26)-MAX(0,L25-L26))/B26)</f>
        <v>0.015</v>
      </c>
      <c r="J26" s="49" t="n">
        <f aca="false">IF(AND(gw_on=1,$A26&gt;=gw_start),MIN(gw_cap*B25,gw_cover*F25+gw_gen*B25),0)</f>
        <v>0</v>
      </c>
      <c r="K26" s="49" t="n">
        <f aca="false">L25*gw_conv</f>
        <v>0</v>
      </c>
      <c r="L26" s="49" t="n">
        <f aca="false">MAX(0,L25-K26+gw_adj*(J26-L25))*MAX(0,1-gw_slump*(1-Economy!G26))</f>
        <v>0</v>
      </c>
      <c r="M26" s="49" t="n">
        <f aca="false">MAX(0,L26-L25+L25/gw_term)</f>
        <v>0</v>
      </c>
      <c r="N26" s="66" t="n">
        <f aca="false">L26/B26</f>
        <v>0</v>
      </c>
      <c r="O26" s="56" t="n">
        <f aca="false">Economy!L26</f>
        <v>0</v>
      </c>
      <c r="P26" s="56" t="n">
        <f aca="false">O26*gw_wage_share</f>
        <v>0</v>
      </c>
      <c r="Q26" s="56" t="n">
        <f aca="false">P26*gw_levy</f>
        <v>0</v>
      </c>
      <c r="R26" s="56" t="n">
        <f aca="false">P26*gw_remit</f>
        <v>0</v>
      </c>
      <c r="S26" s="66" t="n">
        <f aca="false">IF(union_resp&gt;=1,MIN(1,MAX(0,($A26-resp_start)/(resp_full-resp_start))),0)</f>
        <v>0</v>
      </c>
      <c r="T26" s="70" t="n">
        <f aca="false">Economy!R25</f>
        <v>1.90477157720256</v>
      </c>
      <c r="U26" s="70" t="n">
        <f aca="false">MAX(0,T26-gap_base)</f>
        <v>0.404771577202558</v>
      </c>
      <c r="V26" s="71" t="n">
        <v>25.88</v>
      </c>
      <c r="W26" s="49" t="n">
        <f aca="false">V26*1000000*lf_rate*union_skill_share</f>
        <v>1304352</v>
      </c>
      <c r="X26" s="47" t="n">
        <v>0</v>
      </c>
      <c r="Y26" s="49" t="n">
        <f aca="false">IF(AND(mig_endo=1,$A26&gt;=talent_start),talent_rate_u*W26*U26*(1-(1-bd_keep)*S26),0)</f>
        <v>5279.64616267312</v>
      </c>
      <c r="Z26" s="49" t="n">
        <f aca="false">IF(AND(mig_endo=1,$A26&gt;=talent_start),X26*MIN(0.5,talent_share_o*U26)*(1-eu_comp*S26),0)</f>
        <v>0</v>
      </c>
      <c r="AA26" s="47" t="n">
        <v>0</v>
      </c>
      <c r="AB26" s="49" t="n">
        <f aca="false">IF(AND(mig_endo=1,$A26&gt;=talent_start),AA26*MIN(0.5,talent_share_a*U26),0)</f>
        <v>0</v>
      </c>
      <c r="AC26" s="49" t="n">
        <f aca="false">entry_cap*People!B26</f>
        <v>5701.78074952309</v>
      </c>
      <c r="AD26" s="49" t="n">
        <f aca="false">MIN(AC26,Y26+Z26+AB26)</f>
        <v>5279.64616267312</v>
      </c>
      <c r="AE26" s="49" t="n">
        <f aca="false">IF(Y26+Z26+AB26&gt;0,AD26*Y26/(Y26+Z26+AB26),0)</f>
        <v>5279.64616267312</v>
      </c>
      <c r="AF26" s="49" t="n">
        <f aca="false">IF(Y26+Z26+AB26&gt;0,AD26*AB26/(Y26+Z26+AB26),0)</f>
        <v>0</v>
      </c>
      <c r="AG26" s="49" t="n">
        <f aca="false">AD26*family_mult</f>
        <v>11615.2215578809</v>
      </c>
      <c r="AH26" s="49" t="n">
        <f aca="false">AH25*(1+Paths!C26)+AG26</f>
        <v>81712.2495939304</v>
      </c>
      <c r="AI26" s="49" t="n">
        <f aca="false">IF(AND(mig_endo=1,$A26&gt;=talent_start),chain_rate*AH25,0)</f>
        <v>1034.15605800248</v>
      </c>
      <c r="AJ26" s="49" t="n">
        <f aca="false">IF(AND(mig_endo=1,$A26&gt;=talent_start),IF(H25&gt;0,H25*job_fill,H25*job_return)*job_family,0)</f>
        <v>-55.4195384014738</v>
      </c>
      <c r="AK26" s="49" t="n">
        <f aca="false">K26*gw_conv_family</f>
        <v>0</v>
      </c>
      <c r="AL26" s="49" t="n">
        <f aca="false">AG26+AI26+AJ26+AK26+AR26</f>
        <v>12593.9580774819</v>
      </c>
      <c r="AM26" s="49" t="n">
        <f aca="false">AM25*(1-skill_ret)+AD26</f>
        <v>30492.1885742286</v>
      </c>
      <c r="AN26" s="67" t="n">
        <f aca="false">AM26/B26</f>
        <v>0.0370851857228845</v>
      </c>
      <c r="AO26" s="67" t="n">
        <f aca="false">(skill_rel-1+skill_spill)*AM25/B25-AT26</f>
        <v>0.0430896048300901</v>
      </c>
      <c r="AP26" s="67" t="n">
        <f aca="false">talent_champ*AM25/(skill_base_share*B25)</f>
        <v>0.0662916997386001</v>
      </c>
      <c r="AQ26" s="47" t="n">
        <v>320000</v>
      </c>
      <c r="AR26" s="49" t="n">
        <f aca="false">IF(AND(div_on=1,$A26&gt;=div_start),AQ26*MIN(div_max,div_rate*U26)*(1-div_comp*S26),0)</f>
        <v>0</v>
      </c>
      <c r="AS26" s="49" t="n">
        <f aca="false">AS25*(1-div_assim)+AR26</f>
        <v>0</v>
      </c>
      <c r="AT26" s="67" t="n">
        <f aca="false">(1-div_rel)*AS25/Economy!B25</f>
        <v>0</v>
      </c>
      <c r="AU26" s="49" t="n">
        <f aca="false">AU25*(1-skill_ret)+AE26</f>
        <v>30492.1885742286</v>
      </c>
      <c r="AV26" s="49" t="n">
        <f aca="false">AV25*(1+union_nat)+AR26</f>
        <v>0</v>
      </c>
      <c r="AW26" s="49" t="n">
        <f aca="false">AW25*(1+union_nat)+AE26*family_mult</f>
        <v>79194.831386532</v>
      </c>
      <c r="AX26" s="70" t="n">
        <f aca="false">V26-(AV26+AW26)/1000000</f>
        <v>25.8008051686135</v>
      </c>
      <c r="AY26" s="49" t="n">
        <f aca="false">L26*gw_union</f>
        <v>0</v>
      </c>
      <c r="AZ26" s="48" t="n">
        <v>1.116</v>
      </c>
      <c r="BA26" s="49" t="n">
        <f aca="false">Economy!Q26*AZ26/lf_rate</f>
        <v>409.2</v>
      </c>
      <c r="BB26" s="67" t="n">
        <f aca="false">bd_growth*AU25/W25</f>
        <v>0.000615690901381085</v>
      </c>
      <c r="BC26" s="67" t="n">
        <f aca="false">tg_k*MIN(1,Economy!O25/BK25)</f>
        <v>0.000385369941797494</v>
      </c>
      <c r="BD26" s="67" t="n">
        <f aca="false">emu_g*S26</f>
        <v>0</v>
      </c>
      <c r="BE26" s="68" t="n">
        <f aca="false">BE25*(1-BB26-BC26+BD26)</f>
        <v>0.992211805019812</v>
      </c>
      <c r="BF26" s="48" t="n">
        <v>1</v>
      </c>
      <c r="BG26" s="56" t="n">
        <f aca="false">AU26*BA26*BE26*(skill_rel-1+skill_spill)/1000000</f>
        <v>16.094295246597</v>
      </c>
      <c r="BH26" s="56" t="n">
        <f aca="false">union_disp*(Champions!AP26+Champions!AZ26)*(1-IF(union_resp=2,mkt_cut*S26,0))</f>
        <v>0.640157349479308</v>
      </c>
      <c r="BI26" s="56" t="n">
        <f aca="false">AY26*BA26*BE26/1000000</f>
        <v>0</v>
      </c>
      <c r="BJ26" s="49" t="n">
        <f aca="false">V26*Economy!Q26*AZ26</f>
        <v>4447.84032</v>
      </c>
      <c r="BK26" s="49" t="n">
        <f aca="false">MAX(0.3*BJ26,AX26*Economy!Q26*AZ26*BE26*BF26-BG26-BH26-BI26)</f>
        <v>4382.96048235046</v>
      </c>
      <c r="BL26" s="66" t="n">
        <f aca="false">1-BK26/BJ26</f>
        <v>0.0145868180918739</v>
      </c>
      <c r="BM26" s="49" t="n">
        <f aca="false">MAX(0,BH26-BH25)*1000000/BA26</f>
        <v>11.0280523124003</v>
      </c>
      <c r="BN26" s="49" t="n">
        <f aca="false">BN25*(1-IF(AND($A26&gt;=1930,$A26&lt;=1932),0,union_reabsorb))+BM26</f>
        <v>512.223746303977</v>
      </c>
      <c r="BO26" s="62" t="n">
        <v>0.04</v>
      </c>
      <c r="BP26" s="66" t="n">
        <f aca="false">BO26+BN26/(AX26*1000000*lf_rate)</f>
        <v>0.0400472690809598</v>
      </c>
    </row>
    <row r="27" customFormat="false" ht="14.25" hidden="false" customHeight="true" outlineLevel="0" collapsed="false">
      <c r="A27" s="61" t="n">
        <v>1867</v>
      </c>
      <c r="B27" s="49" t="n">
        <f aca="false">Economy!B27*lf_rate</f>
        <v>881206.938865929</v>
      </c>
      <c r="C27" s="49" t="n">
        <f aca="false">Economy!O27*1000000/(B27+L27)</f>
        <v>699.503264710666</v>
      </c>
      <c r="D27" s="49" t="n">
        <f aca="false">Champions!AP27*1000000/(C27*champ_prem)</f>
        <v>1938.08679569369</v>
      </c>
      <c r="E27" s="49" t="n">
        <f aca="false">D27*job_mult</f>
        <v>1356.66075698558</v>
      </c>
      <c r="F27" s="49" t="n">
        <f aca="false">D27+E27</f>
        <v>3294.74755267927</v>
      </c>
      <c r="G27" s="66" t="n">
        <f aca="false">F27/B27</f>
        <v>0.00373890332379753</v>
      </c>
      <c r="H27" s="49" t="n">
        <f aca="false">F27-F26</f>
        <v>379.457236573599</v>
      </c>
      <c r="I27" s="66" t="n">
        <f aca="false">MAX(0.005,pac_u_base*IF(Paths!AC27=1,pac_u_war,1)+(okun*(1-Economy!G27)*(B27+L27)-MAX(0,L26-L27))/B27)</f>
        <v>0.015</v>
      </c>
      <c r="J27" s="49" t="n">
        <f aca="false">IF(AND(gw_on=1,$A27&gt;=gw_start),MIN(gw_cap*B26,gw_cover*F26+gw_gen*B26),0)</f>
        <v>0</v>
      </c>
      <c r="K27" s="49" t="n">
        <f aca="false">L26*gw_conv</f>
        <v>0</v>
      </c>
      <c r="L27" s="49" t="n">
        <f aca="false">MAX(0,L26-K27+gw_adj*(J27-L26))*MAX(0,1-gw_slump*(1-Economy!G27))</f>
        <v>0</v>
      </c>
      <c r="M27" s="49" t="n">
        <f aca="false">MAX(0,L27-L26+L26/gw_term)</f>
        <v>0</v>
      </c>
      <c r="N27" s="66" t="n">
        <f aca="false">L27/B27</f>
        <v>0</v>
      </c>
      <c r="O27" s="56" t="n">
        <f aca="false">Economy!L27</f>
        <v>0</v>
      </c>
      <c r="P27" s="56" t="n">
        <f aca="false">O27*gw_wage_share</f>
        <v>0</v>
      </c>
      <c r="Q27" s="56" t="n">
        <f aca="false">P27*gw_levy</f>
        <v>0</v>
      </c>
      <c r="R27" s="56" t="n">
        <f aca="false">P27*gw_remit</f>
        <v>0</v>
      </c>
      <c r="S27" s="66" t="n">
        <f aca="false">IF(union_resp&gt;=1,MIN(1,MAX(0,($A27-resp_start)/(resp_full-resp_start))),0)</f>
        <v>0</v>
      </c>
      <c r="T27" s="70" t="n">
        <f aca="false">Economy!R26</f>
        <v>1.88533555130437</v>
      </c>
      <c r="U27" s="70" t="n">
        <f aca="false">MAX(0,T27-gap_base)</f>
        <v>0.385335551304373</v>
      </c>
      <c r="V27" s="71" t="n">
        <v>26.76</v>
      </c>
      <c r="W27" s="49" t="n">
        <f aca="false">V27*1000000*lf_rate*union_skill_share</f>
        <v>1348704</v>
      </c>
      <c r="X27" s="47" t="n">
        <v>0</v>
      </c>
      <c r="Y27" s="49" t="n">
        <f aca="false">IF(AND(mig_endo=1,$A27&gt;=talent_start),talent_rate_u*W27*U27*(1-(1-bd_keep)*S27),0)</f>
        <v>5197.03599386413</v>
      </c>
      <c r="Z27" s="49" t="n">
        <f aca="false">IF(AND(mig_endo=1,$A27&gt;=talent_start),X27*MIN(0.5,talent_share_o*U27)*(1-eu_comp*S27),0)</f>
        <v>0</v>
      </c>
      <c r="AA27" s="47" t="n">
        <v>0</v>
      </c>
      <c r="AB27" s="49" t="n">
        <f aca="false">IF(AND(mig_endo=1,$A27&gt;=talent_start),AA27*MIN(0.5,talent_share_a*U27),0)</f>
        <v>0</v>
      </c>
      <c r="AC27" s="49" t="n">
        <f aca="false">entry_cap*People!B27</f>
        <v>6044.22201213356</v>
      </c>
      <c r="AD27" s="49" t="n">
        <f aca="false">MIN(AC27,Y27+Z27+AB27)</f>
        <v>5197.03599386413</v>
      </c>
      <c r="AE27" s="49" t="n">
        <f aca="false">IF(Y27+Z27+AB27&gt;0,AD27*Y27/(Y27+Z27+AB27),0)</f>
        <v>5197.03599386413</v>
      </c>
      <c r="AF27" s="49" t="n">
        <f aca="false">IF(Y27+Z27+AB27&gt;0,AD27*AB27/(Y27+Z27+AB27),0)</f>
        <v>0</v>
      </c>
      <c r="AG27" s="49" t="n">
        <f aca="false">AD27*family_mult</f>
        <v>11433.4791865011</v>
      </c>
      <c r="AH27" s="49" t="n">
        <f aca="false">AH26*(1+Paths!C27)+AG27</f>
        <v>94538.3506502608</v>
      </c>
      <c r="AI27" s="49" t="n">
        <f aca="false">IF(AND(mig_endo=1,$A27&gt;=talent_start),chain_rate*AH26,0)</f>
        <v>1225.68374390896</v>
      </c>
      <c r="AJ27" s="49" t="n">
        <f aca="false">IF(AND(mig_endo=1,$A27&gt;=talent_start),IF(H26&gt;0,H26*job_fill,H26*job_return)*job_family,0)</f>
        <v>-14.2111945250321</v>
      </c>
      <c r="AK27" s="49" t="n">
        <f aca="false">K27*gw_conv_family</f>
        <v>0</v>
      </c>
      <c r="AL27" s="49" t="n">
        <f aca="false">AG27+AI27+AJ27+AK27+AR27</f>
        <v>12644.951735885</v>
      </c>
      <c r="AM27" s="49" t="n">
        <f aca="false">AM26*(1-skill_ret)+AD27</f>
        <v>34926.919853737</v>
      </c>
      <c r="AN27" s="67" t="n">
        <f aca="false">AM27/B27</f>
        <v>0.0396353209595537</v>
      </c>
      <c r="AO27" s="67" t="n">
        <f aca="false">(skill_rel-1+skill_spill)*AM26/B26-AT27</f>
        <v>0.0482107414397498</v>
      </c>
      <c r="AP27" s="67" t="n">
        <f aca="false">talent_champ*AM26/(skill_base_share*B26)</f>
        <v>0.074170371445769</v>
      </c>
      <c r="AQ27" s="47" t="n">
        <v>340000</v>
      </c>
      <c r="AR27" s="49" t="n">
        <f aca="false">IF(AND(div_on=1,$A27&gt;=div_start),AQ27*MIN(div_max,div_rate*U27)*(1-div_comp*S27),0)</f>
        <v>0</v>
      </c>
      <c r="AS27" s="49" t="n">
        <f aca="false">AS26*(1-div_assim)+AR27</f>
        <v>0</v>
      </c>
      <c r="AT27" s="67" t="n">
        <f aca="false">(1-div_rel)*AS26/Economy!B26</f>
        <v>0</v>
      </c>
      <c r="AU27" s="49" t="n">
        <f aca="false">AU26*(1-skill_ret)+AE27</f>
        <v>34926.919853737</v>
      </c>
      <c r="AV27" s="49" t="n">
        <f aca="false">AV26*(1+union_nat)+AR27</f>
        <v>0</v>
      </c>
      <c r="AW27" s="49" t="n">
        <f aca="false">AW26*(1+union_nat)+AE27*family_mult</f>
        <v>91657.8433810579</v>
      </c>
      <c r="AX27" s="70" t="n">
        <f aca="false">V27-(AV27+AW27)/1000000</f>
        <v>26.6683421566189</v>
      </c>
      <c r="AY27" s="49" t="n">
        <f aca="false">L27*gw_union</f>
        <v>0</v>
      </c>
      <c r="AZ27" s="48" t="n">
        <v>1.116</v>
      </c>
      <c r="BA27" s="49" t="n">
        <f aca="false">Economy!Q27*AZ27/lf_rate</f>
        <v>422.485714285714</v>
      </c>
      <c r="BB27" s="67" t="n">
        <f aca="false">bd_growth*AU26/W26</f>
        <v>0.000701318092989359</v>
      </c>
      <c r="BC27" s="67" t="n">
        <f aca="false">tg_k*MIN(1,Economy!O26/BK26)</f>
        <v>0.000389046870139792</v>
      </c>
      <c r="BD27" s="67" t="n">
        <f aca="false">emu_g*S27</f>
        <v>0</v>
      </c>
      <c r="BE27" s="68" t="n">
        <f aca="false">BE26*(1-BB27-BC27+BD27)</f>
        <v>0.991129932031615</v>
      </c>
      <c r="BF27" s="48" t="n">
        <v>1</v>
      </c>
      <c r="BG27" s="56" t="n">
        <f aca="false">AU27*BA27*BE27*(skill_rel-1+skill_spill)/1000000</f>
        <v>19.0128079093223</v>
      </c>
      <c r="BH27" s="56" t="n">
        <f aca="false">union_disp*(Champions!AP27+Champions!AZ27)*(1-IF(union_resp=2,mkt_cut*S27,0))</f>
        <v>0.737881957475116</v>
      </c>
      <c r="BI27" s="56" t="n">
        <f aca="false">AY27*BA27*BE27/1000000</f>
        <v>0</v>
      </c>
      <c r="BJ27" s="49" t="n">
        <f aca="false">V27*Economy!Q27*AZ27</f>
        <v>4748.40144</v>
      </c>
      <c r="BK27" s="49" t="n">
        <f aca="false">MAX(0.3*BJ27,AX27*Economy!Q27*AZ27*BE27*BF27-BG27-BH27-BI27)</f>
        <v>4670.41223623555</v>
      </c>
      <c r="BL27" s="66" t="n">
        <f aca="false">1-BK27/BJ27</f>
        <v>0.0164243071589274</v>
      </c>
      <c r="BM27" s="49" t="n">
        <f aca="false">MAX(0,BH27-BH26)*1000000/BA27</f>
        <v>231.308668415046</v>
      </c>
      <c r="BN27" s="49" t="n">
        <f aca="false">BN26*(1-IF(AND($A27&gt;=1930,$A27&lt;=1932),0,union_reabsorb))+BM27</f>
        <v>615.476478143029</v>
      </c>
      <c r="BO27" s="62" t="n">
        <v>0.04</v>
      </c>
      <c r="BP27" s="66" t="n">
        <f aca="false">BO27+BN27/(AX27*1000000*lf_rate)</f>
        <v>0.0400549498044329</v>
      </c>
    </row>
    <row r="28" customFormat="false" ht="14.25" hidden="false" customHeight="true" outlineLevel="0" collapsed="false">
      <c r="A28" s="61" t="n">
        <v>1868</v>
      </c>
      <c r="B28" s="49" t="n">
        <f aca="false">Economy!B28*lf_rate</f>
        <v>942137.532298516</v>
      </c>
      <c r="C28" s="49" t="n">
        <f aca="false">Economy!O28*1000000/(B28+L28)</f>
        <v>707.737729149472</v>
      </c>
      <c r="D28" s="49" t="n">
        <f aca="false">Champions!AP28*1000000/(C28*champ_prem)</f>
        <v>3083.42616185285</v>
      </c>
      <c r="E28" s="49" t="n">
        <f aca="false">D28*job_mult</f>
        <v>2158.39831329699</v>
      </c>
      <c r="F28" s="49" t="n">
        <f aca="false">D28+E28</f>
        <v>5241.82447514984</v>
      </c>
      <c r="G28" s="66" t="n">
        <f aca="false">F28/B28</f>
        <v>0.00556375719621471</v>
      </c>
      <c r="H28" s="49" t="n">
        <f aca="false">F28-F27</f>
        <v>1947.07692247057</v>
      </c>
      <c r="I28" s="66" t="n">
        <f aca="false">MAX(0.005,pac_u_base*IF(Paths!AC28=1,pac_u_war,1)+(okun*(1-Economy!G28)*(B28+L28)-MAX(0,L27-L28))/B28)</f>
        <v>0.015</v>
      </c>
      <c r="J28" s="49" t="n">
        <f aca="false">IF(AND(gw_on=1,$A28&gt;=gw_start),MIN(gw_cap*B27,gw_cover*F27+gw_gen*B27),0)</f>
        <v>0</v>
      </c>
      <c r="K28" s="49" t="n">
        <f aca="false">L27*gw_conv</f>
        <v>0</v>
      </c>
      <c r="L28" s="49" t="n">
        <f aca="false">MAX(0,L27-K28+gw_adj*(J28-L27))*MAX(0,1-gw_slump*(1-Economy!G28))</f>
        <v>0</v>
      </c>
      <c r="M28" s="49" t="n">
        <f aca="false">MAX(0,L28-L27+L27/gw_term)</f>
        <v>0</v>
      </c>
      <c r="N28" s="66" t="n">
        <f aca="false">L28/B28</f>
        <v>0</v>
      </c>
      <c r="O28" s="56" t="n">
        <f aca="false">Economy!L28</f>
        <v>0</v>
      </c>
      <c r="P28" s="56" t="n">
        <f aca="false">O28*gw_wage_share</f>
        <v>0</v>
      </c>
      <c r="Q28" s="56" t="n">
        <f aca="false">P28*gw_levy</f>
        <v>0</v>
      </c>
      <c r="R28" s="56" t="n">
        <f aca="false">P28*gw_remit</f>
        <v>0</v>
      </c>
      <c r="S28" s="66" t="n">
        <f aca="false">IF(union_resp&gt;=1,MIN(1,MAX(0,($A28-resp_start)/(resp_full-resp_start))),0)</f>
        <v>0</v>
      </c>
      <c r="T28" s="70" t="n">
        <f aca="false">Economy!R27</f>
        <v>1.84774447282063</v>
      </c>
      <c r="U28" s="70" t="n">
        <f aca="false">MAX(0,T28-gap_base)</f>
        <v>0.347744472820626</v>
      </c>
      <c r="V28" s="71" t="n">
        <v>27.64</v>
      </c>
      <c r="W28" s="49" t="n">
        <f aca="false">V28*1000000*lf_rate*union_skill_share</f>
        <v>1393056</v>
      </c>
      <c r="X28" s="47" t="n">
        <v>0</v>
      </c>
      <c r="Y28" s="49" t="n">
        <f aca="false">IF(AND(mig_endo=1,$A28&gt;=talent_start),talent_rate_u*W28*U28*(1-(1-bd_keep)*S28),0)</f>
        <v>4844.2752432961</v>
      </c>
      <c r="Z28" s="49" t="n">
        <f aca="false">IF(AND(mig_endo=1,$A28&gt;=talent_start),X28*MIN(0.5,talent_share_o*U28)*(1-eu_comp*S28),0)</f>
        <v>0</v>
      </c>
      <c r="AA28" s="47" t="n">
        <v>0</v>
      </c>
      <c r="AB28" s="49" t="n">
        <f aca="false">IF(AND(mig_endo=1,$A28&gt;=talent_start),AA28*MIN(0.5,talent_share_a*U28),0)</f>
        <v>0</v>
      </c>
      <c r="AC28" s="49" t="n">
        <f aca="false">entry_cap*People!B28</f>
        <v>6544.44854309401</v>
      </c>
      <c r="AD28" s="49" t="n">
        <f aca="false">MIN(AC28,Y28+Z28+AB28)</f>
        <v>4844.2752432961</v>
      </c>
      <c r="AE28" s="49" t="n">
        <f aca="false">IF(Y28+Z28+AB28&gt;0,AD28*Y28/(Y28+Z28+AB28),0)</f>
        <v>4844.2752432961</v>
      </c>
      <c r="AF28" s="49" t="n">
        <f aca="false">IF(Y28+Z28+AB28&gt;0,AD28*AB28/(Y28+Z28+AB28),0)</f>
        <v>0</v>
      </c>
      <c r="AG28" s="49" t="n">
        <f aca="false">AD28*family_mult</f>
        <v>10657.4055352514</v>
      </c>
      <c r="AH28" s="49" t="n">
        <f aca="false">AH27*(1+Paths!C28)+AG28</f>
        <v>106768.401648579</v>
      </c>
      <c r="AI28" s="49" t="n">
        <f aca="false">IF(AND(mig_endo=1,$A28&gt;=talent_start),chain_rate*AH27,0)</f>
        <v>1418.07525975391</v>
      </c>
      <c r="AJ28" s="49" t="n">
        <f aca="false">IF(AND(mig_endo=1,$A28&gt;=talent_start),IF(H27&gt;0,H27*job_fill,H27*job_return)*job_family,0)</f>
        <v>239.058059041367</v>
      </c>
      <c r="AK28" s="49" t="n">
        <f aca="false">K28*gw_conv_family</f>
        <v>0</v>
      </c>
      <c r="AL28" s="49" t="n">
        <f aca="false">AG28+AI28+AJ28+AK28+AR28</f>
        <v>12314.5388540467</v>
      </c>
      <c r="AM28" s="49" t="n">
        <f aca="false">AM27*(1-skill_ret)+AD28</f>
        <v>38898.0221006896</v>
      </c>
      <c r="AN28" s="67" t="n">
        <f aca="false">AM28/B28</f>
        <v>0.0412869891785235</v>
      </c>
      <c r="AO28" s="67" t="n">
        <f aca="false">(skill_rel-1+skill_spill)*AM27/B27-AT28</f>
        <v>0.0515259172474199</v>
      </c>
      <c r="AP28" s="67" t="n">
        <f aca="false">talent_champ*AM27/(skill_base_share*B27)</f>
        <v>0.0792706419191075</v>
      </c>
      <c r="AQ28" s="47" t="n">
        <v>360000</v>
      </c>
      <c r="AR28" s="49" t="n">
        <f aca="false">IF(AND(div_on=1,$A28&gt;=div_start),AQ28*MIN(div_max,div_rate*U28)*(1-div_comp*S28),0)</f>
        <v>0</v>
      </c>
      <c r="AS28" s="49" t="n">
        <f aca="false">AS27*(1-div_assim)+AR28</f>
        <v>0</v>
      </c>
      <c r="AT28" s="67" t="n">
        <f aca="false">(1-div_rel)*AS27/Economy!B27</f>
        <v>0</v>
      </c>
      <c r="AU28" s="49" t="n">
        <f aca="false">AU27*(1-skill_ret)+AE28</f>
        <v>38898.0221006896</v>
      </c>
      <c r="AV28" s="49" t="n">
        <f aca="false">AV27*(1+union_nat)+AR28</f>
        <v>0</v>
      </c>
      <c r="AW28" s="49" t="n">
        <f aca="false">AW27*(1+union_nat)+AE28*family_mult</f>
        <v>103506.800880263</v>
      </c>
      <c r="AX28" s="70" t="n">
        <f aca="false">V28-(AV28+AW28)/1000000</f>
        <v>27.5364931991197</v>
      </c>
      <c r="AY28" s="49" t="n">
        <f aca="false">L28*gw_union</f>
        <v>0</v>
      </c>
      <c r="AZ28" s="48" t="n">
        <v>1.115</v>
      </c>
      <c r="BA28" s="49" t="n">
        <f aca="false">Economy!Q28*AZ28/lf_rate</f>
        <v>432.726190476191</v>
      </c>
      <c r="BB28" s="67" t="n">
        <f aca="false">bd_growth*AU27/W27</f>
        <v>0.000776899598141704</v>
      </c>
      <c r="BC28" s="67" t="n">
        <f aca="false">tg_k*MIN(1,Economy!O27/BK27)</f>
        <v>0.000395943933496916</v>
      </c>
      <c r="BD28" s="67" t="n">
        <f aca="false">emu_g*S28</f>
        <v>0</v>
      </c>
      <c r="BE28" s="68" t="n">
        <f aca="false">BE27*(1-BB28-BC28+BD28)</f>
        <v>0.989967491701819</v>
      </c>
      <c r="BF28" s="48" t="n">
        <v>1</v>
      </c>
      <c r="BG28" s="56" t="n">
        <f aca="false">AU28*BA28*BE28*(skill_rel-1+skill_spill)/1000000</f>
        <v>21.6623209471977</v>
      </c>
      <c r="BH28" s="56" t="n">
        <f aca="false">union_disp*(Champions!AP28+Champions!AZ28)*(1-IF(union_resp=2,mkt_cut*S28,0))</f>
        <v>1.18469972078999</v>
      </c>
      <c r="BI28" s="56" t="n">
        <f aca="false">AY28*BA28*BE28/1000000</f>
        <v>0</v>
      </c>
      <c r="BJ28" s="49" t="n">
        <f aca="false">V28*Economy!Q28*AZ28</f>
        <v>5023.4318</v>
      </c>
      <c r="BK28" s="49" t="n">
        <f aca="false">MAX(0.3*BJ28,AX28*Economy!Q28*AZ28*BE28*BF28-BG28-BH28-BI28)</f>
        <v>4931.56404456346</v>
      </c>
      <c r="BL28" s="66" t="n">
        <f aca="false">1-BK28/BJ28</f>
        <v>0.0182878476495969</v>
      </c>
      <c r="BM28" s="49" t="n">
        <f aca="false">MAX(0,BH28-BH27)*1000000/BA28</f>
        <v>1032.56464052518</v>
      </c>
      <c r="BN28" s="49" t="n">
        <f aca="false">BN27*(1-IF(AND($A28&gt;=1930,$A28&lt;=1932),0,union_reabsorb))+BM28</f>
        <v>1494.17199913245</v>
      </c>
      <c r="BO28" s="62" t="n">
        <v>0.04</v>
      </c>
      <c r="BP28" s="66" t="n">
        <f aca="false">BO28+BN28/(AX28*1000000*lf_rate)</f>
        <v>0.040129194097199</v>
      </c>
    </row>
    <row r="29" customFormat="false" ht="14.25" hidden="false" customHeight="true" outlineLevel="0" collapsed="false">
      <c r="A29" s="61" t="n">
        <v>1869</v>
      </c>
      <c r="B29" s="49" t="n">
        <f aca="false">Economy!B29*lf_rate</f>
        <v>996122.466473488</v>
      </c>
      <c r="C29" s="49" t="n">
        <f aca="false">Economy!O29*1000000/(B29+L29)</f>
        <v>720.761330693029</v>
      </c>
      <c r="D29" s="49" t="n">
        <f aca="false">Champions!AP29*1000000/(C29*champ_prem)</f>
        <v>3323.96546785823</v>
      </c>
      <c r="E29" s="49" t="n">
        <f aca="false">D29*job_mult</f>
        <v>2326.77582750076</v>
      </c>
      <c r="F29" s="49" t="n">
        <f aca="false">D29+E29</f>
        <v>5650.741295359</v>
      </c>
      <c r="G29" s="66" t="n">
        <f aca="false">F29/B29</f>
        <v>0.00567273752530046</v>
      </c>
      <c r="H29" s="49" t="n">
        <f aca="false">F29-F28</f>
        <v>408.916820209156</v>
      </c>
      <c r="I29" s="66" t="n">
        <f aca="false">MAX(0.005,pac_u_base*IF(Paths!AC29=1,pac_u_war,1)+(okun*(1-Economy!G29)*(B29+L29)-MAX(0,L28-L29))/B29)</f>
        <v>0.015</v>
      </c>
      <c r="J29" s="49" t="n">
        <f aca="false">IF(AND(gw_on=1,$A29&gt;=gw_start),MIN(gw_cap*B28,gw_cover*F28+gw_gen*B28),0)</f>
        <v>0</v>
      </c>
      <c r="K29" s="49" t="n">
        <f aca="false">L28*gw_conv</f>
        <v>0</v>
      </c>
      <c r="L29" s="49" t="n">
        <f aca="false">MAX(0,L28-K29+gw_adj*(J29-L28))*MAX(0,1-gw_slump*(1-Economy!G29))</f>
        <v>0</v>
      </c>
      <c r="M29" s="49" t="n">
        <f aca="false">MAX(0,L29-L28+L28/gw_term)</f>
        <v>0</v>
      </c>
      <c r="N29" s="66" t="n">
        <f aca="false">L29/B29</f>
        <v>0</v>
      </c>
      <c r="O29" s="56" t="n">
        <f aca="false">Economy!L29</f>
        <v>0</v>
      </c>
      <c r="P29" s="56" t="n">
        <f aca="false">O29*gw_wage_share</f>
        <v>0</v>
      </c>
      <c r="Q29" s="56" t="n">
        <f aca="false">P29*gw_levy</f>
        <v>0</v>
      </c>
      <c r="R29" s="56" t="n">
        <f aca="false">P29*gw_remit</f>
        <v>0</v>
      </c>
      <c r="S29" s="66" t="n">
        <f aca="false">IF(union_resp&gt;=1,MIN(1,MAX(0,($A29-resp_start)/(resp_full-resp_start))),0)</f>
        <v>0</v>
      </c>
      <c r="T29" s="70" t="n">
        <f aca="false">Economy!R28</f>
        <v>1.823618688606</v>
      </c>
      <c r="U29" s="70" t="n">
        <f aca="false">MAX(0,T29-gap_base)</f>
        <v>0.323618688606</v>
      </c>
      <c r="V29" s="71" t="n">
        <v>28.52</v>
      </c>
      <c r="W29" s="49" t="n">
        <f aca="false">V29*1000000*lf_rate*union_skill_share</f>
        <v>1437408</v>
      </c>
      <c r="X29" s="47" t="n">
        <v>0</v>
      </c>
      <c r="Y29" s="49" t="n">
        <f aca="false">IF(AND(mig_endo=1,$A29&gt;=talent_start),talent_rate_u*W29*U29*(1-(1-bd_keep)*S29),0)</f>
        <v>4651.72091951774</v>
      </c>
      <c r="Z29" s="49" t="n">
        <f aca="false">IF(AND(mig_endo=1,$A29&gt;=talent_start),X29*MIN(0.5,talent_share_o*U29)*(1-eu_comp*S29),0)</f>
        <v>0</v>
      </c>
      <c r="AA29" s="47" t="n">
        <v>0</v>
      </c>
      <c r="AB29" s="49" t="n">
        <f aca="false">IF(AND(mig_endo=1,$A29&gt;=talent_start),AA29*MIN(0.5,talent_share_a*U29),0)</f>
        <v>0</v>
      </c>
      <c r="AC29" s="49" t="n">
        <f aca="false">entry_cap*People!B29</f>
        <v>6914.65906117051</v>
      </c>
      <c r="AD29" s="49" t="n">
        <f aca="false">MIN(AC29,Y29+Z29+AB29)</f>
        <v>4651.72091951774</v>
      </c>
      <c r="AE29" s="49" t="n">
        <f aca="false">IF(Y29+Z29+AB29&gt;0,AD29*Y29/(Y29+Z29+AB29),0)</f>
        <v>4651.72091951774</v>
      </c>
      <c r="AF29" s="49" t="n">
        <f aca="false">IF(Y29+Z29+AB29&gt;0,AD29*AB29/(Y29+Z29+AB29),0)</f>
        <v>0</v>
      </c>
      <c r="AG29" s="49" t="n">
        <f aca="false">AD29*family_mult</f>
        <v>10233.786022939</v>
      </c>
      <c r="AH29" s="49" t="n">
        <f aca="false">AH28*(1+Paths!C29)+AG29</f>
        <v>118783.831989828</v>
      </c>
      <c r="AI29" s="49" t="n">
        <f aca="false">IF(AND(mig_endo=1,$A29&gt;=talent_start),chain_rate*AH28,0)</f>
        <v>1601.52602472869</v>
      </c>
      <c r="AJ29" s="49" t="n">
        <f aca="false">IF(AND(mig_endo=1,$A29&gt;=talent_start),IF(H28&gt;0,H28*job_fill,H28*job_return)*job_family,0)</f>
        <v>1226.65846115646</v>
      </c>
      <c r="AK29" s="49" t="n">
        <f aca="false">K29*gw_conv_family</f>
        <v>0</v>
      </c>
      <c r="AL29" s="49" t="n">
        <f aca="false">AG29+AI29+AJ29+AK29+AR29</f>
        <v>13061.9705088242</v>
      </c>
      <c r="AM29" s="49" t="n">
        <f aca="false">AM28*(1-skill_ret)+AD29</f>
        <v>42577.2924676901</v>
      </c>
      <c r="AN29" s="67" t="n">
        <f aca="false">AM29/B29</f>
        <v>0.0427430299995381</v>
      </c>
      <c r="AO29" s="67" t="n">
        <f aca="false">(skill_rel-1+skill_spill)*AM28/B28-AT29</f>
        <v>0.0536730859320805</v>
      </c>
      <c r="AP29" s="67" t="n">
        <f aca="false">talent_champ*AM28/(skill_base_share*B28)</f>
        <v>0.0825739783570469</v>
      </c>
      <c r="AQ29" s="47" t="n">
        <v>380000</v>
      </c>
      <c r="AR29" s="49" t="n">
        <f aca="false">IF(AND(div_on=1,$A29&gt;=div_start),AQ29*MIN(div_max,div_rate*U29)*(1-div_comp*S29),0)</f>
        <v>0</v>
      </c>
      <c r="AS29" s="49" t="n">
        <f aca="false">AS28*(1-div_assim)+AR29</f>
        <v>0</v>
      </c>
      <c r="AT29" s="67" t="n">
        <f aca="false">(1-div_rel)*AS28/Economy!B28</f>
        <v>0</v>
      </c>
      <c r="AU29" s="49" t="n">
        <f aca="false">AU28*(1-skill_ret)+AE29</f>
        <v>42577.2924676901</v>
      </c>
      <c r="AV29" s="49" t="n">
        <f aca="false">AV28*(1+union_nat)+AR29</f>
        <v>0</v>
      </c>
      <c r="AW29" s="49" t="n">
        <f aca="false">AW28*(1+union_nat)+AE29*family_mult</f>
        <v>115086.175314646</v>
      </c>
      <c r="AX29" s="70" t="n">
        <f aca="false">V29-(AV29+AW29)/1000000</f>
        <v>28.4049138246854</v>
      </c>
      <c r="AY29" s="49" t="n">
        <f aca="false">L29*gw_union</f>
        <v>0</v>
      </c>
      <c r="AZ29" s="48" t="n">
        <v>1.115</v>
      </c>
      <c r="BA29" s="49" t="n">
        <f aca="false">Economy!Q29*AZ29/lf_rate</f>
        <v>446</v>
      </c>
      <c r="BB29" s="67" t="n">
        <f aca="false">bd_growth*AU28/W28</f>
        <v>0.000837683957443698</v>
      </c>
      <c r="BC29" s="67" t="n">
        <f aca="false">tg_k*MIN(1,Economy!O28/BK28)</f>
        <v>0.00040562361451465</v>
      </c>
      <c r="BD29" s="67" t="n">
        <f aca="false">emu_g*S29</f>
        <v>0</v>
      </c>
      <c r="BE29" s="68" t="n">
        <f aca="false">BE28*(1-BB29-BC29+BD29)</f>
        <v>0.988736657623393</v>
      </c>
      <c r="BF29" s="48" t="n">
        <v>1</v>
      </c>
      <c r="BG29" s="56" t="n">
        <f aca="false">AU29*BA29*BE29*(skill_rel-1+skill_spill)/1000000</f>
        <v>24.4082637642224</v>
      </c>
      <c r="BH29" s="56" t="n">
        <f aca="false">union_disp*(Champions!AP29+Champions!AZ29)*(1-IF(union_resp=2,mkt_cut*S29,0))</f>
        <v>1.30386160056729</v>
      </c>
      <c r="BI29" s="56" t="n">
        <f aca="false">AY29*BA29*BE29/1000000</f>
        <v>0</v>
      </c>
      <c r="BJ29" s="49" t="n">
        <f aca="false">V29*Economy!Q29*AZ29</f>
        <v>5342.3664</v>
      </c>
      <c r="BK29" s="49" t="n">
        <f aca="false">MAX(0.3*BJ29,AX29*Economy!Q29*AZ29*BE29*BF29-BG29-BH29-BI29)</f>
        <v>5235.16624489653</v>
      </c>
      <c r="BL29" s="66" t="n">
        <f aca="false">1-BK29/BJ29</f>
        <v>0.020066043224492</v>
      </c>
      <c r="BM29" s="49" t="n">
        <f aca="false">MAX(0,BH29-BH28)*1000000/BA29</f>
        <v>267.179102639677</v>
      </c>
      <c r="BN29" s="49" t="n">
        <f aca="false">BN28*(1-IF(AND($A29&gt;=1930,$A29&lt;=1932),0,union_reabsorb))+BM29</f>
        <v>1387.80810198901</v>
      </c>
      <c r="BO29" s="62" t="n">
        <v>0.04</v>
      </c>
      <c r="BP29" s="66" t="n">
        <f aca="false">BO29+BN29/(AX29*1000000*lf_rate)</f>
        <v>0.0401163286403588</v>
      </c>
    </row>
    <row r="30" customFormat="false" ht="14.25" hidden="false" customHeight="true" outlineLevel="0" collapsed="false">
      <c r="A30" s="64" t="n">
        <v>1870</v>
      </c>
      <c r="B30" s="49" t="n">
        <f aca="false">Economy!B30*lf_rate</f>
        <v>1053697.33561821</v>
      </c>
      <c r="C30" s="49" t="n">
        <f aca="false">Economy!O30*1000000/(B30+L30)</f>
        <v>736.628395780551</v>
      </c>
      <c r="D30" s="49" t="n">
        <f aca="false">Champions!AP30*1000000/(C30*champ_prem)</f>
        <v>6142.19111257975</v>
      </c>
      <c r="E30" s="49" t="n">
        <f aca="false">D30*job_mult</f>
        <v>4299.53377880583</v>
      </c>
      <c r="F30" s="49" t="n">
        <f aca="false">D30+E30</f>
        <v>10441.7248913856</v>
      </c>
      <c r="G30" s="66" t="n">
        <f aca="false">F30/B30</f>
        <v>0.00990960548007781</v>
      </c>
      <c r="H30" s="49" t="n">
        <f aca="false">F30-F29</f>
        <v>4790.98359602658</v>
      </c>
      <c r="I30" s="66" t="n">
        <f aca="false">MAX(0.005,pac_u_base*IF(Paths!AC30=1,pac_u_war,1)+(okun*(1-Economy!G30)*(B30+L30)-MAX(0,L29-L30))/B30)</f>
        <v>0.009</v>
      </c>
      <c r="J30" s="49" t="n">
        <f aca="false">IF(AND(gw_on=1,$A30&gt;=gw_start),MIN(gw_cap*B29,gw_cover*F29+gw_gen*B29),0)</f>
        <v>0</v>
      </c>
      <c r="K30" s="49" t="n">
        <f aca="false">L29*gw_conv</f>
        <v>0</v>
      </c>
      <c r="L30" s="49" t="n">
        <f aca="false">MAX(0,L29-K30+gw_adj*(J30-L29))*MAX(0,1-gw_slump*(1-Economy!G30))</f>
        <v>0</v>
      </c>
      <c r="M30" s="49" t="n">
        <f aca="false">MAX(0,L30-L29+L29/gw_term)</f>
        <v>0</v>
      </c>
      <c r="N30" s="66" t="n">
        <f aca="false">L30/B30</f>
        <v>0</v>
      </c>
      <c r="O30" s="56" t="n">
        <f aca="false">Economy!L30</f>
        <v>0</v>
      </c>
      <c r="P30" s="56" t="n">
        <f aca="false">O30*gw_wage_share</f>
        <v>0</v>
      </c>
      <c r="Q30" s="56" t="n">
        <f aca="false">P30*gw_levy</f>
        <v>0</v>
      </c>
      <c r="R30" s="56" t="n">
        <f aca="false">P30*gw_remit</f>
        <v>0</v>
      </c>
      <c r="S30" s="66" t="n">
        <f aca="false">IF(union_resp&gt;=1,MIN(1,MAX(0,($A30-resp_start)/(resp_full-resp_start))),0)</f>
        <v>0</v>
      </c>
      <c r="T30" s="70" t="n">
        <f aca="false">Economy!R29</f>
        <v>1.80190332673257</v>
      </c>
      <c r="U30" s="70" t="n">
        <f aca="false">MAX(0,T30-gap_base)</f>
        <v>0.301903326732573</v>
      </c>
      <c r="V30" s="71" t="n">
        <v>29.4</v>
      </c>
      <c r="W30" s="49" t="n">
        <f aca="false">V30*1000000*lf_rate*union_skill_share</f>
        <v>1481760</v>
      </c>
      <c r="X30" s="47" t="n">
        <v>30000</v>
      </c>
      <c r="Y30" s="49" t="n">
        <f aca="false">IF(AND(mig_endo=1,$A30&gt;=talent_start),talent_rate_u*W30*U30*(1-(1-bd_keep)*S30),0)</f>
        <v>4473.48273419257</v>
      </c>
      <c r="Z30" s="49" t="n">
        <f aca="false">IF(AND(mig_endo=1,$A30&gt;=talent_start),X30*MIN(0.5,talent_share_o*U30)*(1-eu_comp*S30),0)</f>
        <v>2445.41694653384</v>
      </c>
      <c r="AA30" s="47" t="n">
        <v>0</v>
      </c>
      <c r="AB30" s="49" t="n">
        <f aca="false">IF(AND(mig_endo=1,$A30&gt;=talent_start),AA30*MIN(0.5,talent_share_a*U30),0)</f>
        <v>0</v>
      </c>
      <c r="AC30" s="49" t="n">
        <f aca="false">entry_cap*People!B30</f>
        <v>7315.66188845074</v>
      </c>
      <c r="AD30" s="49" t="n">
        <f aca="false">MIN(AC30,Y30+Z30+AB30)</f>
        <v>6918.89968072641</v>
      </c>
      <c r="AE30" s="49" t="n">
        <f aca="false">IF(Y30+Z30+AB30&gt;0,AD30*Y30/(Y30+Z30+AB30),0)</f>
        <v>4473.48273419257</v>
      </c>
      <c r="AF30" s="49" t="n">
        <f aca="false">IF(Y30+Z30+AB30&gt;0,AD30*AB30/(Y30+Z30+AB30),0)</f>
        <v>0</v>
      </c>
      <c r="AG30" s="49" t="n">
        <f aca="false">AD30*family_mult</f>
        <v>15221.5792975981</v>
      </c>
      <c r="AH30" s="49" t="n">
        <f aca="false">AH29*(1+Paths!C30)+AG30</f>
        <v>135996.584663072</v>
      </c>
      <c r="AI30" s="49" t="n">
        <f aca="false">IF(AND(mig_endo=1,$A30&gt;=talent_start),chain_rate*AH29,0)</f>
        <v>1781.75747984742</v>
      </c>
      <c r="AJ30" s="49" t="n">
        <f aca="false">IF(AND(mig_endo=1,$A30&gt;=talent_start),IF(H29&gt;0,H29*job_fill,H29*job_return)*job_family,0)</f>
        <v>257.617596731768</v>
      </c>
      <c r="AK30" s="49" t="n">
        <f aca="false">K30*gw_conv_family</f>
        <v>0</v>
      </c>
      <c r="AL30" s="49" t="n">
        <f aca="false">AG30+AI30+AJ30+AK30+AR30</f>
        <v>17260.9543741773</v>
      </c>
      <c r="AM30" s="49" t="n">
        <f aca="false">AM29*(1-skill_ret)+AD30</f>
        <v>48431.7598367243</v>
      </c>
      <c r="AN30" s="67" t="n">
        <f aca="false">AM30/B30</f>
        <v>0.0459636350967038</v>
      </c>
      <c r="AO30" s="67" t="n">
        <f aca="false">(skill_rel-1+skill_spill)*AM29/B29-AT30</f>
        <v>0.0555659389993995</v>
      </c>
      <c r="AP30" s="67" t="n">
        <f aca="false">talent_champ*AM29/(skill_base_share*B29)</f>
        <v>0.0854860599990761</v>
      </c>
      <c r="AQ30" s="47" t="n">
        <v>400000</v>
      </c>
      <c r="AR30" s="49" t="n">
        <f aca="false">IF(AND(div_on=1,$A30&gt;=div_start),AQ30*MIN(div_max,div_rate*U30)*(1-div_comp*S30),0)</f>
        <v>0</v>
      </c>
      <c r="AS30" s="49" t="n">
        <f aca="false">AS29*(1-div_assim)+AR30</f>
        <v>0</v>
      </c>
      <c r="AT30" s="67" t="n">
        <f aca="false">(1-div_rel)*AS29/Economy!B29</f>
        <v>0</v>
      </c>
      <c r="AU30" s="49" t="n">
        <f aca="false">AU29*(1-skill_ret)+AE30</f>
        <v>45986.3428901905</v>
      </c>
      <c r="AV30" s="49" t="n">
        <f aca="false">AV29*(1+union_nat)+AR30</f>
        <v>0</v>
      </c>
      <c r="AW30" s="49" t="n">
        <f aca="false">AW29*(1+union_nat)+AE30*family_mult</f>
        <v>126423.95760896</v>
      </c>
      <c r="AX30" s="70" t="n">
        <f aca="false">V30-(AV30+AW30)/1000000</f>
        <v>29.273576042391</v>
      </c>
      <c r="AY30" s="49" t="n">
        <f aca="false">L30*gw_union</f>
        <v>0</v>
      </c>
      <c r="AZ30" s="48" t="n">
        <v>1.115</v>
      </c>
      <c r="BA30" s="49" t="n">
        <f aca="false">Economy!Q30*AZ30/lf_rate</f>
        <v>456.619047619048</v>
      </c>
      <c r="BB30" s="67" t="n">
        <f aca="false">bd_growth*AU29/W29</f>
        <v>0.000888626454027461</v>
      </c>
      <c r="BC30" s="67" t="n">
        <f aca="false">tg_k*MIN(1,Economy!O29/BK29)</f>
        <v>0.000411429086040138</v>
      </c>
      <c r="BD30" s="67" t="n">
        <f aca="false">emu_g*S30</f>
        <v>0</v>
      </c>
      <c r="BE30" s="68" t="n">
        <f aca="false">BE29*(1-BB30-BC30+BD30)</f>
        <v>0.987451245053982</v>
      </c>
      <c r="BF30" s="48" t="n">
        <v>1</v>
      </c>
      <c r="BG30" s="56" t="n">
        <f aca="false">AU30*BA30*BE30*(skill_rel-1+skill_spill)/1000000</f>
        <v>26.9551598221938</v>
      </c>
      <c r="BH30" s="56" t="n">
        <f aca="false">union_disp*(Champions!AP30+Champions!AZ30)*(1-IF(union_resp=2,mkt_cut*S30,0))</f>
        <v>2.60119291111553</v>
      </c>
      <c r="BI30" s="56" t="n">
        <f aca="false">AY30*BA30*BE30/1000000</f>
        <v>0</v>
      </c>
      <c r="BJ30" s="49" t="n">
        <f aca="false">V30*Economy!Q30*AZ30</f>
        <v>5638.332</v>
      </c>
      <c r="BK30" s="49" t="n">
        <f aca="false">MAX(0.3*BJ30,AX30*Economy!Q30*AZ30*BE30*BF30-BG30-BH30-BI30)</f>
        <v>5514.0802660288</v>
      </c>
      <c r="BL30" s="66" t="n">
        <f aca="false">1-BK30/BJ30</f>
        <v>0.022036966601329</v>
      </c>
      <c r="BM30" s="49" t="n">
        <f aca="false">MAX(0,BH30-BH29)*1000000/BA30</f>
        <v>2841.16774653385</v>
      </c>
      <c r="BN30" s="49" t="n">
        <f aca="false">BN29*(1-IF(AND($A30&gt;=1930,$A30&lt;=1932),0,union_reabsorb))+BM30</f>
        <v>3882.02382302561</v>
      </c>
      <c r="BO30" s="62" t="n">
        <v>0.04</v>
      </c>
      <c r="BP30" s="66" t="n">
        <f aca="false">BO30+BN30/(AX30*1000000*lf_rate)</f>
        <v>0.0403157425608324</v>
      </c>
    </row>
    <row r="31" customFormat="false" ht="14.25" hidden="false" customHeight="true" outlineLevel="0" collapsed="false">
      <c r="A31" s="64" t="n">
        <v>1871</v>
      </c>
      <c r="B31" s="49" t="n">
        <f aca="false">Economy!B31*lf_rate</f>
        <v>1113900.65452</v>
      </c>
      <c r="C31" s="49" t="n">
        <f aca="false">Economy!O31*1000000/(B31+L31)</f>
        <v>745.13990040114</v>
      </c>
      <c r="D31" s="49" t="n">
        <f aca="false">Champions!AP31*1000000/(C31*champ_prem)</f>
        <v>7276.9959383826</v>
      </c>
      <c r="E31" s="49" t="n">
        <f aca="false">D31*job_mult</f>
        <v>5093.89715686782</v>
      </c>
      <c r="F31" s="49" t="n">
        <f aca="false">D31+E31</f>
        <v>12370.8930952504</v>
      </c>
      <c r="G31" s="66" t="n">
        <f aca="false">F31/B31</f>
        <v>0.0111059213809164</v>
      </c>
      <c r="H31" s="49" t="n">
        <f aca="false">F31-F30</f>
        <v>1929.16820386484</v>
      </c>
      <c r="I31" s="66" t="n">
        <f aca="false">MAX(0.005,pac_u_base*IF(Paths!AC31=1,pac_u_war,1)+(okun*(1-Economy!G31)*(B31+L31)-MAX(0,L30-L31))/B31)</f>
        <v>0.009</v>
      </c>
      <c r="J31" s="49" t="n">
        <f aca="false">IF(AND(gw_on=1,$A31&gt;=gw_start),MIN(gw_cap*B30,gw_cover*F30+gw_gen*B30),0)</f>
        <v>0</v>
      </c>
      <c r="K31" s="49" t="n">
        <f aca="false">L30*gw_conv</f>
        <v>0</v>
      </c>
      <c r="L31" s="49" t="n">
        <f aca="false">MAX(0,L30-K31+gw_adj*(J31-L30))*MAX(0,1-gw_slump*(1-Economy!G31))</f>
        <v>0</v>
      </c>
      <c r="M31" s="49" t="n">
        <f aca="false">MAX(0,L31-L30+L30/gw_term)</f>
        <v>0</v>
      </c>
      <c r="N31" s="66" t="n">
        <f aca="false">L31/B31</f>
        <v>0</v>
      </c>
      <c r="O31" s="56" t="n">
        <f aca="false">Economy!L31</f>
        <v>0</v>
      </c>
      <c r="P31" s="56" t="n">
        <f aca="false">O31*gw_wage_share</f>
        <v>0</v>
      </c>
      <c r="Q31" s="56" t="n">
        <f aca="false">P31*gw_levy</f>
        <v>0</v>
      </c>
      <c r="R31" s="56" t="n">
        <f aca="false">P31*gw_remit</f>
        <v>0</v>
      </c>
      <c r="S31" s="66" t="n">
        <f aca="false">IF(union_resp&gt;=1,MIN(1,MAX(0,($A31-resp_start)/(resp_full-resp_start))),0)</f>
        <v>0</v>
      </c>
      <c r="T31" s="70" t="n">
        <f aca="false">Economy!R30</f>
        <v>1.79874375713856</v>
      </c>
      <c r="U31" s="70" t="n">
        <f aca="false">MAX(0,T31-gap_base)</f>
        <v>0.298743757138555</v>
      </c>
      <c r="V31" s="71" t="n">
        <v>30.46</v>
      </c>
      <c r="W31" s="49" t="n">
        <f aca="false">V31*1000000*lf_rate*union_skill_share</f>
        <v>1535184</v>
      </c>
      <c r="X31" s="47" t="n">
        <v>33000</v>
      </c>
      <c r="Y31" s="49" t="n">
        <f aca="false">IF(AND(mig_endo=1,$A31&gt;=talent_start),talent_rate_u*W31*U31*(1-(1-bd_keep)*S31),0)</f>
        <v>4586.26636058995</v>
      </c>
      <c r="Z31" s="49" t="n">
        <f aca="false">IF(AND(mig_endo=1,$A31&gt;=talent_start),X31*MIN(0.5,talent_share_o*U31)*(1-eu_comp*S31),0)</f>
        <v>2661.80687610452</v>
      </c>
      <c r="AA31" s="47" t="n">
        <v>0</v>
      </c>
      <c r="AB31" s="49" t="n">
        <f aca="false">IF(AND(mig_endo=1,$A31&gt;=talent_start),AA31*MIN(0.5,talent_share_a*U31),0)</f>
        <v>0</v>
      </c>
      <c r="AC31" s="49" t="n">
        <f aca="false">entry_cap*People!B31</f>
        <v>7737.15719180937</v>
      </c>
      <c r="AD31" s="49" t="n">
        <f aca="false">MIN(AC31,Y31+Z31+AB31)</f>
        <v>7248.07323669448</v>
      </c>
      <c r="AE31" s="49" t="n">
        <f aca="false">IF(Y31+Z31+AB31&gt;0,AD31*Y31/(Y31+Z31+AB31),0)</f>
        <v>4586.26636058995</v>
      </c>
      <c r="AF31" s="49" t="n">
        <f aca="false">IF(Y31+Z31+AB31&gt;0,AD31*AB31/(Y31+Z31+AB31),0)</f>
        <v>0</v>
      </c>
      <c r="AG31" s="49" t="n">
        <f aca="false">AD31*family_mult</f>
        <v>15945.7611207279</v>
      </c>
      <c r="AH31" s="49" t="n">
        <f aca="false">AH30*(1+Paths!C31)+AG31</f>
        <v>154200.297078961</v>
      </c>
      <c r="AI31" s="49" t="n">
        <f aca="false">IF(AND(mig_endo=1,$A31&gt;=talent_start),chain_rate*AH30,0)</f>
        <v>2039.94876994608</v>
      </c>
      <c r="AJ31" s="49" t="n">
        <f aca="false">IF(AND(mig_endo=1,$A31&gt;=talent_start),IF(H30&gt;0,H30*job_fill,H30*job_return)*job_family,0)</f>
        <v>3018.31966549675</v>
      </c>
      <c r="AK31" s="49" t="n">
        <f aca="false">K31*gw_conv_family</f>
        <v>0</v>
      </c>
      <c r="AL31" s="49" t="n">
        <f aca="false">AG31+AI31+AJ31+AK31+AR31</f>
        <v>21004.0295561707</v>
      </c>
      <c r="AM31" s="49" t="n">
        <f aca="false">AM30*(1-skill_ret)+AD31</f>
        <v>54469.0390775007</v>
      </c>
      <c r="AN31" s="67" t="n">
        <f aca="false">AM31/B31</f>
        <v>0.048899368948636</v>
      </c>
      <c r="AO31" s="67" t="n">
        <f aca="false">(skill_rel-1+skill_spill)*AM30/B30-AT31</f>
        <v>0.0597527256257149</v>
      </c>
      <c r="AP31" s="67" t="n">
        <f aca="false">talent_champ*AM30/(skill_base_share*B30)</f>
        <v>0.0919272701934075</v>
      </c>
      <c r="AQ31" s="47" t="n">
        <v>420000</v>
      </c>
      <c r="AR31" s="49" t="n">
        <f aca="false">IF(AND(div_on=1,$A31&gt;=div_start),AQ31*MIN(div_max,div_rate*U31)*(1-div_comp*S31),0)</f>
        <v>0</v>
      </c>
      <c r="AS31" s="49" t="n">
        <f aca="false">AS30*(1-div_assim)+AR31</f>
        <v>0</v>
      </c>
      <c r="AT31" s="67" t="n">
        <f aca="false">(1-div_rel)*AS30/Economy!B30</f>
        <v>0</v>
      </c>
      <c r="AU31" s="49" t="n">
        <f aca="false">AU30*(1-skill_ret)+AE31</f>
        <v>49422.9506785256</v>
      </c>
      <c r="AV31" s="49" t="n">
        <f aca="false">AV30*(1+union_nat)+AR31</f>
        <v>0</v>
      </c>
      <c r="AW31" s="49" t="n">
        <f aca="false">AW30*(1+union_nat)+AE31*family_mult</f>
        <v>138157.255051174</v>
      </c>
      <c r="AX31" s="70" t="n">
        <f aca="false">V31-(AV31+AW31)/1000000</f>
        <v>30.3218427449488</v>
      </c>
      <c r="AY31" s="49" t="n">
        <f aca="false">L31*gw_union</f>
        <v>0</v>
      </c>
      <c r="AZ31" s="48" t="n">
        <v>1.114</v>
      </c>
      <c r="BA31" s="49" t="n">
        <f aca="false">Economy!Q31*AZ31/lf_rate</f>
        <v>458.861904761905</v>
      </c>
      <c r="BB31" s="67" t="n">
        <f aca="false">bd_growth*AU30/W30</f>
        <v>0.000931048406425949</v>
      </c>
      <c r="BC31" s="67" t="n">
        <f aca="false">tg_k*MIN(1,Economy!O30/BK30)</f>
        <v>0.000422291664535571</v>
      </c>
      <c r="BD31" s="67" t="n">
        <f aca="false">emu_g*S31</f>
        <v>0</v>
      </c>
      <c r="BE31" s="68" t="n">
        <f aca="false">BE30*(1-BB31-BC31+BD31)</f>
        <v>0.98611488771593</v>
      </c>
      <c r="BF31" s="48" t="n">
        <v>1</v>
      </c>
      <c r="BG31" s="56" t="n">
        <f aca="false">AU31*BA31*BE31*(skill_rel-1+skill_spill)/1000000</f>
        <v>29.0724439413654</v>
      </c>
      <c r="BH31" s="56" t="n">
        <f aca="false">union_disp*(Champions!AP31+Champions!AZ31)*(1-IF(union_resp=2,mkt_cut*S31,0))</f>
        <v>3.17024688034514</v>
      </c>
      <c r="BI31" s="56" t="n">
        <f aca="false">AY31*BA31*BE31/1000000</f>
        <v>0</v>
      </c>
      <c r="BJ31" s="49" t="n">
        <f aca="false">V31*Economy!Q31*AZ31</f>
        <v>5870.31212</v>
      </c>
      <c r="BK31" s="49" t="n">
        <f aca="false">MAX(0.3*BJ31,AX31*Economy!Q31*AZ31*BE31*BF31-BG31-BH31-BI31)</f>
        <v>5730.30324794297</v>
      </c>
      <c r="BL31" s="66" t="n">
        <f aca="false">1-BK31/BJ31</f>
        <v>0.0238503284314343</v>
      </c>
      <c r="BM31" s="49" t="n">
        <f aca="false">MAX(0,BH31-BH30)*1000000/BA31</f>
        <v>1240.14210664292</v>
      </c>
      <c r="BN31" s="49" t="n">
        <f aca="false">BN30*(1-IF(AND($A31&gt;=1930,$A31&lt;=1932),0,union_reabsorb))+BM31</f>
        <v>4151.65997391213</v>
      </c>
      <c r="BO31" s="62" t="n">
        <v>0.04</v>
      </c>
      <c r="BP31" s="66" t="n">
        <f aca="false">BO31+BN31/(AX31*1000000*lf_rate)</f>
        <v>0.0403259994711712</v>
      </c>
    </row>
    <row r="32" customFormat="false" ht="14.25" hidden="false" customHeight="true" outlineLevel="0" collapsed="false">
      <c r="A32" s="61" t="n">
        <v>1872</v>
      </c>
      <c r="B32" s="49" t="n">
        <f aca="false">Economy!B32*lf_rate</f>
        <v>1175654.27736268</v>
      </c>
      <c r="C32" s="49" t="n">
        <f aca="false">Economy!O32*1000000/(B32+L32)</f>
        <v>753.302027748402</v>
      </c>
      <c r="D32" s="49" t="n">
        <f aca="false">Champions!AP32*1000000/(C32*champ_prem)</f>
        <v>8539.37199730851</v>
      </c>
      <c r="E32" s="49" t="n">
        <f aca="false">D32*job_mult</f>
        <v>5977.56039811595</v>
      </c>
      <c r="F32" s="49" t="n">
        <f aca="false">D32+E32</f>
        <v>14516.9323954245</v>
      </c>
      <c r="G32" s="66" t="n">
        <f aca="false">F32/B32</f>
        <v>0.0123479603442519</v>
      </c>
      <c r="H32" s="49" t="n">
        <f aca="false">F32-F31</f>
        <v>2146.03930017405</v>
      </c>
      <c r="I32" s="66" t="n">
        <f aca="false">MAX(0.005,pac_u_base*IF(Paths!AC32=1,pac_u_war,1)+(okun*(1-Economy!G32)*(B32+L32)-MAX(0,L31-L32))/B32)</f>
        <v>0.015</v>
      </c>
      <c r="J32" s="49" t="n">
        <f aca="false">IF(AND(gw_on=1,$A32&gt;=gw_start),MIN(gw_cap*B31,gw_cover*F31+gw_gen*B31),0)</f>
        <v>0</v>
      </c>
      <c r="K32" s="49" t="n">
        <f aca="false">L31*gw_conv</f>
        <v>0</v>
      </c>
      <c r="L32" s="49" t="n">
        <f aca="false">MAX(0,L31-K32+gw_adj*(J32-L31))*MAX(0,1-gw_slump*(1-Economy!G32))</f>
        <v>0</v>
      </c>
      <c r="M32" s="49" t="n">
        <f aca="false">MAX(0,L32-L31+L31/gw_term)</f>
        <v>0</v>
      </c>
      <c r="N32" s="66" t="n">
        <f aca="false">L32/B32</f>
        <v>0</v>
      </c>
      <c r="O32" s="56" t="n">
        <f aca="false">Economy!L32</f>
        <v>0</v>
      </c>
      <c r="P32" s="56" t="n">
        <f aca="false">O32*gw_wage_share</f>
        <v>0</v>
      </c>
      <c r="Q32" s="56" t="n">
        <f aca="false">P32*gw_levy</f>
        <v>0</v>
      </c>
      <c r="R32" s="56" t="n">
        <f aca="false">P32*gw_remit</f>
        <v>0</v>
      </c>
      <c r="S32" s="66" t="n">
        <f aca="false">IF(union_resp&gt;=1,MIN(1,MAX(0,($A32-resp_start)/(resp_full-resp_start))),0)</f>
        <v>0</v>
      </c>
      <c r="T32" s="70" t="n">
        <f aca="false">Economy!R31</f>
        <v>1.80901016282358</v>
      </c>
      <c r="U32" s="70" t="n">
        <f aca="false">MAX(0,T32-gap_base)</f>
        <v>0.309010162823577</v>
      </c>
      <c r="V32" s="71" t="n">
        <v>31.52</v>
      </c>
      <c r="W32" s="49" t="n">
        <f aca="false">V32*1000000*lf_rate*union_skill_share</f>
        <v>1588608</v>
      </c>
      <c r="X32" s="47" t="n">
        <v>36000</v>
      </c>
      <c r="Y32" s="49" t="n">
        <f aca="false">IF(AND(mig_endo=1,$A32&gt;=talent_start),talent_rate_u*W32*U32*(1-(1-bd_keep)*S32),0)</f>
        <v>4908.96016742838</v>
      </c>
      <c r="Z32" s="49" t="n">
        <f aca="false">IF(AND(mig_endo=1,$A32&gt;=talent_start),X32*MIN(0.5,talent_share_o*U32)*(1-eu_comp*S32),0)</f>
        <v>3003.57878264517</v>
      </c>
      <c r="AA32" s="47" t="n">
        <v>0</v>
      </c>
      <c r="AB32" s="49" t="n">
        <f aca="false">IF(AND(mig_endo=1,$A32&gt;=talent_start),AA32*MIN(0.5,talent_share_a*U32),0)</f>
        <v>0</v>
      </c>
      <c r="AC32" s="49" t="n">
        <f aca="false">entry_cap*People!B32</f>
        <v>8175.70930133349</v>
      </c>
      <c r="AD32" s="49" t="n">
        <f aca="false">MIN(AC32,Y32+Z32+AB32)</f>
        <v>7912.53895007355</v>
      </c>
      <c r="AE32" s="49" t="n">
        <f aca="false">IF(Y32+Z32+AB32&gt;0,AD32*Y32/(Y32+Z32+AB32),0)</f>
        <v>4908.96016742838</v>
      </c>
      <c r="AF32" s="49" t="n">
        <f aca="false">IF(Y32+Z32+AB32&gt;0,AD32*AB32/(Y32+Z32+AB32),0)</f>
        <v>0</v>
      </c>
      <c r="AG32" s="49" t="n">
        <f aca="false">AD32*family_mult</f>
        <v>17407.5856901618</v>
      </c>
      <c r="AH32" s="49" t="n">
        <f aca="false">AH31*(1+Paths!C32)+AG32</f>
        <v>174130.599629334</v>
      </c>
      <c r="AI32" s="49" t="n">
        <f aca="false">IF(AND(mig_endo=1,$A32&gt;=talent_start),chain_rate*AH31,0)</f>
        <v>2313.00445618441</v>
      </c>
      <c r="AJ32" s="49" t="n">
        <f aca="false">IF(AND(mig_endo=1,$A32&gt;=talent_start),IF(H31&gt;0,H31*job_fill,H31*job_return)*job_family,0)</f>
        <v>1215.37596843485</v>
      </c>
      <c r="AK32" s="49" t="n">
        <f aca="false">K32*gw_conv_family</f>
        <v>0</v>
      </c>
      <c r="AL32" s="49" t="n">
        <f aca="false">AG32+AI32+AJ32+AK32+AR32</f>
        <v>20935.9661147811</v>
      </c>
      <c r="AM32" s="49" t="n">
        <f aca="false">AM31*(1-skill_ret)+AD32</f>
        <v>61019.8520506367</v>
      </c>
      <c r="AN32" s="67" t="n">
        <f aca="false">AM32/B32</f>
        <v>0.0519028878009284</v>
      </c>
      <c r="AO32" s="67" t="n">
        <f aca="false">(skill_rel-1+skill_spill)*AM31/B31-AT32</f>
        <v>0.0635691796332269</v>
      </c>
      <c r="AP32" s="67" t="n">
        <f aca="false">talent_champ*AM31/(skill_base_share*B31)</f>
        <v>0.0977987378972721</v>
      </c>
      <c r="AQ32" s="47" t="n">
        <v>440000</v>
      </c>
      <c r="AR32" s="49" t="n">
        <f aca="false">IF(AND(div_on=1,$A32&gt;=div_start),AQ32*MIN(div_max,div_rate*U32)*(1-div_comp*S32),0)</f>
        <v>0</v>
      </c>
      <c r="AS32" s="49" t="n">
        <f aca="false">AS31*(1-div_assim)+AR32</f>
        <v>0</v>
      </c>
      <c r="AT32" s="67" t="n">
        <f aca="false">(1-div_rel)*AS31/Economy!B31</f>
        <v>0</v>
      </c>
      <c r="AU32" s="49" t="n">
        <f aca="false">AU31*(1-skill_ret)+AE32</f>
        <v>53096.3370789909</v>
      </c>
      <c r="AV32" s="49" t="n">
        <f aca="false">AV31*(1+union_nat)+AR32</f>
        <v>0</v>
      </c>
      <c r="AW32" s="49" t="n">
        <f aca="false">AW31*(1+union_nat)+AE32*family_mult</f>
        <v>150753.011735182</v>
      </c>
      <c r="AX32" s="70" t="n">
        <f aca="false">V32-(AV32+AW32)/1000000</f>
        <v>31.3692469882648</v>
      </c>
      <c r="AY32" s="49" t="n">
        <f aca="false">L32*gw_union</f>
        <v>0</v>
      </c>
      <c r="AZ32" s="48" t="n">
        <v>1.113</v>
      </c>
      <c r="BA32" s="49" t="n">
        <f aca="false">Economy!Q32*AZ32/lf_rate</f>
        <v>458.45</v>
      </c>
      <c r="BB32" s="67" t="n">
        <f aca="false">bd_growth*AU31/W31</f>
        <v>0.000965805089393694</v>
      </c>
      <c r="BC32" s="67" t="n">
        <f aca="false">tg_k*MIN(1,Economy!O31/BK31)</f>
        <v>0.000434538166752563</v>
      </c>
      <c r="BD32" s="67" t="n">
        <f aca="false">emu_g*S32</f>
        <v>0</v>
      </c>
      <c r="BE32" s="68" t="n">
        <f aca="false">BE31*(1-BB32-BC32+BD32)</f>
        <v>0.984733988383131</v>
      </c>
      <c r="BF32" s="48" t="n">
        <v>1</v>
      </c>
      <c r="BG32" s="56" t="n">
        <f aca="false">AU32*BA32*BE32*(skill_rel-1+skill_spill)/1000000</f>
        <v>31.1615333105599</v>
      </c>
      <c r="BH32" s="56" t="n">
        <f aca="false">union_disp*(Champions!AP32+Champions!AZ32)*(1-IF(union_resp=2,mkt_cut*S32,0))</f>
        <v>3.78867814496918</v>
      </c>
      <c r="BI32" s="56" t="n">
        <f aca="false">AY32*BA32*BE32/1000000</f>
        <v>0</v>
      </c>
      <c r="BJ32" s="49" t="n">
        <f aca="false">V32*Economy!Q32*AZ32</f>
        <v>6069.14448</v>
      </c>
      <c r="BK32" s="49" t="n">
        <f aca="false">MAX(0.3*BJ32,AX32*Economy!Q32*AZ32*BE32*BF32-BG32-BH32-BI32)</f>
        <v>5912.95842848668</v>
      </c>
      <c r="BL32" s="66" t="n">
        <f aca="false">1-BK32/BJ32</f>
        <v>0.0257344428078807</v>
      </c>
      <c r="BM32" s="49" t="n">
        <f aca="false">MAX(0,BH32-BH31)*1000000/BA32</f>
        <v>1348.96120541833</v>
      </c>
      <c r="BN32" s="49" t="n">
        <f aca="false">BN31*(1-IF(AND($A32&gt;=1930,$A32&lt;=1932),0,union_reabsorb))+BM32</f>
        <v>4462.70618585242</v>
      </c>
      <c r="BO32" s="62" t="n">
        <v>0.04</v>
      </c>
      <c r="BP32" s="66" t="n">
        <f aca="false">BO32+BN32/(AX32*1000000*lf_rate)</f>
        <v>0.0403387231744094</v>
      </c>
    </row>
    <row r="33" customFormat="false" ht="14.25" hidden="false" customHeight="true" outlineLevel="0" collapsed="false">
      <c r="A33" s="61" t="n">
        <v>1873</v>
      </c>
      <c r="B33" s="49" t="n">
        <f aca="false">Economy!B33*lf_rate</f>
        <v>1243547.4906943</v>
      </c>
      <c r="C33" s="49" t="n">
        <f aca="false">Economy!O33*1000000/(B33+L33)</f>
        <v>749.753148422582</v>
      </c>
      <c r="D33" s="49" t="n">
        <f aca="false">Champions!AP33*1000000/(C33*champ_prem)</f>
        <v>9927.35717437088</v>
      </c>
      <c r="E33" s="49" t="n">
        <f aca="false">D33*job_mult</f>
        <v>6949.15002205962</v>
      </c>
      <c r="F33" s="49" t="n">
        <f aca="false">D33+E33</f>
        <v>16876.5071964305</v>
      </c>
      <c r="G33" s="66" t="n">
        <f aca="false">F33/B33</f>
        <v>0.0135712607059405</v>
      </c>
      <c r="H33" s="49" t="n">
        <f aca="false">F33-F32</f>
        <v>2359.57480100603</v>
      </c>
      <c r="I33" s="66" t="n">
        <f aca="false">MAX(0.005,pac_u_base*IF(Paths!AC33=1,pac_u_war,1)+(okun*(1-Economy!G33)*(B33+L33)-MAX(0,L32-L33))/B33)</f>
        <v>0.025</v>
      </c>
      <c r="J33" s="49" t="n">
        <f aca="false">IF(AND(gw_on=1,$A33&gt;=gw_start),MIN(gw_cap*B32,gw_cover*F32+gw_gen*B32),0)</f>
        <v>0</v>
      </c>
      <c r="K33" s="49" t="n">
        <f aca="false">L32*gw_conv</f>
        <v>0</v>
      </c>
      <c r="L33" s="49" t="n">
        <f aca="false">MAX(0,L32-K33+gw_adj*(J33-L32))*MAX(0,1-gw_slump*(1-Economy!G33))</f>
        <v>0</v>
      </c>
      <c r="M33" s="49" t="n">
        <f aca="false">MAX(0,L33-L32+L32/gw_term)</f>
        <v>0</v>
      </c>
      <c r="N33" s="66" t="n">
        <f aca="false">L33/B33</f>
        <v>0</v>
      </c>
      <c r="O33" s="56" t="n">
        <f aca="false">Economy!L33</f>
        <v>0</v>
      </c>
      <c r="P33" s="56" t="n">
        <f aca="false">O33*gw_wage_share</f>
        <v>0</v>
      </c>
      <c r="Q33" s="56" t="n">
        <f aca="false">P33*gw_levy</f>
        <v>0</v>
      </c>
      <c r="R33" s="56" t="n">
        <f aca="false">P33*gw_remit</f>
        <v>0</v>
      </c>
      <c r="S33" s="66" t="n">
        <f aca="false">IF(union_resp&gt;=1,MIN(1,MAX(0,($A33-resp_start)/(resp_full-resp_start))),0)</f>
        <v>0</v>
      </c>
      <c r="T33" s="70" t="n">
        <f aca="false">Economy!R32</f>
        <v>1.82882573210595</v>
      </c>
      <c r="U33" s="70" t="n">
        <f aca="false">MAX(0,T33-gap_base)</f>
        <v>0.328825732105946</v>
      </c>
      <c r="V33" s="71" t="n">
        <v>32.58</v>
      </c>
      <c r="W33" s="49" t="n">
        <f aca="false">V33*1000000*lf_rate*union_skill_share</f>
        <v>1642032</v>
      </c>
      <c r="X33" s="47" t="n">
        <v>39000</v>
      </c>
      <c r="Y33" s="49" t="n">
        <f aca="false">IF(AND(mig_endo=1,$A33&gt;=talent_start),talent_rate_u*W33*U33*(1-(1-bd_keep)*S33),0)</f>
        <v>5399.4237454139</v>
      </c>
      <c r="Z33" s="49" t="n">
        <f aca="false">IF(AND(mig_endo=1,$A33&gt;=talent_start),X33*MIN(0.5,talent_share_o*U33)*(1-eu_comp*S33),0)</f>
        <v>3462.53495907561</v>
      </c>
      <c r="AA33" s="47" t="n">
        <v>0</v>
      </c>
      <c r="AB33" s="49" t="n">
        <f aca="false">IF(AND(mig_endo=1,$A33&gt;=talent_start),AA33*MIN(0.5,talent_share_a*U33),0)</f>
        <v>0</v>
      </c>
      <c r="AC33" s="49" t="n">
        <f aca="false">entry_cap*People!B33</f>
        <v>8619.35180384765</v>
      </c>
      <c r="AD33" s="49" t="n">
        <f aca="false">MIN(AC33,Y33+Z33+AB33)</f>
        <v>8619.35180384765</v>
      </c>
      <c r="AE33" s="49" t="n">
        <f aca="false">IF(Y33+Z33+AB33&gt;0,AD33*Y33/(Y33+Z33+AB33),0)</f>
        <v>5251.60795165904</v>
      </c>
      <c r="AF33" s="49" t="n">
        <f aca="false">IF(Y33+Z33+AB33&gt;0,AD33*AB33/(Y33+Z33+AB33),0)</f>
        <v>0</v>
      </c>
      <c r="AG33" s="49" t="n">
        <f aca="false">AD33*family_mult</f>
        <v>18962.5739684648</v>
      </c>
      <c r="AH33" s="49" t="n">
        <f aca="false">AH32*(1+Paths!C33)+AG33</f>
        <v>195889.188636047</v>
      </c>
      <c r="AI33" s="49" t="n">
        <f aca="false">IF(AND(mig_endo=1,$A33&gt;=talent_start),chain_rate*AH32,0)</f>
        <v>2611.95899444001</v>
      </c>
      <c r="AJ33" s="49" t="n">
        <f aca="false">IF(AND(mig_endo=1,$A33&gt;=talent_start),IF(H32&gt;0,H32*job_fill,H32*job_return)*job_family,0)</f>
        <v>1352.00475910965</v>
      </c>
      <c r="AK33" s="49" t="n">
        <f aca="false">K33*gw_conv_family</f>
        <v>0</v>
      </c>
      <c r="AL33" s="49" t="n">
        <f aca="false">AG33+AI33+AJ33+AK33+AR33</f>
        <v>22926.5377220145</v>
      </c>
      <c r="AM33" s="49" t="n">
        <f aca="false">AM32*(1-skill_ret)+AD33</f>
        <v>68113.7075532184</v>
      </c>
      <c r="AN33" s="67" t="n">
        <f aca="false">AM33/B33</f>
        <v>0.0547737083327545</v>
      </c>
      <c r="AO33" s="67" t="n">
        <f aca="false">(skill_rel-1+skill_spill)*AM32/B32-AT33</f>
        <v>0.0674737541412069</v>
      </c>
      <c r="AP33" s="67" t="n">
        <f aca="false">talent_champ*AM32/(skill_base_share*B32)</f>
        <v>0.103805775601857</v>
      </c>
      <c r="AQ33" s="47" t="n">
        <v>460000</v>
      </c>
      <c r="AR33" s="49" t="n">
        <f aca="false">IF(AND(div_on=1,$A33&gt;=div_start),AQ33*MIN(div_max,div_rate*U33)*(1-div_comp*S33),0)</f>
        <v>0</v>
      </c>
      <c r="AS33" s="49" t="n">
        <f aca="false">AS32*(1-div_assim)+AR33</f>
        <v>0</v>
      </c>
      <c r="AT33" s="67" t="n">
        <f aca="false">(1-div_rel)*AS32/Economy!B32</f>
        <v>0</v>
      </c>
      <c r="AU33" s="49" t="n">
        <f aca="false">AU32*(1-skill_ret)+AE33</f>
        <v>57020.5366036751</v>
      </c>
      <c r="AV33" s="49" t="n">
        <f aca="false">AV32*(1+union_nat)+AR33</f>
        <v>0</v>
      </c>
      <c r="AW33" s="49" t="n">
        <f aca="false">AW32*(1+union_nat)+AE33*family_mult</f>
        <v>164266.338381389</v>
      </c>
      <c r="AX33" s="70" t="n">
        <f aca="false">V33-(AV33+AW33)/1000000</f>
        <v>32.4157336616186</v>
      </c>
      <c r="AY33" s="49" t="n">
        <f aca="false">L33*gw_union</f>
        <v>0</v>
      </c>
      <c r="AZ33" s="48" t="n">
        <v>1.113</v>
      </c>
      <c r="BA33" s="49" t="n">
        <f aca="false">Economy!Q33*AZ33/lf_rate</f>
        <v>461.1</v>
      </c>
      <c r="BB33" s="67" t="n">
        <f aca="false">bd_growth*AU32/W32</f>
        <v>0.0010026955122785</v>
      </c>
      <c r="BC33" s="67" t="n">
        <f aca="false">tg_k*MIN(1,Economy!O32/BK32)</f>
        <v>0.000449329770425115</v>
      </c>
      <c r="BD33" s="67" t="n">
        <f aca="false">emu_g*S33</f>
        <v>0</v>
      </c>
      <c r="BE33" s="68" t="n">
        <f aca="false">BE32*(1-BB33-BC33+BD33)</f>
        <v>0.983304129735261</v>
      </c>
      <c r="BF33" s="48" t="n">
        <v>1</v>
      </c>
      <c r="BG33" s="56" t="n">
        <f aca="false">AU33*BA33*BE33*(skill_rel-1+skill_spill)/1000000</f>
        <v>33.609158411669</v>
      </c>
      <c r="BH33" s="56" t="n">
        <f aca="false">union_disp*(Champions!AP33+Champions!AZ33)*(1-IF(union_resp=2,mkt_cut*S33,0))</f>
        <v>4.37084356621905</v>
      </c>
      <c r="BI33" s="56" t="n">
        <f aca="false">AY33*BA33*BE33/1000000</f>
        <v>0</v>
      </c>
      <c r="BJ33" s="49" t="n">
        <f aca="false">V33*Economy!Q33*AZ33</f>
        <v>6309.50796</v>
      </c>
      <c r="BK33" s="49" t="n">
        <f aca="false">MAX(0.3*BJ33,AX33*Economy!Q33*AZ33*BE33*BF33-BG33-BH33-BI33)</f>
        <v>6134.90421555357</v>
      </c>
      <c r="BL33" s="66" t="n">
        <f aca="false">1-BK33/BJ33</f>
        <v>0.0276731158044905</v>
      </c>
      <c r="BM33" s="49" t="n">
        <f aca="false">MAX(0,BH33-BH32)*1000000/BA33</f>
        <v>1262.55784265858</v>
      </c>
      <c r="BN33" s="49" t="n">
        <f aca="false">BN32*(1-IF(AND($A33&gt;=1930,$A33&lt;=1932),0,union_reabsorb))+BM33</f>
        <v>4609.5874820479</v>
      </c>
      <c r="BO33" s="62" t="n">
        <v>0.04</v>
      </c>
      <c r="BP33" s="66" t="n">
        <f aca="false">BO33+BN33/(AX33*1000000*lf_rate)</f>
        <v>0.0403385765815193</v>
      </c>
    </row>
    <row r="34" customFormat="false" ht="14.25" hidden="false" customHeight="true" outlineLevel="0" collapsed="false">
      <c r="A34" s="61" t="n">
        <v>1874</v>
      </c>
      <c r="B34" s="49" t="n">
        <f aca="false">Economy!B34*lf_rate</f>
        <v>1317986.87619303</v>
      </c>
      <c r="C34" s="49" t="n">
        <f aca="false">Economy!O34*1000000/(B34+L34)</f>
        <v>749.946357509194</v>
      </c>
      <c r="D34" s="49" t="n">
        <f aca="false">Champions!AP34*1000000/(C34*champ_prem)</f>
        <v>11139.649264206</v>
      </c>
      <c r="E34" s="49" t="n">
        <f aca="false">D34*job_mult</f>
        <v>7797.75448494419</v>
      </c>
      <c r="F34" s="49" t="n">
        <f aca="false">D34+E34</f>
        <v>18937.4037491502</v>
      </c>
      <c r="G34" s="66" t="n">
        <f aca="false">F34/B34</f>
        <v>0.0143684311970164</v>
      </c>
      <c r="H34" s="49" t="n">
        <f aca="false">F34-F33</f>
        <v>2060.89655271969</v>
      </c>
      <c r="I34" s="66" t="n">
        <f aca="false">MAX(0.005,pac_u_base*IF(Paths!AC34=1,pac_u_war,1)+(okun*(1-Economy!G34)*(B34+L34)-MAX(0,L33-L34))/B34)</f>
        <v>0.03</v>
      </c>
      <c r="J34" s="49" t="n">
        <f aca="false">IF(AND(gw_on=1,$A34&gt;=gw_start),MIN(gw_cap*B33,gw_cover*F33+gw_gen*B33),0)</f>
        <v>0</v>
      </c>
      <c r="K34" s="49" t="n">
        <f aca="false">L33*gw_conv</f>
        <v>0</v>
      </c>
      <c r="L34" s="49" t="n">
        <f aca="false">MAX(0,L33-K34+gw_adj*(J34-L33))*MAX(0,1-gw_slump*(1-Economy!G34))</f>
        <v>0</v>
      </c>
      <c r="M34" s="49" t="n">
        <f aca="false">MAX(0,L34-L33+L33/gw_term)</f>
        <v>0</v>
      </c>
      <c r="N34" s="66" t="n">
        <f aca="false">L34/B34</f>
        <v>0</v>
      </c>
      <c r="O34" s="56" t="n">
        <f aca="false">Economy!L34</f>
        <v>0</v>
      </c>
      <c r="P34" s="56" t="n">
        <f aca="false">O34*gw_wage_share</f>
        <v>0</v>
      </c>
      <c r="Q34" s="56" t="n">
        <f aca="false">P34*gw_levy</f>
        <v>0</v>
      </c>
      <c r="R34" s="56" t="n">
        <f aca="false">P34*gw_remit</f>
        <v>0</v>
      </c>
      <c r="S34" s="66" t="n">
        <f aca="false">IF(union_resp&gt;=1,MIN(1,MAX(0,($A34-resp_start)/(resp_full-resp_start))),0)</f>
        <v>0</v>
      </c>
      <c r="T34" s="70" t="n">
        <f aca="false">Economy!R33</f>
        <v>1.80974897895106</v>
      </c>
      <c r="U34" s="70" t="n">
        <f aca="false">MAX(0,T34-gap_base)</f>
        <v>0.309748978951061</v>
      </c>
      <c r="V34" s="71" t="n">
        <v>33.64</v>
      </c>
      <c r="W34" s="49" t="n">
        <f aca="false">V34*1000000*lf_rate*union_skill_share</f>
        <v>1695456</v>
      </c>
      <c r="X34" s="47" t="n">
        <v>42000</v>
      </c>
      <c r="Y34" s="49" t="n">
        <f aca="false">IF(AND(mig_endo=1,$A34&gt;=talent_start),talent_rate_u*W34*U34*(1-(1-bd_keep)*S34),0)</f>
        <v>5251.65764856449</v>
      </c>
      <c r="Z34" s="49" t="n">
        <f aca="false">IF(AND(mig_endo=1,$A34&gt;=talent_start),X34*MIN(0.5,talent_share_o*U34)*(1-eu_comp*S34),0)</f>
        <v>3512.55342130503</v>
      </c>
      <c r="AA34" s="47" t="n">
        <v>0</v>
      </c>
      <c r="AB34" s="49" t="n">
        <f aca="false">IF(AND(mig_endo=1,$A34&gt;=talent_start),AA34*MIN(0.5,talent_share_a*U34),0)</f>
        <v>0</v>
      </c>
      <c r="AC34" s="49" t="n">
        <f aca="false">entry_cap*People!B34</f>
        <v>9145.61234892808</v>
      </c>
      <c r="AD34" s="49" t="n">
        <f aca="false">MIN(AC34,Y34+Z34+AB34)</f>
        <v>8764.21106986952</v>
      </c>
      <c r="AE34" s="49" t="n">
        <f aca="false">IF(Y34+Z34+AB34&gt;0,AD34*Y34/(Y34+Z34+AB34),0)</f>
        <v>5251.65764856449</v>
      </c>
      <c r="AF34" s="49" t="n">
        <f aca="false">IF(Y34+Z34+AB34&gt;0,AD34*AB34/(Y34+Z34+AB34),0)</f>
        <v>0</v>
      </c>
      <c r="AG34" s="49" t="n">
        <f aca="false">AD34*family_mult</f>
        <v>19281.2643537129</v>
      </c>
      <c r="AH34" s="49" t="n">
        <f aca="false">AH33*(1+Paths!C34)+AG34</f>
        <v>218318.196361953</v>
      </c>
      <c r="AI34" s="49" t="n">
        <f aca="false">IF(AND(mig_endo=1,$A34&gt;=talent_start),chain_rate*AH33,0)</f>
        <v>2938.33782954071</v>
      </c>
      <c r="AJ34" s="49" t="n">
        <f aca="false">IF(AND(mig_endo=1,$A34&gt;=talent_start),IF(H33&gt;0,H33*job_fill,H33*job_return)*job_family,0)</f>
        <v>1486.5321246338</v>
      </c>
      <c r="AK34" s="49" t="n">
        <f aca="false">K34*gw_conv_family</f>
        <v>0</v>
      </c>
      <c r="AL34" s="49" t="n">
        <f aca="false">AG34+AI34+AJ34+AK34+AR34</f>
        <v>23706.1343078875</v>
      </c>
      <c r="AM34" s="49" t="n">
        <f aca="false">AM33*(1-skill_ret)+AD34</f>
        <v>75175.0759342575</v>
      </c>
      <c r="AN34" s="67" t="n">
        <f aca="false">AM34/B34</f>
        <v>0.0570378031011952</v>
      </c>
      <c r="AO34" s="67" t="n">
        <f aca="false">(skill_rel-1+skill_spill)*AM33/B33-AT34</f>
        <v>0.0712058208325809</v>
      </c>
      <c r="AP34" s="67" t="n">
        <f aca="false">talent_champ*AM33/(skill_base_share*B33)</f>
        <v>0.109547416665509</v>
      </c>
      <c r="AQ34" s="47" t="n">
        <v>396000</v>
      </c>
      <c r="AR34" s="49" t="n">
        <f aca="false">IF(AND(div_on=1,$A34&gt;=div_start),AQ34*MIN(div_max,div_rate*U34)*(1-div_comp*S34),0)</f>
        <v>0</v>
      </c>
      <c r="AS34" s="49" t="n">
        <f aca="false">AS33*(1-div_assim)+AR34</f>
        <v>0</v>
      </c>
      <c r="AT34" s="67" t="n">
        <f aca="false">(1-div_rel)*AS33/Economy!B33</f>
        <v>0</v>
      </c>
      <c r="AU34" s="49" t="n">
        <f aca="false">AU33*(1-skill_ret)+AE34</f>
        <v>60846.6808371477</v>
      </c>
      <c r="AV34" s="49" t="n">
        <f aca="false">AV33*(1+union_nat)+AR34</f>
        <v>0</v>
      </c>
      <c r="AW34" s="49" t="n">
        <f aca="false">AW33*(1+union_nat)+AE34*family_mult</f>
        <v>177955.447607189</v>
      </c>
      <c r="AX34" s="70" t="n">
        <f aca="false">V34-(AV34+AW34)/1000000</f>
        <v>33.4620445523928</v>
      </c>
      <c r="AY34" s="49" t="n">
        <f aca="false">L34*gw_union</f>
        <v>0</v>
      </c>
      <c r="AZ34" s="48" t="n">
        <v>1.112</v>
      </c>
      <c r="BA34" s="49" t="n">
        <f aca="false">Economy!Q34*AZ34/lf_rate</f>
        <v>460.685714285714</v>
      </c>
      <c r="BB34" s="67" t="n">
        <f aca="false">bd_growth*AU33/W33</f>
        <v>0.00104176782066991</v>
      </c>
      <c r="BC34" s="67" t="n">
        <f aca="false">tg_k*MIN(1,Economy!O33/BK33)</f>
        <v>0.000455925771749116</v>
      </c>
      <c r="BD34" s="67" t="n">
        <f aca="false">emu_g*S34</f>
        <v>0</v>
      </c>
      <c r="BE34" s="68" t="n">
        <f aca="false">BE33*(1-BB34-BC34+BD34)</f>
        <v>0.981831441440758</v>
      </c>
      <c r="BF34" s="48" t="n">
        <v>1</v>
      </c>
      <c r="BG34" s="56" t="n">
        <f aca="false">AU34*BA34*BE34*(skill_rel-1+skill_spill)/1000000</f>
        <v>35.7784832418505</v>
      </c>
      <c r="BH34" s="56" t="n">
        <f aca="false">union_disp*(Champions!AP34+Champions!AZ34)*(1-IF(union_resp=2,mkt_cut*S34,0))</f>
        <v>4.95031753541778</v>
      </c>
      <c r="BI34" s="56" t="n">
        <f aca="false">AY34*BA34*BE34/1000000</f>
        <v>0</v>
      </c>
      <c r="BJ34" s="49" t="n">
        <f aca="false">V34*Economy!Q34*AZ34</f>
        <v>6508.93632</v>
      </c>
      <c r="BK34" s="49" t="n">
        <f aca="false">MAX(0.3*BJ34,AX34*Economy!Q34*AZ34*BE34*BF34-BG34-BH34-BI34)</f>
        <v>6316.14286912283</v>
      </c>
      <c r="BL34" s="66" t="n">
        <f aca="false">1-BK34/BJ34</f>
        <v>0.0296198090438787</v>
      </c>
      <c r="BM34" s="49" t="n">
        <f aca="false">MAX(0,BH34-BH33)*1000000/BA34</f>
        <v>1257.8509626616</v>
      </c>
      <c r="BN34" s="49" t="n">
        <f aca="false">BN33*(1-IF(AND($A34&gt;=1930,$A34&lt;=1932),0,union_reabsorb))+BM34</f>
        <v>4715.04157419752</v>
      </c>
      <c r="BO34" s="62" t="n">
        <v>0.04</v>
      </c>
      <c r="BP34" s="66" t="n">
        <f aca="false">BO34+BN34/(AX34*1000000*lf_rate)</f>
        <v>0.0403354932315865</v>
      </c>
    </row>
    <row r="35" customFormat="false" ht="14.25" hidden="false" customHeight="true" outlineLevel="0" collapsed="false">
      <c r="A35" s="61" t="n">
        <v>1875</v>
      </c>
      <c r="B35" s="49" t="n">
        <f aca="false">Economy!B35*lf_rate</f>
        <v>1393927.70317992</v>
      </c>
      <c r="C35" s="49" t="n">
        <f aca="false">Economy!O35*1000000/(B35+L35)</f>
        <v>764.14500746186</v>
      </c>
      <c r="D35" s="49" t="n">
        <f aca="false">Champions!AP35*1000000/(C35*champ_prem)</f>
        <v>12288.4153208916</v>
      </c>
      <c r="E35" s="49" t="n">
        <f aca="false">D35*job_mult</f>
        <v>8601.89072462412</v>
      </c>
      <c r="F35" s="49" t="n">
        <f aca="false">D35+E35</f>
        <v>20890.3060455157</v>
      </c>
      <c r="G35" s="66" t="n">
        <f aca="false">F35/B35</f>
        <v>0.0149866495929878</v>
      </c>
      <c r="H35" s="49" t="n">
        <f aca="false">F35-F34</f>
        <v>1952.90229636554</v>
      </c>
      <c r="I35" s="66" t="n">
        <f aca="false">MAX(0.005,pac_u_base*IF(Paths!AC35=1,pac_u_war,1)+(okun*(1-Economy!G35)*(B35+L35)-MAX(0,L34-L35))/B35)</f>
        <v>0.025</v>
      </c>
      <c r="J35" s="49" t="n">
        <f aca="false">IF(AND(gw_on=1,$A35&gt;=gw_start),MIN(gw_cap*B34,gw_cover*F34+gw_gen*B34),0)</f>
        <v>0</v>
      </c>
      <c r="K35" s="49" t="n">
        <f aca="false">L34*gw_conv</f>
        <v>0</v>
      </c>
      <c r="L35" s="49" t="n">
        <f aca="false">MAX(0,L34-K35+gw_adj*(J35-L34))*MAX(0,1-gw_slump*(1-Economy!G35))</f>
        <v>0</v>
      </c>
      <c r="M35" s="49" t="n">
        <f aca="false">MAX(0,L35-L34+L34/gw_term)</f>
        <v>0</v>
      </c>
      <c r="N35" s="66" t="n">
        <f aca="false">L35/B35</f>
        <v>0</v>
      </c>
      <c r="O35" s="56" t="n">
        <f aca="false">Economy!L35</f>
        <v>0</v>
      </c>
      <c r="P35" s="56" t="n">
        <f aca="false">O35*gw_wage_share</f>
        <v>0</v>
      </c>
      <c r="Q35" s="56" t="n">
        <f aca="false">P35*gw_levy</f>
        <v>0</v>
      </c>
      <c r="R35" s="56" t="n">
        <f aca="false">P35*gw_remit</f>
        <v>0</v>
      </c>
      <c r="S35" s="66" t="n">
        <f aca="false">IF(union_resp&gt;=1,MIN(1,MAX(0,($A35-resp_start)/(resp_full-resp_start))),0)</f>
        <v>0</v>
      </c>
      <c r="T35" s="70" t="n">
        <f aca="false">Economy!R34</f>
        <v>1.81021534571185</v>
      </c>
      <c r="U35" s="70" t="n">
        <f aca="false">MAX(0,T35-gap_base)</f>
        <v>0.310215345711849</v>
      </c>
      <c r="V35" s="71" t="n">
        <v>34.7</v>
      </c>
      <c r="W35" s="49" t="n">
        <f aca="false">V35*1000000*lf_rate*union_skill_share</f>
        <v>1748880</v>
      </c>
      <c r="X35" s="47" t="n">
        <v>45000</v>
      </c>
      <c r="Y35" s="49" t="n">
        <f aca="false">IF(AND(mig_endo=1,$A35&gt;=talent_start),talent_rate_u*W35*U35*(1-(1-bd_keep)*S35),0)</f>
        <v>5425.29413808538</v>
      </c>
      <c r="Z35" s="49" t="n">
        <f aca="false">IF(AND(mig_endo=1,$A35&gt;=talent_start),X35*MIN(0.5,talent_share_o*U35)*(1-eu_comp*S35),0)</f>
        <v>3769.11645039896</v>
      </c>
      <c r="AA35" s="47" t="n">
        <v>0</v>
      </c>
      <c r="AB35" s="49" t="n">
        <f aca="false">IF(AND(mig_endo=1,$A35&gt;=talent_start),AA35*MIN(0.5,talent_share_a*U35),0)</f>
        <v>0</v>
      </c>
      <c r="AC35" s="49" t="n">
        <f aca="false">entry_cap*People!B35</f>
        <v>9682.77159668666</v>
      </c>
      <c r="AD35" s="49" t="n">
        <f aca="false">MIN(AC35,Y35+Z35+AB35)</f>
        <v>9194.41058848434</v>
      </c>
      <c r="AE35" s="49" t="n">
        <f aca="false">IF(Y35+Z35+AB35&gt;0,AD35*Y35/(Y35+Z35+AB35),0)</f>
        <v>5425.29413808538</v>
      </c>
      <c r="AF35" s="49" t="n">
        <f aca="false">IF(Y35+Z35+AB35&gt;0,AD35*AB35/(Y35+Z35+AB35),0)</f>
        <v>0</v>
      </c>
      <c r="AG35" s="49" t="n">
        <f aca="false">AD35*family_mult</f>
        <v>20227.7032946656</v>
      </c>
      <c r="AH35" s="49" t="n">
        <f aca="false">AH34*(1+Paths!C35)+AG35</f>
        <v>242023.271888271</v>
      </c>
      <c r="AI35" s="49" t="n">
        <f aca="false">IF(AND(mig_endo=1,$A35&gt;=talent_start),chain_rate*AH34,0)</f>
        <v>3274.77294542929</v>
      </c>
      <c r="AJ35" s="49" t="n">
        <f aca="false">IF(AND(mig_endo=1,$A35&gt;=talent_start),IF(H34&gt;0,H34*job_fill,H34*job_return)*job_family,0)</f>
        <v>1298.3648282134</v>
      </c>
      <c r="AK35" s="49" t="n">
        <f aca="false">K35*gw_conv_family</f>
        <v>0</v>
      </c>
      <c r="AL35" s="49" t="n">
        <f aca="false">AG35+AI35+AJ35+AK35+AR35</f>
        <v>24800.8410683082</v>
      </c>
      <c r="AM35" s="49" t="n">
        <f aca="false">AM34*(1-skill_ret)+AD35</f>
        <v>82490.1096243854</v>
      </c>
      <c r="AN35" s="67" t="n">
        <f aca="false">AM35/B35</f>
        <v>0.0591781836577346</v>
      </c>
      <c r="AO35" s="67" t="n">
        <f aca="false">(skill_rel-1+skill_spill)*AM34/B34-AT35</f>
        <v>0.0741491440315538</v>
      </c>
      <c r="AP35" s="67" t="n">
        <f aca="false">talent_champ*AM34/(skill_base_share*B34)</f>
        <v>0.11407560620239</v>
      </c>
      <c r="AQ35" s="47" t="n">
        <v>332000</v>
      </c>
      <c r="AR35" s="49" t="n">
        <f aca="false">IF(AND(div_on=1,$A35&gt;=div_start),AQ35*MIN(div_max,div_rate*U35)*(1-div_comp*S35),0)</f>
        <v>0</v>
      </c>
      <c r="AS35" s="49" t="n">
        <f aca="false">AS34*(1-div_assim)+AR35</f>
        <v>0</v>
      </c>
      <c r="AT35" s="67" t="n">
        <f aca="false">(1-div_rel)*AS34/Economy!B34</f>
        <v>0</v>
      </c>
      <c r="AU35" s="49" t="n">
        <f aca="false">AU34*(1-skill_ret)+AE35</f>
        <v>64750.8079543044</v>
      </c>
      <c r="AV35" s="49" t="n">
        <f aca="false">AV34*(1+union_nat)+AR35</f>
        <v>0</v>
      </c>
      <c r="AW35" s="49" t="n">
        <f aca="false">AW34*(1+union_nat)+AE35*family_mult</f>
        <v>192204.51552987</v>
      </c>
      <c r="AX35" s="70" t="n">
        <f aca="false">V35-(AV35+AW35)/1000000</f>
        <v>34.5077954844701</v>
      </c>
      <c r="AY35" s="49" t="n">
        <f aca="false">L35*gw_union</f>
        <v>0</v>
      </c>
      <c r="AZ35" s="48" t="n">
        <v>1.111</v>
      </c>
      <c r="BA35" s="49" t="n">
        <f aca="false">Economy!Q35*AZ35/lf_rate</f>
        <v>462.916666666667</v>
      </c>
      <c r="BB35" s="67" t="n">
        <f aca="false">bd_growth*AU34/W34</f>
        <v>0.00107664275871178</v>
      </c>
      <c r="BC35" s="67" t="n">
        <f aca="false">tg_k*MIN(1,Economy!O34/BK34)</f>
        <v>0.000469472973075649</v>
      </c>
      <c r="BD35" s="67" t="n">
        <f aca="false">emu_g*S35</f>
        <v>0</v>
      </c>
      <c r="BE35" s="68" t="n">
        <f aca="false">BE34*(1-BB35-BC35+BD35)</f>
        <v>0.980313416403183</v>
      </c>
      <c r="BF35" s="48" t="n">
        <v>1</v>
      </c>
      <c r="BG35" s="56" t="n">
        <f aca="false">AU35*BA35*BE35*(skill_rel-1+skill_spill)/1000000</f>
        <v>38.199379443318</v>
      </c>
      <c r="BH35" s="56" t="n">
        <f aca="false">union_disp*(Champions!AP35+Champions!AZ35)*(1-IF(union_resp=2,mkt_cut*S35,0))</f>
        <v>5.60276524034757</v>
      </c>
      <c r="BI35" s="56" t="n">
        <f aca="false">AY35*BA35*BE35/1000000</f>
        <v>0</v>
      </c>
      <c r="BJ35" s="49" t="n">
        <f aca="false">V35*Economy!Q35*AZ35</f>
        <v>6746.5475</v>
      </c>
      <c r="BK35" s="49" t="n">
        <f aca="false">MAX(0.3*BJ35,AX35*Economy!Q35*AZ35*BE35*BF35-BG35-BH35-BI35)</f>
        <v>6533.29519612311</v>
      </c>
      <c r="BL35" s="66" t="n">
        <f aca="false">1-BK35/BJ35</f>
        <v>0.0316091013776886</v>
      </c>
      <c r="BM35" s="49" t="n">
        <f aca="false">MAX(0,BH35-BH34)*1000000/BA35</f>
        <v>1409.42798544689</v>
      </c>
      <c r="BN35" s="49" t="n">
        <f aca="false">BN34*(1-IF(AND($A35&gt;=1930,$A35&lt;=1932),0,union_reabsorb))+BM35</f>
        <v>4945.70916609503</v>
      </c>
      <c r="BO35" s="62" t="n">
        <v>0.04</v>
      </c>
      <c r="BP35" s="66" t="n">
        <f aca="false">BO35+BN35/(AX35*1000000*lf_rate)</f>
        <v>0.0403412416774004</v>
      </c>
    </row>
    <row r="36" customFormat="false" ht="14.25" hidden="false" customHeight="true" outlineLevel="0" collapsed="false">
      <c r="A36" s="61" t="n">
        <v>1876</v>
      </c>
      <c r="B36" s="49" t="n">
        <f aca="false">Economy!B36*lf_rate</f>
        <v>1471600.66775936</v>
      </c>
      <c r="C36" s="49" t="n">
        <f aca="false">Economy!O36*1000000/(B36+L36)</f>
        <v>785.157209035095</v>
      </c>
      <c r="D36" s="49" t="n">
        <f aca="false">Champions!AP36*1000000/(C36*champ_prem)</f>
        <v>13292.3932314832</v>
      </c>
      <c r="E36" s="49" t="n">
        <f aca="false">D36*job_mult</f>
        <v>9304.67526203825</v>
      </c>
      <c r="F36" s="49" t="n">
        <f aca="false">D36+E36</f>
        <v>22597.0684935215</v>
      </c>
      <c r="G36" s="66" t="n">
        <f aca="false">F36/B36</f>
        <v>0.0153554350637306</v>
      </c>
      <c r="H36" s="49" t="n">
        <f aca="false">F36-F35</f>
        <v>1706.76244800573</v>
      </c>
      <c r="I36" s="66" t="n">
        <f aca="false">MAX(0.005,pac_u_base*IF(Paths!AC36=1,pac_u_war,1)+(okun*(1-Economy!G36)*(B36+L36)-MAX(0,L35-L36))/B36)</f>
        <v>0.015</v>
      </c>
      <c r="J36" s="49" t="n">
        <f aca="false">IF(AND(gw_on=1,$A36&gt;=gw_start),MIN(gw_cap*B35,gw_cover*F35+gw_gen*B35),0)</f>
        <v>0</v>
      </c>
      <c r="K36" s="49" t="n">
        <f aca="false">L35*gw_conv</f>
        <v>0</v>
      </c>
      <c r="L36" s="49" t="n">
        <f aca="false">MAX(0,L35-K36+gw_adj*(J36-L35))*MAX(0,1-gw_slump*(1-Economy!G36))</f>
        <v>0</v>
      </c>
      <c r="M36" s="49" t="n">
        <f aca="false">MAX(0,L36-L35+L35/gw_term)</f>
        <v>0</v>
      </c>
      <c r="N36" s="66" t="n">
        <f aca="false">L36/B36</f>
        <v>0</v>
      </c>
      <c r="O36" s="56" t="n">
        <f aca="false">Economy!L36</f>
        <v>0</v>
      </c>
      <c r="P36" s="56" t="n">
        <f aca="false">O36*gw_wage_share</f>
        <v>0</v>
      </c>
      <c r="Q36" s="56" t="n">
        <f aca="false">P36*gw_levy</f>
        <v>0</v>
      </c>
      <c r="R36" s="56" t="n">
        <f aca="false">P36*gw_remit</f>
        <v>0</v>
      </c>
      <c r="S36" s="66" t="n">
        <f aca="false">IF(union_resp&gt;=1,MIN(1,MAX(0,($A36-resp_start)/(resp_full-resp_start))),0)</f>
        <v>0</v>
      </c>
      <c r="T36" s="70" t="n">
        <f aca="false">Economy!R35</f>
        <v>1.83394801790846</v>
      </c>
      <c r="U36" s="70" t="n">
        <f aca="false">MAX(0,T36-gap_base)</f>
        <v>0.333948017908464</v>
      </c>
      <c r="V36" s="71" t="n">
        <v>35.76</v>
      </c>
      <c r="W36" s="49" t="n">
        <f aca="false">V36*1000000*lf_rate*union_skill_share</f>
        <v>1802304</v>
      </c>
      <c r="X36" s="47" t="n">
        <v>48000</v>
      </c>
      <c r="Y36" s="49" t="n">
        <f aca="false">IF(AND(mig_endo=1,$A36&gt;=talent_start),talent_rate_u*W36*U36*(1-(1-bd_keep)*S36),0)</f>
        <v>6018.75848468497</v>
      </c>
      <c r="Z36" s="49" t="n">
        <f aca="false">IF(AND(mig_endo=1,$A36&gt;=talent_start),X36*MIN(0.5,talent_share_o*U36)*(1-eu_comp*S36),0)</f>
        <v>4327.9663120937</v>
      </c>
      <c r="AA36" s="47" t="n">
        <v>0</v>
      </c>
      <c r="AB36" s="49" t="n">
        <f aca="false">IF(AND(mig_endo=1,$A36&gt;=talent_start),AA36*MIN(0.5,talent_share_a*U36),0)</f>
        <v>0</v>
      </c>
      <c r="AC36" s="49" t="n">
        <f aca="false">entry_cap*People!B36</f>
        <v>10230.4813058836</v>
      </c>
      <c r="AD36" s="49" t="n">
        <f aca="false">MIN(AC36,Y36+Z36+AB36)</f>
        <v>10230.4813058836</v>
      </c>
      <c r="AE36" s="49" t="n">
        <f aca="false">IF(Y36+Z36+AB36&gt;0,AD36*Y36/(Y36+Z36+AB36),0)</f>
        <v>5951.13887453241</v>
      </c>
      <c r="AF36" s="49" t="n">
        <f aca="false">IF(Y36+Z36+AB36&gt;0,AD36*AB36/(Y36+Z36+AB36),0)</f>
        <v>0</v>
      </c>
      <c r="AG36" s="49" t="n">
        <f aca="false">AD36*family_mult</f>
        <v>22507.058872944</v>
      </c>
      <c r="AH36" s="49" t="n">
        <f aca="false">AH35*(1+Paths!C36)+AG36</f>
        <v>268332.51636258</v>
      </c>
      <c r="AI36" s="49" t="n">
        <f aca="false">IF(AND(mig_endo=1,$A36&gt;=talent_start),chain_rate*AH35,0)</f>
        <v>3630.34907832407</v>
      </c>
      <c r="AJ36" s="49" t="n">
        <f aca="false">IF(AND(mig_endo=1,$A36&gt;=talent_start),IF(H35&gt;0,H35*job_fill,H35*job_return)*job_family,0)</f>
        <v>1230.32844671029</v>
      </c>
      <c r="AK36" s="49" t="n">
        <f aca="false">K36*gw_conv_family</f>
        <v>0</v>
      </c>
      <c r="AL36" s="49" t="n">
        <f aca="false">AG36+AI36+AJ36+AK36+AR36</f>
        <v>27367.7363979783</v>
      </c>
      <c r="AM36" s="49" t="n">
        <f aca="false">AM35*(1-skill_ret)+AD36</f>
        <v>90658.3381896594</v>
      </c>
      <c r="AN36" s="67" t="n">
        <f aca="false">AM36/B36</f>
        <v>0.061605257578263</v>
      </c>
      <c r="AO36" s="67" t="n">
        <f aca="false">(skill_rel-1+skill_spill)*AM35/B35-AT36</f>
        <v>0.076931638755055</v>
      </c>
      <c r="AP36" s="67" t="n">
        <f aca="false">talent_champ*AM35/(skill_base_share*B35)</f>
        <v>0.118356367315469</v>
      </c>
      <c r="AQ36" s="47" t="n">
        <v>268000</v>
      </c>
      <c r="AR36" s="49" t="n">
        <f aca="false">IF(AND(div_on=1,$A36&gt;=div_start),AQ36*MIN(div_max,div_rate*U36)*(1-div_comp*S36),0)</f>
        <v>0</v>
      </c>
      <c r="AS36" s="49" t="n">
        <f aca="false">AS35*(1-div_assim)+AR36</f>
        <v>0</v>
      </c>
      <c r="AT36" s="67" t="n">
        <f aca="false">(1-div_rel)*AS35/Economy!B35</f>
        <v>0</v>
      </c>
      <c r="AU36" s="49" t="n">
        <f aca="false">AU35*(1-skill_ret)+AE36</f>
        <v>69083.1766299792</v>
      </c>
      <c r="AV36" s="49" t="n">
        <f aca="false">AV35*(1+union_nat)+AR36</f>
        <v>0</v>
      </c>
      <c r="AW36" s="49" t="n">
        <f aca="false">AW35*(1+union_nat)+AE36*family_mult</f>
        <v>207795.67975573</v>
      </c>
      <c r="AX36" s="70" t="n">
        <f aca="false">V36-(AV36+AW36)/1000000</f>
        <v>35.5522043202443</v>
      </c>
      <c r="AY36" s="49" t="n">
        <f aca="false">L36*gw_union</f>
        <v>0</v>
      </c>
      <c r="AZ36" s="48" t="n">
        <v>1.11</v>
      </c>
      <c r="BA36" s="49" t="n">
        <f aca="false">Economy!Q36*AZ36/lf_rate</f>
        <v>481</v>
      </c>
      <c r="BB36" s="67" t="n">
        <f aca="false">bd_growth*AU35/W35</f>
        <v>0.00111072471446247</v>
      </c>
      <c r="BC36" s="67" t="n">
        <f aca="false">tg_k*MIN(1,Economy!O35/BK35)</f>
        <v>0.000489108266122639</v>
      </c>
      <c r="BD36" s="67" t="n">
        <f aca="false">emu_g*S36</f>
        <v>0</v>
      </c>
      <c r="BE36" s="68" t="n">
        <f aca="false">BE35*(1-BB36-BC36+BD36)</f>
        <v>0.978745078668311</v>
      </c>
      <c r="BF36" s="48" t="n">
        <v>1</v>
      </c>
      <c r="BG36" s="56" t="n">
        <f aca="false">AU36*BA36*BE36*(skill_rel-1+skill_spill)/1000000</f>
        <v>42.2795464115973</v>
      </c>
      <c r="BH36" s="56" t="n">
        <f aca="false">union_disp*(Champions!AP36+Champions!AZ36)*(1-IF(union_resp=2,mkt_cut*S36,0))</f>
        <v>6.2401196403794</v>
      </c>
      <c r="BI36" s="56" t="n">
        <f aca="false">AY36*BA36*BE36/1000000</f>
        <v>0</v>
      </c>
      <c r="BJ36" s="49" t="n">
        <f aca="false">V36*Economy!Q36*AZ36</f>
        <v>7224.2352</v>
      </c>
      <c r="BK36" s="49" t="n">
        <f aca="false">MAX(0.3*BJ36,AX36*Economy!Q36*AZ36*BE36*BF36-BG36-BH36-BI36)</f>
        <v>6981.07835772668</v>
      </c>
      <c r="BL36" s="66" t="n">
        <f aca="false">1-BK36/BJ36</f>
        <v>0.0336584891745115</v>
      </c>
      <c r="BM36" s="49" t="n">
        <f aca="false">MAX(0,BH36-BH35)*1000000/BA36</f>
        <v>1325.0611227273</v>
      </c>
      <c r="BN36" s="49" t="n">
        <f aca="false">BN35*(1-IF(AND($A36&gt;=1930,$A36&lt;=1932),0,union_reabsorb))+BM36</f>
        <v>5034.34299729857</v>
      </c>
      <c r="BO36" s="62" t="n">
        <v>0.04</v>
      </c>
      <c r="BP36" s="66" t="n">
        <f aca="false">BO36+BN36/(AX36*1000000*lf_rate)</f>
        <v>0.0403371529606991</v>
      </c>
    </row>
    <row r="37" customFormat="false" ht="14.25" hidden="false" customHeight="true" outlineLevel="0" collapsed="false">
      <c r="A37" s="61" t="n">
        <v>1877</v>
      </c>
      <c r="B37" s="49" t="n">
        <f aca="false">Economy!B37*lf_rate</f>
        <v>1550801.68059081</v>
      </c>
      <c r="C37" s="49" t="n">
        <f aca="false">Economy!O37*1000000/(B37+L37)</f>
        <v>776.318391903154</v>
      </c>
      <c r="D37" s="49" t="n">
        <f aca="false">Champions!AP37*1000000/(C37*champ_prem)</f>
        <v>14624.9094338074</v>
      </c>
      <c r="E37" s="49" t="n">
        <f aca="false">D37*job_mult</f>
        <v>10237.4366036652</v>
      </c>
      <c r="F37" s="49" t="n">
        <f aca="false">D37+E37</f>
        <v>24862.3460374726</v>
      </c>
      <c r="G37" s="66" t="n">
        <f aca="false">F37/B37</f>
        <v>0.016031931322128</v>
      </c>
      <c r="H37" s="49" t="n">
        <f aca="false">F37-F36</f>
        <v>2265.27754395117</v>
      </c>
      <c r="I37" s="66" t="n">
        <f aca="false">MAX(0.005,pac_u_base*IF(Paths!AC37=1,pac_u_war,1)+(okun*(1-Economy!G37)*(B37+L37)-MAX(0,L36-L37))/B37)</f>
        <v>0.025</v>
      </c>
      <c r="J37" s="49" t="n">
        <f aca="false">IF(AND(gw_on=1,$A37&gt;=gw_start),MIN(gw_cap*B36,gw_cover*F36+gw_gen*B36),0)</f>
        <v>0</v>
      </c>
      <c r="K37" s="49" t="n">
        <f aca="false">L36*gw_conv</f>
        <v>0</v>
      </c>
      <c r="L37" s="49" t="n">
        <f aca="false">MAX(0,L36-K37+gw_adj*(J37-L36))*MAX(0,1-gw_slump*(1-Economy!G37))</f>
        <v>0</v>
      </c>
      <c r="M37" s="49" t="n">
        <f aca="false">MAX(0,L37-L36+L36/gw_term)</f>
        <v>0</v>
      </c>
      <c r="N37" s="66" t="n">
        <f aca="false">L37/B37</f>
        <v>0</v>
      </c>
      <c r="O37" s="56" t="n">
        <f aca="false">Economy!L37</f>
        <v>0</v>
      </c>
      <c r="P37" s="56" t="n">
        <f aca="false">O37*gw_wage_share</f>
        <v>0</v>
      </c>
      <c r="Q37" s="56" t="n">
        <f aca="false">P37*gw_levy</f>
        <v>0</v>
      </c>
      <c r="R37" s="56" t="n">
        <f aca="false">P37*gw_remit</f>
        <v>0</v>
      </c>
      <c r="S37" s="66" t="n">
        <f aca="false">IF(union_resp&gt;=1,MIN(1,MAX(0,($A37-resp_start)/(resp_full-resp_start))),0)</f>
        <v>0</v>
      </c>
      <c r="T37" s="70" t="n">
        <f aca="false">Economy!R36</f>
        <v>1.81190125161945</v>
      </c>
      <c r="U37" s="70" t="n">
        <f aca="false">MAX(0,T37-gap_base)</f>
        <v>0.31190125161945</v>
      </c>
      <c r="V37" s="71" t="n">
        <v>36.82</v>
      </c>
      <c r="W37" s="49" t="n">
        <f aca="false">V37*1000000*lf_rate*union_skill_share</f>
        <v>1855728</v>
      </c>
      <c r="X37" s="47" t="n">
        <v>51000</v>
      </c>
      <c r="Y37" s="49" t="n">
        <f aca="false">IF(AND(mig_endo=1,$A37&gt;=talent_start),talent_rate_u*W37*U37*(1-(1-bd_keep)*S37),0)</f>
        <v>5788.03885865259</v>
      </c>
      <c r="Z37" s="49" t="n">
        <f aca="false">IF(AND(mig_endo=1,$A37&gt;=talent_start),X37*MIN(0.5,talent_share_o*U37)*(1-eu_comp*S37),0)</f>
        <v>4294.88023479983</v>
      </c>
      <c r="AA37" s="47" t="n">
        <v>0</v>
      </c>
      <c r="AB37" s="49" t="n">
        <f aca="false">IF(AND(mig_endo=1,$A37&gt;=talent_start),AA37*MIN(0.5,talent_share_a*U37),0)</f>
        <v>0</v>
      </c>
      <c r="AC37" s="49" t="n">
        <f aca="false">entry_cap*People!B37</f>
        <v>10792.385376393</v>
      </c>
      <c r="AD37" s="49" t="n">
        <f aca="false">MIN(AC37,Y37+Z37+AB37)</f>
        <v>10082.9190934524</v>
      </c>
      <c r="AE37" s="49" t="n">
        <f aca="false">IF(Y37+Z37+AB37&gt;0,AD37*Y37/(Y37+Z37+AB37),0)</f>
        <v>5788.03885865259</v>
      </c>
      <c r="AF37" s="49" t="n">
        <f aca="false">IF(Y37+Z37+AB37&gt;0,AD37*AB37/(Y37+Z37+AB37),0)</f>
        <v>0</v>
      </c>
      <c r="AG37" s="49" t="n">
        <f aca="false">AD37*family_mult</f>
        <v>22182.4220055953</v>
      </c>
      <c r="AH37" s="49" t="n">
        <f aca="false">AH36*(1+Paths!C37)+AG37</f>
        <v>294653.430768035</v>
      </c>
      <c r="AI37" s="49" t="n">
        <f aca="false">IF(AND(mig_endo=1,$A37&gt;=talent_start),chain_rate*AH36,0)</f>
        <v>4024.9877454387</v>
      </c>
      <c r="AJ37" s="49" t="n">
        <f aca="false">IF(AND(mig_endo=1,$A37&gt;=talent_start),IF(H36&gt;0,H36*job_fill,H36*job_return)*job_family,0)</f>
        <v>1075.26034224361</v>
      </c>
      <c r="AK37" s="49" t="n">
        <f aca="false">K37*gw_conv_family</f>
        <v>0</v>
      </c>
      <c r="AL37" s="49" t="n">
        <f aca="false">AG37+AI37+AJ37+AK37+AR37</f>
        <v>27282.6700932776</v>
      </c>
      <c r="AM37" s="49" t="n">
        <f aca="false">AM36*(1-skill_ret)+AD37</f>
        <v>98474.7988283703</v>
      </c>
      <c r="AN37" s="67" t="n">
        <f aca="false">AM37/B37</f>
        <v>0.0634992856023048</v>
      </c>
      <c r="AO37" s="67" t="n">
        <f aca="false">(skill_rel-1+skill_spill)*AM36/B36-AT37</f>
        <v>0.080086834851742</v>
      </c>
      <c r="AP37" s="67" t="n">
        <f aca="false">talent_champ*AM36/(skill_base_share*B36)</f>
        <v>0.123210515156526</v>
      </c>
      <c r="AQ37" s="47" t="n">
        <v>204000</v>
      </c>
      <c r="AR37" s="49" t="n">
        <f aca="false">IF(AND(div_on=1,$A37&gt;=div_start),AQ37*MIN(div_max,div_rate*U37)*(1-div_comp*S37),0)</f>
        <v>0</v>
      </c>
      <c r="AS37" s="49" t="n">
        <f aca="false">AS36*(1-div_assim)+AR37</f>
        <v>0</v>
      </c>
      <c r="AT37" s="67" t="n">
        <f aca="false">(1-div_rel)*AS36/Economy!B36</f>
        <v>0</v>
      </c>
      <c r="AU37" s="49" t="n">
        <f aca="false">AU36*(1-skill_ret)+AE37</f>
        <v>73144.1360728823</v>
      </c>
      <c r="AV37" s="49" t="n">
        <f aca="false">AV36*(1+union_nat)+AR37</f>
        <v>0</v>
      </c>
      <c r="AW37" s="49" t="n">
        <f aca="false">AW36*(1+union_nat)+AE37*family_mult</f>
        <v>223230.70908159</v>
      </c>
      <c r="AX37" s="70" t="n">
        <f aca="false">V37-(AV37+AW37)/1000000</f>
        <v>36.5967692909184</v>
      </c>
      <c r="AY37" s="49" t="n">
        <f aca="false">L37*gw_union</f>
        <v>0</v>
      </c>
      <c r="AZ37" s="48" t="n">
        <v>1.11</v>
      </c>
      <c r="BA37" s="49" t="n">
        <f aca="false">Economy!Q37*AZ37/lf_rate</f>
        <v>496.857142857143</v>
      </c>
      <c r="BB37" s="67" t="n">
        <f aca="false">bd_growth*AU36/W36</f>
        <v>0.00114991438675128</v>
      </c>
      <c r="BC37" s="67" t="n">
        <f aca="false">tg_k*MIN(1,Economy!O36/BK36)</f>
        <v>0.00049652982558201</v>
      </c>
      <c r="BD37" s="67" t="n">
        <f aca="false">emu_g*S37</f>
        <v>0</v>
      </c>
      <c r="BE37" s="68" t="n">
        <f aca="false">BE36*(1-BB37-BC37+BD37)</f>
        <v>0.977133629498188</v>
      </c>
      <c r="BF37" s="48" t="n">
        <v>1</v>
      </c>
      <c r="BG37" s="56" t="n">
        <f aca="false">AU37*BA37*BE37*(skill_rel-1+skill_spill)/1000000</f>
        <v>46.1645243349557</v>
      </c>
      <c r="BH37" s="56" t="n">
        <f aca="false">union_disp*(Champions!AP37+Champions!AZ37)*(1-IF(union_resp=2,mkt_cut*S37,0))</f>
        <v>6.80892668583615</v>
      </c>
      <c r="BI37" s="56" t="n">
        <f aca="false">AY37*BA37*BE37/1000000</f>
        <v>0</v>
      </c>
      <c r="BJ37" s="49" t="n">
        <f aca="false">V37*Economy!Q37*AZ37</f>
        <v>7683.5976</v>
      </c>
      <c r="BK37" s="49" t="n">
        <f aca="false">MAX(0.3*BJ37,AX37*Economy!Q37*AZ37*BE37*BF37-BG37-BH37-BI37)</f>
        <v>7409.40957717243</v>
      </c>
      <c r="BL37" s="66" t="n">
        <f aca="false">1-BK37/BJ37</f>
        <v>0.0356848493507217</v>
      </c>
      <c r="BM37" s="49" t="n">
        <f aca="false">MAX(0,BH37-BH36)*1000000/BA37</f>
        <v>1144.81003973468</v>
      </c>
      <c r="BN37" s="49" t="n">
        <f aca="false">BN36*(1-IF(AND($A37&gt;=1930,$A37&lt;=1932),0,union_reabsorb))+BM37</f>
        <v>4920.56728770861</v>
      </c>
      <c r="BO37" s="62" t="n">
        <v>0.04</v>
      </c>
      <c r="BP37" s="66" t="n">
        <f aca="false">BO37+BN37/(AX37*1000000*lf_rate)</f>
        <v>0.0403201276130736</v>
      </c>
    </row>
    <row r="38" customFormat="false" ht="14.25" hidden="false" customHeight="true" outlineLevel="0" collapsed="false">
      <c r="A38" s="61" t="n">
        <v>1878</v>
      </c>
      <c r="B38" s="49" t="n">
        <f aca="false">Economy!B38*lf_rate</f>
        <v>1630009.45780857</v>
      </c>
      <c r="C38" s="49" t="n">
        <f aca="false">Economy!O38*1000000/(B38+L38)</f>
        <v>787.207330980251</v>
      </c>
      <c r="D38" s="49" t="n">
        <f aca="false">Champions!AP38*1000000/(C38*champ_prem)</f>
        <v>15753.3042891902</v>
      </c>
      <c r="E38" s="49" t="n">
        <f aca="false">D38*job_mult</f>
        <v>11027.3130024331</v>
      </c>
      <c r="F38" s="49" t="n">
        <f aca="false">D38+E38</f>
        <v>26780.6172916233</v>
      </c>
      <c r="G38" s="66" t="n">
        <f aca="false">F38/B38</f>
        <v>0.0164297312284481</v>
      </c>
      <c r="H38" s="49" t="n">
        <f aca="false">F38-F37</f>
        <v>1918.27125415066</v>
      </c>
      <c r="I38" s="66" t="n">
        <f aca="false">MAX(0.005,pac_u_base*IF(Paths!AC38=1,pac_u_war,1)+(okun*(1-Economy!G38)*(B38+L38)-MAX(0,L37-L38))/B38)</f>
        <v>0.015</v>
      </c>
      <c r="J38" s="49" t="n">
        <f aca="false">IF(AND(gw_on=1,$A38&gt;=gw_start),MIN(gw_cap*B37,gw_cover*F37+gw_gen*B37),0)</f>
        <v>0</v>
      </c>
      <c r="K38" s="49" t="n">
        <f aca="false">L37*gw_conv</f>
        <v>0</v>
      </c>
      <c r="L38" s="49" t="n">
        <f aca="false">MAX(0,L37-K38+gw_adj*(J38-L37))*MAX(0,1-gw_slump*(1-Economy!G38))</f>
        <v>0</v>
      </c>
      <c r="M38" s="49" t="n">
        <f aca="false">MAX(0,L38-L37+L37/gw_term)</f>
        <v>0</v>
      </c>
      <c r="N38" s="66" t="n">
        <f aca="false">L38/B38</f>
        <v>0</v>
      </c>
      <c r="O38" s="56" t="n">
        <f aca="false">Economy!L38</f>
        <v>0</v>
      </c>
      <c r="P38" s="56" t="n">
        <f aca="false">O38*gw_wage_share</f>
        <v>0</v>
      </c>
      <c r="Q38" s="56" t="n">
        <f aca="false">P38*gw_levy</f>
        <v>0</v>
      </c>
      <c r="R38" s="56" t="n">
        <f aca="false">P38*gw_remit</f>
        <v>0</v>
      </c>
      <c r="S38" s="66" t="n">
        <f aca="false">IF(union_resp&gt;=1,MIN(1,MAX(0,($A38-resp_start)/(resp_full-resp_start))),0)</f>
        <v>0</v>
      </c>
      <c r="T38" s="70" t="n">
        <f aca="false">Economy!R37</f>
        <v>1.73432832233683</v>
      </c>
      <c r="U38" s="70" t="n">
        <f aca="false">MAX(0,T38-gap_base)</f>
        <v>0.234328322336832</v>
      </c>
      <c r="V38" s="71" t="n">
        <v>37.88</v>
      </c>
      <c r="W38" s="49" t="n">
        <f aca="false">V38*1000000*lf_rate*union_skill_share</f>
        <v>1909152</v>
      </c>
      <c r="X38" s="47" t="n">
        <v>54000</v>
      </c>
      <c r="Y38" s="49" t="n">
        <f aca="false">IF(AND(mig_endo=1,$A38&gt;=talent_start),talent_rate_u*W38*U38*(1-(1-bd_keep)*S38),0)</f>
        <v>4473.68385246008</v>
      </c>
      <c r="Z38" s="49" t="n">
        <f aca="false">IF(AND(mig_endo=1,$A38&gt;=talent_start),X38*MIN(0.5,talent_share_o*U38)*(1-eu_comp*S38),0)</f>
        <v>3416.50693967102</v>
      </c>
      <c r="AA38" s="47" t="n">
        <v>0</v>
      </c>
      <c r="AB38" s="49" t="n">
        <f aca="false">IF(AND(mig_endo=1,$A38&gt;=talent_start),AA38*MIN(0.5,talent_share_a*U38),0)</f>
        <v>0</v>
      </c>
      <c r="AC38" s="49" t="n">
        <f aca="false">entry_cap*People!B38</f>
        <v>11361.9243463329</v>
      </c>
      <c r="AD38" s="49" t="n">
        <f aca="false">MIN(AC38,Y38+Z38+AB38)</f>
        <v>7890.1907921311</v>
      </c>
      <c r="AE38" s="49" t="n">
        <f aca="false">IF(Y38+Z38+AB38&gt;0,AD38*Y38/(Y38+Z38+AB38),0)</f>
        <v>4473.68385246008</v>
      </c>
      <c r="AF38" s="49" t="n">
        <f aca="false">IF(Y38+Z38+AB38&gt;0,AD38*AB38/(Y38+Z38+AB38),0)</f>
        <v>0</v>
      </c>
      <c r="AG38" s="49" t="n">
        <f aca="false">AD38*family_mult</f>
        <v>17358.4197426884</v>
      </c>
      <c r="AH38" s="49" t="n">
        <f aca="false">AH37*(1+Paths!C38)+AG38</f>
        <v>316450.215138383</v>
      </c>
      <c r="AI38" s="49" t="n">
        <f aca="false">IF(AND(mig_endo=1,$A38&gt;=talent_start),chain_rate*AH37,0)</f>
        <v>4419.80146152053</v>
      </c>
      <c r="AJ38" s="49" t="n">
        <f aca="false">IF(AND(mig_endo=1,$A38&gt;=talent_start),IF(H37&gt;0,H37*job_fill,H37*job_return)*job_family,0)</f>
        <v>1427.12485268924</v>
      </c>
      <c r="AK38" s="49" t="n">
        <f aca="false">K38*gw_conv_family</f>
        <v>0</v>
      </c>
      <c r="AL38" s="49" t="n">
        <f aca="false">AG38+AI38+AJ38+AK38+AR38</f>
        <v>23205.3460568982</v>
      </c>
      <c r="AM38" s="49" t="n">
        <f aca="false">AM37*(1-skill_ret)+AD38</f>
        <v>103903.119649792</v>
      </c>
      <c r="AN38" s="67" t="n">
        <f aca="false">AM38/B38</f>
        <v>0.063743875320504</v>
      </c>
      <c r="AO38" s="67" t="n">
        <f aca="false">(skill_rel-1+skill_spill)*AM37/B37-AT38</f>
        <v>0.0825490712829962</v>
      </c>
      <c r="AP38" s="67" t="n">
        <f aca="false">talent_champ*AM37/(skill_base_share*B37)</f>
        <v>0.12699857120461</v>
      </c>
      <c r="AQ38" s="47" t="n">
        <v>140000</v>
      </c>
      <c r="AR38" s="49" t="n">
        <f aca="false">IF(AND(div_on=1,$A38&gt;=div_start),AQ38*MIN(div_max,div_rate*U38)*(1-div_comp*S38),0)</f>
        <v>0</v>
      </c>
      <c r="AS38" s="49" t="n">
        <f aca="false">AS37*(1-div_assim)+AR38</f>
        <v>0</v>
      </c>
      <c r="AT38" s="67" t="n">
        <f aca="false">(1-div_rel)*AS37/Economy!B37</f>
        <v>0</v>
      </c>
      <c r="AU38" s="49" t="n">
        <f aca="false">AU37*(1-skill_ret)+AE38</f>
        <v>75789.2165235204</v>
      </c>
      <c r="AV38" s="49" t="n">
        <f aca="false">AV37*(1+union_nat)+AR38</f>
        <v>0</v>
      </c>
      <c r="AW38" s="49" t="n">
        <f aca="false">AW37*(1+union_nat)+AE38*family_mult</f>
        <v>235974.812775063</v>
      </c>
      <c r="AX38" s="70" t="n">
        <f aca="false">V38-(AV38+AW38)/1000000</f>
        <v>37.6440251872249</v>
      </c>
      <c r="AY38" s="49" t="n">
        <f aca="false">L38*gw_union</f>
        <v>0</v>
      </c>
      <c r="AZ38" s="48" t="n">
        <v>1.109</v>
      </c>
      <c r="BA38" s="49" t="n">
        <f aca="false">Economy!Q38*AZ38/lf_rate</f>
        <v>514.892857142857</v>
      </c>
      <c r="BB38" s="67" t="n">
        <f aca="false">bd_growth*AU37/W37</f>
        <v>0.00118245997376042</v>
      </c>
      <c r="BC38" s="67" t="n">
        <f aca="false">tg_k*MIN(1,Economy!O37/BK37)</f>
        <v>0.000487454170658658</v>
      </c>
      <c r="BD38" s="67" t="n">
        <f aca="false">emu_g*S38</f>
        <v>0</v>
      </c>
      <c r="BE38" s="68" t="n">
        <f aca="false">BE37*(1-BB38-BC38+BD38)</f>
        <v>0.975501900229301</v>
      </c>
      <c r="BF38" s="48" t="n">
        <v>1</v>
      </c>
      <c r="BG38" s="56" t="n">
        <f aca="false">AU38*BA38*BE38*(skill_rel-1+skill_spill)/1000000</f>
        <v>49.4875275659568</v>
      </c>
      <c r="BH38" s="56" t="n">
        <f aca="false">union_disp*(Champions!AP38+Champions!AZ38)*(1-IF(union_resp=2,mkt_cut*S38,0))</f>
        <v>7.43698784954698</v>
      </c>
      <c r="BI38" s="56" t="n">
        <f aca="false">AY38*BA38*BE38/1000000</f>
        <v>0</v>
      </c>
      <c r="BJ38" s="49" t="n">
        <f aca="false">V38*Economy!Q38*AZ38</f>
        <v>8191.7394</v>
      </c>
      <c r="BK38" s="49" t="n">
        <f aca="false">MAX(0.3*BJ38,AX38*Economy!Q38*AZ38*BE38*BF38-BG38-BH38-BI38)</f>
        <v>7884.35225832281</v>
      </c>
      <c r="BL38" s="66" t="n">
        <f aca="false">1-BK38/BJ38</f>
        <v>0.0375240381398347</v>
      </c>
      <c r="BM38" s="49" t="n">
        <f aca="false">MAX(0,BH38-BH37)*1000000/BA38</f>
        <v>1219.79001067513</v>
      </c>
      <c r="BN38" s="49" t="n">
        <f aca="false">BN37*(1-IF(AND($A38&gt;=1930,$A38&lt;=1932),0,union_reabsorb))+BM38</f>
        <v>4910.21547645658</v>
      </c>
      <c r="BO38" s="62" t="n">
        <v>0.04</v>
      </c>
      <c r="BP38" s="66" t="n">
        <f aca="false">BO38+BN38/(AX38*1000000*lf_rate)</f>
        <v>0.0403105669271953</v>
      </c>
    </row>
    <row r="39" customFormat="false" ht="14.25" hidden="false" customHeight="true" outlineLevel="0" collapsed="false">
      <c r="A39" s="61" t="n">
        <v>1879</v>
      </c>
      <c r="B39" s="49" t="n">
        <f aca="false">Economy!B39*lf_rate</f>
        <v>1708451.22647844</v>
      </c>
      <c r="C39" s="49" t="n">
        <f aca="false">Economy!O39*1000000/(B39+L39)</f>
        <v>784.062032869398</v>
      </c>
      <c r="D39" s="49" t="n">
        <f aca="false">Champions!AP39*1000000/(C39*champ_prem)</f>
        <v>16927.0644748175</v>
      </c>
      <c r="E39" s="49" t="n">
        <f aca="false">D39*job_mult</f>
        <v>11848.9451323723</v>
      </c>
      <c r="F39" s="49" t="n">
        <f aca="false">D39+E39</f>
        <v>28776.0096071898</v>
      </c>
      <c r="G39" s="66" t="n">
        <f aca="false">F39/B39</f>
        <v>0.0168433310598538</v>
      </c>
      <c r="H39" s="49" t="n">
        <f aca="false">F39-F38</f>
        <v>1995.39231556647</v>
      </c>
      <c r="I39" s="66" t="n">
        <f aca="false">MAX(0.005,pac_u_base*IF(Paths!AC39=1,pac_u_war,1)+(okun*(1-Economy!G39)*(B39+L39)-MAX(0,L38-L39))/B39)</f>
        <v>0.015</v>
      </c>
      <c r="J39" s="49" t="n">
        <f aca="false">IF(AND(gw_on=1,$A39&gt;=gw_start),MIN(gw_cap*B38,gw_cover*F38+gw_gen*B38),0)</f>
        <v>0</v>
      </c>
      <c r="K39" s="49" t="n">
        <f aca="false">L38*gw_conv</f>
        <v>0</v>
      </c>
      <c r="L39" s="49" t="n">
        <f aca="false">MAX(0,L38-K39+gw_adj*(J39-L38))*MAX(0,1-gw_slump*(1-Economy!G39))</f>
        <v>0</v>
      </c>
      <c r="M39" s="49" t="n">
        <f aca="false">MAX(0,L39-L38+L38/gw_term)</f>
        <v>0</v>
      </c>
      <c r="N39" s="66" t="n">
        <f aca="false">L39/B39</f>
        <v>0</v>
      </c>
      <c r="O39" s="56" t="n">
        <f aca="false">Economy!L39</f>
        <v>0</v>
      </c>
      <c r="P39" s="56" t="n">
        <f aca="false">O39*gw_wage_share</f>
        <v>0</v>
      </c>
      <c r="Q39" s="56" t="n">
        <f aca="false">P39*gw_levy</f>
        <v>0</v>
      </c>
      <c r="R39" s="56" t="n">
        <f aca="false">P39*gw_remit</f>
        <v>0</v>
      </c>
      <c r="S39" s="66" t="n">
        <f aca="false">IF(union_resp&gt;=1,MIN(1,MAX(0,($A39-resp_start)/(resp_full-resp_start))),0)</f>
        <v>0</v>
      </c>
      <c r="T39" s="70" t="n">
        <f aca="false">Economy!R38</f>
        <v>1.69552348211131</v>
      </c>
      <c r="U39" s="70" t="n">
        <f aca="false">MAX(0,T39-gap_base)</f>
        <v>0.195523482111309</v>
      </c>
      <c r="V39" s="71" t="n">
        <v>38.94</v>
      </c>
      <c r="W39" s="49" t="n">
        <f aca="false">V39*1000000*lf_rate*union_skill_share</f>
        <v>1962576</v>
      </c>
      <c r="X39" s="47" t="n">
        <v>57000</v>
      </c>
      <c r="Y39" s="49" t="n">
        <f aca="false">IF(AND(mig_endo=1,$A39&gt;=talent_start),talent_rate_u*W39*U39*(1-(1-bd_keep)*S39),0)</f>
        <v>3837.29693428085</v>
      </c>
      <c r="Z39" s="49" t="n">
        <f aca="false">IF(AND(mig_endo=1,$A39&gt;=talent_start),X39*MIN(0.5,talent_share_o*U39)*(1-eu_comp*S39),0)</f>
        <v>3009.10638969305</v>
      </c>
      <c r="AA39" s="47" t="n">
        <v>0</v>
      </c>
      <c r="AB39" s="49" t="n">
        <f aca="false">IF(AND(mig_endo=1,$A39&gt;=talent_start),AA39*MIN(0.5,talent_share_a*U39),0)</f>
        <v>0</v>
      </c>
      <c r="AC39" s="49" t="n">
        <f aca="false">entry_cap*People!B39</f>
        <v>11923.9250509324</v>
      </c>
      <c r="AD39" s="49" t="n">
        <f aca="false">MIN(AC39,Y39+Z39+AB39)</f>
        <v>6846.40332397391</v>
      </c>
      <c r="AE39" s="49" t="n">
        <f aca="false">IF(Y39+Z39+AB39&gt;0,AD39*Y39/(Y39+Z39+AB39),0)</f>
        <v>3837.29693428085</v>
      </c>
      <c r="AF39" s="49" t="n">
        <f aca="false">IF(Y39+Z39+AB39&gt;0,AD39*AB39/(Y39+Z39+AB39),0)</f>
        <v>0</v>
      </c>
      <c r="AG39" s="49" t="n">
        <f aca="false">AD39*family_mult</f>
        <v>15062.0873127426</v>
      </c>
      <c r="AH39" s="49" t="n">
        <f aca="false">AH38*(1+Paths!C39)+AG39</f>
        <v>336138.171696018</v>
      </c>
      <c r="AI39" s="49" t="n">
        <f aca="false">IF(AND(mig_endo=1,$A39&gt;=talent_start),chain_rate*AH38,0)</f>
        <v>4746.75322707574</v>
      </c>
      <c r="AJ39" s="49" t="n">
        <f aca="false">IF(AND(mig_endo=1,$A39&gt;=talent_start),IF(H38&gt;0,H38*job_fill,H38*job_return)*job_family,0)</f>
        <v>1208.51089011492</v>
      </c>
      <c r="AK39" s="49" t="n">
        <f aca="false">K39*gw_conv_family</f>
        <v>0</v>
      </c>
      <c r="AL39" s="49" t="n">
        <f aca="false">AG39+AI39+AJ39+AK39+AR39</f>
        <v>21017.3514299333</v>
      </c>
      <c r="AM39" s="49" t="n">
        <f aca="false">AM38*(1-skill_ret)+AD39</f>
        <v>108151.944982521</v>
      </c>
      <c r="AN39" s="67" t="n">
        <f aca="false">AM39/B39</f>
        <v>0.0633040869451393</v>
      </c>
      <c r="AO39" s="67" t="n">
        <f aca="false">(skill_rel-1+skill_spill)*AM38/B38-AT39</f>
        <v>0.0828670379166552</v>
      </c>
      <c r="AP39" s="67" t="n">
        <f aca="false">talent_champ*AM38/(skill_base_share*B38)</f>
        <v>0.127487750641008</v>
      </c>
      <c r="AQ39" s="47" t="n">
        <v>302000</v>
      </c>
      <c r="AR39" s="49" t="n">
        <f aca="false">IF(AND(div_on=1,$A39&gt;=div_start),AQ39*MIN(div_max,div_rate*U39)*(1-div_comp*S39),0)</f>
        <v>0</v>
      </c>
      <c r="AS39" s="49" t="n">
        <f aca="false">AS38*(1-div_assim)+AR39</f>
        <v>0</v>
      </c>
      <c r="AT39" s="67" t="n">
        <f aca="false">(1-div_rel)*AS38/Economy!B38</f>
        <v>0</v>
      </c>
      <c r="AU39" s="49" t="n">
        <f aca="false">AU38*(1-skill_ret)+AE39</f>
        <v>77731.7830447132</v>
      </c>
      <c r="AV39" s="49" t="n">
        <f aca="false">AV38*(1+union_nat)+AR39</f>
        <v>0</v>
      </c>
      <c r="AW39" s="49" t="n">
        <f aca="false">AW38*(1+union_nat)+AE39*family_mult</f>
        <v>247484.538596556</v>
      </c>
      <c r="AX39" s="70" t="n">
        <f aca="false">V39-(AV39+AW39)/1000000</f>
        <v>38.6925154614034</v>
      </c>
      <c r="AY39" s="49" t="n">
        <f aca="false">L39*gw_union</f>
        <v>0</v>
      </c>
      <c r="AZ39" s="48" t="n">
        <v>1.108</v>
      </c>
      <c r="BA39" s="49" t="n">
        <f aca="false">Economy!Q39*AZ39/lf_rate</f>
        <v>530.257142857143</v>
      </c>
      <c r="BB39" s="67" t="n">
        <f aca="false">bd_growth*AU38/W38</f>
        <v>0.0011909352925831</v>
      </c>
      <c r="BC39" s="67" t="n">
        <f aca="false">tg_k*MIN(1,Economy!O38/BK38)</f>
        <v>0.000488241273111386</v>
      </c>
      <c r="BD39" s="67" t="n">
        <f aca="false">emu_g*S39</f>
        <v>0</v>
      </c>
      <c r="BE39" s="68" t="n">
        <f aca="false">BE38*(1-BB39-BC39+BD39)</f>
        <v>0.973863860298646</v>
      </c>
      <c r="BF39" s="48" t="n">
        <v>1</v>
      </c>
      <c r="BG39" s="56" t="n">
        <f aca="false">AU39*BA39*BE39*(skill_rel-1+skill_spill)/1000000</f>
        <v>52.1827255821715</v>
      </c>
      <c r="BH39" s="56" t="n">
        <f aca="false">union_disp*(Champions!AP39+Champions!AZ39)*(1-IF(union_resp=2,mkt_cut*S39,0))</f>
        <v>7.9970003460477</v>
      </c>
      <c r="BI39" s="56" t="n">
        <f aca="false">AY39*BA39*BE39/1000000</f>
        <v>0</v>
      </c>
      <c r="BJ39" s="49" t="n">
        <f aca="false">V39*Economy!Q39*AZ39</f>
        <v>8672.24952</v>
      </c>
      <c r="BK39" s="49" t="n">
        <f aca="false">MAX(0.3*BJ39,AX39*Economy!Q39*AZ39*BE39*BF39-BG39-BH39-BI39)</f>
        <v>8331.73442250533</v>
      </c>
      <c r="BL39" s="66" t="n">
        <f aca="false">1-BK39/BJ39</f>
        <v>0.0392649100685321</v>
      </c>
      <c r="BM39" s="49" t="n">
        <f aca="false">MAX(0,BH39-BH38)*1000000/BA39</f>
        <v>1056.11495110326</v>
      </c>
      <c r="BN39" s="49" t="n">
        <f aca="false">BN38*(1-IF(AND($A39&gt;=1930,$A39&lt;=1932),0,union_reabsorb))+BM39</f>
        <v>4738.7765584457</v>
      </c>
      <c r="BO39" s="62" t="n">
        <v>0.04</v>
      </c>
      <c r="BP39" s="66" t="n">
        <f aca="false">BO39+BN39/(AX39*1000000*lf_rate)</f>
        <v>0.0402916016494427</v>
      </c>
    </row>
    <row r="40" customFormat="false" ht="14.25" hidden="false" customHeight="true" outlineLevel="0" collapsed="false">
      <c r="A40" s="61" t="n">
        <v>1880</v>
      </c>
      <c r="B40" s="49" t="n">
        <f aca="false">Economy!B40*lf_rate</f>
        <v>1789464.38007435</v>
      </c>
      <c r="C40" s="49" t="n">
        <f aca="false">Economy!O40*1000000/(B40+L40)</f>
        <v>784.522342729804</v>
      </c>
      <c r="D40" s="49" t="n">
        <f aca="false">Champions!AP40*1000000/(C40*champ_prem)</f>
        <v>18217.8487981376</v>
      </c>
      <c r="E40" s="49" t="n">
        <f aca="false">D40*job_mult</f>
        <v>12752.4941586963</v>
      </c>
      <c r="F40" s="49" t="n">
        <f aca="false">D40+E40</f>
        <v>30970.3429568339</v>
      </c>
      <c r="G40" s="66" t="n">
        <f aca="false">F40/B40</f>
        <v>0.017307046343972</v>
      </c>
      <c r="H40" s="49" t="n">
        <f aca="false">F40-F39</f>
        <v>2194.3333496441</v>
      </c>
      <c r="I40" s="66" t="n">
        <f aca="false">MAX(0.005,pac_u_base*IF(Paths!AC40=1,pac_u_war,1)+(okun*(1-Economy!G40)*(B40+L40)-MAX(0,L39-L40))/B40)</f>
        <v>0.015</v>
      </c>
      <c r="J40" s="49" t="n">
        <f aca="false">IF(AND(gw_on=1,$A40&gt;=gw_start),MIN(gw_cap*B39,gw_cover*F39+gw_gen*B39),0)</f>
        <v>0</v>
      </c>
      <c r="K40" s="49" t="n">
        <f aca="false">L39*gw_conv</f>
        <v>0</v>
      </c>
      <c r="L40" s="49" t="n">
        <f aca="false">MAX(0,L39-K40+gw_adj*(J40-L39))*MAX(0,1-gw_slump*(1-Economy!G40))</f>
        <v>0</v>
      </c>
      <c r="M40" s="49" t="n">
        <f aca="false">MAX(0,L40-L39+L39/gw_term)</f>
        <v>0</v>
      </c>
      <c r="N40" s="66" t="n">
        <f aca="false">L40/B40</f>
        <v>0</v>
      </c>
      <c r="O40" s="56" t="n">
        <f aca="false">Economy!L40</f>
        <v>0</v>
      </c>
      <c r="P40" s="56" t="n">
        <f aca="false">O40*gw_wage_share</f>
        <v>0</v>
      </c>
      <c r="Q40" s="56" t="n">
        <f aca="false">P40*gw_levy</f>
        <v>0</v>
      </c>
      <c r="R40" s="56" t="n">
        <f aca="false">P40*gw_remit</f>
        <v>0</v>
      </c>
      <c r="S40" s="66" t="n">
        <f aca="false">IF(union_resp&gt;=1,MIN(1,MAX(0,($A40-resp_start)/(resp_full-resp_start))),0)</f>
        <v>0</v>
      </c>
      <c r="T40" s="70" t="n">
        <f aca="false">Economy!R39</f>
        <v>1.63833857614501</v>
      </c>
      <c r="U40" s="70" t="n">
        <f aca="false">MAX(0,T40-gap_base)</f>
        <v>0.13833857614501</v>
      </c>
      <c r="V40" s="71" t="n">
        <v>40</v>
      </c>
      <c r="W40" s="49" t="n">
        <f aca="false">V40*1000000*lf_rate*union_skill_share</f>
        <v>2016000</v>
      </c>
      <c r="X40" s="47" t="n">
        <v>60000</v>
      </c>
      <c r="Y40" s="49" t="n">
        <f aca="false">IF(AND(mig_endo=1,$A40&gt;=talent_start),talent_rate_u*W40*U40*(1-(1-bd_keep)*S40),0)</f>
        <v>2788.9056950834</v>
      </c>
      <c r="Z40" s="49" t="n">
        <f aca="false">IF(AND(mig_endo=1,$A40&gt;=talent_start),X40*MIN(0.5,talent_share_o*U40)*(1-eu_comp*S40),0)</f>
        <v>2241.08493354916</v>
      </c>
      <c r="AA40" s="47" t="n">
        <v>5000</v>
      </c>
      <c r="AB40" s="49" t="n">
        <f aca="false">IF(AND(mig_endo=1,$A40&gt;=talent_start),AA40*MIN(0.5,talent_share_a*U40),0)</f>
        <v>138.33857614501</v>
      </c>
      <c r="AC40" s="49" t="n">
        <f aca="false">entry_cap*People!B40</f>
        <v>12482.5210416168</v>
      </c>
      <c r="AD40" s="49" t="n">
        <f aca="false">MIN(AC40,Y40+Z40+AB40)</f>
        <v>5168.32920477757</v>
      </c>
      <c r="AE40" s="49" t="n">
        <f aca="false">IF(Y40+Z40+AB40&gt;0,AD40*Y40/(Y40+Z40+AB40),0)</f>
        <v>2788.9056950834</v>
      </c>
      <c r="AF40" s="49" t="n">
        <f aca="false">IF(Y40+Z40+AB40&gt;0,AD40*AB40/(Y40+Z40+AB40),0)</f>
        <v>138.33857614501</v>
      </c>
      <c r="AG40" s="49" t="n">
        <f aca="false">AD40*family_mult</f>
        <v>11370.3242505107</v>
      </c>
      <c r="AH40" s="49" t="n">
        <f aca="false">AH39*(1+Paths!C40)+AG40</f>
        <v>352254.430792705</v>
      </c>
      <c r="AI40" s="49" t="n">
        <f aca="false">IF(AND(mig_endo=1,$A40&gt;=talent_start),chain_rate*AH39,0)</f>
        <v>5042.07257544027</v>
      </c>
      <c r="AJ40" s="49" t="n">
        <f aca="false">IF(AND(mig_endo=1,$A40&gt;=talent_start),IF(H39&gt;0,H39*job_fill,H39*job_return)*job_family,0)</f>
        <v>1257.09715880688</v>
      </c>
      <c r="AK40" s="49" t="n">
        <f aca="false">K40*gw_conv_family</f>
        <v>0</v>
      </c>
      <c r="AL40" s="49" t="n">
        <f aca="false">AG40+AI40+AJ40+AK40+AR40</f>
        <v>33751.3534616152</v>
      </c>
      <c r="AM40" s="49" t="n">
        <f aca="false">AM39*(1-skill_ret)+AD40</f>
        <v>110616.475562736</v>
      </c>
      <c r="AN40" s="67" t="n">
        <f aca="false">AM40/B40</f>
        <v>0.0618154106862636</v>
      </c>
      <c r="AO40" s="67" t="n">
        <f aca="false">(skill_rel-1+skill_spill)*AM39/B39-AT40</f>
        <v>0.0822953130286811</v>
      </c>
      <c r="AP40" s="67" t="n">
        <f aca="false">talent_champ*AM39/(skill_base_share*B39)</f>
        <v>0.126608173890279</v>
      </c>
      <c r="AQ40" s="47" t="n">
        <v>465000</v>
      </c>
      <c r="AR40" s="49" t="n">
        <f aca="false">IF(AND(div_on=1,$A40&gt;=div_start),AQ40*MIN(div_max,div_rate*U40)*(1-div_comp*S40),0)</f>
        <v>16081.8594768574</v>
      </c>
      <c r="AS40" s="49" t="n">
        <f aca="false">AS39*(1-div_assim)+AR40</f>
        <v>16081.8594768574</v>
      </c>
      <c r="AT40" s="67" t="n">
        <f aca="false">(1-div_rel)*AS39/Economy!B39</f>
        <v>0</v>
      </c>
      <c r="AU40" s="49" t="n">
        <f aca="false">AU39*(1-skill_ret)+AE40</f>
        <v>78577.3941636788</v>
      </c>
      <c r="AV40" s="49" t="n">
        <f aca="false">AV39*(1+union_nat)+AR40</f>
        <v>16081.8594768574</v>
      </c>
      <c r="AW40" s="49" t="n">
        <f aca="false">AW39*(1+union_nat)+AE40*family_mult</f>
        <v>256837.430127495</v>
      </c>
      <c r="AX40" s="70" t="n">
        <f aca="false">V40-(AV40+AW40)/1000000</f>
        <v>39.7270807103957</v>
      </c>
      <c r="AY40" s="49" t="n">
        <f aca="false">L40*gw_union</f>
        <v>0</v>
      </c>
      <c r="AZ40" s="48" t="n">
        <v>1.107</v>
      </c>
      <c r="BA40" s="49" t="n">
        <f aca="false">Economy!Q40*AZ40/lf_rate</f>
        <v>548.228571428571</v>
      </c>
      <c r="BB40" s="67" t="n">
        <f aca="false">bd_growth*AU39/W39</f>
        <v>0.00118821054131988</v>
      </c>
      <c r="BC40" s="67" t="n">
        <f aca="false">tg_k*MIN(1,Economy!O39/BK39)</f>
        <v>0.000482323970170947</v>
      </c>
      <c r="BD40" s="67" t="n">
        <f aca="false">emu_g*S40</f>
        <v>0</v>
      </c>
      <c r="BE40" s="68" t="n">
        <f aca="false">BE39*(1-BB40-BC40+BD40)</f>
        <v>0.972236987110523</v>
      </c>
      <c r="BF40" s="48" t="n">
        <v>1</v>
      </c>
      <c r="BG40" s="56" t="n">
        <f aca="false">AU40*BA40*BE40*(skill_rel-1+skill_spill)/1000000</f>
        <v>54.4471032775796</v>
      </c>
      <c r="BH40" s="56" t="n">
        <f aca="false">union_disp*(Champions!AP40+Champions!AZ40)*(1-IF(union_resp=2,mkt_cut*S40,0))</f>
        <v>8.87535118062368</v>
      </c>
      <c r="BI40" s="56" t="n">
        <f aca="false">AY40*BA40*BE40/1000000</f>
        <v>0</v>
      </c>
      <c r="BJ40" s="49" t="n">
        <f aca="false">V40*Economy!Q40*AZ40</f>
        <v>9210.24</v>
      </c>
      <c r="BK40" s="49" t="n">
        <f aca="false">MAX(0.3*BJ40,AX40*Economy!Q40*AZ40*BE40*BF40-BG40-BH40-BI40)</f>
        <v>8830.11689369095</v>
      </c>
      <c r="BL40" s="66" t="n">
        <f aca="false">1-BK40/BJ40</f>
        <v>0.0412717916481054</v>
      </c>
      <c r="BM40" s="49" t="n">
        <f aca="false">MAX(0,BH40-BH39)*1000000/BA40</f>
        <v>1602.16172660825</v>
      </c>
      <c r="BN40" s="49" t="n">
        <f aca="false">BN39*(1-IF(AND($A40&gt;=1930,$A40&lt;=1932),0,union_reabsorb))+BM40</f>
        <v>5156.24414544253</v>
      </c>
      <c r="BO40" s="62" t="n">
        <v>0.04</v>
      </c>
      <c r="BP40" s="66" t="n">
        <f aca="false">BO40+BN40/(AX40*1000000*lf_rate)</f>
        <v>0.0403090277854635</v>
      </c>
    </row>
    <row r="41" customFormat="false" ht="14.25" hidden="false" customHeight="true" outlineLevel="0" collapsed="false">
      <c r="A41" s="61" t="n">
        <v>1881</v>
      </c>
      <c r="B41" s="49" t="n">
        <f aca="false">Economy!B41*lf_rate</f>
        <v>1872823.47031332</v>
      </c>
      <c r="C41" s="49" t="n">
        <f aca="false">Economy!O41*1000000/(B41+L41)</f>
        <v>793.796850349279</v>
      </c>
      <c r="D41" s="49" t="n">
        <f aca="false">Champions!AP41*1000000/(C41*champ_prem)</f>
        <v>20617.8340586856</v>
      </c>
      <c r="E41" s="49" t="n">
        <f aca="false">D41*job_mult</f>
        <v>14432.4838410799</v>
      </c>
      <c r="F41" s="49" t="n">
        <f aca="false">D41+E41</f>
        <v>35050.3178997655</v>
      </c>
      <c r="G41" s="66" t="n">
        <f aca="false">F41/B41</f>
        <v>0.0187152278126361</v>
      </c>
      <c r="H41" s="49" t="n">
        <f aca="false">F41-F40</f>
        <v>4079.97494293159</v>
      </c>
      <c r="I41" s="66" t="n">
        <f aca="false">MAX(0.005,pac_u_base*IF(Paths!AC41=1,pac_u_war,1)+(okun*(1-Economy!G41)*(B41+L41)-MAX(0,L40-L41))/B41)</f>
        <v>0.015</v>
      </c>
      <c r="J41" s="49" t="n">
        <f aca="false">IF(AND(gw_on=1,$A41&gt;=gw_start),MIN(gw_cap*B40,gw_cover*F40+gw_gen*B40),0)</f>
        <v>0</v>
      </c>
      <c r="K41" s="49" t="n">
        <f aca="false">L40*gw_conv</f>
        <v>0</v>
      </c>
      <c r="L41" s="49" t="n">
        <f aca="false">MAX(0,L40-K41+gw_adj*(J41-L40))*MAX(0,1-gw_slump*(1-Economy!G41))</f>
        <v>0</v>
      </c>
      <c r="M41" s="49" t="n">
        <f aca="false">MAX(0,L41-L40+L40/gw_term)</f>
        <v>0</v>
      </c>
      <c r="N41" s="66" t="n">
        <f aca="false">L41/B41</f>
        <v>0</v>
      </c>
      <c r="O41" s="56" t="n">
        <f aca="false">Economy!L41</f>
        <v>0</v>
      </c>
      <c r="P41" s="56" t="n">
        <f aca="false">O41*gw_wage_share</f>
        <v>0</v>
      </c>
      <c r="Q41" s="56" t="n">
        <f aca="false">P41*gw_levy</f>
        <v>0</v>
      </c>
      <c r="R41" s="56" t="n">
        <f aca="false">P41*gw_remit</f>
        <v>0</v>
      </c>
      <c r="S41" s="66" t="n">
        <f aca="false">IF(union_resp&gt;=1,MIN(1,MAX(0,($A41-resp_start)/(resp_full-resp_start))),0)</f>
        <v>0</v>
      </c>
      <c r="T41" s="70" t="n">
        <f aca="false">Economy!R40</f>
        <v>1.58413165358903</v>
      </c>
      <c r="U41" s="70" t="n">
        <f aca="false">MAX(0,T41-gap_base)</f>
        <v>0.0841316535890273</v>
      </c>
      <c r="V41" s="71" t="n">
        <v>41</v>
      </c>
      <c r="W41" s="49" t="n">
        <f aca="false">V41*1000000*lf_rate*union_skill_share</f>
        <v>2066400</v>
      </c>
      <c r="X41" s="47" t="n">
        <v>62000</v>
      </c>
      <c r="Y41" s="49" t="n">
        <f aca="false">IF(AND(mig_endo=1,$A41&gt;=talent_start),talent_rate_u*W41*U41*(1-(1-bd_keep)*S41),0)</f>
        <v>1738.49648976366</v>
      </c>
      <c r="Z41" s="49" t="n">
        <f aca="false">IF(AND(mig_endo=1,$A41&gt;=talent_start),X41*MIN(0.5,talent_share_o*U41)*(1-eu_comp*S41),0)</f>
        <v>1408.36388108032</v>
      </c>
      <c r="AA41" s="47" t="n">
        <v>6000</v>
      </c>
      <c r="AB41" s="49" t="n">
        <f aca="false">IF(AND(mig_endo=1,$A41&gt;=talent_start),AA41*MIN(0.5,talent_share_a*U41),0)</f>
        <v>100.957984306833</v>
      </c>
      <c r="AC41" s="49" t="n">
        <f aca="false">entry_cap*People!B41</f>
        <v>13081.2558165882</v>
      </c>
      <c r="AD41" s="49" t="n">
        <f aca="false">MIN(AC41,Y41+Z41+AB41)</f>
        <v>3247.81835515081</v>
      </c>
      <c r="AE41" s="49" t="n">
        <f aca="false">IF(Y41+Z41+AB41&gt;0,AD41*Y41/(Y41+Z41+AB41),0)</f>
        <v>1738.49648976366</v>
      </c>
      <c r="AF41" s="49" t="n">
        <f aca="false">IF(Y41+Z41+AB41&gt;0,AD41*AB41/(Y41+Z41+AB41),0)</f>
        <v>100.957984306833</v>
      </c>
      <c r="AG41" s="49" t="n">
        <f aca="false">AD41*family_mult</f>
        <v>7145.20038133178</v>
      </c>
      <c r="AH41" s="49" t="n">
        <f aca="false">AH40*(1+Paths!C41)+AG41</f>
        <v>364510.842964839</v>
      </c>
      <c r="AI41" s="49" t="n">
        <f aca="false">IF(AND(mig_endo=1,$A41&gt;=talent_start),chain_rate*AH40,0)</f>
        <v>5283.81646189058</v>
      </c>
      <c r="AJ41" s="49" t="n">
        <f aca="false">IF(AND(mig_endo=1,$A41&gt;=talent_start),IF(H40&gt;0,H40*job_fill,H40*job_return)*job_family,0)</f>
        <v>1382.43001027579</v>
      </c>
      <c r="AK41" s="49" t="n">
        <f aca="false">K41*gw_conv_family</f>
        <v>0</v>
      </c>
      <c r="AL41" s="49" t="n">
        <f aca="false">AG41+AI41+AJ41+AK41+AR41</f>
        <v>27020.1164669754</v>
      </c>
      <c r="AM41" s="49" t="n">
        <f aca="false">AM40*(1-skill_ret)+AD41</f>
        <v>111098.882028818</v>
      </c>
      <c r="AN41" s="67" t="n">
        <f aca="false">AM41/B41</f>
        <v>0.059321598532846</v>
      </c>
      <c r="AO41" s="67" t="n">
        <f aca="false">(skill_rel-1+skill_spill)*AM40/B40-AT41</f>
        <v>0.0794164022312544</v>
      </c>
      <c r="AP41" s="67" t="n">
        <f aca="false">talent_champ*AM40/(skill_base_share*B40)</f>
        <v>0.123630821372527</v>
      </c>
      <c r="AQ41" s="47" t="n">
        <v>628000</v>
      </c>
      <c r="AR41" s="49" t="n">
        <f aca="false">IF(AND(div_on=1,$A41&gt;=div_start),AQ41*MIN(div_max,div_rate*U41)*(1-div_comp*S41),0)</f>
        <v>13208.6696134773</v>
      </c>
      <c r="AS41" s="49" t="n">
        <f aca="false">AS40*(1-div_assim)+AR41</f>
        <v>28486.4361164918</v>
      </c>
      <c r="AT41" s="67" t="n">
        <f aca="false">(1-div_rel)*AS40/Economy!B40</f>
        <v>0.000943631660888312</v>
      </c>
      <c r="AU41" s="49" t="n">
        <f aca="false">AU40*(1-skill_ret)+AE41</f>
        <v>78351.4557993505</v>
      </c>
      <c r="AV41" s="49" t="n">
        <f aca="false">AV40*(1+union_nat)+AR41</f>
        <v>29499.5932635338</v>
      </c>
      <c r="AW41" s="49" t="n">
        <f aca="false">AW40*(1+union_nat)+AE41*family_mult</f>
        <v>264001.008996633</v>
      </c>
      <c r="AX41" s="70" t="n">
        <f aca="false">V41-(AV41+AW41)/1000000</f>
        <v>40.7064993977398</v>
      </c>
      <c r="AY41" s="49" t="n">
        <f aca="false">L41*gw_union</f>
        <v>0</v>
      </c>
      <c r="AZ41" s="48" t="n">
        <v>1.107</v>
      </c>
      <c r="BA41" s="49" t="n">
        <f aca="false">Economy!Q41*AZ41/lf_rate</f>
        <v>545.592857142857</v>
      </c>
      <c r="BB41" s="67" t="n">
        <f aca="false">bd_growth*AU40/W40</f>
        <v>0.00116930646076903</v>
      </c>
      <c r="BC41" s="67" t="n">
        <f aca="false">tg_k*MIN(1,Economy!O40/BK40)</f>
        <v>0.000476961337405574</v>
      </c>
      <c r="BD41" s="67" t="n">
        <f aca="false">emu_g*S41</f>
        <v>0</v>
      </c>
      <c r="BE41" s="68" t="n">
        <f aca="false">BE40*(1-BB41-BC41+BD41)</f>
        <v>0.970636424666449</v>
      </c>
      <c r="BF41" s="48" t="n">
        <v>1</v>
      </c>
      <c r="BG41" s="56" t="n">
        <f aca="false">AU41*BA41*BE41*(skill_rel-1+skill_spill)/1000000</f>
        <v>53.9405888712185</v>
      </c>
      <c r="BH41" s="56" t="n">
        <f aca="false">union_disp*(Champions!AP41+Champions!AZ41)*(1-IF(union_resp=2,mkt_cut*S41,0))</f>
        <v>10.15240447322</v>
      </c>
      <c r="BI41" s="56" t="n">
        <f aca="false">AY41*BA41*BE41/1000000</f>
        <v>0</v>
      </c>
      <c r="BJ41" s="49" t="n">
        <f aca="false">V41*Economy!Q41*AZ41</f>
        <v>9395.109</v>
      </c>
      <c r="BK41" s="49" t="n">
        <f aca="false">MAX(0.3*BJ41,AX41*Economy!Q41*AZ41*BE41*BF41-BG41-BH41-BI41)</f>
        <v>8989.86150436894</v>
      </c>
      <c r="BL41" s="66" t="n">
        <f aca="false">1-BK41/BJ41</f>
        <v>0.0431338790886903</v>
      </c>
      <c r="BM41" s="49" t="n">
        <f aca="false">MAX(0,BH41-BH40)*1000000/BA41</f>
        <v>2340.6708425105</v>
      </c>
      <c r="BN41" s="49" t="n">
        <f aca="false">BN40*(1-IF(AND($A41&gt;=1930,$A41&lt;=1932),0,union_reabsorb))+BM41</f>
        <v>6207.85395159239</v>
      </c>
      <c r="BO41" s="62" t="n">
        <v>0.04</v>
      </c>
      <c r="BP41" s="66" t="n">
        <f aca="false">BO41+BN41/(AX41*1000000*lf_rate)</f>
        <v>0.0403631018354644</v>
      </c>
    </row>
    <row r="42" customFormat="false" ht="14.25" hidden="false" customHeight="true" outlineLevel="0" collapsed="false">
      <c r="A42" s="61" t="n">
        <v>1882</v>
      </c>
      <c r="B42" s="49" t="n">
        <f aca="false">Economy!B42*lf_rate</f>
        <v>1959212.25432732</v>
      </c>
      <c r="C42" s="49" t="n">
        <f aca="false">Economy!O42*1000000/(B42+L42)</f>
        <v>801.632665284122</v>
      </c>
      <c r="D42" s="49" t="n">
        <f aca="false">Champions!AP42*1000000/(C42*champ_prem)</f>
        <v>22373.1038706328</v>
      </c>
      <c r="E42" s="49" t="n">
        <f aca="false">D42*job_mult</f>
        <v>15661.172709443</v>
      </c>
      <c r="F42" s="49" t="n">
        <f aca="false">D42+E42</f>
        <v>38034.2765800758</v>
      </c>
      <c r="G42" s="66" t="n">
        <f aca="false">F42/B42</f>
        <v>0.0194130454707341</v>
      </c>
      <c r="H42" s="49" t="n">
        <f aca="false">F42-F41</f>
        <v>2983.95868031032</v>
      </c>
      <c r="I42" s="66" t="n">
        <f aca="false">MAX(0.005,pac_u_base*IF(Paths!AC42=1,pac_u_war,1)+(okun*(1-Economy!G42)*(B42+L42)-MAX(0,L41-L42))/B42)</f>
        <v>0.015</v>
      </c>
      <c r="J42" s="49" t="n">
        <f aca="false">IF(AND(gw_on=1,$A42&gt;=gw_start),MIN(gw_cap*B41,gw_cover*F41+gw_gen*B41),0)</f>
        <v>0</v>
      </c>
      <c r="K42" s="49" t="n">
        <f aca="false">L41*gw_conv</f>
        <v>0</v>
      </c>
      <c r="L42" s="49" t="n">
        <f aca="false">MAX(0,L41-K42+gw_adj*(J42-L41))*MAX(0,1-gw_slump*(1-Economy!G42))</f>
        <v>0</v>
      </c>
      <c r="M42" s="49" t="n">
        <f aca="false">MAX(0,L42-L41+L41/gw_term)</f>
        <v>0</v>
      </c>
      <c r="N42" s="66" t="n">
        <f aca="false">L42/B42</f>
        <v>0</v>
      </c>
      <c r="O42" s="56" t="n">
        <f aca="false">Economy!L42</f>
        <v>0</v>
      </c>
      <c r="P42" s="56" t="n">
        <f aca="false">O42*gw_wage_share</f>
        <v>0</v>
      </c>
      <c r="Q42" s="56" t="n">
        <f aca="false">P42*gw_levy</f>
        <v>0</v>
      </c>
      <c r="R42" s="56" t="n">
        <f aca="false">P42*gw_remit</f>
        <v>0</v>
      </c>
      <c r="S42" s="66" t="n">
        <f aca="false">IF(union_resp&gt;=1,MIN(1,MAX(0,($A42-resp_start)/(resp_full-resp_start))),0)</f>
        <v>0</v>
      </c>
      <c r="T42" s="70" t="n">
        <f aca="false">Economy!R41</f>
        <v>1.61060230505651</v>
      </c>
      <c r="U42" s="70" t="n">
        <f aca="false">MAX(0,T42-gap_base)</f>
        <v>0.110602305056508</v>
      </c>
      <c r="V42" s="71" t="n">
        <v>42</v>
      </c>
      <c r="W42" s="49" t="n">
        <f aca="false">V42*1000000*lf_rate*union_skill_share</f>
        <v>2116800</v>
      </c>
      <c r="X42" s="47" t="n">
        <v>64000</v>
      </c>
      <c r="Y42" s="49" t="n">
        <f aca="false">IF(AND(mig_endo=1,$A42&gt;=talent_start),talent_rate_u*W42*U42*(1-(1-bd_keep)*S42),0)</f>
        <v>2341.22959343617</v>
      </c>
      <c r="Z42" s="49" t="n">
        <f aca="false">IF(AND(mig_endo=1,$A42&gt;=talent_start),X42*MIN(0.5,talent_share_o*U42)*(1-eu_comp*S42),0)</f>
        <v>1911.20783137646</v>
      </c>
      <c r="AA42" s="47" t="n">
        <v>6000</v>
      </c>
      <c r="AB42" s="49" t="n">
        <f aca="false">IF(AND(mig_endo=1,$A42&gt;=talent_start),AA42*MIN(0.5,talent_share_a*U42),0)</f>
        <v>132.72276606781</v>
      </c>
      <c r="AC42" s="49" t="n">
        <f aca="false">entry_cap*People!B42</f>
        <v>13673.3651878878</v>
      </c>
      <c r="AD42" s="49" t="n">
        <f aca="false">MIN(AC42,Y42+Z42+AB42)</f>
        <v>4385.16019088044</v>
      </c>
      <c r="AE42" s="49" t="n">
        <f aca="false">IF(Y42+Z42+AB42&gt;0,AD42*Y42/(Y42+Z42+AB42),0)</f>
        <v>2341.22959343617</v>
      </c>
      <c r="AF42" s="49" t="n">
        <f aca="false">IF(Y42+Z42+AB42&gt;0,AD42*AB42/(Y42+Z42+AB42),0)</f>
        <v>132.72276606781</v>
      </c>
      <c r="AG42" s="49" t="n">
        <f aca="false">AD42*family_mult</f>
        <v>9647.35241993698</v>
      </c>
      <c r="AH42" s="49" t="n">
        <f aca="false">AH41*(1+Paths!C42)+AG42</f>
        <v>379548.217219697</v>
      </c>
      <c r="AI42" s="49" t="n">
        <f aca="false">IF(AND(mig_endo=1,$A42&gt;=talent_start),chain_rate*AH41,0)</f>
        <v>5467.66264447258</v>
      </c>
      <c r="AJ42" s="49" t="n">
        <f aca="false">IF(AND(mig_endo=1,$A42&gt;=talent_start),IF(H41&gt;0,H41*job_fill,H41*job_return)*job_family,0)</f>
        <v>2570.3842140469</v>
      </c>
      <c r="AK42" s="49" t="n">
        <f aca="false">K42*gw_conv_family</f>
        <v>0</v>
      </c>
      <c r="AL42" s="49" t="n">
        <f aca="false">AG42+AI42+AJ42+AK42+AR42</f>
        <v>39529.3545271169</v>
      </c>
      <c r="AM42" s="49" t="n">
        <f aca="false">AM41*(1-skill_ret)+AD42</f>
        <v>112706.570168978</v>
      </c>
      <c r="AN42" s="67" t="n">
        <f aca="false">AM42/B42</f>
        <v>0.0575264726524871</v>
      </c>
      <c r="AO42" s="67" t="n">
        <f aca="false">(skill_rel-1+skill_spill)*AM41/B41-AT42</f>
        <v>0.0755209837377624</v>
      </c>
      <c r="AP42" s="67" t="n">
        <f aca="false">talent_champ*AM41/(skill_base_share*B41)</f>
        <v>0.118643197065692</v>
      </c>
      <c r="AQ42" s="47" t="n">
        <v>790000</v>
      </c>
      <c r="AR42" s="49" t="n">
        <f aca="false">IF(AND(div_on=1,$A42&gt;=div_start),AQ42*MIN(div_max,div_rate*U42)*(1-div_comp*S42),0)</f>
        <v>21843.9552486604</v>
      </c>
      <c r="AS42" s="49" t="n">
        <f aca="false">AS41*(1-div_assim)+AR42</f>
        <v>48906.0695593276</v>
      </c>
      <c r="AT42" s="67" t="n">
        <f aca="false">(1-div_rel)*AS41/Economy!B41</f>
        <v>0.00159709435493738</v>
      </c>
      <c r="AU42" s="49" t="n">
        <f aca="false">AU41*(1-skill_ret)+AE42</f>
        <v>78733.8989978029</v>
      </c>
      <c r="AV42" s="49" t="n">
        <f aca="false">AV41*(1+union_nat)+AR42</f>
        <v>51727.0432246202</v>
      </c>
      <c r="AW42" s="49" t="n">
        <f aca="false">AW41*(1+union_nat)+AE42*family_mult</f>
        <v>272583.727219148</v>
      </c>
      <c r="AX42" s="70" t="n">
        <f aca="false">V42-(AV42+AW42)/1000000</f>
        <v>41.6756892295562</v>
      </c>
      <c r="AY42" s="49" t="n">
        <f aca="false">L42*gw_union</f>
        <v>0</v>
      </c>
      <c r="AZ42" s="48" t="n">
        <v>1.106</v>
      </c>
      <c r="BA42" s="49" t="n">
        <f aca="false">Economy!Q42*AZ42/lf_rate</f>
        <v>545.1</v>
      </c>
      <c r="BB42" s="67" t="n">
        <f aca="false">bd_growth*AU41/W41</f>
        <v>0.00113750661729603</v>
      </c>
      <c r="BC42" s="67" t="n">
        <f aca="false">tg_k*MIN(1,Economy!O41/BK41)</f>
        <v>0.000496105987152005</v>
      </c>
      <c r="BD42" s="67" t="n">
        <f aca="false">emu_g*S42</f>
        <v>0</v>
      </c>
      <c r="BE42" s="68" t="n">
        <f aca="false">BE41*(1-BB42-BC42+BD42)</f>
        <v>0.969050780768777</v>
      </c>
      <c r="BF42" s="48" t="n">
        <v>1</v>
      </c>
      <c r="BG42" s="56" t="n">
        <f aca="false">AU42*BA42*BE42*(skill_rel-1+skill_spill)/1000000</f>
        <v>54.0664467802949</v>
      </c>
      <c r="BH42" s="56" t="n">
        <f aca="false">union_disp*(Champions!AP42+Champions!AZ42)*(1-IF(union_resp=2,mkt_cut*S42,0))</f>
        <v>11.3246443197388</v>
      </c>
      <c r="BI42" s="56" t="n">
        <f aca="false">AY42*BA42*BE42/1000000</f>
        <v>0</v>
      </c>
      <c r="BJ42" s="49" t="n">
        <f aca="false">V42*Economy!Q42*AZ42</f>
        <v>9615.564</v>
      </c>
      <c r="BK42" s="49" t="n">
        <f aca="false">MAX(0.3*BJ42,AX42*Economy!Q42*AZ42*BE42*BF42-BG42-BH42-BI42)</f>
        <v>9180.62828288517</v>
      </c>
      <c r="BL42" s="66" t="n">
        <f aca="false">1-BK42/BJ42</f>
        <v>0.0452324707229681</v>
      </c>
      <c r="BM42" s="49" t="n">
        <f aca="false">MAX(0,BH42-BH41)*1000000/BA42</f>
        <v>2150.50421302294</v>
      </c>
      <c r="BN42" s="49" t="n">
        <f aca="false">BN41*(1-IF(AND($A42&gt;=1930,$A42&lt;=1932),0,union_reabsorb))+BM42</f>
        <v>6806.39467671723</v>
      </c>
      <c r="BO42" s="62" t="n">
        <v>0.04</v>
      </c>
      <c r="BP42" s="66" t="n">
        <f aca="false">BO42+BN42/(AX42*1000000*lf_rate)</f>
        <v>0.0403888526359329</v>
      </c>
    </row>
    <row r="43" customFormat="false" ht="14.25" hidden="false" customHeight="true" outlineLevel="0" collapsed="false">
      <c r="A43" s="61" t="n">
        <v>1883</v>
      </c>
      <c r="B43" s="49" t="n">
        <f aca="false">Economy!B43*lf_rate</f>
        <v>2050172.51874509</v>
      </c>
      <c r="C43" s="49" t="n">
        <f aca="false">Economy!O43*1000000/(B43+L43)</f>
        <v>808.209746765435</v>
      </c>
      <c r="D43" s="49" t="n">
        <f aca="false">Champions!AP43*1000000/(C43*champ_prem)</f>
        <v>24148.7245784528</v>
      </c>
      <c r="E43" s="49" t="n">
        <f aca="false">D43*job_mult</f>
        <v>16904.1072049169</v>
      </c>
      <c r="F43" s="49" t="n">
        <f aca="false">D43+E43</f>
        <v>41052.8317833697</v>
      </c>
      <c r="G43" s="66" t="n">
        <f aca="false">F43/B43</f>
        <v>0.0200240864649274</v>
      </c>
      <c r="H43" s="49" t="n">
        <f aca="false">F43-F42</f>
        <v>3018.55520329395</v>
      </c>
      <c r="I43" s="66" t="n">
        <f aca="false">MAX(0.005,pac_u_base*IF(Paths!AC43=1,pac_u_war,1)+(okun*(1-Economy!G43)*(B43+L43)-MAX(0,L42-L43))/B43)</f>
        <v>0.015</v>
      </c>
      <c r="J43" s="49" t="n">
        <f aca="false">IF(AND(gw_on=1,$A43&gt;=gw_start),MIN(gw_cap*B42,gw_cover*F42+gw_gen*B42),0)</f>
        <v>0</v>
      </c>
      <c r="K43" s="49" t="n">
        <f aca="false">L42*gw_conv</f>
        <v>0</v>
      </c>
      <c r="L43" s="49" t="n">
        <f aca="false">MAX(0,L42-K43+gw_adj*(J43-L42))*MAX(0,1-gw_slump*(1-Economy!G43))</f>
        <v>0</v>
      </c>
      <c r="M43" s="49" t="n">
        <f aca="false">MAX(0,L43-L42+L42/gw_term)</f>
        <v>0</v>
      </c>
      <c r="N43" s="66" t="n">
        <f aca="false">L43/B43</f>
        <v>0</v>
      </c>
      <c r="O43" s="56" t="n">
        <f aca="false">Economy!L43</f>
        <v>0</v>
      </c>
      <c r="P43" s="56" t="n">
        <f aca="false">O43*gw_wage_share</f>
        <v>0</v>
      </c>
      <c r="Q43" s="56" t="n">
        <f aca="false">P43*gw_levy</f>
        <v>0</v>
      </c>
      <c r="R43" s="56" t="n">
        <f aca="false">P43*gw_remit</f>
        <v>0</v>
      </c>
      <c r="S43" s="66" t="n">
        <f aca="false">IF(union_resp&gt;=1,MIN(1,MAX(0,($A43-resp_start)/(resp_full-resp_start))),0)</f>
        <v>0</v>
      </c>
      <c r="T43" s="70" t="n">
        <f aca="false">Economy!R42</f>
        <v>1.62650105999677</v>
      </c>
      <c r="U43" s="70" t="n">
        <f aca="false">MAX(0,T43-gap_base)</f>
        <v>0.126501059996768</v>
      </c>
      <c r="V43" s="71" t="n">
        <v>43</v>
      </c>
      <c r="W43" s="49" t="n">
        <f aca="false">V43*1000000*lf_rate*union_skill_share</f>
        <v>2167200</v>
      </c>
      <c r="X43" s="47" t="n">
        <v>66000</v>
      </c>
      <c r="Y43" s="49" t="n">
        <f aca="false">IF(AND(mig_endo=1,$A43&gt;=talent_start),talent_rate_u*W43*U43*(1-(1-bd_keep)*S43),0)</f>
        <v>2741.53097224996</v>
      </c>
      <c r="Z43" s="49" t="n">
        <f aca="false">IF(AND(mig_endo=1,$A43&gt;=talent_start),X43*MIN(0.5,talent_share_o*U43)*(1-eu_comp*S43),0)</f>
        <v>2254.24888914241</v>
      </c>
      <c r="AA43" s="47" t="n">
        <v>7000</v>
      </c>
      <c r="AB43" s="49" t="n">
        <f aca="false">IF(AND(mig_endo=1,$A43&gt;=talent_start),AA43*MIN(0.5,talent_share_a*U43),0)</f>
        <v>177.101483995475</v>
      </c>
      <c r="AC43" s="49" t="n">
        <f aca="false">entry_cap*People!B43</f>
        <v>14315.3813025025</v>
      </c>
      <c r="AD43" s="49" t="n">
        <f aca="false">MIN(AC43,Y43+Z43+AB43)</f>
        <v>5172.88134538784</v>
      </c>
      <c r="AE43" s="49" t="n">
        <f aca="false">IF(Y43+Z43+AB43&gt;0,AD43*Y43/(Y43+Z43+AB43),0)</f>
        <v>2741.53097224996</v>
      </c>
      <c r="AF43" s="49" t="n">
        <f aca="false">IF(Y43+Z43+AB43&gt;0,AD43*AB43/(Y43+Z43+AB43),0)</f>
        <v>177.101483995475</v>
      </c>
      <c r="AG43" s="49" t="n">
        <f aca="false">AD43*family_mult</f>
        <v>11380.3389598532</v>
      </c>
      <c r="AH43" s="49" t="n">
        <f aca="false">AH42*(1+Paths!C43)+AG43</f>
        <v>396636.2022701</v>
      </c>
      <c r="AI43" s="49" t="n">
        <f aca="false">IF(AND(mig_endo=1,$A43&gt;=talent_start),chain_rate*AH42,0)</f>
        <v>5693.22325829545</v>
      </c>
      <c r="AJ43" s="49" t="n">
        <f aca="false">IF(AND(mig_endo=1,$A43&gt;=talent_start),IF(H42&gt;0,H42*job_fill,H42*job_return)*job_family,0)</f>
        <v>1879.8939685955</v>
      </c>
      <c r="AK43" s="49" t="n">
        <f aca="false">K43*gw_conv_family</f>
        <v>0</v>
      </c>
      <c r="AL43" s="49" t="n">
        <f aca="false">AG43+AI43+AJ43+AK43+AR43</f>
        <v>40300.5100611988</v>
      </c>
      <c r="AM43" s="49" t="n">
        <f aca="false">AM42*(1-skill_ret)+AD43</f>
        <v>115061.787260142</v>
      </c>
      <c r="AN43" s="67" t="n">
        <f aca="false">AM43/B43</f>
        <v>0.056122978046048</v>
      </c>
      <c r="AO43" s="67" t="n">
        <f aca="false">(skill_rel-1+skill_spill)*AM42/B42-AT43</f>
        <v>0.072163393018632</v>
      </c>
      <c r="AP43" s="67" t="n">
        <f aca="false">talent_champ*AM42/(skill_base_share*B42)</f>
        <v>0.115052945304974</v>
      </c>
      <c r="AQ43" s="47" t="n">
        <v>675000</v>
      </c>
      <c r="AR43" s="49" t="n">
        <f aca="false">IF(AND(div_on=1,$A43&gt;=div_start),AQ43*MIN(div_max,div_rate*U43)*(1-div_comp*S43),0)</f>
        <v>21347.0538744546</v>
      </c>
      <c r="AS43" s="49" t="n">
        <f aca="false">AS42*(1-div_assim)+AR43</f>
        <v>67807.8199558158</v>
      </c>
      <c r="AT43" s="67" t="n">
        <f aca="false">(1-div_rel)*AS42/Economy!B42</f>
        <v>0.00262102142960131</v>
      </c>
      <c r="AU43" s="49" t="n">
        <f aca="false">AU42*(1-skill_ret)+AE43</f>
        <v>79507.0824951078</v>
      </c>
      <c r="AV43" s="49" t="n">
        <f aca="false">AV42*(1+union_nat)+AR43</f>
        <v>73746.5486609948</v>
      </c>
      <c r="AW43" s="49" t="n">
        <f aca="false">AW42*(1+union_nat)+AE43*family_mult</f>
        <v>282158.683811947</v>
      </c>
      <c r="AX43" s="70" t="n">
        <f aca="false">V43-(AV43+AW43)/1000000</f>
        <v>42.6440947675271</v>
      </c>
      <c r="AY43" s="49" t="n">
        <f aca="false">L43*gw_union</f>
        <v>0</v>
      </c>
      <c r="AZ43" s="48" t="n">
        <v>1.105</v>
      </c>
      <c r="BA43" s="49" t="n">
        <f aca="false">Economy!Q43*AZ43/lf_rate</f>
        <v>541.976190476191</v>
      </c>
      <c r="BB43" s="67" t="n">
        <f aca="false">bd_growth*AU42/W42</f>
        <v>0.00111584323976478</v>
      </c>
      <c r="BC43" s="67" t="n">
        <f aca="false">tg_k*MIN(1,Economy!O42/BK42)</f>
        <v>0.000513222568074658</v>
      </c>
      <c r="BD43" s="67" t="n">
        <f aca="false">emu_g*S43</f>
        <v>0</v>
      </c>
      <c r="BE43" s="68" t="n">
        <f aca="false">BE42*(1-BB43-BC43+BD43)</f>
        <v>0.967472133275767</v>
      </c>
      <c r="BF43" s="48" t="n">
        <v>1</v>
      </c>
      <c r="BG43" s="56" t="n">
        <f aca="false">AU43*BA43*BE43*(skill_rel-1+skill_spill)/1000000</f>
        <v>54.1960758927388</v>
      </c>
      <c r="BH43" s="56" t="n">
        <f aca="false">union_disp*(Champions!AP43+Champions!AZ43)*(1-IF(union_resp=2,mkt_cut*S43,0))</f>
        <v>12.3486190382532</v>
      </c>
      <c r="BI43" s="56" t="n">
        <f aca="false">AY43*BA43*BE43/1000000</f>
        <v>0</v>
      </c>
      <c r="BJ43" s="49" t="n">
        <f aca="false">V43*Economy!Q43*AZ43</f>
        <v>9788.09</v>
      </c>
      <c r="BK43" s="49" t="n">
        <f aca="false">MAX(0.3*BJ43,AX43*Economy!Q43*AZ43*BE43*BF43-BG43-BH43-BI43)</f>
        <v>9324.78014562312</v>
      </c>
      <c r="BL43" s="66" t="n">
        <f aca="false">1-BK43/BJ43</f>
        <v>0.0473340411026949</v>
      </c>
      <c r="BM43" s="49" t="n">
        <f aca="false">MAX(0,BH43-BH42)*1000000/BA43</f>
        <v>1889.33524480985</v>
      </c>
      <c r="BN43" s="49" t="n">
        <f aca="false">BN42*(1-IF(AND($A43&gt;=1930,$A43&lt;=1932),0,union_reabsorb))+BM43</f>
        <v>6994.13125234777</v>
      </c>
      <c r="BO43" s="62" t="n">
        <v>0.04</v>
      </c>
      <c r="BP43" s="66" t="n">
        <f aca="false">BO43+BN43/(AX43*1000000*lf_rate)</f>
        <v>0.0403905040908654</v>
      </c>
    </row>
    <row r="44" customFormat="false" ht="14.25" hidden="false" customHeight="true" outlineLevel="0" collapsed="false">
      <c r="A44" s="61" t="n">
        <v>1884</v>
      </c>
      <c r="B44" s="49" t="n">
        <f aca="false">Economy!B44*lf_rate</f>
        <v>2143498.91288268</v>
      </c>
      <c r="C44" s="49" t="n">
        <f aca="false">Economy!O44*1000000/(B44+L44)</f>
        <v>798.675352913712</v>
      </c>
      <c r="D44" s="49" t="n">
        <f aca="false">Champions!AP44*1000000/(C44*champ_prem)</f>
        <v>26169.696672411</v>
      </c>
      <c r="E44" s="49" t="n">
        <f aca="false">D44*job_mult</f>
        <v>18318.7876706877</v>
      </c>
      <c r="F44" s="49" t="n">
        <f aca="false">D44+E44</f>
        <v>44488.4843430987</v>
      </c>
      <c r="G44" s="66" t="n">
        <f aca="false">F44/B44</f>
        <v>0.020755076699931</v>
      </c>
      <c r="H44" s="49" t="n">
        <f aca="false">F44-F43</f>
        <v>3435.65255972899</v>
      </c>
      <c r="I44" s="66" t="n">
        <f aca="false">MAX(0.005,pac_u_base*IF(Paths!AC44=1,pac_u_war,1)+(okun*(1-Economy!G44)*(B44+L44)-MAX(0,L43-L44))/B44)</f>
        <v>0.025</v>
      </c>
      <c r="J44" s="49" t="n">
        <f aca="false">IF(AND(gw_on=1,$A44&gt;=gw_start),MIN(gw_cap*B43,gw_cover*F43+gw_gen*B43),0)</f>
        <v>0</v>
      </c>
      <c r="K44" s="49" t="n">
        <f aca="false">L43*gw_conv</f>
        <v>0</v>
      </c>
      <c r="L44" s="49" t="n">
        <f aca="false">MAX(0,L43-K44+gw_adj*(J44-L43))*MAX(0,1-gw_slump*(1-Economy!G44))</f>
        <v>0</v>
      </c>
      <c r="M44" s="49" t="n">
        <f aca="false">MAX(0,L44-L43+L43/gw_term)</f>
        <v>0</v>
      </c>
      <c r="N44" s="66" t="n">
        <f aca="false">L44/B44</f>
        <v>0</v>
      </c>
      <c r="O44" s="56" t="n">
        <f aca="false">Economy!L44</f>
        <v>0</v>
      </c>
      <c r="P44" s="56" t="n">
        <f aca="false">O44*gw_wage_share</f>
        <v>0</v>
      </c>
      <c r="Q44" s="56" t="n">
        <f aca="false">P44*gw_levy</f>
        <v>0</v>
      </c>
      <c r="R44" s="56" t="n">
        <f aca="false">P44*gw_remit</f>
        <v>0</v>
      </c>
      <c r="S44" s="66" t="n">
        <f aca="false">IF(union_resp&gt;=1,MIN(1,MAX(0,($A44-resp_start)/(resp_full-resp_start))),0)</f>
        <v>0</v>
      </c>
      <c r="T44" s="70" t="n">
        <f aca="false">Economy!R43</f>
        <v>1.64780627981302</v>
      </c>
      <c r="U44" s="70" t="n">
        <f aca="false">MAX(0,T44-gap_base)</f>
        <v>0.147806279813023</v>
      </c>
      <c r="V44" s="71" t="n">
        <v>44</v>
      </c>
      <c r="W44" s="49" t="n">
        <f aca="false">V44*1000000*lf_rate*union_skill_share</f>
        <v>2217600</v>
      </c>
      <c r="X44" s="47" t="n">
        <v>68000</v>
      </c>
      <c r="Y44" s="49" t="n">
        <f aca="false">IF(AND(mig_endo=1,$A44&gt;=talent_start),talent_rate_u*W44*U44*(1-(1-bd_keep)*S44),0)</f>
        <v>3277.75206113359</v>
      </c>
      <c r="Z44" s="49" t="n">
        <f aca="false">IF(AND(mig_endo=1,$A44&gt;=talent_start),X44*MIN(0.5,talent_share_o*U44)*(1-eu_comp*S44),0)</f>
        <v>2713.7232973671</v>
      </c>
      <c r="AA44" s="47" t="n">
        <v>8000</v>
      </c>
      <c r="AB44" s="49" t="n">
        <f aca="false">IF(AND(mig_endo=1,$A44&gt;=talent_start),AA44*MIN(0.5,talent_share_a*U44),0)</f>
        <v>236.490047700836</v>
      </c>
      <c r="AC44" s="49" t="n">
        <f aca="false">entry_cap*People!B44</f>
        <v>14972.7975367131</v>
      </c>
      <c r="AD44" s="49" t="n">
        <f aca="false">MIN(AC44,Y44+Z44+AB44)</f>
        <v>6227.96540620152</v>
      </c>
      <c r="AE44" s="49" t="n">
        <f aca="false">IF(Y44+Z44+AB44&gt;0,AD44*Y44/(Y44+Z44+AB44),0)</f>
        <v>3277.75206113359</v>
      </c>
      <c r="AF44" s="49" t="n">
        <f aca="false">IF(Y44+Z44+AB44&gt;0,AD44*AB44/(Y44+Z44+AB44),0)</f>
        <v>236.490047700836</v>
      </c>
      <c r="AG44" s="49" t="n">
        <f aca="false">AD44*family_mult</f>
        <v>13701.5238936433</v>
      </c>
      <c r="AH44" s="49" t="n">
        <f aca="false">AH43*(1+Paths!C44)+AG44</f>
        <v>416373.339253688</v>
      </c>
      <c r="AI44" s="49" t="n">
        <f aca="false">IF(AND(mig_endo=1,$A44&gt;=talent_start),chain_rate*AH43,0)</f>
        <v>5949.5430340515</v>
      </c>
      <c r="AJ44" s="49" t="n">
        <f aca="false">IF(AND(mig_endo=1,$A44&gt;=talent_start),IF(H43&gt;0,H43*job_fill,H43*job_return)*job_family,0)</f>
        <v>1901.68977807519</v>
      </c>
      <c r="AK44" s="49" t="n">
        <f aca="false">K44*gw_conv_family</f>
        <v>0</v>
      </c>
      <c r="AL44" s="49" t="n">
        <f aca="false">AG44+AI44+AJ44+AK44+AR44</f>
        <v>42245.6358795932</v>
      </c>
      <c r="AM44" s="49" t="n">
        <f aca="false">AM43*(1-skill_ret)+AD44</f>
        <v>118413.20798484</v>
      </c>
      <c r="AN44" s="67" t="n">
        <f aca="false">AM44/B44</f>
        <v>0.0552429521998646</v>
      </c>
      <c r="AO44" s="67" t="n">
        <f aca="false">(skill_rel-1+skill_spill)*AM43/B43-AT44</f>
        <v>0.0694870802531406</v>
      </c>
      <c r="AP44" s="67" t="n">
        <f aca="false">talent_champ*AM43/(skill_base_share*B43)</f>
        <v>0.112245956092096</v>
      </c>
      <c r="AQ44" s="47" t="n">
        <v>560000</v>
      </c>
      <c r="AR44" s="49" t="n">
        <f aca="false">IF(AND(div_on=1,$A44&gt;=div_start),AQ44*MIN(div_max,div_rate*U44)*(1-div_comp*S44),0)</f>
        <v>20692.8791738232</v>
      </c>
      <c r="AS44" s="49" t="n">
        <f aca="false">AS43*(1-div_assim)+AR44</f>
        <v>85110.3081318482</v>
      </c>
      <c r="AT44" s="67" t="n">
        <f aca="false">(1-div_rel)*AS43/Economy!B43</f>
        <v>0.00347279120672182</v>
      </c>
      <c r="AU44" s="49" t="n">
        <f aca="false">AU43*(1-skill_ret)+AE44</f>
        <v>80797.1574938637</v>
      </c>
      <c r="AV44" s="49" t="n">
        <f aca="false">AV43*(1+union_nat)+AR44</f>
        <v>95398.1329674109</v>
      </c>
      <c r="AW44" s="49" t="n">
        <f aca="false">AW43*(1+union_nat)+AE44*family_mult</f>
        <v>293037.801235996</v>
      </c>
      <c r="AX44" s="70" t="n">
        <f aca="false">V44-(AV44+AW44)/1000000</f>
        <v>43.6115640657966</v>
      </c>
      <c r="AY44" s="49" t="n">
        <f aca="false">L44*gw_union</f>
        <v>0</v>
      </c>
      <c r="AZ44" s="48" t="n">
        <v>1.104</v>
      </c>
      <c r="BA44" s="49" t="n">
        <f aca="false">Economy!Q44*AZ44/lf_rate</f>
        <v>541.485714285714</v>
      </c>
      <c r="BB44" s="67" t="n">
        <f aca="false">bd_growth*AU43/W43</f>
        <v>0.00110059638005409</v>
      </c>
      <c r="BC44" s="67" t="n">
        <f aca="false">tg_k*MIN(1,Economy!O43/BK43)</f>
        <v>0.000533085837839782</v>
      </c>
      <c r="BD44" s="67" t="n">
        <f aca="false">emu_g*S44</f>
        <v>0</v>
      </c>
      <c r="BE44" s="68" t="n">
        <f aca="false">BE43*(1-BB44-BC44+BD44)</f>
        <v>0.965891591255326</v>
      </c>
      <c r="BF44" s="48" t="n">
        <v>1</v>
      </c>
      <c r="BG44" s="56" t="n">
        <f aca="false">AU44*BA44*BE44*(skill_rel-1+skill_spill)/1000000</f>
        <v>54.9357202914541</v>
      </c>
      <c r="BH44" s="56" t="n">
        <f aca="false">union_disp*(Champions!AP44+Champions!AZ44)*(1-IF(union_resp=2,mkt_cut*S44,0))</f>
        <v>13.4563277580058</v>
      </c>
      <c r="BI44" s="56" t="n">
        <f aca="false">AY44*BA44*BE44/1000000</f>
        <v>0</v>
      </c>
      <c r="BJ44" s="49" t="n">
        <f aca="false">V44*Economy!Q44*AZ44</f>
        <v>10006.656</v>
      </c>
      <c r="BK44" s="49" t="n">
        <f aca="false">MAX(0.3*BJ44,AX44*Economy!Q44*AZ44*BE44*BF44-BG44-BH44-BI44)</f>
        <v>9511.62631005852</v>
      </c>
      <c r="BL44" s="66" t="n">
        <f aca="false">1-BK44/BJ44</f>
        <v>0.0494700417343701</v>
      </c>
      <c r="BM44" s="49" t="n">
        <f aca="false">MAX(0,BH44-BH43)*1000000/BA44</f>
        <v>2045.6841067614</v>
      </c>
      <c r="BN44" s="49" t="n">
        <f aca="false">BN43*(1-IF(AND($A44&gt;=1930,$A44&lt;=1932),0,union_reabsorb))+BM44</f>
        <v>7291.28254602223</v>
      </c>
      <c r="BO44" s="62" t="n">
        <v>0.04</v>
      </c>
      <c r="BP44" s="66" t="n">
        <f aca="false">BO44+BN44/(AX44*1000000*lf_rate)</f>
        <v>0.0403980640664929</v>
      </c>
    </row>
    <row r="45" customFormat="false" ht="14.25" hidden="false" customHeight="true" outlineLevel="0" collapsed="false">
      <c r="A45" s="61" t="n">
        <v>1885</v>
      </c>
      <c r="B45" s="49" t="n">
        <f aca="false">Economy!B45*lf_rate</f>
        <v>2237810.22301209</v>
      </c>
      <c r="C45" s="49" t="n">
        <f aca="false">Economy!O45*1000000/(B45+L45)</f>
        <v>806.486085488372</v>
      </c>
      <c r="D45" s="49" t="n">
        <f aca="false">Champions!AP45*1000000/(C45*champ_prem)</f>
        <v>30302.3558024113</v>
      </c>
      <c r="E45" s="49" t="n">
        <f aca="false">D45*job_mult</f>
        <v>21211.6490616879</v>
      </c>
      <c r="F45" s="49" t="n">
        <f aca="false">D45+E45</f>
        <v>51514.0048640992</v>
      </c>
      <c r="G45" s="66" t="n">
        <f aca="false">F45/B45</f>
        <v>0.0230198273000833</v>
      </c>
      <c r="H45" s="49" t="n">
        <f aca="false">F45-F44</f>
        <v>7025.52052100049</v>
      </c>
      <c r="I45" s="66" t="n">
        <f aca="false">MAX(0.005,pac_u_base*IF(Paths!AC45=1,pac_u_war,1)+(okun*(1-Economy!G45)*(B45+L45)-MAX(0,L44-L45))/B45)</f>
        <v>0.025</v>
      </c>
      <c r="J45" s="49" t="n">
        <f aca="false">IF(AND(gw_on=1,$A45&gt;=gw_start),MIN(gw_cap*B44,gw_cover*F44+gw_gen*B44),0)</f>
        <v>0</v>
      </c>
      <c r="K45" s="49" t="n">
        <f aca="false">L44*gw_conv</f>
        <v>0</v>
      </c>
      <c r="L45" s="49" t="n">
        <f aca="false">MAX(0,L44-K45+gw_adj*(J45-L44))*MAX(0,1-gw_slump*(1-Economy!G45))</f>
        <v>0</v>
      </c>
      <c r="M45" s="49" t="n">
        <f aca="false">MAX(0,L45-L44+L44/gw_term)</f>
        <v>0</v>
      </c>
      <c r="N45" s="66" t="n">
        <f aca="false">L45/B45</f>
        <v>0</v>
      </c>
      <c r="O45" s="56" t="n">
        <f aca="false">Economy!L45</f>
        <v>0</v>
      </c>
      <c r="P45" s="56" t="n">
        <f aca="false">O45*gw_wage_share</f>
        <v>0</v>
      </c>
      <c r="Q45" s="56" t="n">
        <f aca="false">P45*gw_levy</f>
        <v>0</v>
      </c>
      <c r="R45" s="56" t="n">
        <f aca="false">P45*gw_remit</f>
        <v>0</v>
      </c>
      <c r="S45" s="66" t="n">
        <f aca="false">IF(union_resp&gt;=1,MIN(1,MAX(0,($A45-resp_start)/(resp_full-resp_start))),0)</f>
        <v>0</v>
      </c>
      <c r="T45" s="70" t="n">
        <f aca="false">Economy!R44</f>
        <v>1.62836722438718</v>
      </c>
      <c r="U45" s="70" t="n">
        <f aca="false">MAX(0,T45-gap_base)</f>
        <v>0.128367224387179</v>
      </c>
      <c r="V45" s="71" t="n">
        <v>45</v>
      </c>
      <c r="W45" s="49" t="n">
        <f aca="false">V45*1000000*lf_rate*union_skill_share</f>
        <v>2268000</v>
      </c>
      <c r="X45" s="47" t="n">
        <v>70000</v>
      </c>
      <c r="Y45" s="49" t="n">
        <f aca="false">IF(AND(mig_endo=1,$A45&gt;=talent_start),talent_rate_u*W45*U45*(1-(1-bd_keep)*S45),0)</f>
        <v>2911.36864910123</v>
      </c>
      <c r="Z45" s="49" t="n">
        <f aca="false">IF(AND(mig_endo=1,$A45&gt;=talent_start),X45*MIN(0.5,talent_share_o*U45)*(1-eu_comp*S45),0)</f>
        <v>2426.14054091769</v>
      </c>
      <c r="AA45" s="47" t="n">
        <v>8000</v>
      </c>
      <c r="AB45" s="49" t="n">
        <f aca="false">IF(AND(mig_endo=1,$A45&gt;=talent_start),AA45*MIN(0.5,talent_share_a*U45),0)</f>
        <v>205.387559019487</v>
      </c>
      <c r="AC45" s="49" t="n">
        <f aca="false">entry_cap*People!B45</f>
        <v>15648.615504468</v>
      </c>
      <c r="AD45" s="49" t="n">
        <f aca="false">MIN(AC45,Y45+Z45+AB45)</f>
        <v>5542.89674903841</v>
      </c>
      <c r="AE45" s="49" t="n">
        <f aca="false">IF(Y45+Z45+AB45&gt;0,AD45*Y45/(Y45+Z45+AB45),0)</f>
        <v>2911.36864910123</v>
      </c>
      <c r="AF45" s="49" t="n">
        <f aca="false">IF(Y45+Z45+AB45&gt;0,AD45*AB45/(Y45+Z45+AB45),0)</f>
        <v>205.387559019487</v>
      </c>
      <c r="AG45" s="49" t="n">
        <f aca="false">AD45*family_mult</f>
        <v>12194.3728478845</v>
      </c>
      <c r="AH45" s="49" t="n">
        <f aca="false">AH44*(1+Paths!C45)+AG45</f>
        <v>434958.626485777</v>
      </c>
      <c r="AI45" s="49" t="n">
        <f aca="false">IF(AND(mig_endo=1,$A45&gt;=talent_start),chain_rate*AH44,0)</f>
        <v>6245.60008880531</v>
      </c>
      <c r="AJ45" s="49" t="n">
        <f aca="false">IF(AND(mig_endo=1,$A45&gt;=talent_start),IF(H44&gt;0,H44*job_fill,H44*job_return)*job_family,0)</f>
        <v>2164.46111262927</v>
      </c>
      <c r="AK45" s="49" t="n">
        <f aca="false">K45*gw_conv_family</f>
        <v>0</v>
      </c>
      <c r="AL45" s="49" t="n">
        <f aca="false">AG45+AI45+AJ45+AK45+AR45</f>
        <v>34885.2877623928</v>
      </c>
      <c r="AM45" s="49" t="n">
        <f aca="false">AM44*(1-skill_ret)+AD45</f>
        <v>120995.774534257</v>
      </c>
      <c r="AN45" s="67" t="n">
        <f aca="false">AM45/B45</f>
        <v>0.0540688273250431</v>
      </c>
      <c r="AO45" s="67" t="n">
        <f aca="false">(skill_rel-1+skill_spill)*AM44/B44-AT45</f>
        <v>0.0676466813932011</v>
      </c>
      <c r="AP45" s="67" t="n">
        <f aca="false">talent_champ*AM44/(skill_base_share*B44)</f>
        <v>0.110485904399729</v>
      </c>
      <c r="AQ45" s="47" t="n">
        <v>445000</v>
      </c>
      <c r="AR45" s="49" t="n">
        <f aca="false">IF(AND(div_on=1,$A45&gt;=div_start),AQ45*MIN(div_max,div_rate*U45)*(1-div_comp*S45),0)</f>
        <v>14280.8537130737</v>
      </c>
      <c r="AS45" s="49" t="n">
        <f aca="false">AS44*(1-div_assim)+AR45</f>
        <v>95135.6464383295</v>
      </c>
      <c r="AT45" s="67" t="n">
        <f aca="false">(1-div_rel)*AS44/Economy!B44</f>
        <v>0.00416915646662294</v>
      </c>
      <c r="AU45" s="49" t="n">
        <f aca="false">AU44*(1-skill_ret)+AE45</f>
        <v>81688.5972056183</v>
      </c>
      <c r="AV45" s="49" t="n">
        <f aca="false">AV44*(1+union_nat)+AR45</f>
        <v>110919.162409061</v>
      </c>
      <c r="AW45" s="49" t="n">
        <f aca="false">AW44*(1+union_nat)+AE45*family_mult</f>
        <v>303252.303680087</v>
      </c>
      <c r="AX45" s="70" t="n">
        <f aca="false">V45-(AV45+AW45)/1000000</f>
        <v>44.5858285339109</v>
      </c>
      <c r="AY45" s="49" t="n">
        <f aca="false">L45*gw_union</f>
        <v>0</v>
      </c>
      <c r="AZ45" s="48" t="n">
        <v>1.103</v>
      </c>
      <c r="BA45" s="49" t="n">
        <f aca="false">Economy!Q45*AZ45/lf_rate</f>
        <v>538.369047619048</v>
      </c>
      <c r="BB45" s="67" t="n">
        <f aca="false">bd_growth*AU44/W44</f>
        <v>0.00109303513925681</v>
      </c>
      <c r="BC45" s="67" t="n">
        <f aca="false">tg_k*MIN(1,Economy!O44/BK44)</f>
        <v>0.000539958056039167</v>
      </c>
      <c r="BD45" s="67" t="n">
        <f aca="false">emu_g*S45</f>
        <v>0</v>
      </c>
      <c r="BE45" s="68" t="n">
        <f aca="false">BE44*(1-BB45-BC45+BD45)</f>
        <v>0.964314296859413</v>
      </c>
      <c r="BF45" s="48" t="n">
        <v>1</v>
      </c>
      <c r="BG45" s="56" t="n">
        <f aca="false">AU45*BA45*BE45*(skill_rel-1+skill_spill)/1000000</f>
        <v>55.1319659495852</v>
      </c>
      <c r="BH45" s="56" t="n">
        <f aca="false">union_disp*(Champions!AP45+Champions!AZ45)*(1-IF(union_resp=2,mkt_cut*S45,0))</f>
        <v>15.5258542417119</v>
      </c>
      <c r="BI45" s="56" t="n">
        <f aca="false">AY45*BA45*BE45/1000000</f>
        <v>0</v>
      </c>
      <c r="BJ45" s="49" t="n">
        <f aca="false">V45*Economy!Q45*AZ45</f>
        <v>10175.175</v>
      </c>
      <c r="BK45" s="49" t="n">
        <f aca="false">MAX(0.3*BJ45,AX45*Economy!Q45*AZ45*BE45*BF45-BG45-BH45-BI45)</f>
        <v>9651.10050399775</v>
      </c>
      <c r="BL45" s="66" t="n">
        <f aca="false">1-BK45/BJ45</f>
        <v>0.0515052071342509</v>
      </c>
      <c r="BM45" s="49" t="n">
        <f aca="false">MAX(0,BH45-BH44)*1000000/BA45</f>
        <v>3844.06661723707</v>
      </c>
      <c r="BN45" s="49" t="n">
        <f aca="false">BN44*(1-IF(AND($A45&gt;=1930,$A45&lt;=1932),0,union_reabsorb))+BM45</f>
        <v>9312.52852675374</v>
      </c>
      <c r="BO45" s="62" t="n">
        <v>0.04</v>
      </c>
      <c r="BP45" s="66" t="n">
        <f aca="false">BO45+BN45/(AX45*1000000*lf_rate)</f>
        <v>0.0404973034638483</v>
      </c>
    </row>
    <row r="46" customFormat="false" ht="14.25" hidden="false" customHeight="true" outlineLevel="0" collapsed="false">
      <c r="A46" s="61" t="n">
        <v>1886</v>
      </c>
      <c r="B46" s="49" t="n">
        <f aca="false">Economy!B46*lf_rate</f>
        <v>2334115.46549911</v>
      </c>
      <c r="C46" s="49" t="n">
        <f aca="false">Economy!O46*1000000/(B46+L46)</f>
        <v>841.167479761686</v>
      </c>
      <c r="D46" s="49" t="n">
        <f aca="false">Champions!AP46*1000000/(C46*champ_prem)</f>
        <v>32310.5269593732</v>
      </c>
      <c r="E46" s="49" t="n">
        <f aca="false">D46*job_mult</f>
        <v>22617.3688715613</v>
      </c>
      <c r="F46" s="49" t="n">
        <f aca="false">D46+E46</f>
        <v>54927.8958309345</v>
      </c>
      <c r="G46" s="66" t="n">
        <f aca="false">F46/B46</f>
        <v>0.023532638655984</v>
      </c>
      <c r="H46" s="49" t="n">
        <f aca="false">F46-F45</f>
        <v>3413.89096683529</v>
      </c>
      <c r="I46" s="66" t="n">
        <f aca="false">MAX(0.005,pac_u_base*IF(Paths!AC46=1,pac_u_war,1)+(okun*(1-Economy!G46)*(B46+L46)-MAX(0,L45-L46))/B46)</f>
        <v>0.015</v>
      </c>
      <c r="J46" s="49" t="n">
        <f aca="false">IF(AND(gw_on=1,$A46&gt;=gw_start),MIN(gw_cap*B45,gw_cover*F45+gw_gen*B45),0)</f>
        <v>0</v>
      </c>
      <c r="K46" s="49" t="n">
        <f aca="false">L45*gw_conv</f>
        <v>0</v>
      </c>
      <c r="L46" s="49" t="n">
        <f aca="false">MAX(0,L45-K46+gw_adj*(J46-L45))*MAX(0,1-gw_slump*(1-Economy!G46))</f>
        <v>0</v>
      </c>
      <c r="M46" s="49" t="n">
        <f aca="false">MAX(0,L46-L45+L45/gw_term)</f>
        <v>0</v>
      </c>
      <c r="N46" s="66" t="n">
        <f aca="false">L46/B46</f>
        <v>0</v>
      </c>
      <c r="O46" s="56" t="n">
        <f aca="false">Economy!L46</f>
        <v>0</v>
      </c>
      <c r="P46" s="56" t="n">
        <f aca="false">O46*gw_wage_share</f>
        <v>0</v>
      </c>
      <c r="Q46" s="56" t="n">
        <f aca="false">P46*gw_levy</f>
        <v>0</v>
      </c>
      <c r="R46" s="56" t="n">
        <f aca="false">P46*gw_remit</f>
        <v>0</v>
      </c>
      <c r="S46" s="66" t="n">
        <f aca="false">IF(union_resp&gt;=1,MIN(1,MAX(0,($A46-resp_start)/(resp_full-resp_start))),0)</f>
        <v>0</v>
      </c>
      <c r="T46" s="70" t="n">
        <f aca="false">Economy!R45</f>
        <v>1.65231295563471</v>
      </c>
      <c r="U46" s="70" t="n">
        <f aca="false">MAX(0,T46-gap_base)</f>
        <v>0.152312955634714</v>
      </c>
      <c r="V46" s="71" t="n">
        <v>46</v>
      </c>
      <c r="W46" s="49" t="n">
        <f aca="false">V46*1000000*lf_rate*union_skill_share</f>
        <v>2318400</v>
      </c>
      <c r="X46" s="47" t="n">
        <v>72000</v>
      </c>
      <c r="Y46" s="49" t="n">
        <f aca="false">IF(AND(mig_endo=1,$A46&gt;=talent_start),talent_rate_u*W46*U46*(1-(1-bd_keep)*S46),0)</f>
        <v>3531.2235634352</v>
      </c>
      <c r="Z46" s="49" t="n">
        <f aca="false">IF(AND(mig_endo=1,$A46&gt;=talent_start),X46*MIN(0.5,talent_share_o*U46)*(1-eu_comp*S46),0)</f>
        <v>2960.96385753883</v>
      </c>
      <c r="AA46" s="47" t="n">
        <v>9000</v>
      </c>
      <c r="AB46" s="49" t="n">
        <f aca="false">IF(AND(mig_endo=1,$A46&gt;=talent_start),AA46*MIN(0.5,talent_share_a*U46),0)</f>
        <v>274.163320142484</v>
      </c>
      <c r="AC46" s="49" t="n">
        <f aca="false">entry_cap*People!B46</f>
        <v>16320.1019671333</v>
      </c>
      <c r="AD46" s="49" t="n">
        <f aca="false">MIN(AC46,Y46+Z46+AB46)</f>
        <v>6766.35074111652</v>
      </c>
      <c r="AE46" s="49" t="n">
        <f aca="false">IF(Y46+Z46+AB46&gt;0,AD46*Y46/(Y46+Z46+AB46),0)</f>
        <v>3531.2235634352</v>
      </c>
      <c r="AF46" s="49" t="n">
        <f aca="false">IF(Y46+Z46+AB46&gt;0,AD46*AB46/(Y46+Z46+AB46),0)</f>
        <v>274.163320142484</v>
      </c>
      <c r="AG46" s="49" t="n">
        <f aca="false">AD46*family_mult</f>
        <v>14885.9716304563</v>
      </c>
      <c r="AH46" s="49" t="n">
        <f aca="false">AH45*(1+Paths!C46)+AG46</f>
        <v>456551.660136644</v>
      </c>
      <c r="AI46" s="49" t="n">
        <f aca="false">IF(AND(mig_endo=1,$A46&gt;=talent_start),chain_rate*AH45,0)</f>
        <v>6524.37939728665</v>
      </c>
      <c r="AJ46" s="49" t="n">
        <f aca="false">IF(AND(mig_endo=1,$A46&gt;=talent_start),IF(H45&gt;0,H45*job_fill,H45*job_return)*job_family,0)</f>
        <v>4426.07792823031</v>
      </c>
      <c r="AK46" s="49" t="n">
        <f aca="false">K46*gw_conv_family</f>
        <v>0</v>
      </c>
      <c r="AL46" s="49" t="n">
        <f aca="false">AG46+AI46+AJ46+AK46+AR46</f>
        <v>38402.2477958372</v>
      </c>
      <c r="AM46" s="49" t="n">
        <f aca="false">AM45*(1-skill_ret)+AD46</f>
        <v>124737.230912017</v>
      </c>
      <c r="AN46" s="67" t="n">
        <f aca="false">AM46/B46</f>
        <v>0.0534408998851067</v>
      </c>
      <c r="AO46" s="67" t="n">
        <f aca="false">(skill_rel-1+skill_spill)*AM45/B45-AT46</f>
        <v>0.0658256283324314</v>
      </c>
      <c r="AP46" s="67" t="n">
        <f aca="false">talent_champ*AM45/(skill_base_share*B45)</f>
        <v>0.108137654650086</v>
      </c>
      <c r="AQ46" s="47" t="n">
        <v>330000</v>
      </c>
      <c r="AR46" s="49" t="n">
        <f aca="false">IF(AND(div_on=1,$A46&gt;=div_start),AQ46*MIN(div_max,div_rate*U46)*(1-div_comp*S46),0)</f>
        <v>12565.8188398639</v>
      </c>
      <c r="AS46" s="49" t="n">
        <f aca="false">AS45*(1-div_assim)+AR46</f>
        <v>102944.682956277</v>
      </c>
      <c r="AT46" s="67" t="n">
        <f aca="false">(1-div_rel)*AS45/Economy!B45</f>
        <v>0.00446384719012458</v>
      </c>
      <c r="AU46" s="49" t="n">
        <f aca="false">AU45*(1-skill_ret)+AE46</f>
        <v>83177.605838913</v>
      </c>
      <c r="AV46" s="49" t="n">
        <f aca="false">AV45*(1+union_nat)+AR46</f>
        <v>124926.930360243</v>
      </c>
      <c r="AW46" s="49" t="n">
        <f aca="false">AW45*(1+union_nat)+AE46*family_mult</f>
        <v>314963.275467485</v>
      </c>
      <c r="AX46" s="70" t="n">
        <f aca="false">V46-(AV46+AW46)/1000000</f>
        <v>45.5601097941723</v>
      </c>
      <c r="AY46" s="49" t="n">
        <f aca="false">L46*gw_union</f>
        <v>0</v>
      </c>
      <c r="AZ46" s="48" t="n">
        <v>1.103</v>
      </c>
      <c r="BA46" s="49" t="n">
        <f aca="false">Economy!Q46*AZ46/lf_rate</f>
        <v>540.995238095238</v>
      </c>
      <c r="BB46" s="67" t="n">
        <f aca="false">bd_growth*AU45/W45</f>
        <v>0.00108053700007432</v>
      </c>
      <c r="BC46" s="67" t="n">
        <f aca="false">tg_k*MIN(1,Economy!O45/BK45)</f>
        <v>0.000561002179826633</v>
      </c>
      <c r="BD46" s="67" t="n">
        <f aca="false">emu_g*S46</f>
        <v>0</v>
      </c>
      <c r="BE46" s="68" t="n">
        <f aca="false">BE45*(1-BB46-BC46+BD46)</f>
        <v>0.962731337159379</v>
      </c>
      <c r="BF46" s="48" t="n">
        <v>1</v>
      </c>
      <c r="BG46" s="56" t="n">
        <f aca="false">AU46*BA46*BE46*(skill_rel-1+skill_spill)/1000000</f>
        <v>56.3181420340701</v>
      </c>
      <c r="BH46" s="56" t="n">
        <f aca="false">union_disp*(Champions!AP46+Champions!AZ46)*(1-IF(union_resp=2,mkt_cut*S46,0))</f>
        <v>17.3441039106677</v>
      </c>
      <c r="BI46" s="56" t="n">
        <f aca="false">AY46*BA46*BE46/1000000</f>
        <v>0</v>
      </c>
      <c r="BJ46" s="49" t="n">
        <f aca="false">V46*Economy!Q46*AZ46</f>
        <v>10452.028</v>
      </c>
      <c r="BK46" s="49" t="n">
        <f aca="false">MAX(0.3*BJ46,AX46*Economy!Q46*AZ46*BE46*BF46-BG46-BH46-BI46)</f>
        <v>9892.60671284019</v>
      </c>
      <c r="BL46" s="66" t="n">
        <f aca="false">1-BK46/BJ46</f>
        <v>0.0535227505283962</v>
      </c>
      <c r="BM46" s="49" t="n">
        <f aca="false">MAX(0,BH46-BH45)*1000000/BA46</f>
        <v>3360.93470130629</v>
      </c>
      <c r="BN46" s="49" t="n">
        <f aca="false">BN45*(1-IF(AND($A46&gt;=1930,$A46&lt;=1932),0,union_reabsorb))+BM46</f>
        <v>10345.3310963716</v>
      </c>
      <c r="BO46" s="62" t="n">
        <v>0.04</v>
      </c>
      <c r="BP46" s="66" t="n">
        <f aca="false">BO46+BN46/(AX46*1000000*lf_rate)</f>
        <v>0.0405406426985564</v>
      </c>
    </row>
    <row r="47" customFormat="false" ht="14.25" hidden="false" customHeight="true" outlineLevel="0" collapsed="false">
      <c r="A47" s="61" t="n">
        <v>1887</v>
      </c>
      <c r="B47" s="49" t="n">
        <f aca="false">Economy!B47*lf_rate</f>
        <v>2436900.31418746</v>
      </c>
      <c r="C47" s="49" t="n">
        <f aca="false">Economy!O47*1000000/(B47+L47)</f>
        <v>860.342220817904</v>
      </c>
      <c r="D47" s="49" t="n">
        <f aca="false">Champions!AP47*1000000/(C47*champ_prem)</f>
        <v>34412.9559255415</v>
      </c>
      <c r="E47" s="49" t="n">
        <f aca="false">D47*job_mult</f>
        <v>24089.069147879</v>
      </c>
      <c r="F47" s="49" t="n">
        <f aca="false">D47+E47</f>
        <v>58502.0250734205</v>
      </c>
      <c r="G47" s="66" t="n">
        <f aca="false">F47/B47</f>
        <v>0.0240067370556054</v>
      </c>
      <c r="H47" s="49" t="n">
        <f aca="false">F47-F46</f>
        <v>3574.12924248603</v>
      </c>
      <c r="I47" s="66" t="n">
        <f aca="false">MAX(0.005,pac_u_base*IF(Paths!AC47=1,pac_u_war,1)+(okun*(1-Economy!G47)*(B47+L47)-MAX(0,L46-L47))/B47)</f>
        <v>0.015</v>
      </c>
      <c r="J47" s="49" t="n">
        <f aca="false">IF(AND(gw_on=1,$A47&gt;=gw_start),MIN(gw_cap*B46,gw_cover*F46+gw_gen*B46),0)</f>
        <v>0</v>
      </c>
      <c r="K47" s="49" t="n">
        <f aca="false">L46*gw_conv</f>
        <v>0</v>
      </c>
      <c r="L47" s="49" t="n">
        <f aca="false">MAX(0,L46-K47+gw_adj*(J47-L46))*MAX(0,1-gw_slump*(1-Economy!G47))</f>
        <v>0</v>
      </c>
      <c r="M47" s="49" t="n">
        <f aca="false">MAX(0,L47-L46+L46/gw_term)</f>
        <v>0</v>
      </c>
      <c r="N47" s="66" t="n">
        <f aca="false">L47/B47</f>
        <v>0</v>
      </c>
      <c r="O47" s="56" t="n">
        <f aca="false">Economy!L47</f>
        <v>0</v>
      </c>
      <c r="P47" s="56" t="n">
        <f aca="false">O47*gw_wage_share</f>
        <v>0</v>
      </c>
      <c r="Q47" s="56" t="n">
        <f aca="false">P47*gw_levy</f>
        <v>0</v>
      </c>
      <c r="R47" s="56" t="n">
        <f aca="false">P47*gw_remit</f>
        <v>0</v>
      </c>
      <c r="S47" s="66" t="n">
        <f aca="false">IF(union_resp&gt;=1,MIN(1,MAX(0,($A47-resp_start)/(resp_full-resp_start))),0)</f>
        <v>0</v>
      </c>
      <c r="T47" s="70" t="n">
        <f aca="false">Economy!R46</f>
        <v>1.71500165776654</v>
      </c>
      <c r="U47" s="70" t="n">
        <f aca="false">MAX(0,T47-gap_base)</f>
        <v>0.215001657766544</v>
      </c>
      <c r="V47" s="71" t="n">
        <v>47</v>
      </c>
      <c r="W47" s="49" t="n">
        <f aca="false">V47*1000000*lf_rate*union_skill_share</f>
        <v>2368800</v>
      </c>
      <c r="X47" s="47" t="n">
        <v>74000</v>
      </c>
      <c r="Y47" s="49" t="n">
        <f aca="false">IF(AND(mig_endo=1,$A47&gt;=talent_start),talent_rate_u*W47*U47*(1-(1-bd_keep)*S47),0)</f>
        <v>5092.95926917389</v>
      </c>
      <c r="Z47" s="49" t="n">
        <f aca="false">IF(AND(mig_endo=1,$A47&gt;=talent_start),X47*MIN(0.5,talent_share_o*U47)*(1-eu_comp*S47),0)</f>
        <v>4295.73312217554</v>
      </c>
      <c r="AA47" s="47" t="n">
        <v>10000</v>
      </c>
      <c r="AB47" s="49" t="n">
        <f aca="false">IF(AND(mig_endo=1,$A47&gt;=talent_start),AA47*MIN(0.5,talent_share_a*U47),0)</f>
        <v>430.003315533087</v>
      </c>
      <c r="AC47" s="49" t="n">
        <f aca="false">entry_cap*People!B47</f>
        <v>17024.404682854</v>
      </c>
      <c r="AD47" s="49" t="n">
        <f aca="false">MIN(AC47,Y47+Z47+AB47)</f>
        <v>9818.69570688252</v>
      </c>
      <c r="AE47" s="49" t="n">
        <f aca="false">IF(Y47+Z47+AB47&gt;0,AD47*Y47/(Y47+Z47+AB47),0)</f>
        <v>5092.95926917389</v>
      </c>
      <c r="AF47" s="49" t="n">
        <f aca="false">IF(Y47+Z47+AB47&gt;0,AD47*AB47/(Y47+Z47+AB47),0)</f>
        <v>430.003315533087</v>
      </c>
      <c r="AG47" s="49" t="n">
        <f aca="false">AD47*family_mult</f>
        <v>21601.1305551415</v>
      </c>
      <c r="AH47" s="49" t="n">
        <f aca="false">AH46*(1+Paths!C47)+AG47</f>
        <v>485228.884872243</v>
      </c>
      <c r="AI47" s="49" t="n">
        <f aca="false">IF(AND(mig_endo=1,$A47&gt;=talent_start),chain_rate*AH46,0)</f>
        <v>6848.27490204966</v>
      </c>
      <c r="AJ47" s="49" t="n">
        <f aca="false">IF(AND(mig_endo=1,$A47&gt;=talent_start),IF(H46&gt;0,H46*job_fill,H46*job_return)*job_family,0)</f>
        <v>2150.75130910623</v>
      </c>
      <c r="AK47" s="49" t="n">
        <f aca="false">K47*gw_conv_family</f>
        <v>0</v>
      </c>
      <c r="AL47" s="49" t="n">
        <f aca="false">AG47+AI47+AJ47+AK47+AR47</f>
        <v>54250.3391206172</v>
      </c>
      <c r="AM47" s="49" t="n">
        <f aca="false">AM46*(1-skill_ret)+AD47</f>
        <v>131437.495846099</v>
      </c>
      <c r="AN47" s="67" t="n">
        <f aca="false">AM47/B47</f>
        <v>0.0539363449054028</v>
      </c>
      <c r="AO47" s="67" t="n">
        <f aca="false">(skill_rel-1+skill_spill)*AM46/B46-AT47</f>
        <v>0.0648422114125574</v>
      </c>
      <c r="AP47" s="67" t="n">
        <f aca="false">talent_champ*AM46/(skill_base_share*B46)</f>
        <v>0.106881799770213</v>
      </c>
      <c r="AQ47" s="47" t="n">
        <v>440000</v>
      </c>
      <c r="AR47" s="49" t="n">
        <f aca="false">IF(AND(div_on=1,$A47&gt;=div_start),AQ47*MIN(div_max,div_rate*U47)*(1-div_comp*S47),0)</f>
        <v>23650.1823543198</v>
      </c>
      <c r="AS47" s="49" t="n">
        <f aca="false">AS46*(1-div_assim)+AR47</f>
        <v>121447.631162783</v>
      </c>
      <c r="AT47" s="67" t="n">
        <f aca="false">(1-div_rel)*AS46/Economy!B46</f>
        <v>0.00463095843808126</v>
      </c>
      <c r="AU47" s="49" t="n">
        <f aca="false">AU46*(1-skill_ret)+AE47</f>
        <v>86191.1249621141</v>
      </c>
      <c r="AV47" s="49" t="n">
        <f aca="false">AV46*(1+union_nat)+AR47</f>
        <v>150201.162809246</v>
      </c>
      <c r="AW47" s="49" t="n">
        <f aca="false">AW46*(1+union_nat)+AE47*family_mult</f>
        <v>330262.308440745</v>
      </c>
      <c r="AX47" s="70" t="n">
        <f aca="false">V47-(AV47+AW47)/1000000</f>
        <v>46.51953652875</v>
      </c>
      <c r="AY47" s="49" t="n">
        <f aca="false">L47*gw_union</f>
        <v>0</v>
      </c>
      <c r="AZ47" s="48" t="n">
        <v>1.102</v>
      </c>
      <c r="BA47" s="49" t="n">
        <f aca="false">Economy!Q47*AZ47/lf_rate</f>
        <v>540.504761904762</v>
      </c>
      <c r="BB47" s="67" t="n">
        <f aca="false">bd_growth*AU46/W46</f>
        <v>0.00107631477534825</v>
      </c>
      <c r="BC47" s="67" t="n">
        <f aca="false">tg_k*MIN(1,Economy!O46/BK46)</f>
        <v>0.000595408898962375</v>
      </c>
      <c r="BD47" s="67" t="n">
        <f aca="false">emu_g*S47</f>
        <v>0</v>
      </c>
      <c r="BE47" s="68" t="n">
        <f aca="false">BE46*(1-BB47-BC47+BD47)</f>
        <v>0.961121916391049</v>
      </c>
      <c r="BF47" s="48" t="n">
        <v>1</v>
      </c>
      <c r="BG47" s="56" t="n">
        <f aca="false">AU47*BA47*BE47*(skill_rel-1+skill_spill)/1000000</f>
        <v>58.2081647346768</v>
      </c>
      <c r="BH47" s="56" t="n">
        <f aca="false">union_disp*(Champions!AP47+Champions!AZ47)*(1-IF(union_resp=2,mkt_cut*S47,0))</f>
        <v>18.7906445259654</v>
      </c>
      <c r="BI47" s="56" t="n">
        <f aca="false">AY47*BA47*BE47/1000000</f>
        <v>0</v>
      </c>
      <c r="BJ47" s="49" t="n">
        <f aca="false">V47*Economy!Q47*AZ47</f>
        <v>10669.564</v>
      </c>
      <c r="BK47" s="49" t="n">
        <f aca="false">MAX(0.3*BJ47,AX47*Economy!Q47*AZ47*BE47*BF47-BG47-BH47-BI47)</f>
        <v>10072.9224863693</v>
      </c>
      <c r="BL47" s="66" t="n">
        <f aca="false">1-BK47/BJ47</f>
        <v>0.0559199526457386</v>
      </c>
      <c r="BM47" s="49" t="n">
        <f aca="false">MAX(0,BH47-BH46)*1000000/BA47</f>
        <v>2676.2772823685</v>
      </c>
      <c r="BN47" s="49" t="n">
        <f aca="false">BN46*(1-IF(AND($A47&gt;=1930,$A47&lt;=1932),0,union_reabsorb))+BM47</f>
        <v>10435.2756046472</v>
      </c>
      <c r="BO47" s="62" t="n">
        <v>0.04</v>
      </c>
      <c r="BP47" s="66" t="n">
        <f aca="false">BO47+BN47/(AX47*1000000*lf_rate)</f>
        <v>0.0405340959121857</v>
      </c>
    </row>
    <row r="48" customFormat="false" ht="14.25" hidden="false" customHeight="true" outlineLevel="0" collapsed="false">
      <c r="A48" s="61" t="n">
        <v>1888</v>
      </c>
      <c r="B48" s="49" t="n">
        <f aca="false">Economy!B48*lf_rate</f>
        <v>2540213.23516114</v>
      </c>
      <c r="C48" s="49" t="n">
        <f aca="false">Economy!O48*1000000/(B48+L48)</f>
        <v>884.001190642163</v>
      </c>
      <c r="D48" s="49" t="n">
        <f aca="false">Champions!AP48*1000000/(C48*champ_prem)</f>
        <v>36135.8510930855</v>
      </c>
      <c r="E48" s="49" t="n">
        <f aca="false">D48*job_mult</f>
        <v>25295.0957651598</v>
      </c>
      <c r="F48" s="49" t="n">
        <f aca="false">D48+E48</f>
        <v>61430.9468582453</v>
      </c>
      <c r="G48" s="66" t="n">
        <f aca="false">F48/B48</f>
        <v>0.0241833819334259</v>
      </c>
      <c r="H48" s="49" t="n">
        <f aca="false">F48-F47</f>
        <v>2928.92178482478</v>
      </c>
      <c r="I48" s="66" t="n">
        <f aca="false">MAX(0.005,pac_u_base*IF(Paths!AC48=1,pac_u_war,1)+(okun*(1-Economy!G48)*(B48+L48)-MAX(0,L47-L48))/B48)</f>
        <v>0.015</v>
      </c>
      <c r="J48" s="49" t="n">
        <f aca="false">IF(AND(gw_on=1,$A48&gt;=gw_start),MIN(gw_cap*B47,gw_cover*F47+gw_gen*B47),0)</f>
        <v>0</v>
      </c>
      <c r="K48" s="49" t="n">
        <f aca="false">L47*gw_conv</f>
        <v>0</v>
      </c>
      <c r="L48" s="49" t="n">
        <f aca="false">MAX(0,L47-K48+gw_adj*(J48-L47))*MAX(0,1-gw_slump*(1-Economy!G48))</f>
        <v>0</v>
      </c>
      <c r="M48" s="49" t="n">
        <f aca="false">MAX(0,L48-L47+L47/gw_term)</f>
        <v>0</v>
      </c>
      <c r="N48" s="66" t="n">
        <f aca="false">L48/B48</f>
        <v>0</v>
      </c>
      <c r="O48" s="56" t="n">
        <f aca="false">Economy!L48</f>
        <v>0</v>
      </c>
      <c r="P48" s="56" t="n">
        <f aca="false">O48*gw_wage_share</f>
        <v>0</v>
      </c>
      <c r="Q48" s="56" t="n">
        <f aca="false">P48*gw_levy</f>
        <v>0</v>
      </c>
      <c r="R48" s="56" t="n">
        <f aca="false">P48*gw_remit</f>
        <v>0</v>
      </c>
      <c r="S48" s="66" t="n">
        <f aca="false">IF(union_resp&gt;=1,MIN(1,MAX(0,($A48-resp_start)/(resp_full-resp_start))),0)</f>
        <v>0</v>
      </c>
      <c r="T48" s="70" t="n">
        <f aca="false">Economy!R47</f>
        <v>1.75409579001709</v>
      </c>
      <c r="U48" s="70" t="n">
        <f aca="false">MAX(0,T48-gap_base)</f>
        <v>0.254095790017086</v>
      </c>
      <c r="V48" s="71" t="n">
        <v>48</v>
      </c>
      <c r="W48" s="49" t="n">
        <f aca="false">V48*1000000*lf_rate*union_skill_share</f>
        <v>2419200</v>
      </c>
      <c r="X48" s="47" t="n">
        <v>76000</v>
      </c>
      <c r="Y48" s="49" t="n">
        <f aca="false">IF(AND(mig_endo=1,$A48&gt;=talent_start),talent_rate_u*W48*U48*(1-(1-bd_keep)*S48),0)</f>
        <v>6147.08535209334</v>
      </c>
      <c r="Z48" s="49" t="n">
        <f aca="false">IF(AND(mig_endo=1,$A48&gt;=talent_start),X48*MIN(0.5,talent_share_o*U48)*(1-eu_comp*S48),0)</f>
        <v>5214.0456111506</v>
      </c>
      <c r="AA48" s="47" t="n">
        <v>10000</v>
      </c>
      <c r="AB48" s="49" t="n">
        <f aca="false">IF(AND(mig_endo=1,$A48&gt;=talent_start),AA48*MIN(0.5,talent_share_a*U48),0)</f>
        <v>508.191580034171</v>
      </c>
      <c r="AC48" s="49" t="n">
        <f aca="false">entry_cap*People!B48</f>
        <v>17788.4569483954</v>
      </c>
      <c r="AD48" s="49" t="n">
        <f aca="false">MIN(AC48,Y48+Z48+AB48)</f>
        <v>11869.3225432781</v>
      </c>
      <c r="AE48" s="49" t="n">
        <f aca="false">IF(Y48+Z48+AB48&gt;0,AD48*Y48/(Y48+Z48+AB48),0)</f>
        <v>6147.08535209334</v>
      </c>
      <c r="AF48" s="49" t="n">
        <f aca="false">IF(Y48+Z48+AB48&gt;0,AD48*AB48/(Y48+Z48+AB48),0)</f>
        <v>508.191580034171</v>
      </c>
      <c r="AG48" s="49" t="n">
        <f aca="false">AD48*family_mult</f>
        <v>26112.5095952118</v>
      </c>
      <c r="AH48" s="49" t="n">
        <f aca="false">AH47*(1+Paths!C48)+AG48</f>
        <v>518901.260493765</v>
      </c>
      <c r="AI48" s="49" t="n">
        <f aca="false">IF(AND(mig_endo=1,$A48&gt;=talent_start),chain_rate*AH47,0)</f>
        <v>7278.43327308365</v>
      </c>
      <c r="AJ48" s="49" t="n">
        <f aca="false">IF(AND(mig_endo=1,$A48&gt;=talent_start),IF(H47&gt;0,H47*job_fill,H47*job_return)*job_family,0)</f>
        <v>2251.7014227662</v>
      </c>
      <c r="AK48" s="49" t="n">
        <f aca="false">K48*gw_conv_family</f>
        <v>0</v>
      </c>
      <c r="AL48" s="49" t="n">
        <f aca="false">AG48+AI48+AJ48+AK48+AR48</f>
        <v>70580.815418411</v>
      </c>
      <c r="AM48" s="49" t="n">
        <f aca="false">AM47*(1-skill_ret)+AD48</f>
        <v>140020.880993225</v>
      </c>
      <c r="AN48" s="67" t="n">
        <f aca="false">AM48/B48</f>
        <v>0.0551217035857788</v>
      </c>
      <c r="AO48" s="67" t="n">
        <f aca="false">(skill_rel-1+skill_spill)*AM47/B47-AT48</f>
        <v>0.064884370693086</v>
      </c>
      <c r="AP48" s="67" t="n">
        <f aca="false">talent_champ*AM47/(skill_base_share*B47)</f>
        <v>0.107872689810806</v>
      </c>
      <c r="AQ48" s="47" t="n">
        <v>550000</v>
      </c>
      <c r="AR48" s="49" t="n">
        <f aca="false">IF(AND(div_on=1,$A48&gt;=div_start),AQ48*MIN(div_max,div_rate*U48)*(1-div_comp*S48),0)</f>
        <v>34938.1711273493</v>
      </c>
      <c r="AS48" s="49" t="n">
        <f aca="false">AS47*(1-div_assim)+AR48</f>
        <v>150313.420731993</v>
      </c>
      <c r="AT48" s="67" t="n">
        <f aca="false">(1-div_rel)*AS47/Economy!B47</f>
        <v>0.00523287768393765</v>
      </c>
      <c r="AU48" s="49" t="n">
        <f aca="false">AU47*(1-skill_ret)+AE48</f>
        <v>90183.4321901546</v>
      </c>
      <c r="AV48" s="49" t="n">
        <f aca="false">AV47*(1+union_nat)+AR48</f>
        <v>187091.949053115</v>
      </c>
      <c r="AW48" s="49" t="n">
        <f aca="false">AW47*(1+union_nat)+AE48*family_mult</f>
        <v>348079.30622508</v>
      </c>
      <c r="AX48" s="70" t="n">
        <f aca="false">V48-(AV48+AW48)/1000000</f>
        <v>47.4648287447218</v>
      </c>
      <c r="AY48" s="49" t="n">
        <f aca="false">L48*gw_union</f>
        <v>0</v>
      </c>
      <c r="AZ48" s="48" t="n">
        <v>1.101</v>
      </c>
      <c r="BA48" s="49" t="n">
        <f aca="false">Economy!Q48*AZ48/lf_rate</f>
        <v>542.635714285714</v>
      </c>
      <c r="BB48" s="67" t="n">
        <f aca="false">bd_growth*AU47/W47</f>
        <v>0.00109157959678463</v>
      </c>
      <c r="BC48" s="67" t="n">
        <f aca="false">tg_k*MIN(1,Economy!O47/BK47)</f>
        <v>0.000624417063982264</v>
      </c>
      <c r="BD48" s="67" t="n">
        <f aca="false">emu_g*S48</f>
        <v>0</v>
      </c>
      <c r="BE48" s="68" t="n">
        <f aca="false">BE47*(1-BB48-BC48+BD48)</f>
        <v>0.959472634391932</v>
      </c>
      <c r="BF48" s="48" t="n">
        <v>1</v>
      </c>
      <c r="BG48" s="56" t="n">
        <f aca="false">AU48*BA48*BE48*(skill_rel-1+skill_spill)/1000000</f>
        <v>61.0395155993852</v>
      </c>
      <c r="BH48" s="56" t="n">
        <f aca="false">union_disp*(Champions!AP48+Champions!AZ48)*(1-IF(union_resp=2,mkt_cut*S48,0))</f>
        <v>20.4752778747916</v>
      </c>
      <c r="BI48" s="56" t="n">
        <f aca="false">AY48*BA48*BE48/1000000</f>
        <v>0</v>
      </c>
      <c r="BJ48" s="49" t="n">
        <f aca="false">V48*Economy!Q48*AZ48</f>
        <v>10939.536</v>
      </c>
      <c r="BK48" s="49" t="n">
        <f aca="false">MAX(0.3*BJ48,AX48*Economy!Q48*AZ48*BE48*BF48-BG48-BH48-BI48)</f>
        <v>10297.6444496066</v>
      </c>
      <c r="BL48" s="66" t="n">
        <f aca="false">1-BK48/BJ48</f>
        <v>0.0586763049541951</v>
      </c>
      <c r="BM48" s="49" t="n">
        <f aca="false">MAX(0,BH48-BH47)*1000000/BA48</f>
        <v>3104.5382831901</v>
      </c>
      <c r="BN48" s="49" t="n">
        <f aca="false">BN47*(1-IF(AND($A48&gt;=1930,$A48&lt;=1932),0,union_reabsorb))+BM48</f>
        <v>10930.9949866755</v>
      </c>
      <c r="BO48" s="62" t="n">
        <v>0.04</v>
      </c>
      <c r="BP48" s="66" t="n">
        <f aca="false">BO48+BN48/(AX48*1000000*lf_rate)</f>
        <v>0.0405483255544791</v>
      </c>
    </row>
    <row r="49" customFormat="false" ht="14.25" hidden="false" customHeight="true" outlineLevel="0" collapsed="false">
      <c r="A49" s="61" t="n">
        <v>1889</v>
      </c>
      <c r="B49" s="49" t="n">
        <f aca="false">Economy!B49*lf_rate</f>
        <v>2642847.77407363</v>
      </c>
      <c r="C49" s="49" t="n">
        <f aca="false">Economy!O49*1000000/(B49+L49)</f>
        <v>906.885805758909</v>
      </c>
      <c r="D49" s="49" t="n">
        <f aca="false">Champions!AP49*1000000/(C49*champ_prem)</f>
        <v>38216.8848887512</v>
      </c>
      <c r="E49" s="49" t="n">
        <f aca="false">D49*job_mult</f>
        <v>26751.8194221258</v>
      </c>
      <c r="F49" s="49" t="n">
        <f aca="false">D49+E49</f>
        <v>64968.704310877</v>
      </c>
      <c r="G49" s="66" t="n">
        <f aca="false">F49/B49</f>
        <v>0.024582840127313</v>
      </c>
      <c r="H49" s="49" t="n">
        <f aca="false">F49-F48</f>
        <v>3537.75745263175</v>
      </c>
      <c r="I49" s="66" t="n">
        <f aca="false">MAX(0.005,pac_u_base*IF(Paths!AC49=1,pac_u_war,1)+(okun*(1-Economy!G49)*(B49+L49)-MAX(0,L48-L49))/B49)</f>
        <v>0.015</v>
      </c>
      <c r="J49" s="49" t="n">
        <f aca="false">IF(AND(gw_on=1,$A49&gt;=gw_start),MIN(gw_cap*B48,gw_cover*F48+gw_gen*B48),0)</f>
        <v>0</v>
      </c>
      <c r="K49" s="49" t="n">
        <f aca="false">L48*gw_conv</f>
        <v>0</v>
      </c>
      <c r="L49" s="49" t="n">
        <f aca="false">MAX(0,L48-K49+gw_adj*(J49-L48))*MAX(0,1-gw_slump*(1-Economy!G49))</f>
        <v>0</v>
      </c>
      <c r="M49" s="49" t="n">
        <f aca="false">MAX(0,L49-L48+L48/gw_term)</f>
        <v>0</v>
      </c>
      <c r="N49" s="66" t="n">
        <f aca="false">L49/B49</f>
        <v>0</v>
      </c>
      <c r="O49" s="56" t="n">
        <f aca="false">Economy!L49</f>
        <v>0</v>
      </c>
      <c r="P49" s="56" t="n">
        <f aca="false">O49*gw_wage_share</f>
        <v>0</v>
      </c>
      <c r="Q49" s="56" t="n">
        <f aca="false">P49*gw_levy</f>
        <v>0</v>
      </c>
      <c r="R49" s="56" t="n">
        <f aca="false">P49*gw_remit</f>
        <v>0</v>
      </c>
      <c r="S49" s="66" t="n">
        <f aca="false">IF(union_resp&gt;=1,MIN(1,MAX(0,($A49-resp_start)/(resp_full-resp_start))),0)</f>
        <v>0</v>
      </c>
      <c r="T49" s="70" t="n">
        <f aca="false">Economy!R48</f>
        <v>1.79362560420149</v>
      </c>
      <c r="U49" s="70" t="n">
        <f aca="false">MAX(0,T49-gap_base)</f>
        <v>0.293625604201491</v>
      </c>
      <c r="V49" s="71" t="n">
        <v>49</v>
      </c>
      <c r="W49" s="49" t="n">
        <f aca="false">V49*1000000*lf_rate*union_skill_share</f>
        <v>2469600</v>
      </c>
      <c r="X49" s="47" t="n">
        <v>78000</v>
      </c>
      <c r="Y49" s="49" t="n">
        <f aca="false">IF(AND(mig_endo=1,$A49&gt;=talent_start),talent_rate_u*W49*U49*(1-(1-bd_keep)*S49),0)</f>
        <v>7251.37792136002</v>
      </c>
      <c r="Z49" s="49" t="n">
        <f aca="false">IF(AND(mig_endo=1,$A49&gt;=talent_start),X49*MIN(0.5,talent_share_o*U49)*(1-eu_comp*S49),0)</f>
        <v>6183.7552244834</v>
      </c>
      <c r="AA49" s="47" t="n">
        <v>11000</v>
      </c>
      <c r="AB49" s="49" t="n">
        <f aca="false">IF(AND(mig_endo=1,$A49&gt;=talent_start),AA49*MIN(0.5,talent_share_a*U49),0)</f>
        <v>645.97632924328</v>
      </c>
      <c r="AC49" s="49" t="n">
        <f aca="false">entry_cap*People!B49</f>
        <v>18500.3035539066</v>
      </c>
      <c r="AD49" s="49" t="n">
        <f aca="false">MIN(AC49,Y49+Z49+AB49)</f>
        <v>14081.1094750867</v>
      </c>
      <c r="AE49" s="49" t="n">
        <f aca="false">IF(Y49+Z49+AB49&gt;0,AD49*Y49/(Y49+Z49+AB49),0)</f>
        <v>7251.37792136003</v>
      </c>
      <c r="AF49" s="49" t="n">
        <f aca="false">IF(Y49+Z49+AB49&gt;0,AD49*AB49/(Y49+Z49+AB49),0)</f>
        <v>645.97632924328</v>
      </c>
      <c r="AG49" s="49" t="n">
        <f aca="false">AD49*family_mult</f>
        <v>30978.4408451908</v>
      </c>
      <c r="AH49" s="49" t="n">
        <f aca="false">AH48*(1+Paths!C49)+AG49</f>
        <v>558106.361922824</v>
      </c>
      <c r="AI49" s="49" t="n">
        <f aca="false">IF(AND(mig_endo=1,$A49&gt;=talent_start),chain_rate*AH48,0)</f>
        <v>7783.51890740647</v>
      </c>
      <c r="AJ49" s="49" t="n">
        <f aca="false">IF(AND(mig_endo=1,$A49&gt;=talent_start),IF(H48&gt;0,H48*job_fill,H48*job_return)*job_family,0)</f>
        <v>1845.22072443961</v>
      </c>
      <c r="AK49" s="49" t="n">
        <f aca="false">K49*gw_conv_family</f>
        <v>0</v>
      </c>
      <c r="AL49" s="49" t="n">
        <f aca="false">AG49+AI49+AJ49+AK49+AR49</f>
        <v>79365.7602316337</v>
      </c>
      <c r="AM49" s="49" t="n">
        <f aca="false">AM48*(1-skill_ret)+AD49</f>
        <v>150601.468443481</v>
      </c>
      <c r="AN49" s="67" t="n">
        <f aca="false">AM49/B49</f>
        <v>0.0569845414181185</v>
      </c>
      <c r="AO49" s="67" t="n">
        <f aca="false">(skill_rel-1+skill_spill)*AM48/B48-AT49</f>
        <v>0.0654449924963827</v>
      </c>
      <c r="AP49" s="67" t="n">
        <f aca="false">talent_champ*AM48/(skill_base_share*B48)</f>
        <v>0.110243407171558</v>
      </c>
      <c r="AQ49" s="47" t="n">
        <v>528000</v>
      </c>
      <c r="AR49" s="49" t="n">
        <f aca="false">IF(AND(div_on=1,$A49&gt;=div_start),AQ49*MIN(div_max,div_rate*U49)*(1-div_comp*S49),0)</f>
        <v>38758.5797545968</v>
      </c>
      <c r="AS49" s="49" t="n">
        <f aca="false">AS48*(1-div_assim)+AR49</f>
        <v>181556.32944999</v>
      </c>
      <c r="AT49" s="67" t="n">
        <f aca="false">(1-div_rel)*AS48/Economy!B48</f>
        <v>0.00621322216512979</v>
      </c>
      <c r="AU49" s="49" t="n">
        <f aca="false">AU48*(1-skill_ret)+AE49</f>
        <v>95180.2243067607</v>
      </c>
      <c r="AV49" s="49" t="n">
        <f aca="false">AV48*(1+union_nat)+AR49</f>
        <v>228282.724145402</v>
      </c>
      <c r="AW49" s="49" t="n">
        <f aca="false">AW48*(1+union_nat)+AE49*family_mult</f>
        <v>368557.368632998</v>
      </c>
      <c r="AX49" s="70" t="n">
        <f aca="false">V49-(AV49+AW49)/1000000</f>
        <v>48.4031599072216</v>
      </c>
      <c r="AY49" s="49" t="n">
        <f aca="false">L49*gw_union</f>
        <v>0</v>
      </c>
      <c r="AZ49" s="48" t="n">
        <v>1.1</v>
      </c>
      <c r="BA49" s="49" t="n">
        <f aca="false">Economy!Q49*AZ49/lf_rate</f>
        <v>542.142857142857</v>
      </c>
      <c r="BB49" s="67" t="n">
        <f aca="false">bd_growth*AU48/W48</f>
        <v>0.00111834613331045</v>
      </c>
      <c r="BC49" s="67" t="n">
        <f aca="false">tg_k*MIN(1,Economy!O48/BK48)</f>
        <v>0.00065419374363422</v>
      </c>
      <c r="BD49" s="67" t="n">
        <f aca="false">emu_g*S49</f>
        <v>0</v>
      </c>
      <c r="BE49" s="68" t="n">
        <f aca="false">BE48*(1-BB49-BC49+BD49)</f>
        <v>0.957771930886635</v>
      </c>
      <c r="BF49" s="48" t="n">
        <v>1</v>
      </c>
      <c r="BG49" s="56" t="n">
        <f aca="false">AU49*BA49*BE49*(skill_rel-1+skill_spill)/1000000</f>
        <v>64.2489332989498</v>
      </c>
      <c r="BH49" s="56" t="n">
        <f aca="false">union_disp*(Champions!AP49+Champions!AZ49)*(1-IF(union_resp=2,mkt_cut*S49,0))</f>
        <v>22.139438929198</v>
      </c>
      <c r="BI49" s="56" t="n">
        <f aca="false">AY49*BA49*BE49/1000000</f>
        <v>0</v>
      </c>
      <c r="BJ49" s="49" t="n">
        <f aca="false">V49*Economy!Q49*AZ49</f>
        <v>11157.3</v>
      </c>
      <c r="BK49" s="49" t="n">
        <f aca="false">MAX(0.3*BJ49,AX49*Economy!Q49*AZ49*BE49*BF49-BG49-BH49-BI49)</f>
        <v>10469.598718375</v>
      </c>
      <c r="BL49" s="66" t="n">
        <f aca="false">1-BK49/BJ49</f>
        <v>0.0616368907912305</v>
      </c>
      <c r="BM49" s="49" t="n">
        <f aca="false">MAX(0,BH49-BH48)*1000000/BA49</f>
        <v>3069.59878283136</v>
      </c>
      <c r="BN49" s="49" t="n">
        <f aca="false">BN48*(1-IF(AND($A49&gt;=1930,$A49&lt;=1932),0,union_reabsorb))+BM49</f>
        <v>11267.845022838</v>
      </c>
      <c r="BO49" s="62" t="n">
        <v>0.04</v>
      </c>
      <c r="BP49" s="66" t="n">
        <f aca="false">BO49+BN49/(AX49*1000000*lf_rate)</f>
        <v>0.0405542655166884</v>
      </c>
    </row>
    <row r="50" customFormat="false" ht="14.25" hidden="false" customHeight="true" outlineLevel="0" collapsed="false">
      <c r="A50" s="61" t="n">
        <v>1890</v>
      </c>
      <c r="B50" s="49" t="n">
        <f aca="false">Economy!B50*lf_rate</f>
        <v>2752563.87564784</v>
      </c>
      <c r="C50" s="49" t="n">
        <f aca="false">Economy!O50*1000000/(B50+L50)</f>
        <v>912.7536537847</v>
      </c>
      <c r="D50" s="49" t="n">
        <f aca="false">Champions!AP50*1000000/(C50*champ_prem)</f>
        <v>42399.8055292704</v>
      </c>
      <c r="E50" s="49" t="n">
        <f aca="false">D50*job_mult</f>
        <v>29679.8638704893</v>
      </c>
      <c r="F50" s="49" t="n">
        <f aca="false">D50+E50</f>
        <v>72079.6693997597</v>
      </c>
      <c r="G50" s="66" t="n">
        <f aca="false">F50/B50</f>
        <v>0.0261863748330982</v>
      </c>
      <c r="H50" s="49" t="n">
        <f aca="false">F50-F49</f>
        <v>7110.96508888264</v>
      </c>
      <c r="I50" s="66" t="n">
        <f aca="false">MAX(0.005,pac_u_base*IF(Paths!AC50=1,pac_u_war,1)+(okun*(1-Economy!G50)*(B50+L50)-MAX(0,L49-L50))/B50)</f>
        <v>0.015</v>
      </c>
      <c r="J50" s="49" t="n">
        <f aca="false">IF(AND(gw_on=1,$A50&gt;=gw_start),MIN(gw_cap*B49,gw_cover*F49+gw_gen*B49),0)</f>
        <v>250409.044512416</v>
      </c>
      <c r="K50" s="49" t="n">
        <f aca="false">L49*gw_conv</f>
        <v>0</v>
      </c>
      <c r="L50" s="49" t="n">
        <f aca="false">MAX(0,L49-K50+gw_adj*(J50-L49))*MAX(0,1-gw_slump*(1-Economy!G50))</f>
        <v>100163.617804967</v>
      </c>
      <c r="M50" s="49" t="n">
        <f aca="false">MAX(0,L50-L49+L49/gw_term)</f>
        <v>100163.617804967</v>
      </c>
      <c r="N50" s="66" t="n">
        <f aca="false">L50/B50</f>
        <v>0.0363892074189894</v>
      </c>
      <c r="O50" s="56" t="n">
        <f aca="false">Economy!L50</f>
        <v>53.6004567921526</v>
      </c>
      <c r="P50" s="56" t="n">
        <f aca="false">O50*gw_wage_share</f>
        <v>34.8402969148992</v>
      </c>
      <c r="Q50" s="56" t="n">
        <f aca="false">P50*gw_levy</f>
        <v>8.71007422872479</v>
      </c>
      <c r="R50" s="56" t="n">
        <f aca="false">P50*gw_remit</f>
        <v>8.71007422872479</v>
      </c>
      <c r="S50" s="66" t="n">
        <f aca="false">IF(union_resp&gt;=1,MIN(1,MAX(0,($A50-resp_start)/(resp_full-resp_start))),0)</f>
        <v>0</v>
      </c>
      <c r="T50" s="70" t="n">
        <f aca="false">Economy!R49</f>
        <v>1.84005815661228</v>
      </c>
      <c r="U50" s="70" t="n">
        <f aca="false">MAX(0,T50-gap_base)</f>
        <v>0.34005815661228</v>
      </c>
      <c r="V50" s="71" t="n">
        <v>50</v>
      </c>
      <c r="W50" s="49" t="n">
        <f aca="false">V50*1000000*lf_rate*union_skill_share</f>
        <v>2520000</v>
      </c>
      <c r="X50" s="47" t="n">
        <v>80000</v>
      </c>
      <c r="Y50" s="49" t="n">
        <f aca="false">IF(AND(mig_endo=1,$A50&gt;=talent_start),talent_rate_u*W50*U50*(1-(1-bd_keep)*S50),0)</f>
        <v>8569.46554662946</v>
      </c>
      <c r="Z50" s="49" t="n">
        <f aca="false">IF(AND(mig_endo=1,$A50&gt;=talent_start),X50*MIN(0.5,talent_share_o*U50)*(1-eu_comp*S50),0)</f>
        <v>7345.25618282525</v>
      </c>
      <c r="AA50" s="47" t="n">
        <v>12000</v>
      </c>
      <c r="AB50" s="49" t="n">
        <f aca="false">IF(AND(mig_endo=1,$A50&gt;=talent_start),AA50*MIN(0.5,talent_share_a*U50),0)</f>
        <v>816.139575869472</v>
      </c>
      <c r="AC50" s="49" t="n">
        <f aca="false">entry_cap*People!B50</f>
        <v>19254.6646471452</v>
      </c>
      <c r="AD50" s="49" t="n">
        <f aca="false">MIN(AC50,Y50+Z50+AB50)</f>
        <v>16730.8613053242</v>
      </c>
      <c r="AE50" s="49" t="n">
        <f aca="false">IF(Y50+Z50+AB50&gt;0,AD50*Y50/(Y50+Z50+AB50),0)</f>
        <v>8569.46554662946</v>
      </c>
      <c r="AF50" s="49" t="n">
        <f aca="false">IF(Y50+Z50+AB50&gt;0,AD50*AB50/(Y50+Z50+AB50),0)</f>
        <v>816.139575869472</v>
      </c>
      <c r="AG50" s="49" t="n">
        <f aca="false">AD50*family_mult</f>
        <v>36807.8948717132</v>
      </c>
      <c r="AH50" s="49" t="n">
        <f aca="false">AH49*(1+Paths!C50)+AG50</f>
        <v>603903.675966028</v>
      </c>
      <c r="AI50" s="49" t="n">
        <f aca="false">IF(AND(mig_endo=1,$A50&gt;=talent_start),chain_rate*AH49,0)</f>
        <v>8371.59542884235</v>
      </c>
      <c r="AJ50" s="49" t="n">
        <f aca="false">IF(AND(mig_endo=1,$A50&gt;=talent_start),IF(H49&gt;0,H49*job_fill,H49*job_return)*job_family,0)</f>
        <v>2228.787195158</v>
      </c>
      <c r="AK50" s="49" t="n">
        <f aca="false">K50*gw_conv_family</f>
        <v>0</v>
      </c>
      <c r="AL50" s="49" t="n">
        <f aca="false">AG50+AI50+AJ50+AK50+AR50</f>
        <v>90425.634307167</v>
      </c>
      <c r="AM50" s="49" t="n">
        <f aca="false">AM49*(1-skill_ret)+AD50</f>
        <v>163567.293037718</v>
      </c>
      <c r="AN50" s="67" t="n">
        <f aca="false">AM50/B50</f>
        <v>0.0594236139203931</v>
      </c>
      <c r="AO50" s="67" t="n">
        <f aca="false">(skill_rel-1+skill_spill)*AM49/B49-AT50</f>
        <v>0.0668666943733525</v>
      </c>
      <c r="AP50" s="67" t="n">
        <f aca="false">talent_champ*AM49/(skill_base_share*B49)</f>
        <v>0.113969082836237</v>
      </c>
      <c r="AQ50" s="47" t="n">
        <v>506000</v>
      </c>
      <c r="AR50" s="49" t="n">
        <f aca="false">IF(AND(div_on=1,$A50&gt;=div_start),AQ50*MIN(div_max,div_rate*U50)*(1-div_comp*S50),0)</f>
        <v>43017.3568114534</v>
      </c>
      <c r="AS50" s="49" t="n">
        <f aca="false">AS49*(1-div_assim)+AR50</f>
        <v>215495.869788944</v>
      </c>
      <c r="AT50" s="67" t="n">
        <f aca="false">(1-div_rel)*AS49/Economy!B49</f>
        <v>0.00721320947020155</v>
      </c>
      <c r="AU50" s="49" t="n">
        <f aca="false">AU49*(1-skill_ret)+AE50</f>
        <v>101370.184245721</v>
      </c>
      <c r="AV50" s="49" t="n">
        <f aca="false">AV49*(1+union_nat)+AR50</f>
        <v>274267.756370746</v>
      </c>
      <c r="AW50" s="49" t="n">
        <f aca="false">AW49*(1+union_nat)+AE50*family_mult</f>
        <v>392201.438627812</v>
      </c>
      <c r="AX50" s="70" t="n">
        <f aca="false">V50-(AV50+AW50)/1000000</f>
        <v>49.3335308050014</v>
      </c>
      <c r="AY50" s="49" t="n">
        <f aca="false">L50*gw_union</f>
        <v>20032.7235609933</v>
      </c>
      <c r="AZ50" s="48" t="n">
        <v>1.1</v>
      </c>
      <c r="BA50" s="49" t="n">
        <f aca="false">Economy!Q50*AZ50/lf_rate</f>
        <v>544.761904761905</v>
      </c>
      <c r="BB50" s="67" t="n">
        <f aca="false">bd_growth*AU49/W49</f>
        <v>0.0011562223555243</v>
      </c>
      <c r="BC50" s="67" t="n">
        <f aca="false">tg_k*MIN(1,Economy!O49/BK49)</f>
        <v>0.000686777362980222</v>
      </c>
      <c r="BD50" s="67" t="n">
        <f aca="false">emu_g*S50</f>
        <v>0</v>
      </c>
      <c r="BE50" s="68" t="n">
        <f aca="false">BE49*(1-BB50-BC50+BD50)</f>
        <v>0.95600675748762</v>
      </c>
      <c r="BF50" s="48" t="n">
        <v>1</v>
      </c>
      <c r="BG50" s="56" t="n">
        <f aca="false">AU50*BA50*BE50*(skill_rel-1+skill_spill)/1000000</f>
        <v>68.6311506101592</v>
      </c>
      <c r="BH50" s="56" t="n">
        <f aca="false">union_disp*(Champions!AP50+Champions!AZ50)*(1-IF(union_resp=2,mkt_cut*S50,0))</f>
        <v>24.8113374880918</v>
      </c>
      <c r="BI50" s="56" t="n">
        <f aca="false">AY50*BA50*BE50/1000000</f>
        <v>10.4329635451898</v>
      </c>
      <c r="BJ50" s="49" t="n">
        <f aca="false">V50*Economy!Q50*AZ50</f>
        <v>11440</v>
      </c>
      <c r="BK50" s="49" t="n">
        <f aca="false">MAX(0.3*BJ50,AX50*Economy!Q50*AZ50*BE50*BF50-BG50-BH50-BI50)</f>
        <v>10687.0621504424</v>
      </c>
      <c r="BL50" s="66" t="n">
        <f aca="false">1-BK50/BJ50</f>
        <v>0.0658162455907038</v>
      </c>
      <c r="BM50" s="49" t="n">
        <f aca="false">MAX(0,BH50-BH49)*1000000/BA50</f>
        <v>4904.70889307427</v>
      </c>
      <c r="BN50" s="49" t="n">
        <f aca="false">BN49*(1-IF(AND($A50&gt;=1930,$A50&lt;=1932),0,union_reabsorb))+BM50</f>
        <v>13355.5926602028</v>
      </c>
      <c r="BO50" s="62" t="n">
        <v>0.04</v>
      </c>
      <c r="BP50" s="66" t="n">
        <f aca="false">BO50+BN50/(AX50*1000000*lf_rate)</f>
        <v>0.0406445723552411</v>
      </c>
    </row>
    <row r="51" customFormat="false" ht="14.25" hidden="false" customHeight="true" outlineLevel="0" collapsed="false">
      <c r="A51" s="61" t="n">
        <v>1891</v>
      </c>
      <c r="B51" s="49" t="n">
        <f aca="false">Economy!B51*lf_rate</f>
        <v>2871505.52536036</v>
      </c>
      <c r="C51" s="49" t="n">
        <f aca="false">Economy!O51*1000000/(B51+L51)</f>
        <v>920.310622729738</v>
      </c>
      <c r="D51" s="49" t="n">
        <f aca="false">Champions!AP51*1000000/(C51*champ_prem)</f>
        <v>49241.9935579146</v>
      </c>
      <c r="E51" s="49" t="n">
        <f aca="false">D51*job_mult</f>
        <v>34469.3954905402</v>
      </c>
      <c r="F51" s="49" t="n">
        <f aca="false">D51+E51</f>
        <v>83711.3890484548</v>
      </c>
      <c r="G51" s="66" t="n">
        <f aca="false">F51/B51</f>
        <v>0.0291524387848599</v>
      </c>
      <c r="H51" s="49" t="n">
        <f aca="false">F51-F50</f>
        <v>11631.7196486951</v>
      </c>
      <c r="I51" s="66" t="n">
        <f aca="false">MAX(0.005,pac_u_base*IF(Paths!AC51=1,pac_u_war,1)+(okun*(1-Economy!G51)*(B51+L51)-MAX(0,L50-L51))/B51)</f>
        <v>0.015</v>
      </c>
      <c r="J51" s="49" t="n">
        <f aca="false">IF(AND(gw_on=1,$A51&gt;=gw_start),MIN(gw_cap*B50,gw_cover*F50+gw_gen*B50),0)</f>
        <v>263452.911691683</v>
      </c>
      <c r="K51" s="49" t="n">
        <f aca="false">L50*gw_conv</f>
        <v>3004.908534149</v>
      </c>
      <c r="L51" s="49" t="n">
        <f aca="false">MAX(0,L50-K51+gw_adj*(J51-L50))*MAX(0,1-gw_slump*(1-Economy!G51))</f>
        <v>162474.426825504</v>
      </c>
      <c r="M51" s="49" t="n">
        <f aca="false">MAX(0,L51-L50+L50/gw_term)</f>
        <v>95698.6816221931</v>
      </c>
      <c r="N51" s="66" t="n">
        <f aca="false">L51/B51</f>
        <v>0.0565816173399543</v>
      </c>
      <c r="O51" s="56" t="n">
        <f aca="false">Economy!L51</f>
        <v>88.2341356011579</v>
      </c>
      <c r="P51" s="56" t="n">
        <f aca="false">O51*gw_wage_share</f>
        <v>57.3521881407526</v>
      </c>
      <c r="Q51" s="56" t="n">
        <f aca="false">P51*gw_levy</f>
        <v>14.3380470351882</v>
      </c>
      <c r="R51" s="56" t="n">
        <f aca="false">P51*gw_remit</f>
        <v>14.3380470351882</v>
      </c>
      <c r="S51" s="66" t="n">
        <f aca="false">IF(union_resp&gt;=1,MIN(1,MAX(0,($A51-resp_start)/(resp_full-resp_start))),0)</f>
        <v>0</v>
      </c>
      <c r="T51" s="70" t="n">
        <f aca="false">Economy!R50</f>
        <v>1.88137384926772</v>
      </c>
      <c r="U51" s="70" t="n">
        <f aca="false">MAX(0,T51-gap_base)</f>
        <v>0.381373849267721</v>
      </c>
      <c r="V51" s="71" t="n">
        <v>50.94</v>
      </c>
      <c r="W51" s="49" t="n">
        <f aca="false">V51*1000000*lf_rate*union_skill_share</f>
        <v>2567376</v>
      </c>
      <c r="X51" s="47" t="n">
        <v>82000</v>
      </c>
      <c r="Y51" s="49" t="n">
        <f aca="false">IF(AND(mig_endo=1,$A51&gt;=talent_start),talent_rate_u*W51*U51*(1-(1-bd_keep)*S51),0)</f>
        <v>9791.30067637566</v>
      </c>
      <c r="Z51" s="49" t="n">
        <f aca="false">IF(AND(mig_endo=1,$A51&gt;=talent_start),X51*MIN(0.5,talent_share_o*U51)*(1-eu_comp*S51),0)</f>
        <v>8443.61702278735</v>
      </c>
      <c r="AA51" s="47" t="n">
        <v>12000</v>
      </c>
      <c r="AB51" s="49" t="n">
        <f aca="false">IF(AND(mig_endo=1,$A51&gt;=talent_start),AA51*MIN(0.5,talent_share_a*U51),0)</f>
        <v>915.297238242532</v>
      </c>
      <c r="AC51" s="49" t="n">
        <f aca="false">entry_cap*People!B51</f>
        <v>20067.6764335382</v>
      </c>
      <c r="AD51" s="49" t="n">
        <f aca="false">MIN(AC51,Y51+Z51+AB51)</f>
        <v>19150.2149374055</v>
      </c>
      <c r="AE51" s="49" t="n">
        <f aca="false">IF(Y51+Z51+AB51&gt;0,AD51*Y51/(Y51+Z51+AB51),0)</f>
        <v>9791.30067637566</v>
      </c>
      <c r="AF51" s="49" t="n">
        <f aca="false">IF(Y51+Z51+AB51&gt;0,AD51*AB51/(Y51+Z51+AB51),0)</f>
        <v>915.297238242532</v>
      </c>
      <c r="AG51" s="49" t="n">
        <f aca="false">AD51*family_mult</f>
        <v>42130.4728622922</v>
      </c>
      <c r="AH51" s="49" t="n">
        <f aca="false">AH50*(1+Paths!C51)+AG51</f>
        <v>656051.703005244</v>
      </c>
      <c r="AI51" s="49" t="n">
        <f aca="false">IF(AND(mig_endo=1,$A51&gt;=talent_start),chain_rate*AH50,0)</f>
        <v>9058.55513949041</v>
      </c>
      <c r="AJ51" s="49" t="n">
        <f aca="false">IF(AND(mig_endo=1,$A51&gt;=talent_start),IF(H50&gt;0,H50*job_fill,H50*job_return)*job_family,0)</f>
        <v>4479.90800599607</v>
      </c>
      <c r="AK51" s="49" t="n">
        <f aca="false">K51*gw_conv_family</f>
        <v>5408.83536146819</v>
      </c>
      <c r="AL51" s="49" t="n">
        <f aca="false">AG51+AI51+AJ51+AK51+AR51</f>
        <v>107224.007130641</v>
      </c>
      <c r="AM51" s="49" t="n">
        <f aca="false">AM50*(1-skill_ret)+AD51</f>
        <v>178628.325649181</v>
      </c>
      <c r="AN51" s="67" t="n">
        <f aca="false">AM51/B51</f>
        <v>0.0622072024837089</v>
      </c>
      <c r="AO51" s="67" t="n">
        <f aca="false">(skill_rel-1+skill_spill)*AM50/B50-AT51</f>
        <v>0.06903033797044</v>
      </c>
      <c r="AP51" s="67" t="n">
        <f aca="false">talent_champ*AM50/(skill_base_share*B50)</f>
        <v>0.118847227840786</v>
      </c>
      <c r="AQ51" s="47" t="n">
        <v>484000</v>
      </c>
      <c r="AR51" s="49" t="n">
        <f aca="false">IF(AND(div_on=1,$A51&gt;=div_start),AQ51*MIN(div_max,div_rate*U51)*(1-div_comp*S51),0)</f>
        <v>46146.2357613943</v>
      </c>
      <c r="AS51" s="49" t="n">
        <f aca="false">AS50*(1-div_assim)+AR51</f>
        <v>250867.312060891</v>
      </c>
      <c r="AT51" s="67" t="n">
        <f aca="false">(1-div_rel)*AS50/Economy!B50</f>
        <v>0.00822036012607107</v>
      </c>
      <c r="AU51" s="49" t="n">
        <f aca="false">AU50*(1-skill_ret)+AE51</f>
        <v>108627.230315954</v>
      </c>
      <c r="AV51" s="49" t="n">
        <f aca="false">AV50*(1+union_nat)+AR51</f>
        <v>323979.47296496</v>
      </c>
      <c r="AW51" s="49" t="n">
        <f aca="false">AW50*(1+union_nat)+AE51*family_mult</f>
        <v>418840.918818</v>
      </c>
      <c r="AX51" s="70" t="n">
        <f aca="false">V51-(AV51+AW51)/1000000</f>
        <v>50.197179608217</v>
      </c>
      <c r="AY51" s="49" t="n">
        <f aca="false">L51*gw_union</f>
        <v>32494.8853651008</v>
      </c>
      <c r="AZ51" s="48" t="n">
        <v>1.099</v>
      </c>
      <c r="BA51" s="49" t="n">
        <f aca="false">Economy!Q51*AZ51/lf_rate</f>
        <v>539.033333333333</v>
      </c>
      <c r="BB51" s="67" t="n">
        <f aca="false">bd_growth*AU50/W50</f>
        <v>0.00120678790768716</v>
      </c>
      <c r="BC51" s="67" t="n">
        <f aca="false">tg_k*MIN(1,Economy!O50/BK50)</f>
        <v>0.000730931683444924</v>
      </c>
      <c r="BD51" s="67" t="n">
        <f aca="false">emu_g*S51</f>
        <v>0</v>
      </c>
      <c r="BE51" s="68" t="n">
        <f aca="false">BE50*(1-BB51-BC51+BD51)</f>
        <v>0.954154284464381</v>
      </c>
      <c r="BF51" s="48" t="n">
        <v>1</v>
      </c>
      <c r="BG51" s="56" t="n">
        <f aca="false">AU51*BA51*BE51*(skill_rel-1+skill_spill)/1000000</f>
        <v>72.6300404228233</v>
      </c>
      <c r="BH51" s="56" t="n">
        <f aca="false">union_disp*(Champions!AP51+Champions!AZ51)*(1-IF(union_resp=2,mkt_cut*S51,0))</f>
        <v>29.2118731631012</v>
      </c>
      <c r="BI51" s="56" t="n">
        <f aca="false">AY51*BA51*BE51/1000000</f>
        <v>16.712800781292</v>
      </c>
      <c r="BJ51" s="49" t="n">
        <f aca="false">V51*Economy!Q51*AZ51</f>
        <v>11532.51036</v>
      </c>
      <c r="BK51" s="49" t="n">
        <f aca="false">MAX(0.3*BJ51,AX51*Economy!Q51*AZ51*BE51*BF51-BG51-BH51-BI51)</f>
        <v>10724.7792541184</v>
      </c>
      <c r="BL51" s="66" t="n">
        <f aca="false">1-BK51/BJ51</f>
        <v>0.0700394866917414</v>
      </c>
      <c r="BM51" s="49" t="n">
        <f aca="false">MAX(0,BH51-BH50)*1000000/BA51</f>
        <v>8163.75426691491</v>
      </c>
      <c r="BN51" s="49" t="n">
        <f aca="false">BN50*(1-IF(AND($A51&gt;=1930,$A51&lt;=1932),0,union_reabsorb))+BM51</f>
        <v>18180.448762067</v>
      </c>
      <c r="BO51" s="62" t="n">
        <v>0.066</v>
      </c>
      <c r="BP51" s="66" t="n">
        <f aca="false">BO51+BN51/(AX51*1000000*lf_rate)</f>
        <v>0.0668623349579533</v>
      </c>
    </row>
    <row r="52" customFormat="false" ht="14.25" hidden="false" customHeight="true" outlineLevel="0" collapsed="false">
      <c r="A52" s="61" t="n">
        <v>1892</v>
      </c>
      <c r="B52" s="49" t="n">
        <f aca="false">Economy!B52*lf_rate</f>
        <v>3000456.71494121</v>
      </c>
      <c r="C52" s="49" t="n">
        <f aca="false">Economy!O52*1000000/(B52+L52)</f>
        <v>931.647435821146</v>
      </c>
      <c r="D52" s="49" t="n">
        <f aca="false">Champions!AP52*1000000/(C52*champ_prem)</f>
        <v>56021.6795816493</v>
      </c>
      <c r="E52" s="49" t="n">
        <f aca="false">D52*job_mult</f>
        <v>39215.1757071545</v>
      </c>
      <c r="F52" s="49" t="n">
        <f aca="false">D52+E52</f>
        <v>95236.8552888038</v>
      </c>
      <c r="G52" s="66" t="n">
        <f aca="false">F52/B52</f>
        <v>0.0317407862658235</v>
      </c>
      <c r="H52" s="49" t="n">
        <f aca="false">F52-F51</f>
        <v>11525.4662403491</v>
      </c>
      <c r="I52" s="66" t="n">
        <f aca="false">MAX(0.005,pac_u_base*IF(Paths!AC52=1,pac_u_war,1)+(okun*(1-Economy!G52)*(B52+L52)-MAX(0,L51-L52))/B52)</f>
        <v>0.015</v>
      </c>
      <c r="J52" s="49" t="n">
        <f aca="false">IF(AND(gw_on=1,$A52&gt;=gw_start),MIN(gw_cap*B51,gw_cover*F51+gw_gen*B51),0)</f>
        <v>279947.275457901</v>
      </c>
      <c r="K52" s="49" t="n">
        <f aca="false">L51*gw_conv</f>
        <v>4874.23280476512</v>
      </c>
      <c r="L52" s="49" t="n">
        <f aca="false">MAX(0,L51-K52+gw_adj*(J52-L51))*MAX(0,1-gw_slump*(1-Economy!G52))</f>
        <v>204589.333473698</v>
      </c>
      <c r="M52" s="49" t="n">
        <f aca="false">MAX(0,L52-L51+L51/gw_term)</f>
        <v>96273.0489233618</v>
      </c>
      <c r="N52" s="66" t="n">
        <f aca="false">L52/B52</f>
        <v>0.0681860639598351</v>
      </c>
      <c r="O52" s="56" t="n">
        <f aca="false">Economy!L52</f>
        <v>112.844284379968</v>
      </c>
      <c r="P52" s="56" t="n">
        <f aca="false">O52*gw_wage_share</f>
        <v>73.3487848469794</v>
      </c>
      <c r="Q52" s="56" t="n">
        <f aca="false">P52*gw_levy</f>
        <v>18.3371962117449</v>
      </c>
      <c r="R52" s="56" t="n">
        <f aca="false">P52*gw_remit</f>
        <v>18.3371962117449</v>
      </c>
      <c r="S52" s="66" t="n">
        <f aca="false">IF(union_resp&gt;=1,MIN(1,MAX(0,($A52-resp_start)/(resp_full-resp_start))),0)</f>
        <v>0</v>
      </c>
      <c r="T52" s="70" t="n">
        <f aca="false">Economy!R51</f>
        <v>1.93650928272668</v>
      </c>
      <c r="U52" s="70" t="n">
        <f aca="false">MAX(0,T52-gap_base)</f>
        <v>0.43650928272668</v>
      </c>
      <c r="V52" s="71" t="n">
        <v>51.88</v>
      </c>
      <c r="W52" s="49" t="n">
        <f aca="false">V52*1000000*lf_rate*union_skill_share</f>
        <v>2614752</v>
      </c>
      <c r="X52" s="47" t="n">
        <v>84000</v>
      </c>
      <c r="Y52" s="49" t="n">
        <f aca="false">IF(AND(mig_endo=1,$A52&gt;=talent_start),talent_rate_u*W52*U52*(1-(1-bd_keep)*S52),0)</f>
        <v>11413.6352002815</v>
      </c>
      <c r="Z52" s="49" t="n">
        <f aca="false">IF(AND(mig_endo=1,$A52&gt;=talent_start),X52*MIN(0.5,talent_share_o*U52)*(1-eu_comp*S52),0)</f>
        <v>9900.03053224111</v>
      </c>
      <c r="AA52" s="47" t="n">
        <v>13000</v>
      </c>
      <c r="AB52" s="49" t="n">
        <f aca="false">IF(AND(mig_endo=1,$A52&gt;=talent_start),AA52*MIN(0.5,talent_share_a*U52),0)</f>
        <v>1134.92413508937</v>
      </c>
      <c r="AC52" s="49" t="n">
        <f aca="false">entry_cap*People!B52</f>
        <v>20953.8310716097</v>
      </c>
      <c r="AD52" s="49" t="n">
        <f aca="false">MIN(AC52,Y52+Z52+AB52)</f>
        <v>20953.8310716097</v>
      </c>
      <c r="AE52" s="49" t="n">
        <f aca="false">IF(Y52+Z52+AB52&gt;0,AD52*Y52/(Y52+Z52+AB52),0)</f>
        <v>10653.6484166753</v>
      </c>
      <c r="AF52" s="49" t="n">
        <f aca="false">IF(Y52+Z52+AB52&gt;0,AD52*AB52/(Y52+Z52+AB52),0)</f>
        <v>1059.35422875117</v>
      </c>
      <c r="AG52" s="49" t="n">
        <f aca="false">AD52*family_mult</f>
        <v>46098.4283575413</v>
      </c>
      <c r="AH52" s="49" t="n">
        <f aca="false">AH51*(1+Paths!C52)+AG52</f>
        <v>713328.596330292</v>
      </c>
      <c r="AI52" s="49" t="n">
        <f aca="false">IF(AND(mig_endo=1,$A52&gt;=talent_start),chain_rate*AH51,0)</f>
        <v>9840.77554507866</v>
      </c>
      <c r="AJ52" s="49" t="n">
        <f aca="false">IF(AND(mig_endo=1,$A52&gt;=talent_start),IF(H51&gt;0,H51*job_fill,H51*job_return)*job_family,0)</f>
        <v>7327.9833786779</v>
      </c>
      <c r="AK52" s="49" t="n">
        <f aca="false">K52*gw_conv_family</f>
        <v>8773.61904857722</v>
      </c>
      <c r="AL52" s="49" t="n">
        <f aca="false">AG52+AI52+AJ52+AK52+AR52</f>
        <v>122457.628484807</v>
      </c>
      <c r="AM52" s="49" t="n">
        <f aca="false">AM51*(1-skill_ret)+AD52</f>
        <v>195116.448579561</v>
      </c>
      <c r="AN52" s="67" t="n">
        <f aca="false">AM52/B52</f>
        <v>0.0650289163006252</v>
      </c>
      <c r="AO52" s="67" t="n">
        <f aca="false">(skill_rel-1+skill_spill)*AM51/B51-AT52</f>
        <v>0.0716961028837669</v>
      </c>
      <c r="AP52" s="67" t="n">
        <f aca="false">talent_champ*AM51/(skill_base_share*B51)</f>
        <v>0.124414404967418</v>
      </c>
      <c r="AQ52" s="47" t="n">
        <v>462000</v>
      </c>
      <c r="AR52" s="49" t="n">
        <f aca="false">IF(AND(div_on=1,$A52&gt;=div_start),AQ52*MIN(div_max,div_rate*U52)*(1-div_comp*S52),0)</f>
        <v>50416.8221549316</v>
      </c>
      <c r="AS52" s="49" t="n">
        <f aca="false">AS51*(1-div_assim)+AR52</f>
        <v>288740.768612778</v>
      </c>
      <c r="AT52" s="67" t="n">
        <f aca="false">(1-div_rel)*AS51/Economy!B51</f>
        <v>0.00917326034505468</v>
      </c>
      <c r="AU52" s="49" t="n">
        <f aca="false">AU51*(1-skill_ret)+AE52</f>
        <v>116565.19797473</v>
      </c>
      <c r="AV52" s="49" t="n">
        <f aca="false">AV51*(1+union_nat)+AR52</f>
        <v>378608.028268436</v>
      </c>
      <c r="AW52" s="49" t="n">
        <f aca="false">AW51*(1+union_nat)+AE52*family_mult</f>
        <v>447723.87727932</v>
      </c>
      <c r="AX52" s="70" t="n">
        <f aca="false">V52-(AV52+AW52)/1000000</f>
        <v>51.0536680944523</v>
      </c>
      <c r="AY52" s="49" t="n">
        <f aca="false">L52*gw_union</f>
        <v>40917.8666947396</v>
      </c>
      <c r="AZ52" s="48" t="n">
        <v>1.098</v>
      </c>
      <c r="BA52" s="49" t="n">
        <f aca="false">Economy!Q52*AZ52/lf_rate</f>
        <v>535.928571428572</v>
      </c>
      <c r="BB52" s="67" t="n">
        <f aca="false">bd_growth*AU51/W51</f>
        <v>0.00126931813239612</v>
      </c>
      <c r="BC52" s="67" t="n">
        <f aca="false">tg_k*MIN(1,Economy!O51/BK51)</f>
        <v>0.000781052153984469</v>
      </c>
      <c r="BD52" s="67" t="n">
        <f aca="false">emu_g*S52</f>
        <v>0</v>
      </c>
      <c r="BE52" s="68" t="n">
        <f aca="false">BE51*(1-BB52-BC52+BD52)</f>
        <v>0.952197914870893</v>
      </c>
      <c r="BF52" s="48" t="n">
        <v>1</v>
      </c>
      <c r="BG52" s="56" t="n">
        <f aca="false">AU52*BA52*BE52*(skill_rel-1+skill_spill)/1000000</f>
        <v>77.3297123718559</v>
      </c>
      <c r="BH52" s="56" t="n">
        <f aca="false">union_disp*(Champions!AP52+Champions!AZ52)*(1-IF(union_resp=2,mkt_cut*S52,0))</f>
        <v>33.7581248409617</v>
      </c>
      <c r="BI52" s="56" t="n">
        <f aca="false">AY52*BA52*BE52/1000000</f>
        <v>20.8807993449832</v>
      </c>
      <c r="BJ52" s="49" t="n">
        <f aca="false">V52*Economy!Q52*AZ52</f>
        <v>11677.6692</v>
      </c>
      <c r="BK52" s="49" t="n">
        <f aca="false">MAX(0.3*BJ52,AX52*Economy!Q52*AZ52*BE52*BF52-BG52-BH52-BI52)</f>
        <v>10810.3757199706</v>
      </c>
      <c r="BL52" s="66" t="n">
        <f aca="false">1-BK52/BJ52</f>
        <v>0.0742693995844175</v>
      </c>
      <c r="BM52" s="49" t="n">
        <f aca="false">MAX(0,BH52-BH51)*1000000/BA52</f>
        <v>8482.94328802439</v>
      </c>
      <c r="BN52" s="49" t="n">
        <f aca="false">BN51*(1-IF(AND($A52&gt;=1930,$A52&lt;=1932),0,union_reabsorb))+BM52</f>
        <v>22118.2798595746</v>
      </c>
      <c r="BO52" s="62" t="n">
        <v>0.091</v>
      </c>
      <c r="BP52" s="66" t="n">
        <f aca="false">BO52+BN52/(AX52*1000000*lf_rate)</f>
        <v>0.0920315139550168</v>
      </c>
    </row>
    <row r="53" customFormat="false" ht="14.25" hidden="false" customHeight="true" outlineLevel="0" collapsed="false">
      <c r="A53" s="61" t="n">
        <v>1893</v>
      </c>
      <c r="B53" s="49" t="n">
        <f aca="false">Economy!B53*lf_rate</f>
        <v>3137671.0445024</v>
      </c>
      <c r="C53" s="49" t="n">
        <f aca="false">Economy!O53*1000000/(B53+L53)</f>
        <v>902.039557017571</v>
      </c>
      <c r="D53" s="49" t="n">
        <f aca="false">Champions!AP53*1000000/(C53*champ_prem)</f>
        <v>66035.9963442633</v>
      </c>
      <c r="E53" s="49" t="n">
        <f aca="false">D53*job_mult</f>
        <v>46225.1974409843</v>
      </c>
      <c r="F53" s="49" t="n">
        <f aca="false">D53+E53</f>
        <v>112261.193785248</v>
      </c>
      <c r="G53" s="66" t="n">
        <f aca="false">F53/B53</f>
        <v>0.0357785096630647</v>
      </c>
      <c r="H53" s="49" t="n">
        <f aca="false">F53-F52</f>
        <v>17024.3384964438</v>
      </c>
      <c r="I53" s="66" t="n">
        <f aca="false">MAX(0.005,pac_u_base*IF(Paths!AC53=1,pac_u_war,1)+(okun*(1-Economy!G53)*(B53+L53)-MAX(0,L52-L53))/B53)</f>
        <v>0.0417261878853493</v>
      </c>
      <c r="J53" s="49" t="n">
        <f aca="false">IF(AND(gw_on=1,$A53&gt;=gw_start),MIN(gw_cap*B52,gw_cover*F52+gw_gen*B52),0)</f>
        <v>297178.650368579</v>
      </c>
      <c r="K53" s="49" t="n">
        <f aca="false">L52*gw_conv</f>
        <v>6137.68000421093</v>
      </c>
      <c r="L53" s="49" t="n">
        <f aca="false">MAX(0,L52-K53+gw_adj*(J53-L52))*MAX(0,1-gw_slump*(1-Economy!G53))</f>
        <v>216648.389809244</v>
      </c>
      <c r="M53" s="49" t="n">
        <f aca="false">MAX(0,L53-L52+L52/gw_term)</f>
        <v>80255.500826779</v>
      </c>
      <c r="N53" s="66" t="n">
        <f aca="false">L53/B53</f>
        <v>0.0690475154139691</v>
      </c>
      <c r="O53" s="56" t="n">
        <f aca="false">Economy!L53</f>
        <v>115.368703250608</v>
      </c>
      <c r="P53" s="56" t="n">
        <f aca="false">O53*gw_wage_share</f>
        <v>74.9896571128951</v>
      </c>
      <c r="Q53" s="56" t="n">
        <f aca="false">P53*gw_levy</f>
        <v>18.7474142782238</v>
      </c>
      <c r="R53" s="56" t="n">
        <f aca="false">P53*gw_remit</f>
        <v>18.7474142782238</v>
      </c>
      <c r="S53" s="66" t="n">
        <f aca="false">IF(union_resp&gt;=1,MIN(1,MAX(0,($A53-resp_start)/(resp_full-resp_start))),0)</f>
        <v>0</v>
      </c>
      <c r="T53" s="70" t="n">
        <f aca="false">Economy!R52</f>
        <v>1.982126208475</v>
      </c>
      <c r="U53" s="70" t="n">
        <f aca="false">MAX(0,T53-gap_base)</f>
        <v>0.482126208475</v>
      </c>
      <c r="V53" s="71" t="n">
        <v>52.82</v>
      </c>
      <c r="W53" s="49" t="n">
        <f aca="false">V53*1000000*lf_rate*union_skill_share</f>
        <v>2662128</v>
      </c>
      <c r="X53" s="47" t="n">
        <v>86000</v>
      </c>
      <c r="Y53" s="49" t="n">
        <f aca="false">IF(AND(mig_endo=1,$A53&gt;=talent_start),talent_rate_u*W53*U53*(1-(1-bd_keep)*S53),0)</f>
        <v>12834.8167911513</v>
      </c>
      <c r="Z53" s="49" t="n">
        <f aca="false">IF(AND(mig_endo=1,$A53&gt;=talent_start),X53*MIN(0.5,talent_share_o*U53)*(1-eu_comp*S53),0)</f>
        <v>11194.9705607895</v>
      </c>
      <c r="AA53" s="47" t="n">
        <v>14000</v>
      </c>
      <c r="AB53" s="49" t="n">
        <f aca="false">IF(AND(mig_endo=1,$A53&gt;=talent_start),AA53*MIN(0.5,talent_share_a*U53),0)</f>
        <v>1349.95338373</v>
      </c>
      <c r="AC53" s="49" t="n">
        <f aca="false">entry_cap*People!B53</f>
        <v>21909.8362846933</v>
      </c>
      <c r="AD53" s="49" t="n">
        <f aca="false">MIN(AC53,Y53+Z53+AB53)</f>
        <v>21909.8362846933</v>
      </c>
      <c r="AE53" s="49" t="n">
        <f aca="false">IF(Y53+Z53+AB53&gt;0,AD53*Y53/(Y53+Z53+AB53),0)</f>
        <v>11080.0475689227</v>
      </c>
      <c r="AF53" s="49" t="n">
        <f aca="false">IF(Y53+Z53+AB53&gt;0,AD53*AB53/(Y53+Z53+AB53),0)</f>
        <v>1165.38848593995</v>
      </c>
      <c r="AG53" s="49" t="n">
        <f aca="false">AD53*family_mult</f>
        <v>48201.6398263252</v>
      </c>
      <c r="AH53" s="49" t="n">
        <f aca="false">AH52*(1+Paths!C53)+AG53</f>
        <v>773962.840262058</v>
      </c>
      <c r="AI53" s="49" t="n">
        <f aca="false">IF(AND(mig_endo=1,$A53&gt;=talent_start),chain_rate*AH52,0)</f>
        <v>10699.9289449544</v>
      </c>
      <c r="AJ53" s="49" t="n">
        <f aca="false">IF(AND(mig_endo=1,$A53&gt;=talent_start),IF(H52&gt;0,H52*job_fill,H52*job_return)*job_family,0)</f>
        <v>7261.04373141992</v>
      </c>
      <c r="AK53" s="49" t="n">
        <f aca="false">K53*gw_conv_family</f>
        <v>11047.8240075797</v>
      </c>
      <c r="AL53" s="49" t="n">
        <f aca="false">AG53+AI53+AJ53+AK53+AR53</f>
        <v>130244.319442529</v>
      </c>
      <c r="AM53" s="49" t="n">
        <f aca="false">AM52*(1-skill_ret)+AD53</f>
        <v>212148.373649765</v>
      </c>
      <c r="AN53" s="67" t="n">
        <f aca="false">AM53/B53</f>
        <v>0.0676133255018801</v>
      </c>
      <c r="AO53" s="67" t="n">
        <f aca="false">(skill_rel-1+skill_spill)*AM52/B52-AT53</f>
        <v>0.0744332025644514</v>
      </c>
      <c r="AP53" s="67" t="n">
        <f aca="false">talent_champ*AM52/(skill_base_share*B52)</f>
        <v>0.13005783260125</v>
      </c>
      <c r="AQ53" s="47" t="n">
        <v>440000</v>
      </c>
      <c r="AR53" s="49" t="n">
        <f aca="false">IF(AND(div_on=1,$A53&gt;=div_start),AQ53*MIN(div_max,div_rate*U53)*(1-div_comp*S53),0)</f>
        <v>53033.88293225</v>
      </c>
      <c r="AS53" s="49" t="n">
        <f aca="false">AS52*(1-div_assim)+AR53</f>
        <v>327337.613114389</v>
      </c>
      <c r="AT53" s="67" t="n">
        <f aca="false">(1-div_rel)*AS52/Economy!B52</f>
        <v>0.0101043886263614</v>
      </c>
      <c r="AU53" s="49" t="n">
        <f aca="false">AU52*(1-skill_ret)+AE53</f>
        <v>124731.115594285</v>
      </c>
      <c r="AV53" s="49" t="n">
        <f aca="false">AV52*(1+union_nat)+AR53</f>
        <v>436563.815568176</v>
      </c>
      <c r="AW53" s="49" t="n">
        <f aca="false">AW52*(1+union_nat)+AE53*family_mult</f>
        <v>477920.392335581</v>
      </c>
      <c r="AX53" s="70" t="n">
        <f aca="false">V53-(AV53+AW53)/1000000</f>
        <v>51.9055157920962</v>
      </c>
      <c r="AY53" s="49" t="n">
        <f aca="false">L53*gw_union</f>
        <v>43329.6779618488</v>
      </c>
      <c r="AZ53" s="48" t="n">
        <v>1.097</v>
      </c>
      <c r="BA53" s="49" t="n">
        <f aca="false">Economy!Q53*AZ53/lf_rate</f>
        <v>530.216666666667</v>
      </c>
      <c r="BB53" s="67" t="n">
        <f aca="false">bd_growth*AU52/W52</f>
        <v>0.00133739488075424</v>
      </c>
      <c r="BC53" s="67" t="n">
        <f aca="false">tg_k*MIN(1,Economy!O52/BK52)</f>
        <v>0.000828640838221276</v>
      </c>
      <c r="BD53" s="67" t="n">
        <f aca="false">emu_g*S53</f>
        <v>0</v>
      </c>
      <c r="BE53" s="68" t="n">
        <f aca="false">BE52*(1-BB53-BC53+BD53)</f>
        <v>0.950135420175748</v>
      </c>
      <c r="BF53" s="48" t="n">
        <v>1</v>
      </c>
      <c r="BG53" s="56" t="n">
        <f aca="false">AU53*BA53*BE53*(skill_rel-1+skill_spill)/1000000</f>
        <v>81.6877704120937</v>
      </c>
      <c r="BH53" s="56" t="n">
        <f aca="false">union_disp*(Champions!AP53+Champions!AZ53)*(1-IF(union_resp=2,mkt_cut*S53,0))</f>
        <v>38.6392703095627</v>
      </c>
      <c r="BI53" s="56" t="n">
        <f aca="false">AY53*BA53*BE53/1000000</f>
        <v>21.8285227048563</v>
      </c>
      <c r="BJ53" s="49" t="n">
        <f aca="false">V53*Economy!Q53*AZ53</f>
        <v>11762.53862</v>
      </c>
      <c r="BK53" s="49" t="n">
        <f aca="false">MAX(0.3*BJ53,AX53*Economy!Q53*AZ53*BE53*BF53-BG53-BH53-BI53)</f>
        <v>10840.3564000484</v>
      </c>
      <c r="BL53" s="66" t="n">
        <f aca="false">1-BK53/BJ53</f>
        <v>0.0783999313195536</v>
      </c>
      <c r="BM53" s="49" t="n">
        <f aca="false">MAX(0,BH53-BH52)*1000000/BA53</f>
        <v>9205.94499468958</v>
      </c>
      <c r="BN53" s="49" t="n">
        <f aca="false">BN52*(1-IF(AND($A53&gt;=1930,$A53&lt;=1932),0,union_reabsorb))+BM53</f>
        <v>25794.6548893705</v>
      </c>
      <c r="BO53" s="62" t="n">
        <v>0.117</v>
      </c>
      <c r="BP53" s="66" t="n">
        <f aca="false">BO53+BN53/(AX53*1000000*lf_rate)</f>
        <v>0.118183223864313</v>
      </c>
    </row>
    <row r="54" customFormat="false" ht="14.25" hidden="false" customHeight="true" outlineLevel="0" collapsed="false">
      <c r="A54" s="61" t="n">
        <v>1894</v>
      </c>
      <c r="B54" s="49" t="n">
        <f aca="false">Economy!B54*lf_rate</f>
        <v>3279779.00666414</v>
      </c>
      <c r="C54" s="49" t="n">
        <f aca="false">Economy!O54*1000000/(B54+L54)</f>
        <v>907.431485827473</v>
      </c>
      <c r="D54" s="49" t="n">
        <f aca="false">Champions!AP54*1000000/(C54*champ_prem)</f>
        <v>73747.7555342516</v>
      </c>
      <c r="E54" s="49" t="n">
        <f aca="false">D54*job_mult</f>
        <v>51623.4288739761</v>
      </c>
      <c r="F54" s="49" t="n">
        <f aca="false">D54+E54</f>
        <v>125371.184408228</v>
      </c>
      <c r="G54" s="66" t="n">
        <f aca="false">F54/B54</f>
        <v>0.0382254975574536</v>
      </c>
      <c r="H54" s="49" t="n">
        <f aca="false">F54-F53</f>
        <v>13109.99062298</v>
      </c>
      <c r="I54" s="66" t="n">
        <f aca="false">MAX(0.005,pac_u_base*IF(Paths!AC54=1,pac_u_war,1)+(okun*(1-Economy!G54)*(B54+L54)-MAX(0,L53-L54))/B54)</f>
        <v>0.0470741396150702</v>
      </c>
      <c r="J54" s="49" t="n">
        <f aca="false">IF(AND(gw_on=1,$A54&gt;=gw_start),MIN(gw_cap*B53,gw_cover*F53+gw_gen*B53),0)</f>
        <v>318370.399831341</v>
      </c>
      <c r="K54" s="49" t="n">
        <f aca="false">L53*gw_conv</f>
        <v>6499.45169427732</v>
      </c>
      <c r="L54" s="49" t="n">
        <f aca="false">MAX(0,L53-K54+gw_adj*(J54-L53))*MAX(0,1-gw_slump*(1-Economy!G54))</f>
        <v>226757.31887992</v>
      </c>
      <c r="M54" s="49" t="n">
        <f aca="false">MAX(0,L54-L53+L53/gw_term)</f>
        <v>82325.0590070907</v>
      </c>
      <c r="N54" s="66" t="n">
        <f aca="false">L54/B54</f>
        <v>0.0691379871690059</v>
      </c>
      <c r="O54" s="56" t="n">
        <f aca="false">Economy!L54</f>
        <v>121.313071865872</v>
      </c>
      <c r="P54" s="56" t="n">
        <f aca="false">O54*gw_wage_share</f>
        <v>78.8534967128168</v>
      </c>
      <c r="Q54" s="56" t="n">
        <f aca="false">P54*gw_levy</f>
        <v>19.7133741782042</v>
      </c>
      <c r="R54" s="56" t="n">
        <f aca="false">P54*gw_remit</f>
        <v>19.7133741782042</v>
      </c>
      <c r="S54" s="66" t="n">
        <f aca="false">IF(union_resp&gt;=1,MIN(1,MAX(0,($A54-resp_start)/(resp_full-resp_start))),0)</f>
        <v>0</v>
      </c>
      <c r="T54" s="70" t="n">
        <f aca="false">Economy!R53</f>
        <v>1.93892266618094</v>
      </c>
      <c r="U54" s="70" t="n">
        <f aca="false">MAX(0,T54-gap_base)</f>
        <v>0.43892266618094</v>
      </c>
      <c r="V54" s="71" t="n">
        <v>53.76</v>
      </c>
      <c r="W54" s="49" t="n">
        <f aca="false">V54*1000000*lf_rate*union_skill_share</f>
        <v>2709504</v>
      </c>
      <c r="X54" s="47" t="n">
        <v>88000</v>
      </c>
      <c r="Y54" s="49" t="n">
        <f aca="false">IF(AND(mig_endo=1,$A54&gt;=talent_start),talent_rate_u*W54*U54*(1-(1-bd_keep)*S54),0)</f>
        <v>11892.6271970792</v>
      </c>
      <c r="Z54" s="49" t="n">
        <f aca="false">IF(AND(mig_endo=1,$A54&gt;=talent_start),X54*MIN(0.5,talent_share_o*U54)*(1-eu_comp*S54),0)</f>
        <v>10428.8025484591</v>
      </c>
      <c r="AA54" s="47" t="n">
        <v>14000</v>
      </c>
      <c r="AB54" s="49" t="n">
        <f aca="false">IF(AND(mig_endo=1,$A54&gt;=talent_start),AA54*MIN(0.5,talent_share_a*U54),0)</f>
        <v>1228.98346530663</v>
      </c>
      <c r="AC54" s="49" t="n">
        <f aca="false">entry_cap*People!B54</f>
        <v>22914.0357796268</v>
      </c>
      <c r="AD54" s="49" t="n">
        <f aca="false">MIN(AC54,Y54+Z54+AB54)</f>
        <v>22914.0357796268</v>
      </c>
      <c r="AE54" s="49" t="n">
        <f aca="false">IF(Y54+Z54+AB54&gt;0,AD54*Y54/(Y54+Z54+AB54),0)</f>
        <v>11571.2655513894</v>
      </c>
      <c r="AF54" s="49" t="n">
        <f aca="false">IF(Y54+Z54+AB54&gt;0,AD54*AB54/(Y54+Z54+AB54),0)</f>
        <v>1195.77396984431</v>
      </c>
      <c r="AG54" s="49" t="n">
        <f aca="false">AD54*family_mult</f>
        <v>50410.8787151789</v>
      </c>
      <c r="AH54" s="49" t="n">
        <f aca="false">AH53*(1+Paths!C54)+AG54</f>
        <v>838120.846945972</v>
      </c>
      <c r="AI54" s="49" t="n">
        <f aca="false">IF(AND(mig_endo=1,$A54&gt;=talent_start),chain_rate*AH53,0)</f>
        <v>11609.4426039309</v>
      </c>
      <c r="AJ54" s="49" t="n">
        <f aca="false">IF(AND(mig_endo=1,$A54&gt;=talent_start),IF(H53&gt;0,H53*job_fill,H53*job_return)*job_family,0)</f>
        <v>10725.3332527596</v>
      </c>
      <c r="AK54" s="49" t="n">
        <f aca="false">K54*gw_conv_family</f>
        <v>11699.0130496992</v>
      </c>
      <c r="AL54" s="49" t="n">
        <f aca="false">AG54+AI54+AJ54+AK54+AR54</f>
        <v>129105.048905479</v>
      </c>
      <c r="AM54" s="49" t="n">
        <f aca="false">AM53*(1-skill_ret)+AD54</f>
        <v>229758.700088148</v>
      </c>
      <c r="AN54" s="67" t="n">
        <f aca="false">AM54/B54</f>
        <v>0.0700531040723487</v>
      </c>
      <c r="AO54" s="67" t="n">
        <f aca="false">(skill_rel-1+skill_spill)*AM53/B53-AT54</f>
        <v>0.0769431954285604</v>
      </c>
      <c r="AP54" s="67" t="n">
        <f aca="false">talent_champ*AM53/(skill_base_share*B53)</f>
        <v>0.13522665100376</v>
      </c>
      <c r="AQ54" s="47" t="n">
        <v>407000</v>
      </c>
      <c r="AR54" s="49" t="n">
        <f aca="false">IF(AND(div_on=1,$A54&gt;=div_start),AQ54*MIN(div_max,div_rate*U54)*(1-div_comp*S54),0)</f>
        <v>44660.3812839106</v>
      </c>
      <c r="AS54" s="49" t="n">
        <f aca="false">AS53*(1-div_assim)+AR54</f>
        <v>355631.11374258</v>
      </c>
      <c r="AT54" s="67" t="n">
        <f aca="false">(1-div_rel)*AS53/Economy!B53</f>
        <v>0.0109541277238837</v>
      </c>
      <c r="AU54" s="49" t="n">
        <f aca="false">AU53*(1-skill_ret)+AE54</f>
        <v>133184.103255817</v>
      </c>
      <c r="AV54" s="49" t="n">
        <f aca="false">AV53*(1+union_nat)+AR54</f>
        <v>486899.526454472</v>
      </c>
      <c r="AW54" s="49" t="n">
        <f aca="false">AW53*(1+union_nat)+AE54*family_mult</f>
        <v>509590.141649</v>
      </c>
      <c r="AX54" s="70" t="n">
        <f aca="false">V54-(AV54+AW54)/1000000</f>
        <v>52.7635103318965</v>
      </c>
      <c r="AY54" s="49" t="n">
        <f aca="false">L54*gw_union</f>
        <v>45351.463775984</v>
      </c>
      <c r="AZ54" s="48" t="n">
        <v>1.097</v>
      </c>
      <c r="BA54" s="49" t="n">
        <f aca="false">Economy!Q54*AZ54/lf_rate</f>
        <v>527.604761904762</v>
      </c>
      <c r="BB54" s="67" t="n">
        <f aca="false">bd_growth*AU53/W53</f>
        <v>0.00140561741126968</v>
      </c>
      <c r="BC54" s="67" t="n">
        <f aca="false">tg_k*MIN(1,Economy!O53/BK53)</f>
        <v>0.000837351293157224</v>
      </c>
      <c r="BD54" s="67" t="n">
        <f aca="false">emu_g*S54</f>
        <v>0</v>
      </c>
      <c r="BE54" s="68" t="n">
        <f aca="false">BE53*(1-BB54-BC54+BD54)</f>
        <v>0.948004296163327</v>
      </c>
      <c r="BF54" s="48" t="n">
        <v>1</v>
      </c>
      <c r="BG54" s="56" t="n">
        <f aca="false">AU54*BA54*BE54*(skill_rel-1+skill_spill)/1000000</f>
        <v>86.5993745297988</v>
      </c>
      <c r="BH54" s="56" t="n">
        <f aca="false">union_disp*(Champions!AP54+Champions!AZ54)*(1-IF(union_resp=2,mkt_cut*S54,0))</f>
        <v>43.4889307580047</v>
      </c>
      <c r="BI54" s="56" t="n">
        <f aca="false">AY54*BA54*BE54/1000000</f>
        <v>22.6835133357722</v>
      </c>
      <c r="BJ54" s="49" t="n">
        <f aca="false">V54*Economy!Q54*AZ54</f>
        <v>11912.89344</v>
      </c>
      <c r="BK54" s="49" t="n">
        <f aca="false">MAX(0.3*BJ54,AX54*Economy!Q54*AZ54*BE54*BF54-BG54-BH54-BI54)</f>
        <v>10931.3677008952</v>
      </c>
      <c r="BL54" s="66" t="n">
        <f aca="false">1-BK54/BJ54</f>
        <v>0.0823918843938587</v>
      </c>
      <c r="BM54" s="49" t="n">
        <f aca="false">MAX(0,BH54-BH53)*1000000/BA54</f>
        <v>9191.84358938258</v>
      </c>
      <c r="BN54" s="49" t="n">
        <f aca="false">BN53*(1-IF(AND($A54&gt;=1930,$A54&lt;=1932),0,union_reabsorb))+BM54</f>
        <v>28537.8347564105</v>
      </c>
      <c r="BO54" s="62" t="n">
        <v>0.184</v>
      </c>
      <c r="BP54" s="66" t="n">
        <f aca="false">BO54+BN54/(AX54*1000000*lf_rate)</f>
        <v>0.185287769240202</v>
      </c>
    </row>
    <row r="55" customFormat="false" ht="14.25" hidden="false" customHeight="true" outlineLevel="0" collapsed="false">
      <c r="A55" s="61" t="n">
        <v>1895</v>
      </c>
      <c r="B55" s="49" t="n">
        <f aca="false">Economy!B55*lf_rate</f>
        <v>3425027.18348391</v>
      </c>
      <c r="C55" s="49" t="n">
        <f aca="false">Economy!O55*1000000/(B55+L55)</f>
        <v>948.062251861506</v>
      </c>
      <c r="D55" s="49" t="n">
        <f aca="false">Champions!AP55*1000000/(C55*champ_prem)</f>
        <v>78595.1412755427</v>
      </c>
      <c r="E55" s="49" t="n">
        <f aca="false">D55*job_mult</f>
        <v>55016.5988928799</v>
      </c>
      <c r="F55" s="49" t="n">
        <f aca="false">D55+E55</f>
        <v>133611.740168423</v>
      </c>
      <c r="G55" s="66" t="n">
        <f aca="false">F55/B55</f>
        <v>0.0390104174392315</v>
      </c>
      <c r="H55" s="49" t="n">
        <f aca="false">F55-F54</f>
        <v>8240.55576019493</v>
      </c>
      <c r="I55" s="66" t="n">
        <f aca="false">MAX(0.005,pac_u_base*IF(Paths!AC55=1,pac_u_war,1)+(okun*(1-Economy!G55)*(B55+L55)-MAX(0,L54-L55))/B55)</f>
        <v>0.0311019222939437</v>
      </c>
      <c r="J55" s="49" t="n">
        <f aca="false">IF(AND(gw_on=1,$A55&gt;=gw_start),MIN(gw_cap*B54,gw_cover*F54+gw_gen*B54),0)</f>
        <v>337605.031178068</v>
      </c>
      <c r="K55" s="49" t="n">
        <f aca="false">L54*gw_conv</f>
        <v>6802.71956639761</v>
      </c>
      <c r="L55" s="49" t="n">
        <f aca="false">MAX(0,L54-K55+gw_adj*(J55-L54))*MAX(0,1-gw_slump*(1-Economy!G55))</f>
        <v>251607.587389608</v>
      </c>
      <c r="M55" s="49" t="n">
        <f aca="false">MAX(0,L55-L54+L54/gw_term)</f>
        <v>100436.041469661</v>
      </c>
      <c r="N55" s="66" t="n">
        <f aca="false">L55/B55</f>
        <v>0.0734614862629134</v>
      </c>
      <c r="O55" s="56" t="n">
        <f aca="false">Economy!L55</f>
        <v>140.944364589399</v>
      </c>
      <c r="P55" s="56" t="n">
        <f aca="false">O55*gw_wage_share</f>
        <v>91.6138369831092</v>
      </c>
      <c r="Q55" s="56" t="n">
        <f aca="false">P55*gw_levy</f>
        <v>22.9034592457773</v>
      </c>
      <c r="R55" s="56" t="n">
        <f aca="false">P55*gw_remit</f>
        <v>22.9034592457773</v>
      </c>
      <c r="S55" s="66" t="n">
        <f aca="false">IF(union_resp&gt;=1,MIN(1,MAX(0,($A55-resp_start)/(resp_full-resp_start))),0)</f>
        <v>0</v>
      </c>
      <c r="T55" s="70" t="n">
        <f aca="false">Economy!R54</f>
        <v>1.9602620507601</v>
      </c>
      <c r="U55" s="70" t="n">
        <f aca="false">MAX(0,T55-gap_base)</f>
        <v>0.460262050760105</v>
      </c>
      <c r="V55" s="71" t="n">
        <v>54.7</v>
      </c>
      <c r="W55" s="49" t="n">
        <f aca="false">V55*1000000*lf_rate*union_skill_share</f>
        <v>2756880</v>
      </c>
      <c r="X55" s="47" t="n">
        <v>90000</v>
      </c>
      <c r="Y55" s="49" t="n">
        <f aca="false">IF(AND(mig_endo=1,$A55&gt;=talent_start),talent_rate_u*W55*U55*(1-(1-bd_keep)*S55),0)</f>
        <v>12688.8724249952</v>
      </c>
      <c r="Z55" s="49" t="n">
        <f aca="false">IF(AND(mig_endo=1,$A55&gt;=talent_start),X55*MIN(0.5,talent_share_o*U55)*(1-eu_comp*S55),0)</f>
        <v>11184.3678334705</v>
      </c>
      <c r="AA55" s="47" t="n">
        <v>15000</v>
      </c>
      <c r="AB55" s="49" t="n">
        <f aca="false">IF(AND(mig_endo=1,$A55&gt;=talent_start),AA55*MIN(0.5,talent_share_a*U55),0)</f>
        <v>1380.78615228031</v>
      </c>
      <c r="AC55" s="49" t="n">
        <f aca="false">entry_cap*People!B55</f>
        <v>23939.950029861</v>
      </c>
      <c r="AD55" s="49" t="n">
        <f aca="false">MIN(AC55,Y55+Z55+AB55)</f>
        <v>23939.950029861</v>
      </c>
      <c r="AE55" s="49" t="n">
        <f aca="false">IF(Y55+Z55+AB55&gt;0,AD55*Y55/(Y55+Z55+AB55),0)</f>
        <v>12028.6154314151</v>
      </c>
      <c r="AF55" s="49" t="n">
        <f aca="false">IF(Y55+Z55+AB55&gt;0,AD55*AB55/(Y55+Z55+AB55),0)</f>
        <v>1308.93786796108</v>
      </c>
      <c r="AG55" s="49" t="n">
        <f aca="false">AD55*family_mult</f>
        <v>52667.8900656941</v>
      </c>
      <c r="AH55" s="49" t="n">
        <f aca="false">AH54*(1+Paths!C55)+AG55</f>
        <v>905894.189036173</v>
      </c>
      <c r="AI55" s="49" t="n">
        <f aca="false">IF(AND(mig_endo=1,$A55&gt;=talent_start),chain_rate*AH54,0)</f>
        <v>12571.8127041896</v>
      </c>
      <c r="AJ55" s="49" t="n">
        <f aca="false">IF(AND(mig_endo=1,$A55&gt;=talent_start),IF(H54&gt;0,H54*job_fill,H54*job_return)*job_family,0)</f>
        <v>8259.2940924774</v>
      </c>
      <c r="AK55" s="49" t="n">
        <f aca="false">K55*gw_conv_family</f>
        <v>12244.8952195157</v>
      </c>
      <c r="AL55" s="49" t="n">
        <f aca="false">AG55+AI55+AJ55+AK55+AR55</f>
        <v>128663.328315257</v>
      </c>
      <c r="AM55" s="49" t="n">
        <f aca="false">AM54*(1-skill_ret)+AD55</f>
        <v>247954.682615805</v>
      </c>
      <c r="AN55" s="67" t="n">
        <f aca="false">AM55/B55</f>
        <v>0.0723949531879591</v>
      </c>
      <c r="AO55" s="67" t="n">
        <f aca="false">(skill_rel-1+skill_spill)*AM54/B54-AT55</f>
        <v>0.0796837355933425</v>
      </c>
      <c r="AP55" s="67" t="n">
        <f aca="false">talent_champ*AM54/(skill_base_share*B54)</f>
        <v>0.140106208144697</v>
      </c>
      <c r="AQ55" s="47" t="n">
        <v>373000</v>
      </c>
      <c r="AR55" s="49" t="n">
        <f aca="false">IF(AND(div_on=1,$A55&gt;=div_start),AQ55*MIN(div_max,div_rate*U55)*(1-div_comp*S55),0)</f>
        <v>42919.4362333798</v>
      </c>
      <c r="AS55" s="49" t="n">
        <f aca="false">AS54*(1-div_assim)+AR55</f>
        <v>380768.994288831</v>
      </c>
      <c r="AT55" s="67" t="n">
        <f aca="false">(1-div_rel)*AS54/Economy!B54</f>
        <v>0.0113852997007108</v>
      </c>
      <c r="AU55" s="49" t="n">
        <f aca="false">AU54*(1-skill_ret)+AE55</f>
        <v>141883.116105837</v>
      </c>
      <c r="AV55" s="49" t="n">
        <f aca="false">AV54*(1+union_nat)+AR55</f>
        <v>536148.65653176</v>
      </c>
      <c r="AW55" s="49" t="n">
        <f aca="false">AW54*(1+union_nat)+AE55*family_mult</f>
        <v>542677.76743955</v>
      </c>
      <c r="AX55" s="70" t="n">
        <f aca="false">V55-(AV55+AW55)/1000000</f>
        <v>53.6211735760287</v>
      </c>
      <c r="AY55" s="49" t="n">
        <f aca="false">L55*gw_union</f>
        <v>50321.5174779216</v>
      </c>
      <c r="AZ55" s="48" t="n">
        <v>1.096</v>
      </c>
      <c r="BA55" s="49" t="n">
        <f aca="false">Economy!Q55*AZ55/lf_rate</f>
        <v>521.904761904762</v>
      </c>
      <c r="BB55" s="67" t="n">
        <f aca="false">bd_growth*AU54/W54</f>
        <v>0.00147463266253695</v>
      </c>
      <c r="BC55" s="67" t="n">
        <f aca="false">tg_k*MIN(1,Economy!O54/BK54)</f>
        <v>0.000873250691512981</v>
      </c>
      <c r="BD55" s="67" t="n">
        <f aca="false">emu_g*S55</f>
        <v>0</v>
      </c>
      <c r="BE55" s="68" t="n">
        <f aca="false">BE54*(1-BB55-BC55+BD55)</f>
        <v>0.945778492656797</v>
      </c>
      <c r="BF55" s="48" t="n">
        <v>1</v>
      </c>
      <c r="BG55" s="56" t="n">
        <f aca="false">AU55*BA55*BE55*(skill_rel-1+skill_spill)/1000000</f>
        <v>91.0447197856202</v>
      </c>
      <c r="BH55" s="56" t="n">
        <f aca="false">union_disp*(Champions!AP55+Champions!AZ55)*(1-IF(union_resp=2,mkt_cut*S55,0))</f>
        <v>48.3864745300192</v>
      </c>
      <c r="BI55" s="56" t="n">
        <f aca="false">AY55*BA55*BE55/1000000</f>
        <v>24.8390180035832</v>
      </c>
      <c r="BJ55" s="49" t="n">
        <f aca="false">V55*Economy!Q55*AZ55</f>
        <v>11990.24</v>
      </c>
      <c r="BK55" s="49" t="n">
        <f aca="false">MAX(0.3*BJ55,AX55*Economy!Q55*AZ55*BE55*BF55-BG55-BH55-BI55)</f>
        <v>10952.1843837349</v>
      </c>
      <c r="BL55" s="66" t="n">
        <f aca="false">1-BK55/BJ55</f>
        <v>0.0865750490619978</v>
      </c>
      <c r="BM55" s="49" t="n">
        <f aca="false">MAX(0,BH55-BH54)*1000000/BA55</f>
        <v>9383.97985513737</v>
      </c>
      <c r="BN55" s="49" t="n">
        <f aca="false">BN54*(1-IF(AND($A55&gt;=1930,$A55&lt;=1932),0,union_reabsorb))+BM55</f>
        <v>30787.3559224452</v>
      </c>
      <c r="BO55" s="62" t="n">
        <v>0.137</v>
      </c>
      <c r="BP55" s="66" t="n">
        <f aca="false">BO55+BN55/(AX55*1000000*lf_rate)</f>
        <v>0.138367057516614</v>
      </c>
    </row>
    <row r="56" customFormat="false" ht="14.25" hidden="false" customHeight="true" outlineLevel="0" collapsed="false">
      <c r="A56" s="61" t="n">
        <v>1896</v>
      </c>
      <c r="B56" s="49" t="n">
        <f aca="false">Economy!B56*lf_rate</f>
        <v>3574493.80422394</v>
      </c>
      <c r="C56" s="49" t="n">
        <f aca="false">Economy!O56*1000000/(B56+L56)</f>
        <v>965.132834847095</v>
      </c>
      <c r="D56" s="49" t="n">
        <f aca="false">Champions!AP56*1000000/(C56*champ_prem)</f>
        <v>85608.7062430755</v>
      </c>
      <c r="E56" s="49" t="n">
        <f aca="false">D56*job_mult</f>
        <v>59926.0943701529</v>
      </c>
      <c r="F56" s="49" t="n">
        <f aca="false">D56+E56</f>
        <v>145534.800613228</v>
      </c>
      <c r="G56" s="66" t="n">
        <f aca="false">F56/B56</f>
        <v>0.0407148000763777</v>
      </c>
      <c r="H56" s="49" t="n">
        <f aca="false">F56-F55</f>
        <v>11923.0604448058</v>
      </c>
      <c r="I56" s="66" t="n">
        <f aca="false">MAX(0.005,pac_u_base*IF(Paths!AC56=1,pac_u_war,1)+(okun*(1-Economy!G56)*(B56+L56)-MAX(0,L55-L56))/B56)</f>
        <v>0.0257720291013052</v>
      </c>
      <c r="J56" s="49" t="n">
        <f aca="false">IF(AND(gw_on=1,$A56&gt;=gw_start),MIN(gw_cap*B55,gw_cover*F55+gw_gen*B55),0)</f>
        <v>354169.218779766</v>
      </c>
      <c r="K56" s="49" t="n">
        <f aca="false">L55*gw_conv</f>
        <v>7548.22762168824</v>
      </c>
      <c r="L56" s="49" t="n">
        <f aca="false">MAX(0,L55-K56+gw_adj*(J56-L55))*MAX(0,1-gw_slump*(1-Economy!G56))</f>
        <v>275961.323929616</v>
      </c>
      <c r="M56" s="49" t="n">
        <f aca="false">MAX(0,L56-L55+L55/gw_term)</f>
        <v>108222.932336544</v>
      </c>
      <c r="N56" s="66" t="n">
        <f aca="false">L56/B56</f>
        <v>0.077202910130524</v>
      </c>
      <c r="O56" s="56" t="n">
        <f aca="false">Economy!L56</f>
        <v>157.288541641946</v>
      </c>
      <c r="P56" s="56" t="n">
        <f aca="false">O56*gw_wage_share</f>
        <v>102.237552067265</v>
      </c>
      <c r="Q56" s="56" t="n">
        <f aca="false">P56*gw_levy</f>
        <v>25.5593880168162</v>
      </c>
      <c r="R56" s="56" t="n">
        <f aca="false">P56*gw_remit</f>
        <v>25.5593880168162</v>
      </c>
      <c r="S56" s="66" t="n">
        <f aca="false">IF(union_resp&gt;=1,MIN(1,MAX(0,($A56-resp_start)/(resp_full-resp_start))),0)</f>
        <v>0</v>
      </c>
      <c r="T56" s="70" t="n">
        <f aca="false">Economy!R55</f>
        <v>2.07322067306375</v>
      </c>
      <c r="U56" s="70" t="n">
        <f aca="false">MAX(0,T56-gap_base)</f>
        <v>0.573220673063745</v>
      </c>
      <c r="V56" s="71" t="n">
        <v>55.64</v>
      </c>
      <c r="W56" s="49" t="n">
        <f aca="false">V56*1000000*lf_rate*union_skill_share</f>
        <v>2804256</v>
      </c>
      <c r="X56" s="47" t="n">
        <v>92000</v>
      </c>
      <c r="Y56" s="49" t="n">
        <f aca="false">IF(AND(mig_endo=1,$A56&gt;=talent_start),talent_rate_u*W56*U56*(1-(1-bd_keep)*S56),0)</f>
        <v>16074.5751176304</v>
      </c>
      <c r="Z56" s="49" t="n">
        <f aca="false">IF(AND(mig_endo=1,$A56&gt;=talent_start),X56*MIN(0.5,talent_share_o*U56)*(1-eu_comp*S56),0)</f>
        <v>14238.8015189034</v>
      </c>
      <c r="AA56" s="47" t="n">
        <v>16000</v>
      </c>
      <c r="AB56" s="49" t="n">
        <f aca="false">IF(AND(mig_endo=1,$A56&gt;=talent_start),AA56*MIN(0.5,talent_share_a*U56),0)</f>
        <v>1834.30615380398</v>
      </c>
      <c r="AC56" s="49" t="n">
        <f aca="false">entry_cap*People!B56</f>
        <v>24989.0097341949</v>
      </c>
      <c r="AD56" s="49" t="n">
        <f aca="false">MIN(AC56,Y56+Z56+AB56)</f>
        <v>24989.0097341949</v>
      </c>
      <c r="AE56" s="49" t="n">
        <f aca="false">IF(Y56+Z56+AB56&gt;0,AD56*Y56/(Y56+Z56+AB56),0)</f>
        <v>12495.0752036238</v>
      </c>
      <c r="AF56" s="49" t="n">
        <f aca="false">IF(Y56+Z56+AB56&gt;0,AD56*AB56/(Y56+Z56+AB56),0)</f>
        <v>1425.8413158997</v>
      </c>
      <c r="AG56" s="49" t="n">
        <f aca="false">AD56*family_mult</f>
        <v>54975.8214152288</v>
      </c>
      <c r="AH56" s="49" t="n">
        <f aca="false">AH55*(1+Paths!C56)+AG56</f>
        <v>977051.998350155</v>
      </c>
      <c r="AI56" s="49" t="n">
        <f aca="false">IF(AND(mig_endo=1,$A56&gt;=talent_start),chain_rate*AH55,0)</f>
        <v>13588.4128355426</v>
      </c>
      <c r="AJ56" s="49" t="n">
        <f aca="false">IF(AND(mig_endo=1,$A56&gt;=talent_start),IF(H55&gt;0,H55*job_fill,H55*job_return)*job_family,0)</f>
        <v>5191.5501289228</v>
      </c>
      <c r="AK56" s="49" t="n">
        <f aca="false">K56*gw_conv_family</f>
        <v>13586.8097190388</v>
      </c>
      <c r="AL56" s="49" t="n">
        <f aca="false">AG56+AI56+AJ56+AK56+AR56</f>
        <v>136066.351309151</v>
      </c>
      <c r="AM56" s="49" t="n">
        <f aca="false">AM55*(1-skill_ret)+AD56</f>
        <v>266744.825284605</v>
      </c>
      <c r="AN56" s="67" t="n">
        <f aca="false">AM56/B56</f>
        <v>0.0746245034665874</v>
      </c>
      <c r="AO56" s="67" t="n">
        <f aca="false">(skill_rel-1+skill_spill)*AM55/B55-AT56</f>
        <v>0.0824403217474626</v>
      </c>
      <c r="AP56" s="67" t="n">
        <f aca="false">talent_champ*AM55/(skill_base_share*B55)</f>
        <v>0.144789906375918</v>
      </c>
      <c r="AQ56" s="47" t="n">
        <v>340000</v>
      </c>
      <c r="AR56" s="49" t="n">
        <f aca="false">IF(AND(div_on=1,$A56&gt;=div_start),AQ56*MIN(div_max,div_rate*U56)*(1-div_comp*S56),0)</f>
        <v>48723.7572104183</v>
      </c>
      <c r="AS56" s="49" t="n">
        <f aca="false">AS55*(1-div_assim)+AR56</f>
        <v>410454.301784808</v>
      </c>
      <c r="AT56" s="67" t="n">
        <f aca="false">(1-div_rel)*AS55/Economy!B55</f>
        <v>0.0116731173968842</v>
      </c>
      <c r="AU56" s="49" t="n">
        <f aca="false">AU55*(1-skill_ret)+AE56</f>
        <v>150831.113406815</v>
      </c>
      <c r="AV56" s="49" t="n">
        <f aca="false">AV55*(1+union_nat)+AR56</f>
        <v>591842.346277092</v>
      </c>
      <c r="AW56" s="49" t="n">
        <f aca="false">AW55*(1+union_nat)+AE56*family_mult</f>
        <v>577221.743864237</v>
      </c>
      <c r="AX56" s="70" t="n">
        <f aca="false">V56-(AV56+AW56)/1000000</f>
        <v>54.4709359098587</v>
      </c>
      <c r="AY56" s="49" t="n">
        <f aca="false">L56*gw_union</f>
        <v>55192.2647859231</v>
      </c>
      <c r="AZ56" s="48" t="n">
        <v>1.095</v>
      </c>
      <c r="BA56" s="49" t="n">
        <f aca="false">Economy!Q56*AZ56/lf_rate</f>
        <v>544.892857142857</v>
      </c>
      <c r="BB56" s="67" t="n">
        <f aca="false">bd_growth*AU55/W55</f>
        <v>0.001543953122071</v>
      </c>
      <c r="BC56" s="67" t="n">
        <f aca="false">tg_k*MIN(1,Economy!O55/BK55)</f>
        <v>0.000954789981071699</v>
      </c>
      <c r="BD56" s="67" t="n">
        <f aca="false">emu_g*S56</f>
        <v>0</v>
      </c>
      <c r="BE56" s="68" t="n">
        <f aca="false">BE55*(1-BB56-BC56+BD56)</f>
        <v>0.94341523517117</v>
      </c>
      <c r="BF56" s="48" t="n">
        <v>1</v>
      </c>
      <c r="BG56" s="56" t="n">
        <f aca="false">AU56*BA56*BE56*(skill_rel-1+skill_spill)/1000000</f>
        <v>100.797158524262</v>
      </c>
      <c r="BH56" s="56" t="n">
        <f aca="false">union_disp*(Champions!AP56+Champions!AZ56)*(1-IF(union_resp=2,mkt_cut*S56,0))</f>
        <v>53.6933254712319</v>
      </c>
      <c r="BI56" s="56" t="n">
        <f aca="false">AY56*BA56*BE56/1000000</f>
        <v>28.3721479417684</v>
      </c>
      <c r="BJ56" s="49" t="n">
        <f aca="false">V56*Economy!Q56*AZ56</f>
        <v>12733.4922</v>
      </c>
      <c r="BK56" s="49" t="n">
        <f aca="false">MAX(0.3*BJ56,AX56*Economy!Q56*AZ56*BE56*BF56-BG56-BH56-BI56)</f>
        <v>11577.7007808041</v>
      </c>
      <c r="BL56" s="66" t="n">
        <f aca="false">1-BK56/BJ56</f>
        <v>0.0907678271633845</v>
      </c>
      <c r="BM56" s="49" t="n">
        <f aca="false">MAX(0,BH56-BH55)*1000000/BA56</f>
        <v>9739.25584020145</v>
      </c>
      <c r="BN56" s="49" t="n">
        <f aca="false">BN55*(1-IF(AND($A56&gt;=1930,$A56&lt;=1932),0,union_reabsorb))+BM56</f>
        <v>32829.7727820354</v>
      </c>
      <c r="BO56" s="62" t="n">
        <v>0.145</v>
      </c>
      <c r="BP56" s="66" t="n">
        <f aca="false">BO56+BN56/(AX56*1000000*lf_rate)</f>
        <v>0.146435006106759</v>
      </c>
    </row>
    <row r="57" customFormat="false" ht="14.25" hidden="false" customHeight="true" outlineLevel="0" collapsed="false">
      <c r="A57" s="61" t="n">
        <v>1897</v>
      </c>
      <c r="B57" s="49" t="n">
        <f aca="false">Economy!B57*lf_rate</f>
        <v>3727857.13258366</v>
      </c>
      <c r="C57" s="49" t="n">
        <f aca="false">Economy!O57*1000000/(B57+L57)</f>
        <v>1035.22100866285</v>
      </c>
      <c r="D57" s="49" t="n">
        <f aca="false">Champions!AP57*1000000/(C57*champ_prem)</f>
        <v>88562.7518561752</v>
      </c>
      <c r="E57" s="49" t="n">
        <f aca="false">D57*job_mult</f>
        <v>61993.9262993226</v>
      </c>
      <c r="F57" s="49" t="n">
        <f aca="false">D57+E57</f>
        <v>150556.678155498</v>
      </c>
      <c r="G57" s="66" t="n">
        <f aca="false">F57/B57</f>
        <v>0.0403869227818695</v>
      </c>
      <c r="H57" s="49" t="n">
        <f aca="false">F57-F56</f>
        <v>5021.87754226942</v>
      </c>
      <c r="I57" s="66" t="n">
        <f aca="false">MAX(0.005,pac_u_base*IF(Paths!AC57=1,pac_u_war,1)+(okun*(1-Economy!G57)*(B57+L57)-MAX(0,L56-L57))/B57)</f>
        <v>0.015</v>
      </c>
      <c r="J57" s="49" t="n">
        <f aca="false">IF(AND(gw_on=1,$A57&gt;=gw_start),MIN(gw_cap*B56,gw_cover*F56+gw_gen*B56),0)</f>
        <v>373280.384705852</v>
      </c>
      <c r="K57" s="49" t="n">
        <f aca="false">L56*gw_conv</f>
        <v>8278.83971788847</v>
      </c>
      <c r="L57" s="49" t="n">
        <f aca="false">MAX(0,L56-K57+gw_adj*(J57-L56))*MAX(0,1-gw_slump*(1-Economy!G57))</f>
        <v>306610.108522222</v>
      </c>
      <c r="M57" s="49" t="n">
        <f aca="false">MAX(0,L57-L56+L56/gw_term)</f>
        <v>122635.892569145</v>
      </c>
      <c r="N57" s="66" t="n">
        <f aca="false">L57/B57</f>
        <v>0.0822483527714272</v>
      </c>
      <c r="O57" s="56" t="n">
        <f aca="false">Economy!L57</f>
        <v>187.91405289658</v>
      </c>
      <c r="P57" s="56" t="n">
        <f aca="false">O57*gw_wage_share</f>
        <v>122.144134382777</v>
      </c>
      <c r="Q57" s="56" t="n">
        <f aca="false">P57*gw_levy</f>
        <v>30.5360335956942</v>
      </c>
      <c r="R57" s="56" t="n">
        <f aca="false">P57*gw_remit</f>
        <v>30.5360335956942</v>
      </c>
      <c r="S57" s="66" t="n">
        <f aca="false">IF(union_resp&gt;=1,MIN(1,MAX(0,($A57-resp_start)/(resp_full-resp_start))),0)</f>
        <v>0</v>
      </c>
      <c r="T57" s="70" t="n">
        <f aca="false">Economy!R56</f>
        <v>2.02362020718128</v>
      </c>
      <c r="U57" s="70" t="n">
        <f aca="false">MAX(0,T57-gap_base)</f>
        <v>0.523620207181278</v>
      </c>
      <c r="V57" s="71" t="n">
        <v>56.58</v>
      </c>
      <c r="W57" s="49" t="n">
        <f aca="false">V57*1000000*lf_rate*union_skill_share</f>
        <v>2851632</v>
      </c>
      <c r="X57" s="47" t="n">
        <v>94000</v>
      </c>
      <c r="Y57" s="49" t="n">
        <f aca="false">IF(AND(mig_endo=1,$A57&gt;=talent_start),talent_rate_u*W57*U57*(1-(1-bd_keep)*S57),0)</f>
        <v>14931.7213864476</v>
      </c>
      <c r="Z57" s="49" t="n">
        <f aca="false">IF(AND(mig_endo=1,$A57&gt;=talent_start),X57*MIN(0.5,talent_share_o*U57)*(1-eu_comp*S57),0)</f>
        <v>13289.4808582608</v>
      </c>
      <c r="AA57" s="47" t="n">
        <v>18000</v>
      </c>
      <c r="AB57" s="49" t="n">
        <f aca="false">IF(AND(mig_endo=1,$A57&gt;=talent_start),AA57*MIN(0.5,talent_share_a*U57),0)</f>
        <v>1885.0327458526</v>
      </c>
      <c r="AC57" s="49" t="n">
        <f aca="false">entry_cap*People!B57</f>
        <v>26075.1874690043</v>
      </c>
      <c r="AD57" s="49" t="n">
        <f aca="false">MIN(AC57,Y57+Z57+AB57)</f>
        <v>26075.1874690043</v>
      </c>
      <c r="AE57" s="49" t="n">
        <f aca="false">IF(Y57+Z57+AB57&gt;0,AD57*Y57/(Y57+Z57+AB57),0)</f>
        <v>12932.4518495465</v>
      </c>
      <c r="AF57" s="49" t="n">
        <f aca="false">IF(Y57+Z57+AB57&gt;0,AD57*AB57/(Y57+Z57+AB57),0)</f>
        <v>1632.63796515004</v>
      </c>
      <c r="AG57" s="49" t="n">
        <f aca="false">AD57*family_mult</f>
        <v>57365.4124318094</v>
      </c>
      <c r="AH57" s="49" t="n">
        <f aca="false">AH56*(1+Paths!C57)+AG57</f>
        <v>1051662.37855284</v>
      </c>
      <c r="AI57" s="49" t="n">
        <f aca="false">IF(AND(mig_endo=1,$A57&gt;=talent_start),chain_rate*AH56,0)</f>
        <v>14655.7799752523</v>
      </c>
      <c r="AJ57" s="49" t="n">
        <f aca="false">IF(AND(mig_endo=1,$A57&gt;=talent_start),IF(H56&gt;0,H56*job_fill,H56*job_return)*job_family,0)</f>
        <v>7511.52808022767</v>
      </c>
      <c r="AK57" s="49" t="n">
        <f aca="false">K57*gw_conv_family</f>
        <v>14901.9114921992</v>
      </c>
      <c r="AL57" s="49" t="n">
        <f aca="false">AG57+AI57+AJ57+AK57+AR57</f>
        <v>137633.299071944</v>
      </c>
      <c r="AM57" s="49" t="n">
        <f aca="false">AM56*(1-skill_ret)+AD57</f>
        <v>286151.392121494</v>
      </c>
      <c r="AN57" s="67" t="n">
        <f aca="false">AM57/B57</f>
        <v>0.0767602893416603</v>
      </c>
      <c r="AO57" s="67" t="n">
        <f aca="false">(skill_rel-1+skill_spill)*AM56/B56-AT57</f>
        <v>0.0849548461445749</v>
      </c>
      <c r="AP57" s="67" t="n">
        <f aca="false">talent_champ*AM56/(skill_base_share*B56)</f>
        <v>0.149249006933175</v>
      </c>
      <c r="AQ57" s="47" t="n">
        <v>330000</v>
      </c>
      <c r="AR57" s="49" t="n">
        <f aca="false">IF(AND(div_on=1,$A57&gt;=div_start),AQ57*MIN(div_max,div_rate*U57)*(1-div_comp*S57),0)</f>
        <v>43198.6670924554</v>
      </c>
      <c r="AS57" s="49" t="n">
        <f aca="false">AS56*(1-div_assim)+AR57</f>
        <v>433130.253788023</v>
      </c>
      <c r="AT57" s="67" t="n">
        <f aca="false">(1-div_rel)*AS56/Economy!B56</f>
        <v>0.0120570083619887</v>
      </c>
      <c r="AU57" s="49" t="n">
        <f aca="false">AU56*(1-skill_ret)+AE57</f>
        <v>159992.787421191</v>
      </c>
      <c r="AV57" s="49" t="n">
        <f aca="false">AV56*(1+union_nat)+AR57</f>
        <v>642734.963871149</v>
      </c>
      <c r="AW57" s="49" t="n">
        <f aca="false">AW56*(1+union_nat)+AE57*family_mult</f>
        <v>613177.020603474</v>
      </c>
      <c r="AX57" s="70" t="n">
        <f aca="false">V57-(AV57+AW57)/1000000</f>
        <v>55.3240880155254</v>
      </c>
      <c r="AY57" s="49" t="n">
        <f aca="false">L57*gw_union</f>
        <v>61322.0217044444</v>
      </c>
      <c r="AZ57" s="48" t="n">
        <v>1.094</v>
      </c>
      <c r="BA57" s="49" t="n">
        <f aca="false">Economy!Q57*AZ57/lf_rate</f>
        <v>567.838095238095</v>
      </c>
      <c r="BB57" s="67" t="n">
        <f aca="false">bd_growth*AU56/W56</f>
        <v>0.00161359497927594</v>
      </c>
      <c r="BC57" s="67" t="n">
        <f aca="false">tg_k*MIN(1,Economy!O56/BK56)</f>
        <v>0.000962937480500756</v>
      </c>
      <c r="BD57" s="67" t="n">
        <f aca="false">emu_g*S57</f>
        <v>0</v>
      </c>
      <c r="BE57" s="68" t="n">
        <f aca="false">BE56*(1-BB57-BC57+BD57)</f>
        <v>0.940984495194704</v>
      </c>
      <c r="BF57" s="48" t="n">
        <v>1</v>
      </c>
      <c r="BG57" s="56" t="n">
        <f aca="false">AU57*BA57*BE57*(skill_rel-1+skill_spill)/1000000</f>
        <v>111.134973390379</v>
      </c>
      <c r="BH57" s="56" t="n">
        <f aca="false">union_disp*(Champions!AP57+Champions!AZ57)*(1-IF(union_resp=2,mkt_cut*S57,0))</f>
        <v>59.5232615113646</v>
      </c>
      <c r="BI57" s="56" t="n">
        <f aca="false">AY57*BA57*BE57/1000000</f>
        <v>32.7660022882385</v>
      </c>
      <c r="BJ57" s="49" t="n">
        <f aca="false">V57*Economy!Q57*AZ57</f>
        <v>13493.87736</v>
      </c>
      <c r="BK57" s="49" t="n">
        <f aca="false">MAX(0.3*BJ57,AX57*Economy!Q57*AZ57*BE57*BF57-BG57-BH57-BI57)</f>
        <v>12212.2567944028</v>
      </c>
      <c r="BL57" s="66" t="n">
        <f aca="false">1-BK57/BJ57</f>
        <v>0.0949779319468477</v>
      </c>
      <c r="BM57" s="49" t="n">
        <f aca="false">MAX(0,BH57-BH56)*1000000/BA57</f>
        <v>10266.898415275</v>
      </c>
      <c r="BN57" s="49" t="n">
        <f aca="false">BN56*(1-IF(AND($A57&gt;=1930,$A57&lt;=1932),0,union_reabsorb))+BM57</f>
        <v>34889.2280018015</v>
      </c>
      <c r="BO57" s="62" t="n">
        <v>0.145</v>
      </c>
      <c r="BP57" s="66" t="n">
        <f aca="false">BO57+BN57/(AX57*1000000*lf_rate)</f>
        <v>0.146501508537423</v>
      </c>
    </row>
    <row r="58" customFormat="false" ht="14.25" hidden="false" customHeight="true" outlineLevel="0" collapsed="false">
      <c r="A58" s="61" t="n">
        <v>1898</v>
      </c>
      <c r="B58" s="49" t="n">
        <f aca="false">Economy!B58*lf_rate</f>
        <v>3884465.41291233</v>
      </c>
      <c r="C58" s="49" t="n">
        <f aca="false">Economy!O58*1000000/(B58+L58)</f>
        <v>1087.36269093382</v>
      </c>
      <c r="D58" s="49" t="n">
        <f aca="false">Champions!AP58*1000000/(C58*champ_prem)</f>
        <v>91464.607662689</v>
      </c>
      <c r="E58" s="49" t="n">
        <f aca="false">D58*job_mult</f>
        <v>64025.2253638823</v>
      </c>
      <c r="F58" s="49" t="n">
        <f aca="false">D58+E58</f>
        <v>155489.833026571</v>
      </c>
      <c r="G58" s="66" t="n">
        <f aca="false">F58/B58</f>
        <v>0.040028631098042</v>
      </c>
      <c r="H58" s="49" t="n">
        <f aca="false">F58-F57</f>
        <v>4933.15487107344</v>
      </c>
      <c r="I58" s="66" t="n">
        <f aca="false">MAX(0.005,pac_u_base*IF(Paths!AC58=1,pac_u_war,1)+(okun*(1-Economy!G58)*(B58+L58)-MAX(0,L57-L58))/B58)</f>
        <v>0.015</v>
      </c>
      <c r="J58" s="49" t="n">
        <f aca="false">IF(AND(gw_on=1,$A58&gt;=gw_start),MIN(gw_cap*B57,gw_cover*F57+gw_gen*B57),0)</f>
        <v>388562.577499992</v>
      </c>
      <c r="K58" s="49" t="n">
        <f aca="false">L57*gw_conv</f>
        <v>9198.30325566666</v>
      </c>
      <c r="L58" s="49" t="n">
        <f aca="false">MAX(0,L57-K58+gw_adj*(J58-L57))*MAX(0,1-gw_slump*(1-Economy!G58))</f>
        <v>330192.792857663</v>
      </c>
      <c r="M58" s="49" t="n">
        <f aca="false">MAX(0,L58-L57+L57/gw_term)</f>
        <v>125786.053842849</v>
      </c>
      <c r="N58" s="66" t="n">
        <f aca="false">L58/B58</f>
        <v>0.0850034065846155</v>
      </c>
      <c r="O58" s="56" t="n">
        <f aca="false">Economy!L58</f>
        <v>212.852374507691</v>
      </c>
      <c r="P58" s="56" t="n">
        <f aca="false">O58*gw_wage_share</f>
        <v>138.354043429999</v>
      </c>
      <c r="Q58" s="56" t="n">
        <f aca="false">P58*gw_levy</f>
        <v>34.5885108574998</v>
      </c>
      <c r="R58" s="56" t="n">
        <f aca="false">P58*gw_remit</f>
        <v>34.5885108574998</v>
      </c>
      <c r="S58" s="66" t="n">
        <f aca="false">IF(union_resp&gt;=1,MIN(1,MAX(0,($A58-resp_start)/(resp_full-resp_start))),0)</f>
        <v>0</v>
      </c>
      <c r="T58" s="70" t="n">
        <f aca="false">Economy!R57</f>
        <v>2.08642948542288</v>
      </c>
      <c r="U58" s="70" t="n">
        <f aca="false">MAX(0,T58-gap_base)</f>
        <v>0.58642948542288</v>
      </c>
      <c r="V58" s="71" t="n">
        <v>57.52</v>
      </c>
      <c r="W58" s="49" t="n">
        <f aca="false">V58*1000000*lf_rate*union_skill_share</f>
        <v>2899008</v>
      </c>
      <c r="X58" s="47" t="n">
        <v>96000</v>
      </c>
      <c r="Y58" s="49" t="n">
        <f aca="false">IF(AND(mig_endo=1,$A58&gt;=talent_start),talent_rate_u*W58*U58*(1-(1-bd_keep)*S58),0)</f>
        <v>17000.6376967681</v>
      </c>
      <c r="Z58" s="49" t="n">
        <f aca="false">IF(AND(mig_endo=1,$A58&gt;=talent_start),X58*MIN(0.5,talent_share_o*U58)*(1-eu_comp*S58),0)</f>
        <v>15200.2522621611</v>
      </c>
      <c r="AA58" s="47" t="n">
        <v>20000</v>
      </c>
      <c r="AB58" s="49" t="n">
        <f aca="false">IF(AND(mig_endo=1,$A58&gt;=talent_start),AA58*MIN(0.5,talent_share_a*U58),0)</f>
        <v>2345.71794169152</v>
      </c>
      <c r="AC58" s="49" t="n">
        <f aca="false">entry_cap*People!B58</f>
        <v>27179.914425048</v>
      </c>
      <c r="AD58" s="49" t="n">
        <f aca="false">MIN(AC58,Y58+Z58+AB58)</f>
        <v>27179.914425048</v>
      </c>
      <c r="AE58" s="49" t="n">
        <f aca="false">IF(Y58+Z58+AB58&gt;0,AD58*Y58/(Y58+Z58+AB58),0)</f>
        <v>13375.4341120449</v>
      </c>
      <c r="AF58" s="49" t="n">
        <f aca="false">IF(Y58+Z58+AB58&gt;0,AD58*AB58/(Y58+Z58+AB58),0)</f>
        <v>1845.51875842287</v>
      </c>
      <c r="AG58" s="49" t="n">
        <f aca="false">AD58*family_mult</f>
        <v>59795.8117351057</v>
      </c>
      <c r="AH58" s="49" t="n">
        <f aca="false">AH57*(1+Paths!C58)+AG58</f>
        <v>1129810.75045608</v>
      </c>
      <c r="AI58" s="49" t="n">
        <f aca="false">IF(AND(mig_endo=1,$A58&gt;=talent_start),chain_rate*AH57,0)</f>
        <v>15774.9356782927</v>
      </c>
      <c r="AJ58" s="49" t="n">
        <f aca="false">IF(AND(mig_endo=1,$A58&gt;=talent_start),IF(H57&gt;0,H57*job_fill,H57*job_return)*job_family,0)</f>
        <v>3163.78285162973</v>
      </c>
      <c r="AK58" s="49" t="n">
        <f aca="false">K58*gw_conv_family</f>
        <v>16556.9458602</v>
      </c>
      <c r="AL58" s="49" t="n">
        <f aca="false">AG58+AI58+AJ58+AK58+AR58</f>
        <v>142205.834959058</v>
      </c>
      <c r="AM58" s="49" t="n">
        <f aca="false">AM57*(1-skill_ret)+AD58</f>
        <v>306177.521743505</v>
      </c>
      <c r="AN58" s="67" t="n">
        <f aca="false">AM58/B58</f>
        <v>0.0788210189041049</v>
      </c>
      <c r="AO58" s="67" t="n">
        <f aca="false">(skill_rel-1+skill_spill)*AM57/B57-AT58</f>
        <v>0.0875886927790873</v>
      </c>
      <c r="AP58" s="67" t="n">
        <f aca="false">talent_champ*AM57/(skill_base_share*B57)</f>
        <v>0.153520578683321</v>
      </c>
      <c r="AQ58" s="47" t="n">
        <v>320000</v>
      </c>
      <c r="AR58" s="49" t="n">
        <f aca="false">IF(AND(div_on=1,$A58&gt;=div_start),AQ58*MIN(div_max,div_rate*U58)*(1-div_comp*S58),0)</f>
        <v>46914.3588338304</v>
      </c>
      <c r="AS58" s="49" t="n">
        <f aca="false">AS57*(1-div_assim)+AR58</f>
        <v>458388.099932452</v>
      </c>
      <c r="AT58" s="67" t="n">
        <f aca="false">(1-div_rel)*AS57/Economy!B57</f>
        <v>0.0121996833650711</v>
      </c>
      <c r="AU58" s="49" t="n">
        <f aca="false">AU57*(1-skill_ret)+AE58</f>
        <v>169368.401847706</v>
      </c>
      <c r="AV58" s="49" t="n">
        <f aca="false">AV57*(1+union_nat)+AR58</f>
        <v>698004.877235304</v>
      </c>
      <c r="AW58" s="49" t="n">
        <f aca="false">AW57*(1+union_nat)+AE58*family_mult</f>
        <v>650574.276917818</v>
      </c>
      <c r="AX58" s="70" t="n">
        <f aca="false">V58-(AV58+AW58)/1000000</f>
        <v>56.1714208458469</v>
      </c>
      <c r="AY58" s="49" t="n">
        <f aca="false">L58*gw_union</f>
        <v>66038.5585715326</v>
      </c>
      <c r="AZ58" s="48" t="n">
        <v>1.094</v>
      </c>
      <c r="BA58" s="49" t="n">
        <f aca="false">Economy!Q58*AZ58/lf_rate</f>
        <v>593.885714285714</v>
      </c>
      <c r="BB58" s="67" t="n">
        <f aca="false">bd_growth*AU57/W57</f>
        <v>0.00168317076769924</v>
      </c>
      <c r="BC58" s="67" t="n">
        <f aca="false">tg_k*MIN(1,Economy!O57/BK57)</f>
        <v>0.00102599347124827</v>
      </c>
      <c r="BD58" s="67" t="n">
        <f aca="false">emu_g*S58</f>
        <v>0</v>
      </c>
      <c r="BE58" s="68" t="n">
        <f aca="false">BE57*(1-BB58-BC58+BD58)</f>
        <v>0.938435213650918</v>
      </c>
      <c r="BF58" s="48" t="n">
        <v>1</v>
      </c>
      <c r="BG58" s="56" t="n">
        <f aca="false">AU58*BA58*BE58*(skill_rel-1+skill_spill)/1000000</f>
        <v>122.71083639505</v>
      </c>
      <c r="BH58" s="56" t="n">
        <f aca="false">union_disp*(Champions!AP58+Champions!AZ58)*(1-IF(union_resp=2,mkt_cut*S58,0))</f>
        <v>64.7371232759366</v>
      </c>
      <c r="BI58" s="56" t="n">
        <f aca="false">AY58*BA58*BE58/1000000</f>
        <v>36.8048252222802</v>
      </c>
      <c r="BJ58" s="49" t="n">
        <f aca="false">V58*Economy!Q58*AZ58</f>
        <v>14347.32864</v>
      </c>
      <c r="BK58" s="49" t="n">
        <f aca="false">MAX(0.3*BJ58,AX58*Economy!Q58*AZ58*BE58*BF58-BG58-BH58-BI58)</f>
        <v>12924.1159258085</v>
      </c>
      <c r="BL58" s="66" t="n">
        <f aca="false">1-BK58/BJ58</f>
        <v>0.0991970526292683</v>
      </c>
      <c r="BM58" s="49" t="n">
        <f aca="false">MAX(0,BH58-BH57)*1000000/BA58</f>
        <v>8779.23418454828</v>
      </c>
      <c r="BN58" s="49" t="n">
        <f aca="false">BN57*(1-IF(AND($A58&gt;=1930,$A58&lt;=1932),0,union_reabsorb))+BM58</f>
        <v>34946.1551858994</v>
      </c>
      <c r="BO58" s="62" t="n">
        <v>0.124</v>
      </c>
      <c r="BP58" s="66" t="n">
        <f aca="false">BO58+BN58/(AX58*1000000*lf_rate)</f>
        <v>0.125481271617169</v>
      </c>
    </row>
    <row r="59" customFormat="false" ht="14.25" hidden="false" customHeight="true" outlineLevel="0" collapsed="false">
      <c r="A59" s="61" t="n">
        <v>1899</v>
      </c>
      <c r="B59" s="49" t="n">
        <f aca="false">Economy!B59*lf_rate</f>
        <v>4044938.9198395</v>
      </c>
      <c r="C59" s="49" t="n">
        <f aca="false">Economy!O59*1000000/(B59+L59)</f>
        <v>1141.39055562905</v>
      </c>
      <c r="D59" s="49" t="n">
        <f aca="false">Champions!AP59*1000000/(C59*champ_prem)</f>
        <v>94440.4752795336</v>
      </c>
      <c r="E59" s="49" t="n">
        <f aca="false">D59*job_mult</f>
        <v>66108.3326956735</v>
      </c>
      <c r="F59" s="49" t="n">
        <f aca="false">D59+E59</f>
        <v>160548.807975207</v>
      </c>
      <c r="G59" s="66" t="n">
        <f aca="false">F59/B59</f>
        <v>0.0396912811681165</v>
      </c>
      <c r="H59" s="49" t="n">
        <f aca="false">F59-F58</f>
        <v>5058.97494863588</v>
      </c>
      <c r="I59" s="66" t="n">
        <f aca="false">MAX(0.005,pac_u_base*IF(Paths!AC59=1,pac_u_war,1)+(okun*(1-Economy!G59)*(B59+L59)-MAX(0,L58-L59))/B59)</f>
        <v>0.015</v>
      </c>
      <c r="J59" s="49" t="n">
        <f aca="false">IF(AND(gw_on=1,$A59&gt;=gw_start),MIN(gw_cap*B58,gw_cover*F58+gw_gen*B58),0)</f>
        <v>404051.132848929</v>
      </c>
      <c r="K59" s="49" t="n">
        <f aca="false">L58*gw_conv</f>
        <v>9905.78378572989</v>
      </c>
      <c r="L59" s="49" t="n">
        <f aca="false">MAX(0,L58-K59+gw_adj*(J59-L58))*MAX(0,1-gw_slump*(1-Economy!G59))</f>
        <v>349830.34506844</v>
      </c>
      <c r="M59" s="49" t="n">
        <f aca="false">MAX(0,L59-L58+L58/gw_term)</f>
        <v>129701.816496664</v>
      </c>
      <c r="N59" s="66" t="n">
        <f aca="false">L59/B59</f>
        <v>0.0864859400849297</v>
      </c>
      <c r="O59" s="56" t="n">
        <f aca="false">Economy!L59</f>
        <v>236.818062116215</v>
      </c>
      <c r="P59" s="56" t="n">
        <f aca="false">O59*gw_wage_share</f>
        <v>153.93174037554</v>
      </c>
      <c r="Q59" s="56" t="n">
        <f aca="false">P59*gw_levy</f>
        <v>38.482935093885</v>
      </c>
      <c r="R59" s="56" t="n">
        <f aca="false">P59*gw_remit</f>
        <v>38.482935093885</v>
      </c>
      <c r="S59" s="66" t="n">
        <f aca="false">IF(union_resp&gt;=1,MIN(1,MAX(0,($A59-resp_start)/(resp_full-resp_start))),0)</f>
        <v>0</v>
      </c>
      <c r="T59" s="70" t="n">
        <f aca="false">Economy!R58</f>
        <v>2.09838607965607</v>
      </c>
      <c r="U59" s="70" t="n">
        <f aca="false">MAX(0,T59-gap_base)</f>
        <v>0.598386079656072</v>
      </c>
      <c r="V59" s="71" t="n">
        <v>58.46</v>
      </c>
      <c r="W59" s="49" t="n">
        <f aca="false">V59*1000000*lf_rate*union_skill_share</f>
        <v>2946384</v>
      </c>
      <c r="X59" s="47" t="n">
        <v>98000</v>
      </c>
      <c r="Y59" s="49" t="n">
        <f aca="false">IF(AND(mig_endo=1,$A59&gt;=talent_start),talent_rate_u*W59*U59*(1-(1-bd_keep)*S59),0)</f>
        <v>17630.7517092138</v>
      </c>
      <c r="Z59" s="49" t="n">
        <f aca="false">IF(AND(mig_endo=1,$A59&gt;=talent_start),X59*MIN(0.5,talent_share_o*U59)*(1-eu_comp*S59),0)</f>
        <v>15833.2956676997</v>
      </c>
      <c r="AA59" s="47" t="n">
        <v>21000</v>
      </c>
      <c r="AB59" s="49" t="n">
        <f aca="false">IF(AND(mig_endo=1,$A59&gt;=talent_start),AA59*MIN(0.5,talent_share_a*U59),0)</f>
        <v>2513.2215345555</v>
      </c>
      <c r="AC59" s="49" t="n">
        <f aca="false">entry_cap*People!B59</f>
        <v>28312.4486165567</v>
      </c>
      <c r="AD59" s="49" t="n">
        <f aca="false">MIN(AC59,Y59+Z59+AB59)</f>
        <v>28312.4486165567</v>
      </c>
      <c r="AE59" s="49" t="n">
        <f aca="false">IF(Y59+Z59+AB59&gt;0,AD59*Y59/(Y59+Z59+AB59),0)</f>
        <v>13874.5871196259</v>
      </c>
      <c r="AF59" s="49" t="n">
        <f aca="false">IF(Y59+Z59+AB59&gt;0,AD59*AB59/(Y59+Z59+AB59),0)</f>
        <v>1977.78924615491</v>
      </c>
      <c r="AG59" s="49" t="n">
        <f aca="false">AD59*family_mult</f>
        <v>62287.3869564248</v>
      </c>
      <c r="AH59" s="49" t="n">
        <f aca="false">AH58*(1+Paths!C59)+AG59</f>
        <v>1211599.80077612</v>
      </c>
      <c r="AI59" s="49" t="n">
        <f aca="false">IF(AND(mig_endo=1,$A59&gt;=talent_start),chain_rate*AH58,0)</f>
        <v>16947.1612568411</v>
      </c>
      <c r="AJ59" s="49" t="n">
        <f aca="false">IF(AND(mig_endo=1,$A59&gt;=talent_start),IF(H58&gt;0,H58*job_fill,H58*job_return)*job_family,0)</f>
        <v>3107.88756877626</v>
      </c>
      <c r="AK59" s="49" t="n">
        <f aca="false">K59*gw_conv_family</f>
        <v>17830.4108143138</v>
      </c>
      <c r="AL59" s="49" t="n">
        <f aca="false">AG59+AI59+AJ59+AK59+AR59</f>
        <v>146547.767769702</v>
      </c>
      <c r="AM59" s="49" t="n">
        <f aca="false">AM58*(1-skill_ret)+AD59</f>
        <v>326835.532316474</v>
      </c>
      <c r="AN59" s="67" t="n">
        <f aca="false">AM59/B59</f>
        <v>0.0808011044897167</v>
      </c>
      <c r="AO59" s="67" t="n">
        <f aca="false">(skill_rel-1+skill_spill)*AM58/B58-AT59</f>
        <v>0.0900767520314501</v>
      </c>
      <c r="AP59" s="67" t="n">
        <f aca="false">talent_champ*AM58/(skill_base_share*B58)</f>
        <v>0.15764203780821</v>
      </c>
      <c r="AQ59" s="47" t="n">
        <v>310000</v>
      </c>
      <c r="AR59" s="49" t="n">
        <f aca="false">IF(AND(div_on=1,$A59&gt;=div_start),AQ59*MIN(div_max,div_rate*U59)*(1-div_comp*S59),0)</f>
        <v>46374.9211733456</v>
      </c>
      <c r="AS59" s="49" t="n">
        <f aca="false">AS58*(1-div_assim)+AR59</f>
        <v>481843.616109175</v>
      </c>
      <c r="AT59" s="67" t="n">
        <f aca="false">(1-div_rel)*AS58/Economy!B58</f>
        <v>0.0123905725438863</v>
      </c>
      <c r="AU59" s="49" t="n">
        <f aca="false">AU58*(1-skill_ret)+AE59</f>
        <v>179008.778921139</v>
      </c>
      <c r="AV59" s="49" t="n">
        <f aca="false">AV58*(1+union_nat)+AR59</f>
        <v>753453.861812709</v>
      </c>
      <c r="AW59" s="49" t="n">
        <f aca="false">AW58*(1+union_nat)+AE59*family_mult</f>
        <v>689555.834180926</v>
      </c>
      <c r="AX59" s="70" t="n">
        <f aca="false">V59-(AV59+AW59)/1000000</f>
        <v>57.0169903040064</v>
      </c>
      <c r="AY59" s="49" t="n">
        <f aca="false">L59*gw_union</f>
        <v>69966.0690136879</v>
      </c>
      <c r="AZ59" s="48" t="n">
        <v>1.093</v>
      </c>
      <c r="BA59" s="49" t="n">
        <f aca="false">Economy!Q59*AZ59/lf_rate</f>
        <v>616.764285714286</v>
      </c>
      <c r="BB59" s="67" t="n">
        <f aca="false">bd_growth*AU58/W58</f>
        <v>0.00175268645530857</v>
      </c>
      <c r="BC59" s="67" t="n">
        <f aca="false">tg_k*MIN(1,Economy!O58/BK58)</f>
        <v>0.00106379317106884</v>
      </c>
      <c r="BD59" s="67" t="n">
        <f aca="false">emu_g*S59</f>
        <v>0</v>
      </c>
      <c r="BE59" s="68" t="n">
        <f aca="false">BE58*(1-BB59-BC59+BD59)</f>
        <v>0.935792129990995</v>
      </c>
      <c r="BF59" s="48" t="n">
        <v>1</v>
      </c>
      <c r="BG59" s="56" t="n">
        <f aca="false">AU59*BA59*BE59*(skill_rel-1+skill_spill)/1000000</f>
        <v>134.3124553405</v>
      </c>
      <c r="BH59" s="56" t="n">
        <f aca="false">union_disp*(Champions!AP59+Champions!AZ59)*(1-IF(union_resp=2,mkt_cut*S59,0))</f>
        <v>70.2243703187475</v>
      </c>
      <c r="BI59" s="56" t="n">
        <f aca="false">AY59*BA59*BE59/1000000</f>
        <v>40.3818378087273</v>
      </c>
      <c r="BJ59" s="49" t="n">
        <f aca="false">V59*Economy!Q59*AZ59</f>
        <v>15143.53686</v>
      </c>
      <c r="BK59" s="49" t="n">
        <f aca="false">MAX(0.3*BJ59,AX59*Economy!Q59*AZ59*BE59*BF59-BG59-BH59-BI59)</f>
        <v>13576.4860924008</v>
      </c>
      <c r="BL59" s="66" t="n">
        <f aca="false">1-BK59/BJ59</f>
        <v>0.103479839755164</v>
      </c>
      <c r="BM59" s="49" t="n">
        <f aca="false">MAX(0,BH59-BH58)*1000000/BA59</f>
        <v>8896.83006929618</v>
      </c>
      <c r="BN59" s="49" t="n">
        <f aca="false">BN58*(1-IF(AND($A59&gt;=1930,$A59&lt;=1932),0,union_reabsorb))+BM59</f>
        <v>35106.4464587207</v>
      </c>
      <c r="BO59" s="62" t="n">
        <v>0.065</v>
      </c>
      <c r="BP59" s="66" t="n">
        <f aca="false">BO59+BN59/(AX59*1000000*lf_rate)</f>
        <v>0.0664659977111559</v>
      </c>
    </row>
    <row r="60" customFormat="false" ht="14.25" hidden="false" customHeight="true" outlineLevel="0" collapsed="false">
      <c r="A60" s="61" t="n">
        <v>1900</v>
      </c>
      <c r="B60" s="49" t="n">
        <f aca="false">Economy!B60*lf_rate</f>
        <v>4220869.67359794</v>
      </c>
      <c r="C60" s="49" t="n">
        <f aca="false">Economy!O60*1000000/(B60+L60)</f>
        <v>1197.92106020439</v>
      </c>
      <c r="D60" s="49" t="n">
        <f aca="false">Champions!AP60*1000000/(C60*champ_prem)</f>
        <v>98964.1504463065</v>
      </c>
      <c r="E60" s="49" t="n">
        <f aca="false">D60*job_mult</f>
        <v>69274.9053124145</v>
      </c>
      <c r="F60" s="49" t="n">
        <f aca="false">D60+E60</f>
        <v>168239.055758721</v>
      </c>
      <c r="G60" s="66" t="n">
        <f aca="false">F60/B60</f>
        <v>0.0398588605592533</v>
      </c>
      <c r="H60" s="49" t="n">
        <f aca="false">F60-F59</f>
        <v>7690.24778351389</v>
      </c>
      <c r="I60" s="66" t="n">
        <f aca="false">MAX(0.005,pac_u_base*IF(Paths!AC60=1,pac_u_war,1)+(okun*(1-Economy!G60)*(B60+L60)-MAX(0,L59-L60))/B60)</f>
        <v>0.015</v>
      </c>
      <c r="J60" s="49" t="n">
        <f aca="false">IF(AND(gw_on=1,$A60&gt;=gw_start),MIN(gw_cap*B59,gw_cover*F59+gw_gen*B59),0)</f>
        <v>419924.398372285</v>
      </c>
      <c r="K60" s="49" t="n">
        <f aca="false">L59*gw_conv</f>
        <v>10494.9103520532</v>
      </c>
      <c r="L60" s="49" t="n">
        <f aca="false">MAX(0,L59-K60+gw_adj*(J60-L59))*MAX(0,1-gw_slump*(1-Economy!G60))</f>
        <v>367373.056037925</v>
      </c>
      <c r="M60" s="49" t="n">
        <f aca="false">MAX(0,L60-L59+L59/gw_term)</f>
        <v>134152.825992298</v>
      </c>
      <c r="N60" s="66" t="n">
        <f aca="false">L60/B60</f>
        <v>0.087037289574679</v>
      </c>
      <c r="O60" s="56" t="n">
        <f aca="false">Economy!L60</f>
        <v>260.994079371834</v>
      </c>
      <c r="P60" s="56" t="n">
        <f aca="false">O60*gw_wage_share</f>
        <v>169.646151591692</v>
      </c>
      <c r="Q60" s="56" t="n">
        <f aca="false">P60*gw_levy</f>
        <v>42.411537897923</v>
      </c>
      <c r="R60" s="56" t="n">
        <f aca="false">P60*gw_remit</f>
        <v>42.411537897923</v>
      </c>
      <c r="S60" s="66" t="n">
        <f aca="false">IF(union_resp&gt;=1,MIN(1,MAX(0,($A60-resp_start)/(resp_full-resp_start))),0)</f>
        <v>0</v>
      </c>
      <c r="T60" s="70" t="n">
        <f aca="false">Economy!R59</f>
        <v>2.12062430147305</v>
      </c>
      <c r="U60" s="70" t="n">
        <f aca="false">MAX(0,T60-gap_base)</f>
        <v>0.620624301473054</v>
      </c>
      <c r="V60" s="71" t="n">
        <v>59.4</v>
      </c>
      <c r="W60" s="49" t="n">
        <f aca="false">V60*1000000*lf_rate*union_skill_share</f>
        <v>2993760</v>
      </c>
      <c r="X60" s="47" t="n">
        <v>100000</v>
      </c>
      <c r="Y60" s="49" t="n">
        <f aca="false">IF(AND(mig_endo=1,$A60&gt;=talent_start),talent_rate_u*W60*U60*(1-(1-bd_keep)*S60),0)</f>
        <v>18580.0020877797</v>
      </c>
      <c r="Z60" s="49" t="n">
        <f aca="false">IF(AND(mig_endo=1,$A60&gt;=talent_start),X60*MIN(0.5,talent_share_o*U60)*(1-eu_comp*S60),0)</f>
        <v>16756.8561397725</v>
      </c>
      <c r="AA60" s="47" t="n">
        <v>22000</v>
      </c>
      <c r="AB60" s="49" t="n">
        <f aca="false">IF(AND(mig_endo=1,$A60&gt;=talent_start),AA60*MIN(0.5,talent_share_a*U60),0)</f>
        <v>2730.74692648144</v>
      </c>
      <c r="AC60" s="49" t="n">
        <f aca="false">entry_cap*People!B60</f>
        <v>29472.3930954362</v>
      </c>
      <c r="AD60" s="49" t="n">
        <f aca="false">MIN(AC60,Y60+Z60+AB60)</f>
        <v>29472.3930954362</v>
      </c>
      <c r="AE60" s="49" t="n">
        <f aca="false">IF(Y60+Z60+AB60&gt;0,AD60*Y60/(Y60+Z60+AB60),0)</f>
        <v>14384.858806571</v>
      </c>
      <c r="AF60" s="49" t="n">
        <f aca="false">IF(Y60+Z60+AB60&gt;0,AD60*AB60/(Y60+Z60+AB60),0)</f>
        <v>2114.17677933143</v>
      </c>
      <c r="AG60" s="49" t="n">
        <f aca="false">AD60*family_mult</f>
        <v>64839.2648099597</v>
      </c>
      <c r="AH60" s="49" t="n">
        <f aca="false">AH59*(1+Paths!C60)+AG60</f>
        <v>1297133.19018334</v>
      </c>
      <c r="AI60" s="49" t="n">
        <f aca="false">IF(AND(mig_endo=1,$A60&gt;=talent_start),chain_rate*AH59,0)</f>
        <v>18173.9970116418</v>
      </c>
      <c r="AJ60" s="49" t="n">
        <f aca="false">IF(AND(mig_endo=1,$A60&gt;=talent_start),IF(H59&gt;0,H59*job_fill,H59*job_return)*job_family,0)</f>
        <v>3187.1542176406</v>
      </c>
      <c r="AK60" s="49" t="n">
        <f aca="false">K60*gw_conv_family</f>
        <v>18890.8386336957</v>
      </c>
      <c r="AL60" s="49" t="n">
        <f aca="false">AG60+AI60+AJ60+AK60+AR60</f>
        <v>174601.17643792</v>
      </c>
      <c r="AM60" s="49" t="n">
        <f aca="false">AM59*(1-skill_ret)+AD60</f>
        <v>348137.037103998</v>
      </c>
      <c r="AN60" s="67" t="n">
        <f aca="false">AM60/B60</f>
        <v>0.0824799304469499</v>
      </c>
      <c r="AO60" s="67" t="n">
        <f aca="false">(skill_rel-1+skill_spill)*AM59/B59-AT60</f>
        <v>0.0925335634820423</v>
      </c>
      <c r="AP60" s="67" t="n">
        <f aca="false">talent_champ*AM59/(skill_base_share*B59)</f>
        <v>0.161602208979433</v>
      </c>
      <c r="AQ60" s="47" t="n">
        <v>448000</v>
      </c>
      <c r="AR60" s="49" t="n">
        <f aca="false">IF(AND(div_on=1,$A60&gt;=div_start),AQ60*MIN(div_max,div_rate*U60)*(1-div_comp*S60),0)</f>
        <v>69509.9217649821</v>
      </c>
      <c r="AS60" s="49" t="n">
        <f aca="false">AS59*(1-div_assim)+AR60</f>
        <v>527261.357068698</v>
      </c>
      <c r="AT60" s="67" t="n">
        <f aca="false">(1-div_rel)*AS59/Economy!B59</f>
        <v>0.0125078723545894</v>
      </c>
      <c r="AU60" s="49" t="n">
        <f aca="false">AU59*(1-skill_ret)+AE60</f>
        <v>188918.418254682</v>
      </c>
      <c r="AV60" s="49" t="n">
        <f aca="false">AV59*(1+union_nat)+AR60</f>
        <v>832758.683781256</v>
      </c>
      <c r="AW60" s="49" t="n">
        <f aca="false">AW59*(1+union_nat)+AE60*family_mult</f>
        <v>730166.749399735</v>
      </c>
      <c r="AX60" s="70" t="n">
        <f aca="false">V60-(AV60+AW60)/1000000</f>
        <v>57.837074566819</v>
      </c>
      <c r="AY60" s="49" t="n">
        <f aca="false">L60*gw_union</f>
        <v>73474.6112075849</v>
      </c>
      <c r="AZ60" s="48" t="n">
        <v>1.092</v>
      </c>
      <c r="BA60" s="49" t="n">
        <f aca="false">Economy!Q60*AZ60/lf_rate</f>
        <v>639.6</v>
      </c>
      <c r="BB60" s="67" t="n">
        <f aca="false">bd_growth*AU59/W59</f>
        <v>0.00182266241183572</v>
      </c>
      <c r="BC60" s="67" t="n">
        <f aca="false">tg_k*MIN(1,Economy!O59/BK59)</f>
        <v>0.00110841968216116</v>
      </c>
      <c r="BD60" s="67" t="n">
        <f aca="false">emu_g*S60</f>
        <v>0</v>
      </c>
      <c r="BE60" s="68" t="n">
        <f aca="false">BE59*(1-BB60-BC60+BD60)</f>
        <v>0.933049246435075</v>
      </c>
      <c r="BF60" s="48" t="n">
        <v>1</v>
      </c>
      <c r="BG60" s="56" t="n">
        <f aca="false">AU60*BA60*BE60*(skill_rel-1+skill_spill)/1000000</f>
        <v>146.565135743826</v>
      </c>
      <c r="BH60" s="56" t="n">
        <f aca="false">union_disp*(Champions!AP60+Champions!AZ60)*(1-IF(union_resp=2,mkt_cut*S60,0))</f>
        <v>77.0302977667582</v>
      </c>
      <c r="BI60" s="56" t="n">
        <f aca="false">AY60*BA60*BE60/1000000</f>
        <v>43.8480534241345</v>
      </c>
      <c r="BJ60" s="49" t="n">
        <f aca="false">V60*Economy!Q60*AZ60</f>
        <v>15956.7408</v>
      </c>
      <c r="BK60" s="49" t="n">
        <f aca="false">MAX(0.3*BJ60,AX60*Economy!Q60*AZ60*BE60*BF60-BG60-BH60-BI60)</f>
        <v>14229.2391004879</v>
      </c>
      <c r="BL60" s="66" t="n">
        <f aca="false">1-BK60/BJ60</f>
        <v>0.10826156300741</v>
      </c>
      <c r="BM60" s="49" t="n">
        <f aca="false">MAX(0,BH60-BH59)*1000000/BA60</f>
        <v>10640.9122076466</v>
      </c>
      <c r="BN60" s="49" t="n">
        <f aca="false">BN59*(1-IF(AND($A60&gt;=1930,$A60&lt;=1932),0,union_reabsorb))+BM60</f>
        <v>36970.7470516871</v>
      </c>
      <c r="BO60" s="62" t="n">
        <v>0.05</v>
      </c>
      <c r="BP60" s="66" t="n">
        <f aca="false">BO60+BN60/(AX60*1000000*lf_rate)</f>
        <v>0.0515219578251076</v>
      </c>
    </row>
    <row r="61" customFormat="false" ht="14.25" hidden="false" customHeight="true" outlineLevel="0" collapsed="false">
      <c r="A61" s="61" t="n">
        <v>1901</v>
      </c>
      <c r="B61" s="49" t="n">
        <f aca="false">Economy!B61*lf_rate</f>
        <v>4419493.06729893</v>
      </c>
      <c r="C61" s="49" t="n">
        <f aca="false">Economy!O61*1000000/(B61+L61)</f>
        <v>1245.748647019</v>
      </c>
      <c r="D61" s="49" t="n">
        <f aca="false">Champions!AP61*1000000/(C61*champ_prem)</f>
        <v>108795.004381778</v>
      </c>
      <c r="E61" s="49" t="n">
        <f aca="false">D61*job_mult</f>
        <v>76156.5030672448</v>
      </c>
      <c r="F61" s="49" t="n">
        <f aca="false">D61+E61</f>
        <v>184951.507449023</v>
      </c>
      <c r="G61" s="66" t="n">
        <f aca="false">F61/B61</f>
        <v>0.0418490321474948</v>
      </c>
      <c r="H61" s="49" t="n">
        <f aca="false">F61-F60</f>
        <v>16712.4516903022</v>
      </c>
      <c r="I61" s="66" t="n">
        <f aca="false">MAX(0.005,pac_u_base*IF(Paths!AC61=1,pac_u_war,1)+(okun*(1-Economy!G61)*(B61+L61)-MAX(0,L60-L61))/B61)</f>
        <v>0.015</v>
      </c>
      <c r="J61" s="49" t="n">
        <f aca="false">IF(AND(gw_on=1,$A61&gt;=gw_start),MIN(gw_cap*B60,gw_cover*F60+gw_gen*B60),0)</f>
        <v>438613.007343067</v>
      </c>
      <c r="K61" s="49" t="n">
        <f aca="false">L60*gw_conv</f>
        <v>11021.1916811377</v>
      </c>
      <c r="L61" s="49" t="n">
        <f aca="false">MAX(0,L60-K61+gw_adj*(J61-L60))*MAX(0,1-gw_slump*(1-Economy!G61))</f>
        <v>384847.844878844</v>
      </c>
      <c r="M61" s="49" t="n">
        <f aca="false">MAX(0,L61-L60+L60/gw_term)</f>
        <v>139932.474186894</v>
      </c>
      <c r="N61" s="66" t="n">
        <f aca="false">L61/B61</f>
        <v>0.0870796353831713</v>
      </c>
      <c r="O61" s="56" t="n">
        <f aca="false">Economy!L61</f>
        <v>283.943376845276</v>
      </c>
      <c r="P61" s="56" t="n">
        <f aca="false">O61*gw_wage_share</f>
        <v>184.563194949429</v>
      </c>
      <c r="Q61" s="56" t="n">
        <f aca="false">P61*gw_levy</f>
        <v>46.1407987373573</v>
      </c>
      <c r="R61" s="56" t="n">
        <f aca="false">P61*gw_remit</f>
        <v>46.1407987373573</v>
      </c>
      <c r="S61" s="66" t="n">
        <f aca="false">IF(union_resp&gt;=1,MIN(1,MAX(0,($A61-resp_start)/(resp_full-resp_start))),0)</f>
        <v>0</v>
      </c>
      <c r="T61" s="70" t="n">
        <f aca="false">Economy!R60</f>
        <v>2.14483652960596</v>
      </c>
      <c r="U61" s="70" t="n">
        <f aca="false">MAX(0,T61-gap_base)</f>
        <v>0.644836529605956</v>
      </c>
      <c r="V61" s="71" t="n">
        <v>60.68</v>
      </c>
      <c r="W61" s="49" t="n">
        <f aca="false">V61*1000000*lf_rate*union_skill_share</f>
        <v>3058272</v>
      </c>
      <c r="X61" s="47" t="n">
        <v>105000</v>
      </c>
      <c r="Y61" s="49" t="n">
        <f aca="false">IF(AND(mig_endo=1,$A61&gt;=talent_start),talent_rate_u*W61*U61*(1-(1-bd_keep)*S61),0)</f>
        <v>19720.8550307107</v>
      </c>
      <c r="Z61" s="49" t="n">
        <f aca="false">IF(AND(mig_endo=1,$A61&gt;=talent_start),X61*MIN(0.5,talent_share_o*U61)*(1-eu_comp*S61),0)</f>
        <v>18281.1156143289</v>
      </c>
      <c r="AA61" s="47" t="n">
        <v>24000</v>
      </c>
      <c r="AB61" s="49" t="n">
        <f aca="false">IF(AND(mig_endo=1,$A61&gt;=talent_start),AA61*MIN(0.5,talent_share_a*U61),0)</f>
        <v>3095.21534210859</v>
      </c>
      <c r="AC61" s="49" t="n">
        <f aca="false">entry_cap*People!B61</f>
        <v>30825.74509882</v>
      </c>
      <c r="AD61" s="49" t="n">
        <f aca="false">MIN(AC61,Y61+Z61+AB61)</f>
        <v>30825.74509882</v>
      </c>
      <c r="AE61" s="49" t="n">
        <f aca="false">IF(Y61+Z61+AB61&gt;0,AD61*Y61/(Y61+Z61+AB61),0)</f>
        <v>14792.0115624845</v>
      </c>
      <c r="AF61" s="49" t="n">
        <f aca="false">IF(Y61+Z61+AB61&gt;0,AD61*AB61/(Y61+Z61+AB61),0)</f>
        <v>2321.626575397</v>
      </c>
      <c r="AG61" s="49" t="n">
        <f aca="false">AD61*family_mult</f>
        <v>67816.639217404</v>
      </c>
      <c r="AH61" s="49" t="n">
        <f aca="false">AH60*(1+Paths!C61)+AG61</f>
        <v>1387637.98603024</v>
      </c>
      <c r="AI61" s="49" t="n">
        <f aca="false">IF(AND(mig_endo=1,$A61&gt;=talent_start),chain_rate*AH60,0)</f>
        <v>19456.9978527501</v>
      </c>
      <c r="AJ61" s="49" t="n">
        <f aca="false">IF(AND(mig_endo=1,$A61&gt;=talent_start),IF(H60&gt;0,H60*job_fill,H60*job_return)*job_family,0)</f>
        <v>4844.85610361375</v>
      </c>
      <c r="AK61" s="49" t="n">
        <f aca="false">K61*gw_conv_family</f>
        <v>19838.1450260479</v>
      </c>
      <c r="AL61" s="49" t="n">
        <f aca="false">AG61+AI61+AJ61+AK61+AR61</f>
        <v>206263.980654687</v>
      </c>
      <c r="AM61" s="49" t="n">
        <f aca="false">AM60*(1-skill_ret)+AD61</f>
        <v>370259.356275218</v>
      </c>
      <c r="AN61" s="67" t="n">
        <f aca="false">AM61/B61</f>
        <v>0.0837786937635158</v>
      </c>
      <c r="AO61" s="67" t="n">
        <f aca="false">(skill_rel-1+skill_spill)*AM60/B60-AT61</f>
        <v>0.0941075504481026</v>
      </c>
      <c r="AP61" s="67" t="n">
        <f aca="false">talent_champ*AM60/(skill_base_share*B60)</f>
        <v>0.1649598608939</v>
      </c>
      <c r="AQ61" s="47" t="n">
        <v>585000</v>
      </c>
      <c r="AR61" s="49" t="n">
        <f aca="false">IF(AND(div_on=1,$A61&gt;=div_start),AQ61*MIN(div_max,div_rate*U61)*(1-div_comp*S61),0)</f>
        <v>94307.3424548711</v>
      </c>
      <c r="AS61" s="49" t="n">
        <f aca="false">AS60*(1-div_assim)+AR61</f>
        <v>595205.631670134</v>
      </c>
      <c r="AT61" s="67" t="n">
        <f aca="false">(1-div_rel)*AS60/Economy!B60</f>
        <v>0.0131163591329323</v>
      </c>
      <c r="AU61" s="49" t="n">
        <f aca="false">AU60*(1-skill_ret)+AE61</f>
        <v>198987.469360799</v>
      </c>
      <c r="AV61" s="49" t="n">
        <f aca="false">AV60*(1+union_nat)+AR61</f>
        <v>937891.889125283</v>
      </c>
      <c r="AW61" s="49" t="n">
        <f aca="false">AW60*(1+union_nat)+AE61*family_mult</f>
        <v>772201.342579397</v>
      </c>
      <c r="AX61" s="70" t="n">
        <f aca="false">V61-(AV61+AW61)/1000000</f>
        <v>58.9699067682953</v>
      </c>
      <c r="AY61" s="49" t="n">
        <f aca="false">L61*gw_union</f>
        <v>76969.5689757688</v>
      </c>
      <c r="AZ61" s="48" t="n">
        <v>1.089</v>
      </c>
      <c r="BA61" s="49" t="n">
        <f aca="false">Economy!Q61*AZ61/lf_rate</f>
        <v>661.178571428571</v>
      </c>
      <c r="BB61" s="67" t="n">
        <f aca="false">bd_growth*AU60/W60</f>
        <v>0.001893121876049</v>
      </c>
      <c r="BC61" s="67" t="n">
        <f aca="false">tg_k*MIN(1,Economy!O60/BK60)</f>
        <v>0.00115881514598458</v>
      </c>
      <c r="BD61" s="67" t="n">
        <f aca="false">emu_g*S61</f>
        <v>0</v>
      </c>
      <c r="BE61" s="68" t="n">
        <f aca="false">BE60*(1-BB61-BC61+BD61)</f>
        <v>0.9302016388965</v>
      </c>
      <c r="BF61" s="48" t="n">
        <v>1</v>
      </c>
      <c r="BG61" s="56" t="n">
        <f aca="false">AU61*BA61*BE61*(skill_rel-1+skill_spill)/1000000</f>
        <v>159.098084661206</v>
      </c>
      <c r="BH61" s="56" t="n">
        <f aca="false">union_disp*(Champions!AP61+Champions!AZ61)*(1-IF(union_resp=2,mkt_cut*S61,0))</f>
        <v>100.055288853752</v>
      </c>
      <c r="BI61" s="56" t="n">
        <f aca="false">AY61*BA61*BE61/1000000</f>
        <v>47.3385471131573</v>
      </c>
      <c r="BJ61" s="49" t="n">
        <f aca="false">V61*Economy!Q61*AZ61</f>
        <v>16850.5326</v>
      </c>
      <c r="BK61" s="49" t="n">
        <f aca="false">MAX(0.3*BJ61,AX61*Economy!Q61*AZ61*BE61*BF61-BG61-BH61-BI61)</f>
        <v>14926.1629288367</v>
      </c>
      <c r="BL61" s="66" t="n">
        <f aca="false">1-BK61/BJ61</f>
        <v>0.114202305460852</v>
      </c>
      <c r="BM61" s="49" t="n">
        <f aca="false">MAX(0,BH61-BH60)*1000000/BA61</f>
        <v>34824.1641244433</v>
      </c>
      <c r="BN61" s="49" t="n">
        <f aca="false">BN60*(1-IF(AND($A61&gt;=1930,$A61&lt;=1932),0,union_reabsorb))+BM61</f>
        <v>62552.2244132087</v>
      </c>
      <c r="BO61" s="62" t="n">
        <v>0.045</v>
      </c>
      <c r="BP61" s="66" t="n">
        <f aca="false">BO61+BN61/(AX61*1000000*lf_rate)</f>
        <v>0.0475255910312982</v>
      </c>
    </row>
    <row r="62" customFormat="false" ht="14.25" hidden="false" customHeight="true" outlineLevel="0" collapsed="false">
      <c r="A62" s="61" t="n">
        <v>1902</v>
      </c>
      <c r="B62" s="49" t="n">
        <f aca="false">Economy!B62*lf_rate</f>
        <v>4637453.42607638</v>
      </c>
      <c r="C62" s="49" t="n">
        <f aca="false">Economy!O62*1000000/(B62+L62)</f>
        <v>1294.46293764578</v>
      </c>
      <c r="D62" s="49" t="n">
        <f aca="false">Champions!AP62*1000000/(C62*champ_prem)</f>
        <v>118242.524537618</v>
      </c>
      <c r="E62" s="49" t="n">
        <f aca="false">D62*job_mult</f>
        <v>82769.7671763323</v>
      </c>
      <c r="F62" s="49" t="n">
        <f aca="false">D62+E62</f>
        <v>201012.29171395</v>
      </c>
      <c r="G62" s="66" t="n">
        <f aca="false">F62/B62</f>
        <v>0.0433454038769767</v>
      </c>
      <c r="H62" s="49" t="n">
        <f aca="false">F62-F61</f>
        <v>16060.7842649266</v>
      </c>
      <c r="I62" s="66" t="n">
        <f aca="false">MAX(0.005,pac_u_base*IF(Paths!AC62=1,pac_u_war,1)+(okun*(1-Economy!G62)*(B62+L62)-MAX(0,L61-L62))/B62)</f>
        <v>0.015</v>
      </c>
      <c r="J62" s="49" t="n">
        <f aca="false">IF(AND(gw_on=1,$A62&gt;=gw_start),MIN(gw_cap*B61,gw_cover*F61+gw_gen*B61),0)</f>
        <v>464530.349853328</v>
      </c>
      <c r="K62" s="49" t="n">
        <f aca="false">L61*gw_conv</f>
        <v>11545.4353463653</v>
      </c>
      <c r="L62" s="49" t="n">
        <f aca="false">MAX(0,L61-K62+gw_adj*(J62-L61))*MAX(0,1-gw_slump*(1-Economy!G62))</f>
        <v>405175.411522272</v>
      </c>
      <c r="M62" s="49" t="n">
        <f aca="false">MAX(0,L62-L61+L61/gw_term)</f>
        <v>148610.181603043</v>
      </c>
      <c r="N62" s="66" t="n">
        <f aca="false">L62/B62</f>
        <v>0.0873702384252471</v>
      </c>
      <c r="O62" s="56" t="n">
        <f aca="false">Economy!L62</f>
        <v>310.403160928732</v>
      </c>
      <c r="P62" s="56" t="n">
        <f aca="false">O62*gw_wage_share</f>
        <v>201.762054603675</v>
      </c>
      <c r="Q62" s="56" t="n">
        <f aca="false">P62*gw_levy</f>
        <v>50.4405136509189</v>
      </c>
      <c r="R62" s="56" t="n">
        <f aca="false">P62*gw_remit</f>
        <v>50.4405136509189</v>
      </c>
      <c r="S62" s="66" t="n">
        <f aca="false">IF(union_resp&gt;=1,MIN(1,MAX(0,($A62-resp_start)/(resp_full-resp_start))),0)</f>
        <v>0</v>
      </c>
      <c r="T62" s="70" t="n">
        <f aca="false">Economy!R61</f>
        <v>2.15179460605249</v>
      </c>
      <c r="U62" s="70" t="n">
        <f aca="false">MAX(0,T62-gap_base)</f>
        <v>0.651794606052485</v>
      </c>
      <c r="V62" s="71" t="n">
        <v>61.97</v>
      </c>
      <c r="W62" s="49" t="n">
        <f aca="false">V62*1000000*lf_rate*union_skill_share</f>
        <v>3123288</v>
      </c>
      <c r="X62" s="47" t="n">
        <v>109000</v>
      </c>
      <c r="Y62" s="49" t="n">
        <f aca="false">IF(AND(mig_endo=1,$A62&gt;=talent_start),talent_rate_u*W62*U62*(1-(1-bd_keep)*S62),0)</f>
        <v>20357.4227154845</v>
      </c>
      <c r="Z62" s="49" t="n">
        <f aca="false">IF(AND(mig_endo=1,$A62&gt;=talent_start),X62*MIN(0.5,talent_share_o*U62)*(1-eu_comp*S62),0)</f>
        <v>19182.3152561246</v>
      </c>
      <c r="AA62" s="47" t="n">
        <v>26000</v>
      </c>
      <c r="AB62" s="49" t="n">
        <f aca="false">IF(AND(mig_endo=1,$A62&gt;=talent_start),AA62*MIN(0.5,talent_share_a*U62),0)</f>
        <v>3389.33195147292</v>
      </c>
      <c r="AC62" s="49" t="n">
        <f aca="false">entry_cap*People!B62</f>
        <v>32309.8701483075</v>
      </c>
      <c r="AD62" s="49" t="n">
        <f aca="false">MIN(AC62,Y62+Z62+AB62)</f>
        <v>32309.8701483075</v>
      </c>
      <c r="AE62" s="49" t="n">
        <f aca="false">IF(Y62+Z62+AB62&gt;0,AD62*Y62/(Y62+Z62+AB62),0)</f>
        <v>15321.6849484516</v>
      </c>
      <c r="AF62" s="49" t="n">
        <f aca="false">IF(Y62+Z62+AB62&gt;0,AD62*AB62/(Y62+Z62+AB62),0)</f>
        <v>2550.92587465351</v>
      </c>
      <c r="AG62" s="49" t="n">
        <f aca="false">AD62*family_mult</f>
        <v>71081.7143262766</v>
      </c>
      <c r="AH62" s="49" t="n">
        <f aca="false">AH61*(1+Paths!C62)+AG62</f>
        <v>1483666.65606937</v>
      </c>
      <c r="AI62" s="49" t="n">
        <f aca="false">IF(AND(mig_endo=1,$A62&gt;=talent_start),chain_rate*AH61,0)</f>
        <v>20814.5697904536</v>
      </c>
      <c r="AJ62" s="49" t="n">
        <f aca="false">IF(AND(mig_endo=1,$A62&gt;=talent_start),IF(H61&gt;0,H61*job_fill,H61*job_return)*job_family,0)</f>
        <v>10528.8445648904</v>
      </c>
      <c r="AK62" s="49" t="n">
        <f aca="false">K62*gw_conv_family</f>
        <v>20781.7836234576</v>
      </c>
      <c r="AL62" s="49" t="n">
        <f aca="false">AG62+AI62+AJ62+AK62+AR62</f>
        <v>240855.838697552</v>
      </c>
      <c r="AM62" s="49" t="n">
        <f aca="false">AM61*(1-skill_ret)+AD62</f>
        <v>393312.742516645</v>
      </c>
      <c r="AN62" s="67" t="n">
        <f aca="false">AM62/B62</f>
        <v>0.0848122248096443</v>
      </c>
      <c r="AO62" s="67" t="n">
        <f aca="false">(skill_rel-1+skill_spill)*AM61/B61-AT62</f>
        <v>0.094771179738133</v>
      </c>
      <c r="AP62" s="67" t="n">
        <f aca="false">talent_champ*AM61/(skill_base_share*B61)</f>
        <v>0.167557387527032</v>
      </c>
      <c r="AQ62" s="47" t="n">
        <v>722000</v>
      </c>
      <c r="AR62" s="49" t="n">
        <f aca="false">IF(AND(div_on=1,$A62&gt;=div_start),AQ62*MIN(div_max,div_rate*U62)*(1-div_comp*S62),0)</f>
        <v>117648.926392474</v>
      </c>
      <c r="AS62" s="49" t="n">
        <f aca="false">AS61*(1-div_assim)+AR62</f>
        <v>683094.276479101</v>
      </c>
      <c r="AT62" s="67" t="n">
        <f aca="false">(1-div_rel)*AS61/Economy!B61</f>
        <v>0.0141411221544376</v>
      </c>
      <c r="AU62" s="49" t="n">
        <f aca="false">AU61*(1-skill_ret)+AE62</f>
        <v>209334.467575231</v>
      </c>
      <c r="AV62" s="49" t="n">
        <f aca="false">AV61*(1+union_nat)+AR62</f>
        <v>1067733.41007639</v>
      </c>
      <c r="AW62" s="49" t="n">
        <f aca="false">AW61*(1+union_nat)+AE62*family_mult</f>
        <v>815947.666919522</v>
      </c>
      <c r="AX62" s="70" t="n">
        <f aca="false">V62-(AV62+AW62)/1000000</f>
        <v>60.0863189230041</v>
      </c>
      <c r="AY62" s="49" t="n">
        <f aca="false">L62*gw_union</f>
        <v>81035.0823044545</v>
      </c>
      <c r="AZ62" s="48" t="n">
        <v>1.086</v>
      </c>
      <c r="BA62" s="49" t="n">
        <f aca="false">Economy!Q62*AZ62/lf_rate</f>
        <v>682.628571428572</v>
      </c>
      <c r="BB62" s="67" t="n">
        <f aca="false">bd_growth*AU61/W61</f>
        <v>0.00195195982594876</v>
      </c>
      <c r="BC62" s="67" t="n">
        <f aca="false">tg_k*MIN(1,Economy!O61/BK61)</f>
        <v>0.0012029215853461</v>
      </c>
      <c r="BD62" s="67" t="n">
        <f aca="false">emu_g*S62</f>
        <v>0</v>
      </c>
      <c r="BE62" s="68" t="n">
        <f aca="false">BE61*(1-BB62-BC62+BD62)</f>
        <v>0.927266963037189</v>
      </c>
      <c r="BF62" s="48" t="n">
        <v>1</v>
      </c>
      <c r="BG62" s="56" t="n">
        <f aca="false">AU62*BA62*BE62*(skill_rel-1+skill_spill)/1000000</f>
        <v>172.255597394808</v>
      </c>
      <c r="BH62" s="56" t="n">
        <f aca="false">union_disp*(Champions!AP62+Champions!AZ62)*(1-IF(union_resp=2,mkt_cut*S62,0))</f>
        <v>112.729229002977</v>
      </c>
      <c r="BI62" s="56" t="n">
        <f aca="false">AY62*BA62*BE62/1000000</f>
        <v>51.2934990664557</v>
      </c>
      <c r="BJ62" s="49" t="n">
        <f aca="false">V62*Economy!Q62*AZ62</f>
        <v>17767.04688</v>
      </c>
      <c r="BK62" s="49" t="n">
        <f aca="false">MAX(0.3*BJ62,AX62*Economy!Q62*AZ62*BE62*BF62-BG62-BH62-BI62)</f>
        <v>15637.7385014931</v>
      </c>
      <c r="BL62" s="66" t="n">
        <f aca="false">1-BK62/BJ62</f>
        <v>0.1198459368565</v>
      </c>
      <c r="BM62" s="49" t="n">
        <f aca="false">MAX(0,BH62-BH61)*1000000/BA62</f>
        <v>18566.3780856728</v>
      </c>
      <c r="BN62" s="49" t="n">
        <f aca="false">BN61*(1-IF(AND($A62&gt;=1930,$A62&lt;=1932),0,union_reabsorb))+BM62</f>
        <v>65480.5463955793</v>
      </c>
      <c r="BO62" s="62" t="n">
        <v>0.039</v>
      </c>
      <c r="BP62" s="66" t="n">
        <f aca="false">BO62+BN62/(AX62*1000000*lf_rate)</f>
        <v>0.0415947015167696</v>
      </c>
    </row>
    <row r="63" customFormat="false" ht="14.25" hidden="false" customHeight="true" outlineLevel="0" collapsed="false">
      <c r="A63" s="61" t="n">
        <v>1903</v>
      </c>
      <c r="B63" s="49" t="n">
        <f aca="false">Economy!B63*lf_rate</f>
        <v>4875186.3784952</v>
      </c>
      <c r="C63" s="49" t="n">
        <f aca="false">Economy!O63*1000000/(B63+L63)</f>
        <v>1344.38784166615</v>
      </c>
      <c r="D63" s="49" t="n">
        <f aca="false">Champions!AP63*1000000/(C63*champ_prem)</f>
        <v>127037.043244505</v>
      </c>
      <c r="E63" s="49" t="n">
        <f aca="false">D63*job_mult</f>
        <v>88925.9302711538</v>
      </c>
      <c r="F63" s="49" t="n">
        <f aca="false">D63+E63</f>
        <v>215962.973515659</v>
      </c>
      <c r="G63" s="66" t="n">
        <f aca="false">F63/B63</f>
        <v>0.044298403537614</v>
      </c>
      <c r="H63" s="49" t="n">
        <f aca="false">F63-F62</f>
        <v>14950.6818017095</v>
      </c>
      <c r="I63" s="66" t="n">
        <f aca="false">MAX(0.005,pac_u_base*IF(Paths!AC63=1,pac_u_war,1)+(okun*(1-Economy!G63)*(B63+L63)-MAX(0,L62-L63))/B63)</f>
        <v>0.015</v>
      </c>
      <c r="J63" s="49" t="n">
        <f aca="false">IF(AND(gw_on=1,$A63&gt;=gw_start),MIN(gw_cap*B62,gw_cover*F62+gw_gen*B62),0)</f>
        <v>491603.64911448</v>
      </c>
      <c r="K63" s="49" t="n">
        <f aca="false">L62*gw_conv</f>
        <v>12155.2623456682</v>
      </c>
      <c r="L63" s="49" t="n">
        <f aca="false">MAX(0,L62-K63+gw_adj*(J63-L62))*MAX(0,1-gw_slump*(1-Economy!G63))</f>
        <v>427591.444213487</v>
      </c>
      <c r="M63" s="49" t="n">
        <f aca="false">MAX(0,L63-L62+L62/gw_term)</f>
        <v>157474.503198639</v>
      </c>
      <c r="N63" s="66" t="n">
        <f aca="false">L63/B63</f>
        <v>0.0877077122834984</v>
      </c>
      <c r="O63" s="56" t="n">
        <f aca="false">Economy!L63</f>
        <v>340.160622949425</v>
      </c>
      <c r="P63" s="56" t="n">
        <f aca="false">O63*gw_wage_share</f>
        <v>221.104404917126</v>
      </c>
      <c r="Q63" s="56" t="n">
        <f aca="false">P63*gw_levy</f>
        <v>55.2761012292816</v>
      </c>
      <c r="R63" s="56" t="n">
        <f aca="false">P63*gw_remit</f>
        <v>55.2761012292816</v>
      </c>
      <c r="S63" s="66" t="n">
        <f aca="false">IF(union_resp&gt;=1,MIN(1,MAX(0,($A63-resp_start)/(resp_full-resp_start))),0)</f>
        <v>0</v>
      </c>
      <c r="T63" s="70" t="n">
        <f aca="false">Economy!R62</f>
        <v>2.16003711063103</v>
      </c>
      <c r="U63" s="70" t="n">
        <f aca="false">MAX(0,T63-gap_base)</f>
        <v>0.660037110631029</v>
      </c>
      <c r="V63" s="71" t="n">
        <v>63.25</v>
      </c>
      <c r="W63" s="49" t="n">
        <f aca="false">V63*1000000*lf_rate*union_skill_share</f>
        <v>3187800</v>
      </c>
      <c r="X63" s="47" t="n">
        <v>114000</v>
      </c>
      <c r="Y63" s="49" t="n">
        <f aca="false">IF(AND(mig_endo=1,$A63&gt;=talent_start),talent_rate_u*W63*U63*(1-(1-bd_keep)*S63),0)</f>
        <v>21040.6630126959</v>
      </c>
      <c r="Z63" s="49" t="n">
        <f aca="false">IF(AND(mig_endo=1,$A63&gt;=talent_start),X63*MIN(0.5,talent_share_o*U63)*(1-eu_comp*S63),0)</f>
        <v>20315.9422652231</v>
      </c>
      <c r="AA63" s="47" t="n">
        <v>27000</v>
      </c>
      <c r="AB63" s="49" t="n">
        <f aca="false">IF(AND(mig_endo=1,$A63&gt;=talent_start),AA63*MIN(0.5,talent_share_a*U63),0)</f>
        <v>3564.20039740756</v>
      </c>
      <c r="AC63" s="49" t="n">
        <f aca="false">entry_cap*People!B63</f>
        <v>33939.4645099265</v>
      </c>
      <c r="AD63" s="49" t="n">
        <f aca="false">MIN(AC63,Y63+Z63+AB63)</f>
        <v>33939.4645099265</v>
      </c>
      <c r="AE63" s="49" t="n">
        <f aca="false">IF(Y63+Z63+AB63&gt;0,AD63*Y63/(Y63+Z63+AB63),0)</f>
        <v>15897.0620595292</v>
      </c>
      <c r="AF63" s="49" t="n">
        <f aca="false">IF(Y63+Z63+AB63&gt;0,AD63*AB63/(Y63+Z63+AB63),0)</f>
        <v>2692.895888119</v>
      </c>
      <c r="AG63" s="49" t="n">
        <f aca="false">AD63*family_mult</f>
        <v>74666.8219218382</v>
      </c>
      <c r="AH63" s="49" t="n">
        <f aca="false">AH62*(1+Paths!C63)+AG63</f>
        <v>1585784.2784618</v>
      </c>
      <c r="AI63" s="49" t="n">
        <f aca="false">IF(AND(mig_endo=1,$A63&gt;=talent_start),chain_rate*AH62,0)</f>
        <v>22254.9998410405</v>
      </c>
      <c r="AJ63" s="49" t="n">
        <f aca="false">IF(AND(mig_endo=1,$A63&gt;=talent_start),IF(H62&gt;0,H62*job_fill,H62*job_return)*job_family,0)</f>
        <v>10118.2940869038</v>
      </c>
      <c r="AK63" s="49" t="n">
        <f aca="false">K63*gw_conv_family</f>
        <v>21879.4722222027</v>
      </c>
      <c r="AL63" s="49" t="n">
        <f aca="false">AG63+AI63+AJ63+AK63+AR63</f>
        <v>270827.566857656</v>
      </c>
      <c r="AM63" s="49" t="n">
        <f aca="false">AM62*(1-skill_ret)+AD63</f>
        <v>417419.388463655</v>
      </c>
      <c r="AN63" s="67" t="n">
        <f aca="false">AM63/B63</f>
        <v>0.0856212165149055</v>
      </c>
      <c r="AO63" s="67" t="n">
        <f aca="false">(skill_rel-1+skill_spill)*AM62/B62-AT63</f>
        <v>0.0947894514195156</v>
      </c>
      <c r="AP63" s="67" t="n">
        <f aca="false">talent_champ*AM62/(skill_base_share*B62)</f>
        <v>0.169624449619289</v>
      </c>
      <c r="AQ63" s="47" t="n">
        <v>860000</v>
      </c>
      <c r="AR63" s="49" t="n">
        <f aca="false">IF(AND(div_on=1,$A63&gt;=div_start),AQ63*MIN(div_max,div_rate*U63)*(1-div_comp*S63),0)</f>
        <v>141907.978785671</v>
      </c>
      <c r="AS63" s="49" t="n">
        <f aca="false">AS62*(1-div_assim)+AR63</f>
        <v>790847.541440817</v>
      </c>
      <c r="AT63" s="67" t="n">
        <f aca="false">(1-div_rel)*AS62/Economy!B62</f>
        <v>0.015466440833022</v>
      </c>
      <c r="AU63" s="49" t="n">
        <f aca="false">AU62*(1-skill_ret)+AE63</f>
        <v>219998.167945379</v>
      </c>
      <c r="AV63" s="49" t="n">
        <f aca="false">AV62*(1+union_nat)+AR63</f>
        <v>1223521.92319305</v>
      </c>
      <c r="AW63" s="49" t="n">
        <f aca="false">AW62*(1+union_nat)+AE63*family_mult</f>
        <v>861528.52312044</v>
      </c>
      <c r="AX63" s="70" t="n">
        <f aca="false">V63-(AV63+AW63)/1000000</f>
        <v>61.1649495536865</v>
      </c>
      <c r="AY63" s="49" t="n">
        <f aca="false">L63*gw_union</f>
        <v>85518.2888426975</v>
      </c>
      <c r="AZ63" s="48" t="n">
        <v>1.083</v>
      </c>
      <c r="BA63" s="49" t="n">
        <f aca="false">Economy!Q63*AZ63/lf_rate</f>
        <v>701.371428571429</v>
      </c>
      <c r="BB63" s="67" t="n">
        <f aca="false">bd_growth*AU62/W62</f>
        <v>0.00201071243742393</v>
      </c>
      <c r="BC63" s="67" t="n">
        <f aca="false">tg_k*MIN(1,Economy!O62/BK62)</f>
        <v>0.00125225833734565</v>
      </c>
      <c r="BD63" s="67" t="n">
        <f aca="false">emu_g*S63</f>
        <v>0</v>
      </c>
      <c r="BE63" s="68" t="n">
        <f aca="false">BE62*(1-BB63-BC63+BD63)</f>
        <v>0.924241318036389</v>
      </c>
      <c r="BF63" s="48" t="n">
        <v>1</v>
      </c>
      <c r="BG63" s="56" t="n">
        <f aca="false">AU63*BA63*BE63*(skill_rel-1+skill_spill)/1000000</f>
        <v>185.394081836746</v>
      </c>
      <c r="BH63" s="56" t="n">
        <f aca="false">union_disp*(Champions!AP63+Champions!AZ63)*(1-IF(union_resp=2,mkt_cut*S63,0))</f>
        <v>125.822362422297</v>
      </c>
      <c r="BI63" s="56" t="n">
        <f aca="false">AY63*BA63*BE63/1000000</f>
        <v>55.4360722752716</v>
      </c>
      <c r="BJ63" s="49" t="n">
        <f aca="false">V63*Economy!Q63*AZ63</f>
        <v>18631.932</v>
      </c>
      <c r="BK63" s="49" t="n">
        <f aca="false">MAX(0.3*BJ63,AX63*Economy!Q63*AZ63*BE63*BF63-BG63-BH63-BI63)</f>
        <v>16286.0744758351</v>
      </c>
      <c r="BL63" s="66" t="n">
        <f aca="false">1-BK63/BJ63</f>
        <v>0.125905221431943</v>
      </c>
      <c r="BM63" s="49" t="n">
        <f aca="false">MAX(0,BH63-BH62)*1000000/BA63</f>
        <v>18667.9024635889</v>
      </c>
      <c r="BN63" s="49" t="n">
        <f aca="false">BN62*(1-IF(AND($A63&gt;=1930,$A63&lt;=1932),0,union_reabsorb))+BM63</f>
        <v>67778.3122602734</v>
      </c>
      <c r="BO63" s="62" t="n">
        <v>0.034</v>
      </c>
      <c r="BP63" s="66" t="n">
        <f aca="false">BO63+BN63/(AX63*1000000*lf_rate)</f>
        <v>0.0366383890631903</v>
      </c>
    </row>
    <row r="64" customFormat="false" ht="14.25" hidden="false" customHeight="true" outlineLevel="0" collapsed="false">
      <c r="A64" s="61" t="n">
        <v>1904</v>
      </c>
      <c r="B64" s="49" t="n">
        <f aca="false">Economy!B64*lf_rate</f>
        <v>5130580.49427175</v>
      </c>
      <c r="C64" s="49" t="n">
        <f aca="false">Economy!O64*1000000/(B64+L64)</f>
        <v>1395.10851031509</v>
      </c>
      <c r="D64" s="49" t="n">
        <f aca="false">Champions!AP64*1000000/(C64*champ_prem)</f>
        <v>136287.368599976</v>
      </c>
      <c r="E64" s="49" t="n">
        <f aca="false">D64*job_mult</f>
        <v>95401.1580199832</v>
      </c>
      <c r="F64" s="49" t="n">
        <f aca="false">D64+E64</f>
        <v>231688.526619959</v>
      </c>
      <c r="G64" s="66" t="n">
        <f aca="false">F64/B64</f>
        <v>0.0451583455085906</v>
      </c>
      <c r="H64" s="49" t="n">
        <f aca="false">F64-F63</f>
        <v>15725.5531042998</v>
      </c>
      <c r="I64" s="66" t="n">
        <f aca="false">MAX(0.005,pac_u_base*IF(Paths!AC64=1,pac_u_war,1)+(okun*(1-Economy!G64)*(B64+L64)-MAX(0,L63-L64))/B64)</f>
        <v>0.015</v>
      </c>
      <c r="J64" s="49" t="n">
        <f aca="false">IF(AND(gw_on=1,$A64&gt;=gw_start),MIN(gw_cap*B63,gw_cover*F63+gw_gen*B63),0)</f>
        <v>519592.694389011</v>
      </c>
      <c r="K64" s="49" t="n">
        <f aca="false">L63*gw_conv</f>
        <v>12827.7433264046</v>
      </c>
      <c r="L64" s="49" t="n">
        <f aca="false">MAX(0,L63-K64+gw_adj*(J64-L63))*MAX(0,1-gw_slump*(1-Economy!G64))</f>
        <v>451564.200957292</v>
      </c>
      <c r="M64" s="49" t="n">
        <f aca="false">MAX(0,L64-L63+L63/gw_term)</f>
        <v>166503.238148301</v>
      </c>
      <c r="N64" s="66" t="n">
        <f aca="false">L64/B64</f>
        <v>0.0880142513038165</v>
      </c>
      <c r="O64" s="56" t="n">
        <f aca="false">Economy!L64</f>
        <v>372.781951591993</v>
      </c>
      <c r="P64" s="56" t="n">
        <f aca="false">O64*gw_wage_share</f>
        <v>242.308268534795</v>
      </c>
      <c r="Q64" s="56" t="n">
        <f aca="false">P64*gw_levy</f>
        <v>60.5770671336988</v>
      </c>
      <c r="R64" s="56" t="n">
        <f aca="false">P64*gw_remit</f>
        <v>60.5770671336988</v>
      </c>
      <c r="S64" s="66" t="n">
        <f aca="false">IF(union_resp&gt;=1,MIN(1,MAX(0,($A64-resp_start)/(resp_full-resp_start))),0)</f>
        <v>0.142857142857143</v>
      </c>
      <c r="T64" s="70" t="n">
        <f aca="false">Economy!R63</f>
        <v>2.17774278420833</v>
      </c>
      <c r="U64" s="70" t="n">
        <f aca="false">MAX(0,T64-gap_base)</f>
        <v>0.677742784208328</v>
      </c>
      <c r="V64" s="71" t="n">
        <v>64.54</v>
      </c>
      <c r="W64" s="49" t="n">
        <f aca="false">V64*1000000*lf_rate*union_skill_share</f>
        <v>3252816</v>
      </c>
      <c r="X64" s="47" t="n">
        <v>118000</v>
      </c>
      <c r="Y64" s="49" t="n">
        <f aca="false">IF(AND(mig_endo=1,$A64&gt;=talent_start),talent_rate_u*W64*U64*(1-(1-bd_keep)*S64),0)</f>
        <v>19945.0830010563</v>
      </c>
      <c r="Z64" s="49" t="n">
        <f aca="false">IF(AND(mig_endo=1,$A64&gt;=talent_start),X64*MIN(0.5,talent_share_o*U64)*(1-eu_comp*S64),0)</f>
        <v>20667.4757432397</v>
      </c>
      <c r="AA64" s="47" t="n">
        <v>28000</v>
      </c>
      <c r="AB64" s="49" t="n">
        <f aca="false">IF(AND(mig_endo=1,$A64&gt;=talent_start),AA64*MIN(0.5,talent_share_a*U64),0)</f>
        <v>3795.35959156664</v>
      </c>
      <c r="AC64" s="49" t="n">
        <f aca="false">entry_cap*People!B64</f>
        <v>35706.0551828621</v>
      </c>
      <c r="AD64" s="49" t="n">
        <f aca="false">MIN(AC64,Y64+Z64+AB64)</f>
        <v>35706.0551828621</v>
      </c>
      <c r="AE64" s="49" t="n">
        <f aca="false">IF(Y64+Z64+AB64&gt;0,AD64*Y64/(Y64+Z64+AB64),0)</f>
        <v>16036.7849012044</v>
      </c>
      <c r="AF64" s="49" t="n">
        <f aca="false">IF(Y64+Z64+AB64&gt;0,AD64*AB64/(Y64+Z64+AB64),0)</f>
        <v>3051.64763613437</v>
      </c>
      <c r="AG64" s="49" t="n">
        <f aca="false">AD64*family_mult</f>
        <v>78553.3214022966</v>
      </c>
      <c r="AH64" s="49" t="n">
        <f aca="false">AH63*(1+Paths!C64)+AG64</f>
        <v>1694548.37615307</v>
      </c>
      <c r="AI64" s="49" t="n">
        <f aca="false">IF(AND(mig_endo=1,$A64&gt;=talent_start),chain_rate*AH63,0)</f>
        <v>23786.764176927</v>
      </c>
      <c r="AJ64" s="49" t="n">
        <f aca="false">IF(AND(mig_endo=1,$A64&gt;=talent_start),IF(H63&gt;0,H63*job_fill,H63*job_return)*job_family,0)</f>
        <v>9418.92953507698</v>
      </c>
      <c r="AK64" s="49" t="n">
        <f aca="false">K64*gw_conv_family</f>
        <v>23089.9379875283</v>
      </c>
      <c r="AL64" s="49" t="n">
        <f aca="false">AG64+AI64+AJ64+AK64+AR64</f>
        <v>291833.546004026</v>
      </c>
      <c r="AM64" s="49" t="n">
        <f aca="false">AM63*(1-skill_ret)+AD64</f>
        <v>442689.958934926</v>
      </c>
      <c r="AN64" s="67" t="n">
        <f aca="false">AM64/B64</f>
        <v>0.0862845752891288</v>
      </c>
      <c r="AO64" s="67" t="n">
        <f aca="false">(skill_rel-1+skill_spill)*AM63/B63-AT64</f>
        <v>0.0942745933117189</v>
      </c>
      <c r="AP64" s="67" t="n">
        <f aca="false">talent_champ*AM63/(skill_base_share*B63)</f>
        <v>0.171242433029811</v>
      </c>
      <c r="AQ64" s="47" t="n">
        <v>968000</v>
      </c>
      <c r="AR64" s="49" t="n">
        <f aca="false">IF(AND(div_on=1,$A64&gt;=div_start),AQ64*MIN(div_max,div_rate*U64)*(1-div_comp*S64),0)</f>
        <v>156984.592902198</v>
      </c>
      <c r="AS64" s="49" t="n">
        <f aca="false">AS63*(1-div_assim)+AR64</f>
        <v>908289.757270974</v>
      </c>
      <c r="AT64" s="67" t="n">
        <f aca="false">(1-div_rel)*AS63/Economy!B63</f>
        <v>0.0170329881576583</v>
      </c>
      <c r="AU64" s="49" t="n">
        <f aca="false">AU63*(1-skill_ret)+AE64</f>
        <v>230534.998647949</v>
      </c>
      <c r="AV64" s="49" t="n">
        <f aca="false">AV63*(1+union_nat)+AR64</f>
        <v>1396412.30109676</v>
      </c>
      <c r="AW64" s="49" t="n">
        <f aca="false">AW63*(1+union_nat)+AE64*family_mult</f>
        <v>908009.320703656</v>
      </c>
      <c r="AX64" s="70" t="n">
        <f aca="false">V64-(AV64+AW64)/1000000</f>
        <v>62.2355783781996</v>
      </c>
      <c r="AY64" s="49" t="n">
        <f aca="false">L64*gw_union</f>
        <v>90312.8401914585</v>
      </c>
      <c r="AZ64" s="48" t="n">
        <v>1.079</v>
      </c>
      <c r="BA64" s="49" t="n">
        <f aca="false">Economy!Q64*AZ64/lf_rate</f>
        <v>721.902380952381</v>
      </c>
      <c r="BB64" s="67" t="n">
        <f aca="false">bd_growth*AU63/W63</f>
        <v>0.00207037613349688</v>
      </c>
      <c r="BC64" s="67" t="n">
        <f aca="false">tg_k*MIN(1,Economy!O63/BK63)</f>
        <v>0.00131320596178366</v>
      </c>
      <c r="BD64" s="67" t="n">
        <f aca="false">emu_g*S64</f>
        <v>0.000214285714285714</v>
      </c>
      <c r="BE64" s="68" t="n">
        <f aca="false">BE63*(1-BB64-BC64+BD64)</f>
        <v>0.921312123371971</v>
      </c>
      <c r="BF64" s="48" t="n">
        <v>1</v>
      </c>
      <c r="BG64" s="56" t="n">
        <f aca="false">AU64*BA64*BE64*(skill_rel-1+skill_spill)/1000000</f>
        <v>199.326701306728</v>
      </c>
      <c r="BH64" s="56" t="n">
        <f aca="false">union_disp*(Champions!AP64+Champions!AZ64)*(1-IF(union_resp=2,mkt_cut*S64,0))</f>
        <v>134.139640156209</v>
      </c>
      <c r="BI64" s="56" t="n">
        <f aca="false">AY64*BA64*BE64/1000000</f>
        <v>60.0668365944186</v>
      </c>
      <c r="BJ64" s="49" t="n">
        <f aca="false">V64*Economy!Q64*AZ64</f>
        <v>19568.46346</v>
      </c>
      <c r="BK64" s="49" t="n">
        <f aca="false">MAX(0.3*BJ64,AX64*Economy!Q64*AZ64*BE64*BF64-BG64-BH64-BI64)</f>
        <v>16991.410200188</v>
      </c>
      <c r="BL64" s="66" t="n">
        <f aca="false">1-BK64/BJ64</f>
        <v>0.131694206092357</v>
      </c>
      <c r="BM64" s="49" t="n">
        <f aca="false">MAX(0,BH64-BH63)*1000000/BA64</f>
        <v>11521.3330131141</v>
      </c>
      <c r="BN64" s="49" t="n">
        <f aca="false">BN63*(1-IF(AND($A64&gt;=1930,$A64&lt;=1932),0,union_reabsorb))+BM64</f>
        <v>62355.0672083191</v>
      </c>
      <c r="BO64" s="62" t="n">
        <v>0.028</v>
      </c>
      <c r="BP64" s="66" t="n">
        <f aca="false">BO64+BN64/(AX64*1000000*lf_rate)</f>
        <v>0.0303855236763751</v>
      </c>
    </row>
    <row r="65" customFormat="false" ht="14.25" hidden="false" customHeight="true" outlineLevel="0" collapsed="false">
      <c r="A65" s="61" t="n">
        <v>1905</v>
      </c>
      <c r="B65" s="49" t="n">
        <f aca="false">Economy!B65*lf_rate</f>
        <v>5402132.20764372</v>
      </c>
      <c r="C65" s="49" t="n">
        <f aca="false">Economy!O65*1000000/(B65+L65)</f>
        <v>1444.41812231802</v>
      </c>
      <c r="D65" s="49" t="n">
        <f aca="false">Champions!AP65*1000000/(C65*champ_prem)</f>
        <v>143333.277354671</v>
      </c>
      <c r="E65" s="49" t="n">
        <f aca="false">D65*job_mult</f>
        <v>100333.29414827</v>
      </c>
      <c r="F65" s="49" t="n">
        <f aca="false">D65+E65</f>
        <v>243666.571502941</v>
      </c>
      <c r="G65" s="66" t="n">
        <f aca="false">F65/B65</f>
        <v>0.0451056290622</v>
      </c>
      <c r="H65" s="49" t="n">
        <f aca="false">F65-F64</f>
        <v>11978.0448829821</v>
      </c>
      <c r="I65" s="66" t="n">
        <f aca="false">MAX(0.005,pac_u_base*IF(Paths!AC65=1,pac_u_war,1)+(okun*(1-Economy!G65)*(B65+L65)-MAX(0,L64-L65))/B65)</f>
        <v>0.015</v>
      </c>
      <c r="J65" s="49" t="n">
        <f aca="false">IF(AND(gw_on=1,$A65&gt;=gw_start),MIN(gw_cap*B64,gw_cover*F64+gw_gen*B64),0)</f>
        <v>549459.555513715</v>
      </c>
      <c r="K65" s="49" t="n">
        <f aca="false">L64*gw_conv</f>
        <v>13546.9260287188</v>
      </c>
      <c r="L65" s="49" t="n">
        <f aca="false">MAX(0,L64-K65+gw_adj*(J65-L64))*MAX(0,1-gw_slump*(1-Economy!G65))</f>
        <v>477175.416751143</v>
      </c>
      <c r="M65" s="49" t="n">
        <f aca="false">MAX(0,L65-L64+L64/gw_term)</f>
        <v>176132.616112948</v>
      </c>
      <c r="N65" s="66" t="n">
        <f aca="false">L65/B65</f>
        <v>0.0883309401565489</v>
      </c>
      <c r="O65" s="56" t="n">
        <f aca="false">Economy!L65</f>
        <v>408.141693355799</v>
      </c>
      <c r="P65" s="56" t="n">
        <f aca="false">O65*gw_wage_share</f>
        <v>265.292100681269</v>
      </c>
      <c r="Q65" s="56" t="n">
        <f aca="false">P65*gw_levy</f>
        <v>66.3230251703174</v>
      </c>
      <c r="R65" s="56" t="n">
        <f aca="false">P65*gw_remit</f>
        <v>66.3230251703174</v>
      </c>
      <c r="S65" s="66" t="n">
        <f aca="false">IF(union_resp&gt;=1,MIN(1,MAX(0,($A65-resp_start)/(resp_full-resp_start))),0)</f>
        <v>0.285714285714286</v>
      </c>
      <c r="T65" s="70" t="n">
        <f aca="false">Economy!R64</f>
        <v>2.18786757287816</v>
      </c>
      <c r="U65" s="70" t="n">
        <f aca="false">MAX(0,T65-gap_base)</f>
        <v>0.687867572878157</v>
      </c>
      <c r="V65" s="71" t="n">
        <v>65.82</v>
      </c>
      <c r="W65" s="49" t="n">
        <f aca="false">V65*1000000*lf_rate*union_skill_share</f>
        <v>3317328</v>
      </c>
      <c r="X65" s="47" t="n">
        <v>123000</v>
      </c>
      <c r="Y65" s="49" t="n">
        <f aca="false">IF(AND(mig_endo=1,$A65&gt;=talent_start),talent_rate_u*W65*U65*(1-(1-bd_keep)*S65),0)</f>
        <v>18470.2077866158</v>
      </c>
      <c r="Z65" s="49" t="n">
        <f aca="false">IF(AND(mig_endo=1,$A65&gt;=talent_start),X65*MIN(0.5,talent_share_o*U65)*(1-eu_comp*S65),0)</f>
        <v>20886.0179156878</v>
      </c>
      <c r="AA65" s="47" t="n">
        <v>30000</v>
      </c>
      <c r="AB65" s="49" t="n">
        <f aca="false">IF(AND(mig_endo=1,$A65&gt;=talent_start),AA65*MIN(0.5,talent_share_a*U65),0)</f>
        <v>4127.20543726894</v>
      </c>
      <c r="AC65" s="49" t="n">
        <f aca="false">entry_cap*People!B65</f>
        <v>37587.9518781629</v>
      </c>
      <c r="AD65" s="49" t="n">
        <f aca="false">MIN(AC65,Y65+Z65+AB65)</f>
        <v>37587.9518781629</v>
      </c>
      <c r="AE65" s="49" t="n">
        <f aca="false">IF(Y65+Z65+AB65&gt;0,AD65*Y65/(Y65+Z65+AB65),0)</f>
        <v>15966.0188551949</v>
      </c>
      <c r="AF65" s="49" t="n">
        <f aca="false">IF(Y65+Z65+AB65&gt;0,AD65*AB65/(Y65+Z65+AB65),0)</f>
        <v>3567.63933530021</v>
      </c>
      <c r="AG65" s="49" t="n">
        <f aca="false">AD65*family_mult</f>
        <v>82693.4941319583</v>
      </c>
      <c r="AH65" s="49" t="n">
        <f aca="false">AH64*(1+Paths!C65)+AG65</f>
        <v>1810466.88029627</v>
      </c>
      <c r="AI65" s="49" t="n">
        <f aca="false">IF(AND(mig_endo=1,$A65&gt;=talent_start),chain_rate*AH64,0)</f>
        <v>25418.2256422961</v>
      </c>
      <c r="AJ65" s="49" t="n">
        <f aca="false">IF(AND(mig_endo=1,$A65&gt;=talent_start),IF(H64&gt;0,H64*job_fill,H64*job_return)*job_family,0)</f>
        <v>9907.09845570887</v>
      </c>
      <c r="AK65" s="49" t="n">
        <f aca="false">K65*gw_conv_family</f>
        <v>24384.4668516938</v>
      </c>
      <c r="AL65" s="49" t="n">
        <f aca="false">AG65+AI65+AJ65+AK65+AR65</f>
        <v>311422.174417433</v>
      </c>
      <c r="AM65" s="49" t="n">
        <f aca="false">AM64*(1-skill_ret)+AD65</f>
        <v>469210.661839716</v>
      </c>
      <c r="AN65" s="67" t="n">
        <f aca="false">AM65/B65</f>
        <v>0.0868565677041018</v>
      </c>
      <c r="AO65" s="67" t="n">
        <f aca="false">(skill_rel-1+skill_spill)*AM64/B64-AT65</f>
        <v>0.0935813252784961</v>
      </c>
      <c r="AP65" s="67" t="n">
        <f aca="false">talent_champ*AM64/(skill_base_share*B64)</f>
        <v>0.172569150578258</v>
      </c>
      <c r="AQ65" s="47" t="n">
        <v>1075000</v>
      </c>
      <c r="AR65" s="49" t="n">
        <f aca="false">IF(AND(div_on=1,$A65&gt;=div_start),AQ65*MIN(div_max,div_rate*U65)*(1-div_comp*S65),0)</f>
        <v>169018.889335776</v>
      </c>
      <c r="AS65" s="49" t="n">
        <f aca="false">AS64*(1-div_assim)+AR65</f>
        <v>1031894.1587432</v>
      </c>
      <c r="AT65" s="67" t="n">
        <f aca="false">(1-div_rel)*AS64/Economy!B64</f>
        <v>0.0185886225973713</v>
      </c>
      <c r="AU65" s="49" t="n">
        <f aca="false">AU64*(1-skill_ret)+AE65</f>
        <v>240737.642536945</v>
      </c>
      <c r="AV65" s="49" t="n">
        <f aca="false">AV64*(1+union_nat)+AR65</f>
        <v>1583584.55034679</v>
      </c>
      <c r="AW65" s="49" t="n">
        <f aca="false">AW64*(1+union_nat)+AE65*family_mult</f>
        <v>954938.683354232</v>
      </c>
      <c r="AX65" s="70" t="n">
        <f aca="false">V65-(AV65+AW65)/1000000</f>
        <v>63.281476766299</v>
      </c>
      <c r="AY65" s="49" t="n">
        <f aca="false">L65*gw_union</f>
        <v>95435.0833502286</v>
      </c>
      <c r="AZ65" s="48" t="n">
        <v>1.076</v>
      </c>
      <c r="BA65" s="49" t="n">
        <f aca="false">Economy!Q65*AZ65/lf_rate</f>
        <v>742.952380952381</v>
      </c>
      <c r="BB65" s="67" t="n">
        <f aca="false">bd_growth*AU64/W64</f>
        <v>0.00212617312489808</v>
      </c>
      <c r="BC65" s="67" t="n">
        <f aca="false">tg_k*MIN(1,Economy!O64/BK64)</f>
        <v>0.00137499433155433</v>
      </c>
      <c r="BD65" s="67" t="n">
        <f aca="false">emu_g*S65</f>
        <v>0.000428571428571429</v>
      </c>
      <c r="BE65" s="68" t="n">
        <f aca="false">BE64*(1-BB65-BC65+BD65)</f>
        <v>0.91848130340126</v>
      </c>
      <c r="BF65" s="48" t="n">
        <v>1</v>
      </c>
      <c r="BG65" s="56" t="n">
        <f aca="false">AU65*BA65*BE65*(skill_rel-1+skill_spill)/1000000</f>
        <v>213.559381637992</v>
      </c>
      <c r="BH65" s="56" t="n">
        <f aca="false">union_disp*(Champions!AP65+Champions!AZ65)*(1-IF(union_resp=2,mkt_cut*S65,0))</f>
        <v>140.219394332683</v>
      </c>
      <c r="BI65" s="56" t="n">
        <f aca="false">AY65*BA65*BE65/1000000</f>
        <v>65.1237433672768</v>
      </c>
      <c r="BJ65" s="49" t="n">
        <f aca="false">V65*Economy!Q65*AZ65</f>
        <v>20538.4728</v>
      </c>
      <c r="BK65" s="49" t="n">
        <f aca="false">MAX(0.3*BJ65,AX65*Economy!Q65*AZ65*BE65*BF65-BG65-BH65-BI65)</f>
        <v>17717.7526123702</v>
      </c>
      <c r="BL65" s="66" t="n">
        <f aca="false">1-BK65/BJ65</f>
        <v>0.137338360797198</v>
      </c>
      <c r="BM65" s="49" t="n">
        <f aca="false">MAX(0,BH65-BH64)*1000000/BA65</f>
        <v>8183.23533559442</v>
      </c>
      <c r="BN65" s="49" t="n">
        <f aca="false">BN64*(1-IF(AND($A65&gt;=1930,$A65&lt;=1932),0,union_reabsorb))+BM65</f>
        <v>54949.5357418338</v>
      </c>
      <c r="BO65" s="62" t="n">
        <v>0.023</v>
      </c>
      <c r="BP65" s="66" t="n">
        <f aca="false">BO65+BN65/(AX65*1000000*lf_rate)</f>
        <v>0.0250674648355618</v>
      </c>
    </row>
    <row r="66" customFormat="false" ht="14.25" hidden="false" customHeight="true" outlineLevel="0" collapsed="false">
      <c r="A66" s="61" t="n">
        <v>1906</v>
      </c>
      <c r="B66" s="49" t="n">
        <f aca="false">Economy!B66*lf_rate</f>
        <v>5689243.30826316</v>
      </c>
      <c r="C66" s="49" t="n">
        <f aca="false">Economy!O66*1000000/(B66+L66)</f>
        <v>1516.17692913629</v>
      </c>
      <c r="D66" s="49" t="n">
        <f aca="false">Champions!AP66*1000000/(C66*champ_prem)</f>
        <v>147113.943409194</v>
      </c>
      <c r="E66" s="49" t="n">
        <f aca="false">D66*job_mult</f>
        <v>102979.760386435</v>
      </c>
      <c r="F66" s="49" t="n">
        <f aca="false">D66+E66</f>
        <v>250093.703795629</v>
      </c>
      <c r="G66" s="66" t="n">
        <f aca="false">F66/B66</f>
        <v>0.0439590452094725</v>
      </c>
      <c r="H66" s="49" t="n">
        <f aca="false">F66-F65</f>
        <v>6427.13229268784</v>
      </c>
      <c r="I66" s="66" t="n">
        <f aca="false">MAX(0.005,pac_u_base*IF(Paths!AC66=1,pac_u_war,1)+(okun*(1-Economy!G66)*(B66+L66)-MAX(0,L65-L66))/B66)</f>
        <v>0.015</v>
      </c>
      <c r="J66" s="49" t="n">
        <f aca="false">IF(AND(gw_on=1,$A66&gt;=gw_start),MIN(gw_cap*B65,gw_cover*F65+gw_gen*B65),0)</f>
        <v>578370.519513262</v>
      </c>
      <c r="K66" s="49" t="n">
        <f aca="false">L65*gw_conv</f>
        <v>14315.2625025343</v>
      </c>
      <c r="L66" s="49" t="n">
        <f aca="false">MAX(0,L65-K66+gw_adj*(J66-L65))*MAX(0,1-gw_slump*(1-Economy!G66))</f>
        <v>503338.195353456</v>
      </c>
      <c r="M66" s="49" t="n">
        <f aca="false">MAX(0,L66-L65+L65/gw_term)</f>
        <v>185221.250852695</v>
      </c>
      <c r="N66" s="66" t="n">
        <f aca="false">L66/B66</f>
        <v>0.0884719053274447</v>
      </c>
      <c r="O66" s="56" t="n">
        <f aca="false">Economy!L66</f>
        <v>452.342346227015</v>
      </c>
      <c r="P66" s="56" t="n">
        <f aca="false">O66*gw_wage_share</f>
        <v>294.02252504756</v>
      </c>
      <c r="Q66" s="56" t="n">
        <f aca="false">P66*gw_levy</f>
        <v>73.50563126189</v>
      </c>
      <c r="R66" s="56" t="n">
        <f aca="false">P66*gw_remit</f>
        <v>73.50563126189</v>
      </c>
      <c r="S66" s="66" t="n">
        <f aca="false">IF(union_resp&gt;=1,MIN(1,MAX(0,($A66-resp_start)/(resp_full-resp_start))),0)</f>
        <v>0.428571428571429</v>
      </c>
      <c r="T66" s="70" t="n">
        <f aca="false">Economy!R65</f>
        <v>2.19525504397205</v>
      </c>
      <c r="U66" s="70" t="n">
        <f aca="false">MAX(0,T66-gap_base)</f>
        <v>0.695255043972047</v>
      </c>
      <c r="V66" s="71" t="n">
        <v>67.11</v>
      </c>
      <c r="W66" s="49" t="n">
        <f aca="false">V66*1000000*lf_rate*union_skill_share</f>
        <v>3382344</v>
      </c>
      <c r="X66" s="47" t="n">
        <v>128000</v>
      </c>
      <c r="Y66" s="49" t="n">
        <f aca="false">IF(AND(mig_endo=1,$A66&gt;=talent_start),talent_rate_u*W66*U66*(1-(1-bd_keep)*S66),0)</f>
        <v>16793.724343595</v>
      </c>
      <c r="Z66" s="49" t="n">
        <f aca="false">IF(AND(mig_endo=1,$A66&gt;=talent_start),X66*MIN(0.5,talent_share_o*U66)*(1-eu_comp*S66),0)</f>
        <v>20938.6981928587</v>
      </c>
      <c r="AA66" s="47" t="n">
        <v>32000</v>
      </c>
      <c r="AB66" s="49" t="n">
        <f aca="false">IF(AND(mig_endo=1,$A66&gt;=talent_start),AA66*MIN(0.5,talent_share_a*U66),0)</f>
        <v>4449.6322814211</v>
      </c>
      <c r="AC66" s="49" t="n">
        <f aca="false">entry_cap*People!B66</f>
        <v>39585.3653738903</v>
      </c>
      <c r="AD66" s="49" t="n">
        <f aca="false">MIN(AC66,Y66+Z66+AB66)</f>
        <v>39585.3653738903</v>
      </c>
      <c r="AE66" s="49" t="n">
        <f aca="false">IF(Y66+Z66+AB66&gt;0,AD66*Y66/(Y66+Z66+AB66),0)</f>
        <v>15759.9177422694</v>
      </c>
      <c r="AF66" s="49" t="n">
        <f aca="false">IF(Y66+Z66+AB66&gt;0,AD66*AB66/(Y66+Z66+AB66),0)</f>
        <v>4175.71691090002</v>
      </c>
      <c r="AG66" s="49" t="n">
        <f aca="false">AD66*family_mult</f>
        <v>87087.8038225587</v>
      </c>
      <c r="AH66" s="49" t="n">
        <f aca="false">AH65*(1+Paths!C66)+AG66</f>
        <v>1934062.74876</v>
      </c>
      <c r="AI66" s="49" t="n">
        <f aca="false">IF(AND(mig_endo=1,$A66&gt;=talent_start),chain_rate*AH65,0)</f>
        <v>27157.003204444</v>
      </c>
      <c r="AJ66" s="49" t="n">
        <f aca="false">IF(AND(mig_endo=1,$A66&gt;=talent_start),IF(H65&gt;0,H65*job_fill,H65*job_return)*job_family,0)</f>
        <v>7546.16827627872</v>
      </c>
      <c r="AK66" s="49" t="n">
        <f aca="false">K66*gw_conv_family</f>
        <v>25767.4725045617</v>
      </c>
      <c r="AL66" s="49" t="n">
        <f aca="false">AG66+AI66+AJ66+AK66+AR66</f>
        <v>326591.587738102</v>
      </c>
      <c r="AM66" s="49" t="n">
        <f aca="false">AM65*(1-skill_ret)+AD66</f>
        <v>497065.760667613</v>
      </c>
      <c r="AN66" s="67" t="n">
        <f aca="false">AM66/B66</f>
        <v>0.0873693976043644</v>
      </c>
      <c r="AO66" s="67" t="n">
        <f aca="false">(skill_rel-1+skill_spill)*AM65/B65-AT66</f>
        <v>0.0928568488223636</v>
      </c>
      <c r="AP66" s="67" t="n">
        <f aca="false">talent_champ*AM65/(skill_base_share*B65)</f>
        <v>0.173713135408204</v>
      </c>
      <c r="AQ66" s="47" t="n">
        <v>1182000</v>
      </c>
      <c r="AR66" s="49" t="n">
        <f aca="false">IF(AND(div_on=1,$A66&gt;=div_start),AQ66*MIN(div_max,div_rate*U66)*(1-div_comp*S66),0)</f>
        <v>179033.139930259</v>
      </c>
      <c r="AS66" s="49" t="n">
        <f aca="false">AS65*(1-div_assim)+AR66</f>
        <v>1159332.5907363</v>
      </c>
      <c r="AT66" s="67" t="n">
        <f aca="false">(1-div_rel)*AS65/Economy!B65</f>
        <v>0.0200566891929687</v>
      </c>
      <c r="AU66" s="49" t="n">
        <f aca="false">AU65*(1-skill_ret)+AE66</f>
        <v>250479.119215791</v>
      </c>
      <c r="AV66" s="49" t="n">
        <f aca="false">AV65*(1+union_nat)+AR66</f>
        <v>1783204.28943156</v>
      </c>
      <c r="AW66" s="49" t="n">
        <f aca="false">AW65*(1+union_nat)+AE66*family_mult</f>
        <v>1002024.70527083</v>
      </c>
      <c r="AX66" s="70" t="n">
        <f aca="false">V66-(AV66+AW66)/1000000</f>
        <v>64.3247710052976</v>
      </c>
      <c r="AY66" s="49" t="n">
        <f aca="false">L66*gw_union</f>
        <v>100667.639070691</v>
      </c>
      <c r="AZ66" s="48" t="n">
        <v>1.073</v>
      </c>
      <c r="BA66" s="49" t="n">
        <f aca="false">Economy!Q66*AZ66/lf_rate</f>
        <v>779.202380952381</v>
      </c>
      <c r="BB66" s="67" t="n">
        <f aca="false">bd_growth*AU65/W65</f>
        <v>0.00217709230926467</v>
      </c>
      <c r="BC66" s="67" t="n">
        <f aca="false">tg_k*MIN(1,Economy!O65/BK65)</f>
        <v>0.0014379101004203</v>
      </c>
      <c r="BD66" s="67" t="n">
        <f aca="false">emu_g*S66</f>
        <v>0.000642857142857143</v>
      </c>
      <c r="BE66" s="68" t="n">
        <f aca="false">BE65*(1-BB66-BC66+BD66)</f>
        <v>0.915751443542686</v>
      </c>
      <c r="BF66" s="48" t="n">
        <v>1</v>
      </c>
      <c r="BG66" s="56" t="n">
        <f aca="false">AU66*BA66*BE66*(skill_rel-1+skill_spill)/1000000</f>
        <v>232.350045904787</v>
      </c>
      <c r="BH66" s="56" t="n">
        <f aca="false">union_disp*(Champions!AP66+Champions!AZ66)*(1-IF(union_resp=2,mkt_cut*S66,0))</f>
        <v>144.359647587732</v>
      </c>
      <c r="BI66" s="56" t="n">
        <f aca="false">AY66*BA66*BE66/1000000</f>
        <v>71.8319681847896</v>
      </c>
      <c r="BJ66" s="49" t="n">
        <f aca="false">V66*Economy!Q66*AZ66</f>
        <v>21962.75415</v>
      </c>
      <c r="BK66" s="49" t="n">
        <f aca="false">MAX(0.3*BJ66,AX66*Economy!Q66*AZ66*BE66*BF66-BG66-BH66-BI66)</f>
        <v>18829.167418822</v>
      </c>
      <c r="BL66" s="66" t="n">
        <f aca="false">1-BK66/BJ66</f>
        <v>0.142677312224887</v>
      </c>
      <c r="BM66" s="49" t="n">
        <f aca="false">MAX(0,BH66-BH65)*1000000/BA66</f>
        <v>5313.4504671158</v>
      </c>
      <c r="BN66" s="49" t="n">
        <f aca="false">BN65*(1-IF(AND($A66&gt;=1930,$A66&lt;=1932),0,union_reabsorb))+BM66</f>
        <v>46525.6022734911</v>
      </c>
      <c r="BO66" s="62" t="n">
        <v>0.017</v>
      </c>
      <c r="BP66" s="66" t="n">
        <f aca="false">BO66+BN66/(AX66*1000000*lf_rate)</f>
        <v>0.0187221241797999</v>
      </c>
    </row>
    <row r="67" customFormat="false" ht="14.25" hidden="false" customHeight="true" outlineLevel="0" collapsed="false">
      <c r="A67" s="61" t="n">
        <v>1907</v>
      </c>
      <c r="B67" s="49" t="n">
        <f aca="false">Economy!B67*lf_rate</f>
        <v>5991578.4606916</v>
      </c>
      <c r="C67" s="49" t="n">
        <f aca="false">Economy!O67*1000000/(B67+L67)</f>
        <v>1569.96276950052</v>
      </c>
      <c r="D67" s="49" t="n">
        <f aca="false">Champions!AP67*1000000/(C67*champ_prem)</f>
        <v>154981.049441923</v>
      </c>
      <c r="E67" s="49" t="n">
        <f aca="false">D67*job_mult</f>
        <v>108486.734609346</v>
      </c>
      <c r="F67" s="49" t="n">
        <f aca="false">D67+E67</f>
        <v>263467.784051269</v>
      </c>
      <c r="G67" s="66" t="n">
        <f aca="false">F67/B67</f>
        <v>0.0439730174243363</v>
      </c>
      <c r="H67" s="49" t="n">
        <f aca="false">F67-F66</f>
        <v>13374.0802556404</v>
      </c>
      <c r="I67" s="66" t="n">
        <f aca="false">MAX(0.005,pac_u_base*IF(Paths!AC67=1,pac_u_war,1)+(okun*(1-Economy!G67)*(B67+L67)-MAX(0,L66-L67))/B67)</f>
        <v>0.0231462639658401</v>
      </c>
      <c r="J67" s="49" t="n">
        <f aca="false">IF(AND(gw_on=1,$A67&gt;=gw_start),MIN(gw_cap*B66,gw_cover*F66+gw_gen*B66),0)</f>
        <v>605195.68693843</v>
      </c>
      <c r="K67" s="49" t="n">
        <f aca="false">L66*gw_conv</f>
        <v>15100.1458606037</v>
      </c>
      <c r="L67" s="49" t="n">
        <f aca="false">MAX(0,L66-K67+gw_adj*(J67-L66))*MAX(0,1-gw_slump*(1-Economy!G67))</f>
        <v>516285.501019798</v>
      </c>
      <c r="M67" s="49" t="n">
        <f aca="false">MAX(0,L67-L66+L66/gw_term)</f>
        <v>180726.704117494</v>
      </c>
      <c r="N67" s="66" t="n">
        <f aca="false">L67/B67</f>
        <v>0.0861685287786758</v>
      </c>
      <c r="O67" s="56" t="n">
        <f aca="false">Economy!L67</f>
        <v>480.286058177347</v>
      </c>
      <c r="P67" s="56" t="n">
        <f aca="false">O67*gw_wage_share</f>
        <v>312.185937815275</v>
      </c>
      <c r="Q67" s="56" t="n">
        <f aca="false">P67*gw_levy</f>
        <v>78.0464844538188</v>
      </c>
      <c r="R67" s="56" t="n">
        <f aca="false">P67*gw_remit</f>
        <v>78.0464844538188</v>
      </c>
      <c r="S67" s="66" t="n">
        <f aca="false">IF(union_resp&gt;=1,MIN(1,MAX(0,($A67-resp_start)/(resp_full-resp_start))),0)</f>
        <v>0.571428571428571</v>
      </c>
      <c r="T67" s="70" t="n">
        <f aca="false">Economy!R66</f>
        <v>2.19114719624232</v>
      </c>
      <c r="U67" s="70" t="n">
        <f aca="false">MAX(0,T67-gap_base)</f>
        <v>0.691147196242321</v>
      </c>
      <c r="V67" s="71" t="n">
        <v>68.39</v>
      </c>
      <c r="W67" s="49" t="n">
        <f aca="false">V67*1000000*lf_rate*union_skill_share</f>
        <v>3446856</v>
      </c>
      <c r="X67" s="47" t="n">
        <v>132000</v>
      </c>
      <c r="Y67" s="49" t="n">
        <f aca="false">IF(AND(mig_endo=1,$A67&gt;=talent_start),talent_rate_u*W67*U67*(1-(1-bd_keep)*S67),0)</f>
        <v>14742.9400208678</v>
      </c>
      <c r="Z67" s="49" t="n">
        <f aca="false">IF(AND(mig_endo=1,$A67&gt;=talent_start),X67*MIN(0.5,talent_share_o*U67)*(1-eu_comp*S67),0)</f>
        <v>20409.7741756632</v>
      </c>
      <c r="AA67" s="47" t="n">
        <v>35000</v>
      </c>
      <c r="AB67" s="49" t="n">
        <f aca="false">IF(AND(mig_endo=1,$A67&gt;=talent_start),AA67*MIN(0.5,talent_share_a*U67),0)</f>
        <v>4838.03037369625</v>
      </c>
      <c r="AC67" s="49" t="n">
        <f aca="false">entry_cap*People!B67</f>
        <v>41689.5390298691</v>
      </c>
      <c r="AD67" s="49" t="n">
        <f aca="false">MIN(AC67,Y67+Z67+AB67)</f>
        <v>39990.7445702272</v>
      </c>
      <c r="AE67" s="49" t="n">
        <f aca="false">IF(Y67+Z67+AB67&gt;0,AD67*Y67/(Y67+Z67+AB67),0)</f>
        <v>14742.9400208677</v>
      </c>
      <c r="AF67" s="49" t="n">
        <f aca="false">IF(Y67+Z67+AB67&gt;0,AD67*AB67/(Y67+Z67+AB67),0)</f>
        <v>4838.03037369625</v>
      </c>
      <c r="AG67" s="49" t="n">
        <f aca="false">AD67*family_mult</f>
        <v>87979.6380544999</v>
      </c>
      <c r="AH67" s="49" t="n">
        <f aca="false">AH66*(1+Paths!C67)+AG67</f>
        <v>2062230.27667098</v>
      </c>
      <c r="AI67" s="49" t="n">
        <f aca="false">IF(AND(mig_endo=1,$A67&gt;=talent_start),chain_rate*AH66,0)</f>
        <v>29010.9412314</v>
      </c>
      <c r="AJ67" s="49" t="n">
        <f aca="false">IF(AND(mig_endo=1,$A67&gt;=talent_start),IF(H66&gt;0,H66*job_fill,H66*job_return)*job_family,0)</f>
        <v>4049.09334439334</v>
      </c>
      <c r="AK67" s="49" t="n">
        <f aca="false">K67*gw_conv_family</f>
        <v>27180.2625490866</v>
      </c>
      <c r="AL67" s="49" t="n">
        <f aca="false">AG67+AI67+AJ67+AK67+AR67</f>
        <v>332904.339546703</v>
      </c>
      <c r="AM67" s="49" t="n">
        <f aca="false">AM66*(1-skill_ret)+AD67</f>
        <v>524629.86122115</v>
      </c>
      <c r="AN67" s="67" t="n">
        <f aca="false">AM67/B67</f>
        <v>0.0875612102325024</v>
      </c>
      <c r="AO67" s="67" t="n">
        <f aca="false">(skill_rel-1+skill_spill)*AM66/B66-AT67</f>
        <v>0.0921837120375669</v>
      </c>
      <c r="AP67" s="67" t="n">
        <f aca="false">talent_champ*AM66/(skill_base_share*B66)</f>
        <v>0.174738795208729</v>
      </c>
      <c r="AQ67" s="47" t="n">
        <v>1290000</v>
      </c>
      <c r="AR67" s="49" t="n">
        <f aca="false">IF(AND(div_on=1,$A67&gt;=div_start),AQ67*MIN(div_max,div_rate*U67)*(1-div_comp*S67),0)</f>
        <v>184684.404367323</v>
      </c>
      <c r="AS67" s="49" t="n">
        <f aca="false">AS66*(1-div_assim)+AR67</f>
        <v>1286050.36556681</v>
      </c>
      <c r="AT67" s="67" t="n">
        <f aca="false">(1-div_rel)*AS66/Economy!B66</f>
        <v>0.0213965048481067</v>
      </c>
      <c r="AU67" s="49" t="n">
        <f aca="false">AU66*(1-skill_ret)+AE67</f>
        <v>258960.081256264</v>
      </c>
      <c r="AV67" s="49" t="n">
        <f aca="false">AV66*(1+union_nat)+AR67</f>
        <v>1991070.34956149</v>
      </c>
      <c r="AW67" s="49" t="n">
        <f aca="false">AW66*(1+union_nat)+AE67*family_mult</f>
        <v>1047485.49448526</v>
      </c>
      <c r="AX67" s="70" t="n">
        <f aca="false">V67-(AV67+AW67)/1000000</f>
        <v>65.3514441559533</v>
      </c>
      <c r="AY67" s="49" t="n">
        <f aca="false">L67*gw_union</f>
        <v>103257.10020396</v>
      </c>
      <c r="AZ67" s="48" t="n">
        <v>1.07</v>
      </c>
      <c r="BA67" s="49" t="n">
        <f aca="false">Economy!Q67*AZ67/lf_rate</f>
        <v>812.690476190476</v>
      </c>
      <c r="BB67" s="67" t="n">
        <f aca="false">bd_growth*AU66/W66</f>
        <v>0.00222164675635409</v>
      </c>
      <c r="BC67" s="67" t="n">
        <f aca="false">tg_k*MIN(1,Economy!O66/BK66)</f>
        <v>0.00149593165731707</v>
      </c>
      <c r="BD67" s="67" t="n">
        <f aca="false">emu_g*S67</f>
        <v>0.000857142857142857</v>
      </c>
      <c r="BE67" s="68" t="n">
        <f aca="false">BE66*(1-BB67-BC67+BD67)</f>
        <v>0.913131995552634</v>
      </c>
      <c r="BF67" s="48" t="n">
        <v>1</v>
      </c>
      <c r="BG67" s="56" t="n">
        <f aca="false">AU67*BA67*BE67*(skill_rel-1+skill_spill)/1000000</f>
        <v>249.824430325508</v>
      </c>
      <c r="BH67" s="56" t="n">
        <f aca="false">union_disp*(Champions!AP67+Champions!AZ67)*(1-IF(union_resp=2,mkt_cut*S67,0))</f>
        <v>149.620055848667</v>
      </c>
      <c r="BI67" s="56" t="n">
        <f aca="false">AY67*BA67*BE67/1000000</f>
        <v>76.6264410934457</v>
      </c>
      <c r="BJ67" s="49" t="n">
        <f aca="false">V67*Economy!Q67*AZ67</f>
        <v>23343.5587</v>
      </c>
      <c r="BK67" s="49" t="n">
        <f aca="false">MAX(0.3*BJ67,AX67*Economy!Q67*AZ67*BE67*BF67-BG67-BH67-BI67)</f>
        <v>19892.624319456</v>
      </c>
      <c r="BL67" s="66" t="n">
        <f aca="false">1-BK67/BJ67</f>
        <v>0.14783240314357</v>
      </c>
      <c r="BM67" s="49" t="n">
        <f aca="false">MAX(0,BH67-BH66)*1000000/BA67</f>
        <v>6472.8311885642</v>
      </c>
      <c r="BN67" s="49" t="n">
        <f aca="false">BN66*(1-IF(AND($A67&gt;=1930,$A67&lt;=1932),0,union_reabsorb))+BM67</f>
        <v>41367.0328936826</v>
      </c>
      <c r="BO67" s="62" t="n">
        <v>0.028</v>
      </c>
      <c r="BP67" s="66" t="n">
        <f aca="false">BO67+BN67/(AX67*1000000*lf_rate)</f>
        <v>0.029507127145134</v>
      </c>
    </row>
    <row r="68" customFormat="false" ht="14.25" hidden="false" customHeight="true" outlineLevel="0" collapsed="false">
      <c r="A68" s="61" t="n">
        <v>1908</v>
      </c>
      <c r="B68" s="49" t="n">
        <f aca="false">Economy!B68*lf_rate</f>
        <v>6289432.7020238</v>
      </c>
      <c r="C68" s="49" t="n">
        <f aca="false">Economy!O68*1000000/(B68+L68)</f>
        <v>1593.29414076379</v>
      </c>
      <c r="D68" s="49" t="n">
        <f aca="false">Champions!AP68*1000000/(C68*champ_prem)</f>
        <v>165470.613046745</v>
      </c>
      <c r="E68" s="49" t="n">
        <f aca="false">D68*job_mult</f>
        <v>115829.429132721</v>
      </c>
      <c r="F68" s="49" t="n">
        <f aca="false">D68+E68</f>
        <v>281300.042179466</v>
      </c>
      <c r="G68" s="66" t="n">
        <f aca="false">F68/B68</f>
        <v>0.0447258211521923</v>
      </c>
      <c r="H68" s="49" t="n">
        <f aca="false">F68-F67</f>
        <v>17832.2581281969</v>
      </c>
      <c r="I68" s="66" t="n">
        <f aca="false">MAX(0.005,pac_u_base*IF(Paths!AC68=1,pac_u_war,1)+(okun*(1-Economy!G68)*(B68+L68)-MAX(0,L67-L68))/B68)</f>
        <v>0.0402628248409646</v>
      </c>
      <c r="J68" s="49" t="n">
        <f aca="false">IF(AND(gw_on=1,$A68&gt;=gw_start),MIN(gw_cap*B67,gw_cover*F67+gw_gen*B67),0)</f>
        <v>637406.94728609</v>
      </c>
      <c r="K68" s="49" t="n">
        <f aca="false">L67*gw_conv</f>
        <v>15488.5650305939</v>
      </c>
      <c r="L68" s="49" t="n">
        <f aca="false">MAX(0,L67-K68+gw_adj*(J68-L67))*MAX(0,1-gw_slump*(1-Economy!G68))</f>
        <v>505305.873336063</v>
      </c>
      <c r="M68" s="49" t="n">
        <f aca="false">MAX(0,L68-L67+L67/gw_term)</f>
        <v>161115.539322864</v>
      </c>
      <c r="N68" s="66" t="n">
        <f aca="false">L68/B68</f>
        <v>0.0803420431183669</v>
      </c>
      <c r="O68" s="56" t="n">
        <f aca="false">Economy!L68</f>
        <v>475.888166304256</v>
      </c>
      <c r="P68" s="56" t="n">
        <f aca="false">O68*gw_wage_share</f>
        <v>309.327308097766</v>
      </c>
      <c r="Q68" s="56" t="n">
        <f aca="false">P68*gw_levy</f>
        <v>77.3318270244416</v>
      </c>
      <c r="R68" s="56" t="n">
        <f aca="false">P68*gw_remit</f>
        <v>77.3318270244416</v>
      </c>
      <c r="S68" s="66" t="n">
        <f aca="false">IF(union_resp&gt;=1,MIN(1,MAX(0,($A68-resp_start)/(resp_full-resp_start))),0)</f>
        <v>0.714285714285714</v>
      </c>
      <c r="T68" s="70" t="n">
        <f aca="false">Economy!R67</f>
        <v>2.16673326815667</v>
      </c>
      <c r="U68" s="70" t="n">
        <f aca="false">MAX(0,T68-gap_base)</f>
        <v>0.66673326815667</v>
      </c>
      <c r="V68" s="71" t="n">
        <v>69.68</v>
      </c>
      <c r="W68" s="49" t="n">
        <f aca="false">V68*1000000*lf_rate*union_skill_share</f>
        <v>3511872</v>
      </c>
      <c r="X68" s="47" t="n">
        <v>137000</v>
      </c>
      <c r="Y68" s="49" t="n">
        <f aca="false">IF(AND(mig_endo=1,$A68&gt;=talent_start),talent_rate_u*W68*U68*(1-(1-bd_keep)*S68),0)</f>
        <v>12259.3302121464</v>
      </c>
      <c r="Z68" s="49" t="n">
        <f aca="false">IF(AND(mig_endo=1,$A68&gt;=talent_start),X68*MIN(0.5,talent_share_o*U68)*(1-eu_comp*S68),0)</f>
        <v>19377.6499628762</v>
      </c>
      <c r="AA68" s="47" t="n">
        <v>38000</v>
      </c>
      <c r="AB68" s="49" t="n">
        <f aca="false">IF(AND(mig_endo=1,$A68&gt;=talent_start),AA68*MIN(0.5,talent_share_a*U68),0)</f>
        <v>5067.17283799069</v>
      </c>
      <c r="AC68" s="49" t="n">
        <f aca="false">entry_cap*People!B68</f>
        <v>43904.4389800109</v>
      </c>
      <c r="AD68" s="49" t="n">
        <f aca="false">MIN(AC68,Y68+Z68+AB68)</f>
        <v>36704.1530130133</v>
      </c>
      <c r="AE68" s="49" t="n">
        <f aca="false">IF(Y68+Z68+AB68&gt;0,AD68*Y68/(Y68+Z68+AB68),0)</f>
        <v>12259.3302121464</v>
      </c>
      <c r="AF68" s="49" t="n">
        <f aca="false">IF(Y68+Z68+AB68&gt;0,AD68*AB68/(Y68+Z68+AB68),0)</f>
        <v>5067.17283799069</v>
      </c>
      <c r="AG68" s="49" t="n">
        <f aca="false">AD68*family_mult</f>
        <v>80749.1366286293</v>
      </c>
      <c r="AH68" s="49" t="n">
        <f aca="false">AH67*(1+Paths!C68)+AG68</f>
        <v>2187123.51460203</v>
      </c>
      <c r="AI68" s="49" t="n">
        <f aca="false">IF(AND(mig_endo=1,$A68&gt;=talent_start),chain_rate*AH67,0)</f>
        <v>30933.4541500647</v>
      </c>
      <c r="AJ68" s="49" t="n">
        <f aca="false">IF(AND(mig_endo=1,$A68&gt;=talent_start),IF(H67&gt;0,H67*job_fill,H67*job_return)*job_family,0)</f>
        <v>8425.67056105344</v>
      </c>
      <c r="AK68" s="49" t="n">
        <f aca="false">K68*gw_conv_family</f>
        <v>27879.4170550691</v>
      </c>
      <c r="AL68" s="49" t="n">
        <f aca="false">AG68+AI68+AJ68+AK68+AR68</f>
        <v>250140.739837392</v>
      </c>
      <c r="AM68" s="49" t="n">
        <f aca="false">AM67*(1-skill_ret)+AD68</f>
        <v>548218.267703635</v>
      </c>
      <c r="AN68" s="67" t="n">
        <f aca="false">AM68/B68</f>
        <v>0.0871649787312662</v>
      </c>
      <c r="AO68" s="67" t="n">
        <f aca="false">(skill_rel-1+skill_spill)*AM67/B67-AT68</f>
        <v>0.0912920584769982</v>
      </c>
      <c r="AP68" s="67" t="n">
        <f aca="false">talent_champ*AM67/(skill_base_share*B67)</f>
        <v>0.175122420465005</v>
      </c>
      <c r="AQ68" s="47" t="n">
        <v>780000</v>
      </c>
      <c r="AR68" s="49" t="n">
        <f aca="false">IF(AND(div_on=1,$A68&gt;=div_start),AQ68*MIN(div_max,div_rate*U68)*(1-div_comp*S68),0)</f>
        <v>102153.061442575</v>
      </c>
      <c r="AS68" s="49" t="n">
        <f aca="false">AS67*(1-div_assim)+AR68</f>
        <v>1323900.90873104</v>
      </c>
      <c r="AT68" s="67" t="n">
        <f aca="false">(1-div_rel)*AS67/Economy!B67</f>
        <v>0.0225375148252549</v>
      </c>
      <c r="AU68" s="49" t="n">
        <f aca="false">AU67*(1-skill_ret)+AE68</f>
        <v>264745.409437004</v>
      </c>
      <c r="AV68" s="49" t="n">
        <f aca="false">AV67*(1+union_nat)+AR68</f>
        <v>2119107.32554837</v>
      </c>
      <c r="AW68" s="49" t="n">
        <f aca="false">AW67*(1+union_nat)+AE68*family_mult</f>
        <v>1088073.33238029</v>
      </c>
      <c r="AX68" s="70" t="n">
        <f aca="false">V68-(AV68+AW68)/1000000</f>
        <v>66.4728193420714</v>
      </c>
      <c r="AY68" s="49" t="n">
        <f aca="false">L68*gw_union</f>
        <v>101061.174667213</v>
      </c>
      <c r="AZ68" s="48" t="n">
        <v>1.067</v>
      </c>
      <c r="BA68" s="49" t="n">
        <f aca="false">Economy!Q68*AZ68/lf_rate</f>
        <v>848.519047619048</v>
      </c>
      <c r="BB68" s="67" t="n">
        <f aca="false">bd_growth*AU67/W67</f>
        <v>0.00225388076487324</v>
      </c>
      <c r="BC68" s="67" t="n">
        <f aca="false">tg_k*MIN(1,Economy!O67/BK67)</f>
        <v>0.00154083804601912</v>
      </c>
      <c r="BD68" s="67" t="n">
        <f aca="false">emu_g*S68</f>
        <v>0.00107142857142857</v>
      </c>
      <c r="BE68" s="68" t="n">
        <f aca="false">BE67*(1-BB68-BC68+BD68)</f>
        <v>0.910645272101804</v>
      </c>
      <c r="BF68" s="48" t="n">
        <v>1</v>
      </c>
      <c r="BG68" s="56" t="n">
        <f aca="false">AU68*BA68*BE68*(skill_rel-1+skill_spill)/1000000</f>
        <v>265.939362706629</v>
      </c>
      <c r="BH68" s="56" t="n">
        <f aca="false">union_disp*(Champions!AP68+Champions!AZ68)*(1-IF(union_resp=2,mkt_cut*S68,0))</f>
        <v>153.446200787165</v>
      </c>
      <c r="BI68" s="56" t="n">
        <f aca="false">AY68*BA68*BE68/1000000</f>
        <v>78.0899554159934</v>
      </c>
      <c r="BJ68" s="49" t="n">
        <f aca="false">V68*Economy!Q68*AZ68</f>
        <v>24832.41904</v>
      </c>
      <c r="BK68" s="49" t="n">
        <f aca="false">MAX(0.3*BJ68,AX68*Economy!Q68*AZ68*BE68*BF68-BG68-BH68-BI68)</f>
        <v>21075.2104970025</v>
      </c>
      <c r="BL68" s="66" t="n">
        <f aca="false">1-BK68/BJ68</f>
        <v>0.15130255884235</v>
      </c>
      <c r="BM68" s="49" t="n">
        <f aca="false">MAX(0,BH68-BH67)*1000000/BA68</f>
        <v>4509.20335758429</v>
      </c>
      <c r="BN68" s="49" t="n">
        <f aca="false">BN67*(1-IF(AND($A68&gt;=1930,$A68&lt;=1932),0,union_reabsorb))+BM68</f>
        <v>35534.4780278462</v>
      </c>
      <c r="BO68" s="62" t="n">
        <v>0.08</v>
      </c>
      <c r="BP68" s="66" t="n">
        <f aca="false">BO68+BN68/(AX68*1000000*lf_rate)</f>
        <v>0.0812727894033036</v>
      </c>
    </row>
    <row r="69" customFormat="false" ht="14.25" hidden="false" customHeight="true" outlineLevel="0" collapsed="false">
      <c r="A69" s="61" t="n">
        <v>1909</v>
      </c>
      <c r="B69" s="49" t="n">
        <f aca="false">Economy!B69*lf_rate</f>
        <v>6577399.15516874</v>
      </c>
      <c r="C69" s="49" t="n">
        <f aca="false">Economy!O69*1000000/(B69+L69)</f>
        <v>1750.91036249046</v>
      </c>
      <c r="D69" s="49" t="n">
        <f aca="false">Champions!AP69*1000000/(C69*champ_prem)</f>
        <v>161733.948220935</v>
      </c>
      <c r="E69" s="49" t="n">
        <f aca="false">D69*job_mult</f>
        <v>113213.763754655</v>
      </c>
      <c r="F69" s="49" t="n">
        <f aca="false">D69+E69</f>
        <v>274947.71197559</v>
      </c>
      <c r="G69" s="66" t="n">
        <f aca="false">F69/B69</f>
        <v>0.0418018893926374</v>
      </c>
      <c r="H69" s="49" t="n">
        <f aca="false">F69-F68</f>
        <v>-6352.33020387607</v>
      </c>
      <c r="I69" s="66" t="n">
        <f aca="false">MAX(0.005,pac_u_base*IF(Paths!AC69=1,pac_u_war,1)+(okun*(1-Economy!G69)*(B69+L69)-MAX(0,L68-L69))/B69)</f>
        <v>0.015</v>
      </c>
      <c r="J69" s="49" t="n">
        <f aca="false">IF(AND(gw_on=1,$A69&gt;=gw_start),MIN(gw_cap*B68,gw_cover*F68+gw_gen*B68),0)</f>
        <v>671934.641469584</v>
      </c>
      <c r="K69" s="49" t="n">
        <f aca="false">L68*gw_conv</f>
        <v>15159.1762000819</v>
      </c>
      <c r="L69" s="49" t="n">
        <f aca="false">MAX(0,L68-K69+gw_adj*(J69-L68))*MAX(0,1-gw_slump*(1-Economy!G69))</f>
        <v>556798.20438939</v>
      </c>
      <c r="M69" s="49" t="n">
        <f aca="false">MAX(0,L69-L68+L68/gw_term)</f>
        <v>219927.622165348</v>
      </c>
      <c r="N69" s="66" t="n">
        <f aca="false">L69/B69</f>
        <v>0.0846532483818986</v>
      </c>
      <c r="O69" s="56" t="n">
        <f aca="false">Economy!L69</f>
        <v>579.193481348767</v>
      </c>
      <c r="P69" s="56" t="n">
        <f aca="false">O69*gw_wage_share</f>
        <v>376.475762876699</v>
      </c>
      <c r="Q69" s="56" t="n">
        <f aca="false">P69*gw_levy</f>
        <v>94.1189407191746</v>
      </c>
      <c r="R69" s="56" t="n">
        <f aca="false">P69*gw_remit</f>
        <v>94.1189407191746</v>
      </c>
      <c r="S69" s="66" t="n">
        <f aca="false">IF(union_resp&gt;=1,MIN(1,MAX(0,($A69-resp_start)/(resp_full-resp_start))),0)</f>
        <v>0.857142857142857</v>
      </c>
      <c r="T69" s="70" t="n">
        <f aca="false">Economy!R68</f>
        <v>2.09385788635531</v>
      </c>
      <c r="U69" s="70" t="n">
        <f aca="false">MAX(0,T69-gap_base)</f>
        <v>0.593857886355305</v>
      </c>
      <c r="V69" s="71" t="n">
        <v>70.96</v>
      </c>
      <c r="W69" s="49" t="n">
        <f aca="false">V69*1000000*lf_rate*union_skill_share</f>
        <v>3576384</v>
      </c>
      <c r="X69" s="47" t="n">
        <v>142000</v>
      </c>
      <c r="Y69" s="49" t="n">
        <f aca="false">IF(AND(mig_endo=1,$A69&gt;=talent_start),talent_rate_u*W69*U69*(1-(1-bd_keep)*S69),0)</f>
        <v>9096.20543059818</v>
      </c>
      <c r="Z69" s="49" t="n">
        <f aca="false">IF(AND(mig_endo=1,$A69&gt;=talent_start),X69*MIN(0.5,talent_share_o*U69)*(1-eu_comp*S69),0)</f>
        <v>16913.7512981264</v>
      </c>
      <c r="AA69" s="47" t="n">
        <v>40000</v>
      </c>
      <c r="AB69" s="49" t="n">
        <f aca="false">IF(AND(mig_endo=1,$A69&gt;=talent_start),AA69*MIN(0.5,talent_share_a*U69),0)</f>
        <v>4750.86309084244</v>
      </c>
      <c r="AC69" s="49" t="n">
        <f aca="false">entry_cap*People!B69</f>
        <v>45944.5996203292</v>
      </c>
      <c r="AD69" s="49" t="n">
        <f aca="false">MIN(AC69,Y69+Z69+AB69)</f>
        <v>30760.819819567</v>
      </c>
      <c r="AE69" s="49" t="n">
        <f aca="false">IF(Y69+Z69+AB69&gt;0,AD69*Y69/(Y69+Z69+AB69),0)</f>
        <v>9096.20543059818</v>
      </c>
      <c r="AF69" s="49" t="n">
        <f aca="false">IF(Y69+Z69+AB69&gt;0,AD69*AB69/(Y69+Z69+AB69),0)</f>
        <v>4750.86309084244</v>
      </c>
      <c r="AG69" s="49" t="n">
        <f aca="false">AD69*family_mult</f>
        <v>67673.8036030473</v>
      </c>
      <c r="AH69" s="49" t="n">
        <f aca="false">AH68*(1+Paths!C69)+AG69</f>
        <v>2302669.07769269</v>
      </c>
      <c r="AI69" s="49" t="n">
        <f aca="false">IF(AND(mig_endo=1,$A69&gt;=talent_start),chain_rate*AH68,0)</f>
        <v>32806.8527190305</v>
      </c>
      <c r="AJ69" s="49" t="n">
        <f aca="false">IF(AND(mig_endo=1,$A69&gt;=talent_start),IF(H68&gt;0,H68*job_fill,H68*job_return)*job_family,0)</f>
        <v>11234.322620764</v>
      </c>
      <c r="AK69" s="49" t="n">
        <f aca="false">K69*gw_conv_family</f>
        <v>27286.5171601474</v>
      </c>
      <c r="AL69" s="49" t="n">
        <f aca="false">AG69+AI69+AJ69+AK69+AR69</f>
        <v>239363.478897036</v>
      </c>
      <c r="AM69" s="49" t="n">
        <f aca="false">AM68*(1-skill_ret)+AD69</f>
        <v>565273.630830611</v>
      </c>
      <c r="AN69" s="67" t="n">
        <f aca="false">AM69/B69</f>
        <v>0.0859418164376416</v>
      </c>
      <c r="AO69" s="67" t="n">
        <f aca="false">(skill_rel-1+skill_spill)*AM68/B68-AT69</f>
        <v>0.0912123842923655</v>
      </c>
      <c r="AP69" s="67" t="n">
        <f aca="false">talent_champ*AM68/(skill_base_share*B68)</f>
        <v>0.174329957462532</v>
      </c>
      <c r="AQ69" s="47" t="n">
        <v>910000</v>
      </c>
      <c r="AR69" s="49" t="n">
        <f aca="false">IF(AND(div_on=1,$A69&gt;=div_start),AQ69*MIN(div_max,div_rate*U69)*(1-div_comp*S69),0)</f>
        <v>100361.982794047</v>
      </c>
      <c r="AS69" s="49" t="n">
        <f aca="false">AS68*(1-div_assim)+AR69</f>
        <v>1358067.84608854</v>
      </c>
      <c r="AT69" s="67" t="n">
        <f aca="false">(1-div_rel)*AS68/Economy!B68</f>
        <v>0.0221020880582806</v>
      </c>
      <c r="AU69" s="49" t="n">
        <f aca="false">AU68*(1-skill_ret)+AE69</f>
        <v>267222.979631677</v>
      </c>
      <c r="AV69" s="49" t="n">
        <f aca="false">AV68*(1+union_nat)+AR69</f>
        <v>2247017.70357454</v>
      </c>
      <c r="AW69" s="49" t="n">
        <f aca="false">AW68*(1+union_nat)+AE69*family_mult</f>
        <v>1122229.93764855</v>
      </c>
      <c r="AX69" s="70" t="n">
        <f aca="false">V69-(AV69+AW69)/1000000</f>
        <v>67.5907523587769</v>
      </c>
      <c r="AY69" s="49" t="n">
        <f aca="false">L69*gw_union</f>
        <v>111359.640877878</v>
      </c>
      <c r="AZ69" s="48" t="n">
        <v>1.064</v>
      </c>
      <c r="BA69" s="49" t="n">
        <f aca="false">Economy!Q69*AZ69/lf_rate</f>
        <v>881.6</v>
      </c>
      <c r="BB69" s="67" t="n">
        <f aca="false">bd_growth*AU68/W68</f>
        <v>0.00226157510385063</v>
      </c>
      <c r="BC69" s="67" t="n">
        <f aca="false">tg_k*MIN(1,Economy!O68/BK68)</f>
        <v>0.00154105466633641</v>
      </c>
      <c r="BD69" s="67" t="n">
        <f aca="false">emu_g*S69</f>
        <v>0.00128571428571429</v>
      </c>
      <c r="BE69" s="68" t="n">
        <f aca="false">BE68*(1-BB69-BC69+BD69)</f>
        <v>0.908353254915589</v>
      </c>
      <c r="BF69" s="48" t="n">
        <v>1</v>
      </c>
      <c r="BG69" s="56" t="n">
        <f aca="false">AU69*BA69*BE69*(skill_rel-1+skill_spill)/1000000</f>
        <v>278.191280012897</v>
      </c>
      <c r="BH69" s="56" t="n">
        <f aca="false">union_disp*(Champions!AP69+Champions!AZ69)*(1-IF(union_resp=2,mkt_cut*S69,0))</f>
        <v>155.712461303213</v>
      </c>
      <c r="BI69" s="56" t="n">
        <f aca="false">AY69*BA69*BE69/1000000</f>
        <v>89.1772714143455</v>
      </c>
      <c r="BJ69" s="49" t="n">
        <f aca="false">V69*Economy!Q69*AZ69</f>
        <v>26274.50112</v>
      </c>
      <c r="BK69" s="49" t="n">
        <f aca="false">MAX(0.3*BJ69,AX69*Economy!Q69*AZ69*BE69*BF69-BG69-BH69-BI69)</f>
        <v>22210.2423411011</v>
      </c>
      <c r="BL69" s="66" t="n">
        <f aca="false">1-BK69/BJ69</f>
        <v>0.154684527037708</v>
      </c>
      <c r="BM69" s="49" t="n">
        <f aca="false">MAX(0,BH69-BH68)*1000000/BA69</f>
        <v>2570.62218245015</v>
      </c>
      <c r="BN69" s="49" t="n">
        <f aca="false">BN68*(1-IF(AND($A69&gt;=1930,$A69&lt;=1932),0,union_reabsorb))+BM69</f>
        <v>29221.4807033348</v>
      </c>
      <c r="BO69" s="62" t="n">
        <v>0.051</v>
      </c>
      <c r="BP69" s="66" t="n">
        <f aca="false">BO69+BN69/(AX69*1000000*lf_rate)</f>
        <v>0.0520293561120055</v>
      </c>
    </row>
    <row r="70" customFormat="false" ht="14.25" hidden="false" customHeight="true" outlineLevel="0" collapsed="false">
      <c r="A70" s="61" t="n">
        <v>1910</v>
      </c>
      <c r="B70" s="49" t="n">
        <f aca="false">Economy!B70*lf_rate</f>
        <v>6878140.66142093</v>
      </c>
      <c r="C70" s="49" t="n">
        <f aca="false">Economy!O70*1000000/(B70+L70)</f>
        <v>1832.67485119751</v>
      </c>
      <c r="D70" s="49" t="n">
        <f aca="false">Champions!AP70*1000000/(C70*champ_prem)</f>
        <v>168955.228094709</v>
      </c>
      <c r="E70" s="49" t="n">
        <f aca="false">D70*job_mult</f>
        <v>118268.659666297</v>
      </c>
      <c r="F70" s="49" t="n">
        <f aca="false">D70+E70</f>
        <v>287223.887761006</v>
      </c>
      <c r="G70" s="66" t="n">
        <f aca="false">F70/B70</f>
        <v>0.0417589435720656</v>
      </c>
      <c r="H70" s="49" t="n">
        <f aca="false">F70-F69</f>
        <v>12276.1757854159</v>
      </c>
      <c r="I70" s="66" t="n">
        <f aca="false">MAX(0.005,pac_u_base*IF(Paths!AC70=1,pac_u_war,1)+(okun*(1-Economy!G70)*(B70+L70)-MAX(0,L69-L70))/B70)</f>
        <v>0.015</v>
      </c>
      <c r="J70" s="49" t="n">
        <f aca="false">IF(AND(gw_on=1,$A70&gt;=gw_start),MIN(gw_cap*B69,gw_cover*F69+gw_gen*B69),0)</f>
        <v>691160.559598854</v>
      </c>
      <c r="K70" s="49" t="n">
        <f aca="false">L69*gw_conv</f>
        <v>16703.9461316817</v>
      </c>
      <c r="L70" s="49" t="n">
        <f aca="false">MAX(0,L69-K70+gw_adj*(J70-L69))*MAX(0,1-gw_slump*(1-Economy!G70))</f>
        <v>593839.200341494</v>
      </c>
      <c r="M70" s="49" t="n">
        <f aca="false">MAX(0,L70-L69+L69/gw_term)</f>
        <v>222640.397415234</v>
      </c>
      <c r="N70" s="66" t="n">
        <f aca="false">L70/B70</f>
        <v>0.0863371701123098</v>
      </c>
      <c r="O70" s="56" t="n">
        <f aca="false">Economy!L70</f>
        <v>647.402240627702</v>
      </c>
      <c r="P70" s="56" t="n">
        <f aca="false">O70*gw_wage_share</f>
        <v>420.811456408006</v>
      </c>
      <c r="Q70" s="56" t="n">
        <f aca="false">P70*gw_levy</f>
        <v>105.202864102002</v>
      </c>
      <c r="R70" s="56" t="n">
        <f aca="false">P70*gw_remit</f>
        <v>105.202864102002</v>
      </c>
      <c r="S70" s="66" t="n">
        <f aca="false">IF(union_resp&gt;=1,MIN(1,MAX(0,($A70-resp_start)/(resp_full-resp_start))),0)</f>
        <v>1</v>
      </c>
      <c r="T70" s="70" t="n">
        <f aca="false">Economy!R69</f>
        <v>2.21335959388651</v>
      </c>
      <c r="U70" s="70" t="n">
        <f aca="false">MAX(0,T70-gap_base)</f>
        <v>0.713359593886507</v>
      </c>
      <c r="V70" s="71" t="n">
        <v>72.25</v>
      </c>
      <c r="W70" s="49" t="n">
        <f aca="false">V70*1000000*lf_rate*union_skill_share</f>
        <v>3641400</v>
      </c>
      <c r="X70" s="47" t="n">
        <v>146000</v>
      </c>
      <c r="Y70" s="49" t="n">
        <f aca="false">IF(AND(mig_endo=1,$A70&gt;=talent_start),talent_rate_u*W70*U70*(1-(1-bd_keep)*S70),0)</f>
        <v>8650.09999184383</v>
      </c>
      <c r="Z70" s="49" t="n">
        <f aca="false">IF(AND(mig_endo=1,$A70&gt;=talent_start),X70*MIN(0.5,talent_share_o*U70)*(1-eu_comp*S70),0)</f>
        <v>19684.4446337043</v>
      </c>
      <c r="AA70" s="47" t="n">
        <v>42000</v>
      </c>
      <c r="AB70" s="49" t="n">
        <f aca="false">IF(AND(mig_endo=1,$A70&gt;=talent_start),AA70*MIN(0.5,talent_share_a*U70),0)</f>
        <v>5992.22058864666</v>
      </c>
      <c r="AC70" s="49" t="n">
        <f aca="false">entry_cap*People!B70</f>
        <v>48018.24545351</v>
      </c>
      <c r="AD70" s="49" t="n">
        <f aca="false">MIN(AC70,Y70+Z70+AB70)</f>
        <v>34326.7652141948</v>
      </c>
      <c r="AE70" s="49" t="n">
        <f aca="false">IF(Y70+Z70+AB70&gt;0,AD70*Y70/(Y70+Z70+AB70),0)</f>
        <v>8650.09999184383</v>
      </c>
      <c r="AF70" s="49" t="n">
        <f aca="false">IF(Y70+Z70+AB70&gt;0,AD70*AB70/(Y70+Z70+AB70),0)</f>
        <v>5992.22058864666</v>
      </c>
      <c r="AG70" s="49" t="n">
        <f aca="false">AD70*family_mult</f>
        <v>75518.8834712285</v>
      </c>
      <c r="AH70" s="49" t="n">
        <f aca="false">AH69*(1+Paths!C70)+AG70</f>
        <v>2429650.31238127</v>
      </c>
      <c r="AI70" s="49" t="n">
        <f aca="false">IF(AND(mig_endo=1,$A70&gt;=talent_start),chain_rate*AH69,0)</f>
        <v>34540.0361653903</v>
      </c>
      <c r="AJ70" s="49" t="n">
        <f aca="false">IF(AND(mig_endo=1,$A70&gt;=talent_start),IF(H69&gt;0,H69*job_fill,H69*job_return)*job_family,0)</f>
        <v>-3430.25831009308</v>
      </c>
      <c r="AK70" s="49" t="n">
        <f aca="false">K70*gw_conv_family</f>
        <v>30067.103037027</v>
      </c>
      <c r="AL70" s="49" t="n">
        <f aca="false">AG70+AI70+AJ70+AK70+AR70</f>
        <v>266527.210450897</v>
      </c>
      <c r="AM70" s="49" t="n">
        <f aca="false">AM69*(1-skill_ret)+AD70</f>
        <v>585468.55527404</v>
      </c>
      <c r="AN70" s="67" t="n">
        <f aca="false">AM70/B70</f>
        <v>0.085120177689575</v>
      </c>
      <c r="AO70" s="67" t="n">
        <f aca="false">(skill_rel-1+skill_spill)*AM69/B69-AT70</f>
        <v>0.090044496657175</v>
      </c>
      <c r="AP70" s="67" t="n">
        <f aca="false">talent_champ*AM69/(skill_base_share*B69)</f>
        <v>0.171883632875283</v>
      </c>
      <c r="AQ70" s="47" t="n">
        <v>1040000</v>
      </c>
      <c r="AR70" s="49" t="n">
        <f aca="false">IF(AND(div_on=1,$A70&gt;=div_start),AQ70*MIN(div_max,div_rate*U70)*(1-div_comp*S70),0)</f>
        <v>129831.446087344</v>
      </c>
      <c r="AS70" s="49" t="n">
        <f aca="false">AS69*(1-div_assim)+AR70</f>
        <v>1419995.89987145</v>
      </c>
      <c r="AT70" s="67" t="n">
        <f aca="false">(1-div_rel)*AS69/Economy!B69</f>
        <v>0.021679864711759</v>
      </c>
      <c r="AU70" s="49" t="n">
        <f aca="false">AU69*(1-skill_ret)+AE70</f>
        <v>269192.505132729</v>
      </c>
      <c r="AV70" s="49" t="n">
        <f aca="false">AV69*(1+union_nat)+AR70</f>
        <v>2406060.37980835</v>
      </c>
      <c r="AW70" s="49" t="n">
        <f aca="false">AW69*(1+union_nat)+AE70*family_mult</f>
        <v>1155849.14682004</v>
      </c>
      <c r="AX70" s="70" t="n">
        <f aca="false">V70-(AV70+AW70)/1000000</f>
        <v>68.6880904733716</v>
      </c>
      <c r="AY70" s="49" t="n">
        <f aca="false">L70*gw_union</f>
        <v>118767.840068299</v>
      </c>
      <c r="AZ70" s="48" t="n">
        <v>1.06</v>
      </c>
      <c r="BA70" s="49" t="n">
        <f aca="false">Economy!Q70*AZ70/lf_rate</f>
        <v>916.142857142857</v>
      </c>
      <c r="BB70" s="67" t="n">
        <f aca="false">bd_growth*AU69/W69</f>
        <v>0.00224156281566809</v>
      </c>
      <c r="BC70" s="67" t="n">
        <f aca="false">tg_k*MIN(1,Economy!O69/BK69)</f>
        <v>0.00168724049378605</v>
      </c>
      <c r="BD70" s="67" t="n">
        <f aca="false">emu_g*S70</f>
        <v>0.0015</v>
      </c>
      <c r="BE70" s="68" t="n">
        <f aca="false">BE69*(1-BB70-BC70+BD70)</f>
        <v>0.906147043523896</v>
      </c>
      <c r="BF70" s="48" t="n">
        <v>1</v>
      </c>
      <c r="BG70" s="56" t="n">
        <f aca="false">AU70*BA70*BE70*(skill_rel-1+skill_spill)/1000000</f>
        <v>290.514754578183</v>
      </c>
      <c r="BH70" s="56" t="n">
        <f aca="false">union_disp*(Champions!AP70+Champions!AZ70)*(1-IF(union_resp=2,mkt_cut*S70,0))</f>
        <v>159.290458181086</v>
      </c>
      <c r="BI70" s="56" t="n">
        <f aca="false">AY70*BA70*BE70/1000000</f>
        <v>98.5963269102795</v>
      </c>
      <c r="BJ70" s="49" t="n">
        <f aca="false">V70*Economy!Q70*AZ70</f>
        <v>27800.355</v>
      </c>
      <c r="BK70" s="49" t="n">
        <f aca="false">MAX(0.3*BJ70,AX70*Economy!Q70*AZ70*BE70*BF70-BG70-BH70-BI70)</f>
        <v>23400.8867195896</v>
      </c>
      <c r="BL70" s="66" t="n">
        <f aca="false">1-BK70/BJ70</f>
        <v>0.158252233844152</v>
      </c>
      <c r="BM70" s="49" t="n">
        <f aca="false">MAX(0,BH70-BH69)*1000000/BA70</f>
        <v>3905.50103619457</v>
      </c>
      <c r="BN70" s="49" t="n">
        <f aca="false">BN69*(1-IF(AND($A70&gt;=1930,$A70&lt;=1932),0,union_reabsorb))+BM70</f>
        <v>25821.6115636957</v>
      </c>
      <c r="BO70" s="62" t="n">
        <v>0.059</v>
      </c>
      <c r="BP70" s="66" t="n">
        <f aca="false">BO70+BN70/(AX70*1000000*lf_rate)</f>
        <v>0.0598950609502886</v>
      </c>
    </row>
    <row r="71" customFormat="false" ht="14.25" hidden="false" customHeight="true" outlineLevel="0" collapsed="false">
      <c r="A71" s="61" t="n">
        <v>1911</v>
      </c>
      <c r="B71" s="49" t="n">
        <f aca="false">Economy!B71*lf_rate</f>
        <v>7199188.22979278</v>
      </c>
      <c r="C71" s="49" t="n">
        <f aca="false">Economy!O71*1000000/(B71+L71)</f>
        <v>1908.87693438912</v>
      </c>
      <c r="D71" s="49" t="n">
        <f aca="false">Champions!AP71*1000000/(C71*champ_prem)</f>
        <v>176466.353537223</v>
      </c>
      <c r="E71" s="49" t="n">
        <f aca="false">D71*job_mult</f>
        <v>123526.447476056</v>
      </c>
      <c r="F71" s="49" t="n">
        <f aca="false">D71+E71</f>
        <v>299992.80101328</v>
      </c>
      <c r="G71" s="66" t="n">
        <f aca="false">F71/B71</f>
        <v>0.0416703649686229</v>
      </c>
      <c r="H71" s="49" t="n">
        <f aca="false">F71-F70</f>
        <v>12768.9132522734</v>
      </c>
      <c r="I71" s="66" t="n">
        <f aca="false">MAX(0.005,pac_u_base*IF(Paths!AC71=1,pac_u_war,1)+(okun*(1-Economy!G71)*(B71+L71)-MAX(0,L70-L71))/B71)</f>
        <v>0.015</v>
      </c>
      <c r="J71" s="49" t="n">
        <f aca="false">IF(AND(gw_on=1,$A71&gt;=gw_start),MIN(gw_cap*B70,gw_cover*F70+gw_gen*B70),0)</f>
        <v>722585.585570278</v>
      </c>
      <c r="K71" s="49" t="n">
        <f aca="false">L70*gw_conv</f>
        <v>17815.1760102448</v>
      </c>
      <c r="L71" s="49" t="n">
        <f aca="false">MAX(0,L70-K71+gw_adj*(J71-L70))*MAX(0,1-gw_slump*(1-Economy!G71))</f>
        <v>627522.578422763</v>
      </c>
      <c r="M71" s="49" t="n">
        <f aca="false">MAX(0,L71-L70+L70/gw_term)</f>
        <v>231629.7781951</v>
      </c>
      <c r="N71" s="66" t="n">
        <f aca="false">L71/B71</f>
        <v>0.0871657412464717</v>
      </c>
      <c r="O71" s="56" t="n">
        <f aca="false">Economy!L71</f>
        <v>713.266502857298</v>
      </c>
      <c r="P71" s="56" t="n">
        <f aca="false">O71*gw_wage_share</f>
        <v>463.623226857244</v>
      </c>
      <c r="Q71" s="56" t="n">
        <f aca="false">P71*gw_levy</f>
        <v>115.905806714311</v>
      </c>
      <c r="R71" s="56" t="n">
        <f aca="false">P71*gw_remit</f>
        <v>115.905806714311</v>
      </c>
      <c r="S71" s="66" t="n">
        <f aca="false">IF(union_resp&gt;=1,MIN(1,MAX(0,($A71-resp_start)/(resp_full-resp_start))),0)</f>
        <v>1</v>
      </c>
      <c r="T71" s="70" t="n">
        <f aca="false">Economy!R70</f>
        <v>2.22291734904151</v>
      </c>
      <c r="U71" s="70" t="n">
        <f aca="false">MAX(0,T71-gap_base)</f>
        <v>0.722917349041508</v>
      </c>
      <c r="V71" s="71" t="n">
        <v>73.53</v>
      </c>
      <c r="W71" s="49" t="n">
        <f aca="false">V71*1000000*lf_rate*union_skill_share</f>
        <v>3705912</v>
      </c>
      <c r="X71" s="47" t="n">
        <v>151000</v>
      </c>
      <c r="Y71" s="49" t="n">
        <f aca="false">IF(AND(mig_endo=1,$A71&gt;=talent_start),talent_rate_u*W71*U71*(1-(1-bd_keep)*S71),0)</f>
        <v>8921.29670247431</v>
      </c>
      <c r="Z71" s="49" t="n">
        <f aca="false">IF(AND(mig_endo=1,$A71&gt;=talent_start),X71*MIN(0.5,talent_share_o*U71)*(1-eu_comp*S71),0)</f>
        <v>20631.3382242956</v>
      </c>
      <c r="AA71" s="47" t="n">
        <v>45000</v>
      </c>
      <c r="AB71" s="49" t="n">
        <f aca="false">IF(AND(mig_endo=1,$A71&gt;=talent_start),AA71*MIN(0.5,talent_share_a*U71),0)</f>
        <v>6506.25614137358</v>
      </c>
      <c r="AC71" s="49" t="n">
        <f aca="false">entry_cap*People!B71</f>
        <v>50240.9068525032</v>
      </c>
      <c r="AD71" s="49" t="n">
        <f aca="false">MIN(AC71,Y71+Z71+AB71)</f>
        <v>36058.8910681435</v>
      </c>
      <c r="AE71" s="49" t="n">
        <f aca="false">IF(Y71+Z71+AB71&gt;0,AD71*Y71/(Y71+Z71+AB71),0)</f>
        <v>8921.29670247431</v>
      </c>
      <c r="AF71" s="49" t="n">
        <f aca="false">IF(Y71+Z71+AB71&gt;0,AD71*AB71/(Y71+Z71+AB71),0)</f>
        <v>6506.25614137358</v>
      </c>
      <c r="AG71" s="49" t="n">
        <f aca="false">AD71*family_mult</f>
        <v>79329.5603499157</v>
      </c>
      <c r="AH71" s="49" t="n">
        <f aca="false">AH70*(1+Paths!C71)+AG71</f>
        <v>2563882.68084006</v>
      </c>
      <c r="AI71" s="49" t="n">
        <f aca="false">IF(AND(mig_endo=1,$A71&gt;=talent_start),chain_rate*AH70,0)</f>
        <v>36444.754685719</v>
      </c>
      <c r="AJ71" s="49" t="n">
        <f aca="false">IF(AND(mig_endo=1,$A71&gt;=talent_start),IF(H70&gt;0,H70*job_fill,H70*job_return)*job_family,0)</f>
        <v>7733.99074481199</v>
      </c>
      <c r="AK71" s="49" t="n">
        <f aca="false">K71*gw_conv_family</f>
        <v>32067.3168184406</v>
      </c>
      <c r="AL71" s="49" t="n">
        <f aca="false">AG71+AI71+AJ71+AK71+AR71</f>
        <v>292839.554248144</v>
      </c>
      <c r="AM71" s="49" t="n">
        <f aca="false">AM70*(1-skill_ret)+AD71</f>
        <v>606890.732460333</v>
      </c>
      <c r="AN71" s="67" t="n">
        <f aca="false">AM71/B71</f>
        <v>0.084299883971474</v>
      </c>
      <c r="AO71" s="67" t="n">
        <f aca="false">(skill_rel-1+skill_spill)*AM70/B70-AT71</f>
        <v>0.0889789235923124</v>
      </c>
      <c r="AP71" s="67" t="n">
        <f aca="false">talent_champ*AM70/(skill_base_share*B70)</f>
        <v>0.17024035537915</v>
      </c>
      <c r="AQ71" s="47" t="n">
        <v>1085000</v>
      </c>
      <c r="AR71" s="49" t="n">
        <f aca="false">IF(AND(div_on=1,$A71&gt;=div_start),AQ71*MIN(div_max,div_rate*U71)*(1-div_comp*S71),0)</f>
        <v>137263.931649256</v>
      </c>
      <c r="AS71" s="49" t="n">
        <f aca="false">AS70*(1-div_assim)+AR71</f>
        <v>1486260.03652714</v>
      </c>
      <c r="AT71" s="67" t="n">
        <f aca="false">(1-div_rel)*AS70/Economy!B70</f>
        <v>0.0216773074041351</v>
      </c>
      <c r="AU71" s="49" t="n">
        <f aca="false">AU70*(1-skill_ret)+AE71</f>
        <v>271383.989206885</v>
      </c>
      <c r="AV71" s="49" t="n">
        <f aca="false">AV70*(1+union_nat)+AR71</f>
        <v>2574603.09639512</v>
      </c>
      <c r="AW71" s="49" t="n">
        <f aca="false">AW70*(1+union_nat)+AE71*family_mult</f>
        <v>1190502.03847414</v>
      </c>
      <c r="AX71" s="70" t="n">
        <f aca="false">V71-(AV71+AW71)/1000000</f>
        <v>69.7648948651307</v>
      </c>
      <c r="AY71" s="49" t="n">
        <f aca="false">L71*gw_union</f>
        <v>125504.515684552</v>
      </c>
      <c r="AZ71" s="48" t="n">
        <v>1.057</v>
      </c>
      <c r="BA71" s="49" t="n">
        <f aca="false">Economy!Q71*AZ71/lf_rate</f>
        <v>946.266666666667</v>
      </c>
      <c r="BB71" s="67" t="n">
        <f aca="false">bd_growth*AU70/W70</f>
        <v>0.0022177665606585</v>
      </c>
      <c r="BC71" s="67" t="n">
        <f aca="false">tg_k*MIN(1,Economy!O70/BK70)</f>
        <v>0.0017555372681467</v>
      </c>
      <c r="BD71" s="67" t="n">
        <f aca="false">emu_g*S71</f>
        <v>0.0015</v>
      </c>
      <c r="BE71" s="68" t="n">
        <f aca="false">BE70*(1-BB71-BC71+BD71)</f>
        <v>0.903905866571688</v>
      </c>
      <c r="BF71" s="48" t="n">
        <v>1</v>
      </c>
      <c r="BG71" s="56" t="n">
        <f aca="false">AU71*BA71*BE71*(skill_rel-1+skill_spill)/1000000</f>
        <v>301.761841475133</v>
      </c>
      <c r="BH71" s="56" t="n">
        <f aca="false">union_disp*(Champions!AP71+Champions!AZ71)*(1-IF(union_resp=2,mkt_cut*S71,0))</f>
        <v>172.657887628262</v>
      </c>
      <c r="BI71" s="56" t="n">
        <f aca="false">AY71*BA71*BE71/1000000</f>
        <v>107.348529340848</v>
      </c>
      <c r="BJ71" s="49" t="n">
        <f aca="false">V71*Economy!Q71*AZ71</f>
        <v>29223.17496</v>
      </c>
      <c r="BK71" s="49" t="n">
        <f aca="false">MAX(0.3*BJ71,AX71*Economy!Q71*AZ71*BE71*BF71-BG71-BH71-BI71)</f>
        <v>24480.6504558749</v>
      </c>
      <c r="BL71" s="66" t="n">
        <f aca="false">1-BK71/BJ71</f>
        <v>0.162286422013233</v>
      </c>
      <c r="BM71" s="49" t="n">
        <f aca="false">MAX(0,BH71-BH70)*1000000/BA71</f>
        <v>14126.4930046245</v>
      </c>
      <c r="BN71" s="49" t="n">
        <f aca="false">BN70*(1-IF(AND($A71&gt;=1930,$A71&lt;=1932),0,union_reabsorb))+BM71</f>
        <v>33492.7016773962</v>
      </c>
      <c r="BO71" s="62" t="n">
        <v>0.054</v>
      </c>
      <c r="BP71" s="66" t="n">
        <f aca="false">BO71+BN71/(AX71*1000000*lf_rate)</f>
        <v>0.0551430466276411</v>
      </c>
    </row>
    <row r="72" customFormat="false" ht="14.25" hidden="false" customHeight="true" outlineLevel="0" collapsed="false">
      <c r="A72" s="61" t="n">
        <v>1912</v>
      </c>
      <c r="B72" s="49" t="n">
        <f aca="false">Economy!B72*lf_rate</f>
        <v>7537944.22041365</v>
      </c>
      <c r="C72" s="49" t="n">
        <f aca="false">Economy!O72*1000000/(B72+L72)</f>
        <v>1989.27504971659</v>
      </c>
      <c r="D72" s="49" t="n">
        <f aca="false">Champions!AP72*1000000/(C72*champ_prem)</f>
        <v>190592.953961955</v>
      </c>
      <c r="E72" s="49" t="n">
        <f aca="false">D72*job_mult</f>
        <v>133415.067773368</v>
      </c>
      <c r="F72" s="49" t="n">
        <f aca="false">D72+E72</f>
        <v>324008.021735323</v>
      </c>
      <c r="G72" s="66" t="n">
        <f aca="false">F72/B72</f>
        <v>0.0429836056438135</v>
      </c>
      <c r="H72" s="49" t="n">
        <f aca="false">F72-F71</f>
        <v>24015.2207220439</v>
      </c>
      <c r="I72" s="66" t="n">
        <f aca="false">MAX(0.005,pac_u_base*IF(Paths!AC72=1,pac_u_war,1)+(okun*(1-Economy!G72)*(B72+L72)-MAX(0,L71-L72))/B72)</f>
        <v>0.015</v>
      </c>
      <c r="J72" s="49" t="n">
        <f aca="false">IF(AND(gw_on=1,$A72&gt;=gw_start),MIN(gw_cap*B71,gw_cover*F71+gw_gen*B71),0)</f>
        <v>755930.73899139</v>
      </c>
      <c r="K72" s="49" t="n">
        <f aca="false">L71*gw_conv</f>
        <v>18825.6773526829</v>
      </c>
      <c r="L72" s="49" t="n">
        <f aca="false">MAX(0,L71-K72+gw_adj*(J72-L71))*MAX(0,1-gw_slump*(1-Economy!G72))</f>
        <v>660060.165297531</v>
      </c>
      <c r="M72" s="49" t="n">
        <f aca="false">MAX(0,L72-L71+L71/gw_term)</f>
        <v>241711.779682356</v>
      </c>
      <c r="N72" s="66" t="n">
        <f aca="false">L72/B72</f>
        <v>0.0875650105648181</v>
      </c>
      <c r="O72" s="56" t="n">
        <f aca="false">Economy!L72</f>
        <v>781.661242352876</v>
      </c>
      <c r="P72" s="56" t="n">
        <f aca="false">O72*gw_wage_share</f>
        <v>508.079807529369</v>
      </c>
      <c r="Q72" s="56" t="n">
        <f aca="false">P72*gw_levy</f>
        <v>127.019951882342</v>
      </c>
      <c r="R72" s="56" t="n">
        <f aca="false">P72*gw_remit</f>
        <v>127.019951882342</v>
      </c>
      <c r="S72" s="66" t="n">
        <f aca="false">IF(union_resp&gt;=1,MIN(1,MAX(0,($A72-resp_start)/(resp_full-resp_start))),0)</f>
        <v>1</v>
      </c>
      <c r="T72" s="70" t="n">
        <f aca="false">Economy!R71</f>
        <v>2.2362476795946</v>
      </c>
      <c r="U72" s="70" t="n">
        <f aca="false">MAX(0,T72-gap_base)</f>
        <v>0.736247679594596</v>
      </c>
      <c r="V72" s="71" t="n">
        <v>74.82</v>
      </c>
      <c r="W72" s="49" t="n">
        <f aca="false">V72*1000000*lf_rate*union_skill_share</f>
        <v>3770928</v>
      </c>
      <c r="X72" s="47" t="n">
        <v>155000</v>
      </c>
      <c r="Y72" s="49" t="n">
        <f aca="false">IF(AND(mig_endo=1,$A72&gt;=talent_start),talent_rate_u*W72*U72*(1-(1-bd_keep)*S72),0)</f>
        <v>9245.20217642791</v>
      </c>
      <c r="Z72" s="49" t="n">
        <f aca="false">IF(AND(mig_endo=1,$A72&gt;=talent_start),X72*MIN(0.5,talent_share_o*U72)*(1-eu_comp*S72),0)</f>
        <v>21568.3757737237</v>
      </c>
      <c r="AA72" s="47" t="n">
        <v>48000</v>
      </c>
      <c r="AB72" s="49" t="n">
        <f aca="false">IF(AND(mig_endo=1,$A72&gt;=talent_start),AA72*MIN(0.5,talent_share_a*U72),0)</f>
        <v>7067.97772410812</v>
      </c>
      <c r="AC72" s="49" t="n">
        <f aca="false">entry_cap*People!B72</f>
        <v>52604.6392873937</v>
      </c>
      <c r="AD72" s="49" t="n">
        <f aca="false">MIN(AC72,Y72+Z72+AB72)</f>
        <v>37881.5556742597</v>
      </c>
      <c r="AE72" s="49" t="n">
        <f aca="false">IF(Y72+Z72+AB72&gt;0,AD72*Y72/(Y72+Z72+AB72),0)</f>
        <v>9245.20217642791</v>
      </c>
      <c r="AF72" s="49" t="n">
        <f aca="false">IF(Y72+Z72+AB72&gt;0,AD72*AB72/(Y72+Z72+AB72),0)</f>
        <v>7067.97772410812</v>
      </c>
      <c r="AG72" s="49" t="n">
        <f aca="false">AD72*family_mult</f>
        <v>83339.4224833714</v>
      </c>
      <c r="AH72" s="49" t="n">
        <f aca="false">AH71*(1+Paths!C72)+AG72</f>
        <v>2705599.14808348</v>
      </c>
      <c r="AI72" s="49" t="n">
        <f aca="false">IF(AND(mig_endo=1,$A72&gt;=talent_start),chain_rate*AH71,0)</f>
        <v>38458.240212601</v>
      </c>
      <c r="AJ72" s="49" t="n">
        <f aca="false">IF(AND(mig_endo=1,$A72&gt;=talent_start),IF(H71&gt;0,H71*job_fill,H71*job_return)*job_family,0)</f>
        <v>8044.41534893224</v>
      </c>
      <c r="AK72" s="49" t="n">
        <f aca="false">K72*gw_conv_family</f>
        <v>33886.2192348292</v>
      </c>
      <c r="AL72" s="49" t="n">
        <f aca="false">AG72+AI72+AJ72+AK72+AR72</f>
        <v>309321.275919565</v>
      </c>
      <c r="AM72" s="49" t="n">
        <f aca="false">AM71*(1-skill_ret)+AD72</f>
        <v>629600.019823084</v>
      </c>
      <c r="AN72" s="67" t="n">
        <f aca="false">AM72/B72</f>
        <v>0.0835241017196775</v>
      </c>
      <c r="AO72" s="67" t="n">
        <f aca="false">(skill_rel-1+skill_spill)*AM71/B71-AT72</f>
        <v>0.0879127796303362</v>
      </c>
      <c r="AP72" s="67" t="n">
        <f aca="false">talent_champ*AM71/(skill_base_share*B71)</f>
        <v>0.168599767942948</v>
      </c>
      <c r="AQ72" s="47" t="n">
        <v>1130000</v>
      </c>
      <c r="AR72" s="49" t="n">
        <f aca="false">IF(AND(div_on=1,$A72&gt;=div_start),AQ72*MIN(div_max,div_rate*U72)*(1-div_comp*S72),0)</f>
        <v>145592.978639831</v>
      </c>
      <c r="AS72" s="49" t="n">
        <f aca="false">AS71*(1-div_assim)+AR72</f>
        <v>1557540.01334061</v>
      </c>
      <c r="AT72" s="67" t="n">
        <f aca="false">(1-div_rel)*AS71/Economy!B71</f>
        <v>0.02167706953258</v>
      </c>
      <c r="AU72" s="49" t="n">
        <f aca="false">AU71*(1-skill_ret)+AE72</f>
        <v>273844.59165314</v>
      </c>
      <c r="AV72" s="49" t="n">
        <f aca="false">AV71*(1+union_nat)+AR72</f>
        <v>2753665.91528809</v>
      </c>
      <c r="AW72" s="49" t="n">
        <f aca="false">AW71*(1+union_nat)+AE72*family_mult</f>
        <v>1226318.00976245</v>
      </c>
      <c r="AX72" s="70" t="n">
        <f aca="false">V72-(AV72+AW72)/1000000</f>
        <v>70.8400160749495</v>
      </c>
      <c r="AY72" s="49" t="n">
        <f aca="false">L72*gw_union</f>
        <v>132012.033059506</v>
      </c>
      <c r="AZ72" s="48" t="n">
        <v>1.054</v>
      </c>
      <c r="BA72" s="49" t="n">
        <f aca="false">Economy!Q72*AZ72/lf_rate</f>
        <v>978.714285714286</v>
      </c>
      <c r="BB72" s="67" t="n">
        <f aca="false">bd_growth*AU71/W71</f>
        <v>0.00219690043266179</v>
      </c>
      <c r="BC72" s="67" t="n">
        <f aca="false">tg_k*MIN(1,Economy!O71/BK71)</f>
        <v>0.00183086161385283</v>
      </c>
      <c r="BD72" s="67" t="n">
        <f aca="false">emu_g*S72</f>
        <v>0.0015</v>
      </c>
      <c r="BE72" s="68" t="n">
        <f aca="false">BE71*(1-BB72-BC72+BD72)</f>
        <v>0.901621007628546</v>
      </c>
      <c r="BF72" s="48" t="n">
        <v>1</v>
      </c>
      <c r="BG72" s="56" t="n">
        <f aca="false">AU72*BA72*BE72*(skill_rel-1+skill_spill)/1000000</f>
        <v>314.143060243479</v>
      </c>
      <c r="BH72" s="56" t="n">
        <f aca="false">union_disp*(Champions!AP72+Champions!AZ72)*(1-IF(union_resp=2,mkt_cut*S72,0))</f>
        <v>191.604209105153</v>
      </c>
      <c r="BI72" s="56" t="n">
        <f aca="false">AY72*BA72*BE72/1000000</f>
        <v>116.491293906539</v>
      </c>
      <c r="BJ72" s="49" t="n">
        <f aca="false">V72*Economy!Q72*AZ72</f>
        <v>30755.5092</v>
      </c>
      <c r="BK72" s="49" t="n">
        <f aca="false">MAX(0.3*BJ72,AX72*Economy!Q72*AZ72*BE72*BF72-BG72-BH72-BI72)</f>
        <v>25632.5116705257</v>
      </c>
      <c r="BL72" s="66" t="n">
        <f aca="false">1-BK72/BJ72</f>
        <v>0.166571702525227</v>
      </c>
      <c r="BM72" s="49" t="n">
        <f aca="false">MAX(0,BH72-BH71)*1000000/BA72</f>
        <v>19358.3783882992</v>
      </c>
      <c r="BN72" s="49" t="n">
        <f aca="false">BN71*(1-IF(AND($A72&gt;=1930,$A72&lt;=1932),0,union_reabsorb))+BM72</f>
        <v>44477.9046463463</v>
      </c>
      <c r="BO72" s="62" t="n">
        <v>0.048</v>
      </c>
      <c r="BP72" s="66" t="n">
        <f aca="false">BO72+BN72/(AX72*1000000*lf_rate)</f>
        <v>0.049494914581265</v>
      </c>
    </row>
    <row r="73" customFormat="false" ht="14.25" hidden="false" customHeight="true" outlineLevel="0" collapsed="false">
      <c r="A73" s="61" t="n">
        <v>1913</v>
      </c>
      <c r="B73" s="49" t="n">
        <f aca="false">Economy!B73*lf_rate</f>
        <v>7893428.85484434</v>
      </c>
      <c r="C73" s="49" t="n">
        <f aca="false">Economy!O73*1000000/(B73+L73)</f>
        <v>2070.7391463541</v>
      </c>
      <c r="D73" s="49" t="n">
        <f aca="false">Champions!AP73*1000000/(C73*champ_prem)</f>
        <v>201645.990023547</v>
      </c>
      <c r="E73" s="49" t="n">
        <f aca="false">D73*job_mult</f>
        <v>141152.193016483</v>
      </c>
      <c r="F73" s="49" t="n">
        <f aca="false">D73+E73</f>
        <v>342798.18304003</v>
      </c>
      <c r="G73" s="66" t="n">
        <f aca="false">F73/B73</f>
        <v>0.0434282983154587</v>
      </c>
      <c r="H73" s="49" t="n">
        <f aca="false">F73-F72</f>
        <v>18790.1613047062</v>
      </c>
      <c r="I73" s="66" t="n">
        <f aca="false">MAX(0.005,pac_u_base*IF(Paths!AC73=1,pac_u_war,1)+(okun*(1-Economy!G73)*(B73+L73)-MAX(0,L72-L73))/B73)</f>
        <v>0.015</v>
      </c>
      <c r="J73" s="49" t="n">
        <f aca="false">IF(AND(gw_on=1,$A73&gt;=gw_start),MIN(gw_cap*B72,gw_cover*F72+gw_gen*B72),0)</f>
        <v>797440.350674286</v>
      </c>
      <c r="K73" s="49" t="n">
        <f aca="false">L72*gw_conv</f>
        <v>19801.8049589259</v>
      </c>
      <c r="L73" s="49" t="n">
        <f aca="false">MAX(0,L72-K73+gw_adj*(J73-L72))*MAX(0,1-gw_slump*(1-Economy!G73))</f>
        <v>695210.434489307</v>
      </c>
      <c r="M73" s="49" t="n">
        <f aca="false">MAX(0,L73-L72+L72/gw_term)</f>
        <v>255170.324290953</v>
      </c>
      <c r="N73" s="66" t="n">
        <f aca="false">L73/B73</f>
        <v>0.0880745804230114</v>
      </c>
      <c r="O73" s="56" t="n">
        <f aca="false">Economy!L73</f>
        <v>857.357867980392</v>
      </c>
      <c r="P73" s="56" t="n">
        <f aca="false">O73*gw_wage_share</f>
        <v>557.282614187255</v>
      </c>
      <c r="Q73" s="56" t="n">
        <f aca="false">P73*gw_levy</f>
        <v>139.320653546814</v>
      </c>
      <c r="R73" s="56" t="n">
        <f aca="false">P73*gw_remit</f>
        <v>139.320653546814</v>
      </c>
      <c r="S73" s="66" t="n">
        <f aca="false">IF(union_resp&gt;=1,MIN(1,MAX(0,($A73-resp_start)/(resp_full-resp_start))),0)</f>
        <v>1</v>
      </c>
      <c r="T73" s="70" t="n">
        <f aca="false">Economy!R72</f>
        <v>2.24723900441147</v>
      </c>
      <c r="U73" s="70" t="n">
        <f aca="false">MAX(0,T73-gap_base)</f>
        <v>0.747239004411474</v>
      </c>
      <c r="V73" s="71" t="n">
        <v>76.1</v>
      </c>
      <c r="W73" s="49" t="n">
        <f aca="false">V73*1000000*lf_rate*union_skill_share</f>
        <v>3835440</v>
      </c>
      <c r="X73" s="47" t="n">
        <v>160000</v>
      </c>
      <c r="Y73" s="49" t="n">
        <f aca="false">IF(AND(mig_endo=1,$A73&gt;=talent_start),talent_rate_u*W73*U73*(1-(1-bd_keep)*S73),0)</f>
        <v>9543.74792237621</v>
      </c>
      <c r="Z73" s="49" t="n">
        <f aca="false">IF(AND(mig_endo=1,$A73&gt;=talent_start),X73*MIN(0.5,talent_share_o*U73)*(1-eu_comp*S73),0)</f>
        <v>22596.507493403</v>
      </c>
      <c r="AA73" s="47" t="n">
        <v>50000</v>
      </c>
      <c r="AB73" s="49" t="n">
        <f aca="false">IF(AND(mig_endo=1,$A73&gt;=talent_start),AA73*MIN(0.5,talent_share_a*U73),0)</f>
        <v>7472.39004411474</v>
      </c>
      <c r="AC73" s="49" t="n">
        <f aca="false">entry_cap*People!B73</f>
        <v>55080.278147087</v>
      </c>
      <c r="AD73" s="49" t="n">
        <f aca="false">MIN(AC73,Y73+Z73+AB73)</f>
        <v>39612.6454598939</v>
      </c>
      <c r="AE73" s="49" t="n">
        <f aca="false">IF(Y73+Z73+AB73&gt;0,AD73*Y73/(Y73+Z73+AB73),0)</f>
        <v>9543.74792237621</v>
      </c>
      <c r="AF73" s="49" t="n">
        <f aca="false">IF(Y73+Z73+AB73&gt;0,AD73*AB73/(Y73+Z73+AB73),0)</f>
        <v>7472.39004411474</v>
      </c>
      <c r="AG73" s="49" t="n">
        <f aca="false">AD73*family_mult</f>
        <v>87147.8200117666</v>
      </c>
      <c r="AH73" s="49" t="n">
        <f aca="false">AH72*(1+Paths!C73)+AG73</f>
        <v>2854458.97906389</v>
      </c>
      <c r="AI73" s="49" t="n">
        <f aca="false">IF(AND(mig_endo=1,$A73&gt;=talent_start),chain_rate*AH72,0)</f>
        <v>40583.9872212522</v>
      </c>
      <c r="AJ73" s="49" t="n">
        <f aca="false">IF(AND(mig_endo=1,$A73&gt;=talent_start),IF(H72&gt;0,H72*job_fill,H72*job_return)*job_family,0)</f>
        <v>15129.5890548876</v>
      </c>
      <c r="AK73" s="49" t="n">
        <f aca="false">K73*gw_conv_family</f>
        <v>35643.2489260667</v>
      </c>
      <c r="AL73" s="49" t="n">
        <f aca="false">AG73+AI73+AJ73+AK73+AR73</f>
        <v>332155.665496083</v>
      </c>
      <c r="AM73" s="49" t="n">
        <f aca="false">AM72*(1-skill_ret)+AD73</f>
        <v>653472.664787401</v>
      </c>
      <c r="AN73" s="67" t="n">
        <f aca="false">AM73/B73</f>
        <v>0.0827869202097581</v>
      </c>
      <c r="AO73" s="67" t="n">
        <f aca="false">(skill_rel-1+skill_spill)*AM72/B72-AT73</f>
        <v>0.0868855360584381</v>
      </c>
      <c r="AP73" s="67" t="n">
        <f aca="false">talent_champ*AM72/(skill_base_share*B72)</f>
        <v>0.167048203439355</v>
      </c>
      <c r="AQ73" s="47" t="n">
        <v>1175000</v>
      </c>
      <c r="AR73" s="49" t="n">
        <f aca="false">IF(AND(div_on=1,$A73&gt;=div_start),AQ73*MIN(div_max,div_rate*U73)*(1-div_comp*S73),0)</f>
        <v>153651.020282109</v>
      </c>
      <c r="AS73" s="49" t="n">
        <f aca="false">AS72*(1-div_assim)+AR73</f>
        <v>1633314.03295569</v>
      </c>
      <c r="AT73" s="67" t="n">
        <f aca="false">(1-div_rel)*AS72/Economy!B72</f>
        <v>0.0216957961771426</v>
      </c>
      <c r="AU73" s="49" t="n">
        <f aca="false">AU72*(1-skill_ret)+AE73</f>
        <v>276542.224784188</v>
      </c>
      <c r="AV73" s="49" t="n">
        <f aca="false">AV72*(1+union_nat)+AR73</f>
        <v>2943114.59246894</v>
      </c>
      <c r="AW73" s="49" t="n">
        <f aca="false">AW72*(1+union_nat)+AE73*family_mult</f>
        <v>1263256.38931858</v>
      </c>
      <c r="AX73" s="70" t="n">
        <f aca="false">V73-(AV73+AW73)/1000000</f>
        <v>71.8936290182125</v>
      </c>
      <c r="AY73" s="49" t="n">
        <f aca="false">L73*gw_union</f>
        <v>139042.086897861</v>
      </c>
      <c r="AZ73" s="48" t="n">
        <v>1.051</v>
      </c>
      <c r="BA73" s="49" t="n">
        <f aca="false">Economy!Q73*AZ73/lf_rate</f>
        <v>1008.45952380952</v>
      </c>
      <c r="BB73" s="67" t="n">
        <f aca="false">bd_growth*AU72/W72</f>
        <v>0.00217859841121183</v>
      </c>
      <c r="BC73" s="67" t="n">
        <f aca="false">tg_k*MIN(1,Economy!O72/BK72)</f>
        <v>0.00190867978038002</v>
      </c>
      <c r="BD73" s="67" t="n">
        <f aca="false">emu_g*S73</f>
        <v>0.0015</v>
      </c>
      <c r="BE73" s="68" t="n">
        <f aca="false">BE72*(1-BB73-BC73+BD73)</f>
        <v>0.899288263258428</v>
      </c>
      <c r="BF73" s="48" t="n">
        <v>1</v>
      </c>
      <c r="BG73" s="56" t="n">
        <f aca="false">AU73*BA73*BE73*(skill_rel-1+skill_spill)/1000000</f>
        <v>326.033481770379</v>
      </c>
      <c r="BH73" s="56" t="n">
        <f aca="false">union_disp*(Champions!AP73+Champions!AZ73)*(1-IF(union_resp=2,mkt_cut*S73,0))</f>
        <v>209.29231278488</v>
      </c>
      <c r="BI73" s="56" t="n">
        <f aca="false">AY73*BA73*BE73/1000000</f>
        <v>126.096686540383</v>
      </c>
      <c r="BJ73" s="49" t="n">
        <f aca="false">V73*Economy!Q73*AZ73</f>
        <v>32232.3833</v>
      </c>
      <c r="BK73" s="49" t="n">
        <f aca="false">MAX(0.3*BJ73,AX73*Economy!Q73*AZ73*BE73*BF73-BG73-BH73-BI73)</f>
        <v>26722.5906189969</v>
      </c>
      <c r="BL73" s="66" t="n">
        <f aca="false">1-BK73/BJ73</f>
        <v>0.17093966120101</v>
      </c>
      <c r="BM73" s="49" t="n">
        <f aca="false">MAX(0,BH73-BH72)*1000000/BA73</f>
        <v>17539.7259504364</v>
      </c>
      <c r="BN73" s="49" t="n">
        <f aca="false">BN72*(1-IF(AND($A73&gt;=1930,$A73&lt;=1932),0,union_reabsorb))+BM73</f>
        <v>50898.1544351962</v>
      </c>
      <c r="BO73" s="62" t="n">
        <v>0.043</v>
      </c>
      <c r="BP73" s="66" t="n">
        <f aca="false">BO73+BN73/(AX73*1000000*lf_rate)</f>
        <v>0.0446856303353092</v>
      </c>
    </row>
    <row r="74" customFormat="false" ht="14.25" hidden="false" customHeight="true" outlineLevel="0" collapsed="false">
      <c r="A74" s="64" t="n">
        <v>1914</v>
      </c>
      <c r="B74" s="49" t="n">
        <f aca="false">Economy!B74*lf_rate</f>
        <v>8244481.34926433</v>
      </c>
      <c r="C74" s="49" t="n">
        <f aca="false">Economy!O74*1000000/(B74+L74)</f>
        <v>2074.37375141086</v>
      </c>
      <c r="D74" s="49" t="n">
        <f aca="false">Champions!AP74*1000000/(C74*champ_prem)</f>
        <v>251507.519117581</v>
      </c>
      <c r="E74" s="49" t="n">
        <f aca="false">D74*job_mult</f>
        <v>176055.263382307</v>
      </c>
      <c r="F74" s="49" t="n">
        <f aca="false">D74+E74</f>
        <v>427562.782499887</v>
      </c>
      <c r="G74" s="66" t="n">
        <f aca="false">F74/B74</f>
        <v>0.0518604827140569</v>
      </c>
      <c r="H74" s="49" t="n">
        <f aca="false">F74-F73</f>
        <v>84764.5994598576</v>
      </c>
      <c r="I74" s="66" t="n">
        <f aca="false">MAX(0.005,pac_u_base*IF(Paths!AC74=1,pac_u_war,1)+(okun*(1-Economy!G74)*(B74+L74)-MAX(0,L73-L74))/B74)</f>
        <v>0.0252663688099586</v>
      </c>
      <c r="J74" s="49" t="n">
        <f aca="false">IF(AND(gw_on=1,$A74&gt;=gw_start),MIN(gw_cap*B73,gw_cover*F73+gw_gen*B73),0)</f>
        <v>837153.218211565</v>
      </c>
      <c r="K74" s="49" t="n">
        <f aca="false">L73*gw_conv</f>
        <v>20856.3130346792</v>
      </c>
      <c r="L74" s="49" t="n">
        <f aca="false">MAX(0,L73-K74+gw_adj*(J74-L73))*MAX(0,1-gw_slump*(1-Economy!G74))</f>
        <v>696036.935666242</v>
      </c>
      <c r="M74" s="49" t="n">
        <f aca="false">MAX(0,L74-L73+L73/gw_term)</f>
        <v>232563.31267337</v>
      </c>
      <c r="N74" s="66" t="n">
        <f aca="false">L74/B74</f>
        <v>0.0844245873305724</v>
      </c>
      <c r="O74" s="56" t="n">
        <f aca="false">Economy!L74</f>
        <v>852.250033800823</v>
      </c>
      <c r="P74" s="56" t="n">
        <f aca="false">O74*gw_wage_share</f>
        <v>553.962521970535</v>
      </c>
      <c r="Q74" s="56" t="n">
        <f aca="false">P74*gw_levy</f>
        <v>138.490630492634</v>
      </c>
      <c r="R74" s="56" t="n">
        <f aca="false">P74*gw_remit</f>
        <v>138.490630492634</v>
      </c>
      <c r="S74" s="66" t="n">
        <f aca="false">IF(union_resp&gt;=1,MIN(1,MAX(0,($A74-resp_start)/(resp_full-resp_start))),0)</f>
        <v>1</v>
      </c>
      <c r="T74" s="70" t="n">
        <f aca="false">Economy!R73</f>
        <v>2.26440017421331</v>
      </c>
      <c r="U74" s="70" t="n">
        <f aca="false">MAX(0,T74-gap_base)</f>
        <v>0.764400174213308</v>
      </c>
      <c r="V74" s="71" t="n">
        <v>76.94</v>
      </c>
      <c r="W74" s="49" t="n">
        <f aca="false">V74*1000000*lf_rate*union_skill_share</f>
        <v>3877776</v>
      </c>
      <c r="X74" s="47" t="n">
        <v>60000</v>
      </c>
      <c r="Y74" s="49" t="n">
        <f aca="false">IF(AND(mig_endo=1,$A74&gt;=talent_start),talent_rate_u*W74*U74*(1-(1-bd_keep)*S74),0)</f>
        <v>9870.69492436741</v>
      </c>
      <c r="Z74" s="49" t="n">
        <f aca="false">IF(AND(mig_endo=1,$A74&gt;=talent_start),X74*MIN(0.5,talent_share_o*U74)*(1-eu_comp*S74),0)</f>
        <v>8668.29797557891</v>
      </c>
      <c r="AA74" s="47" t="n">
        <v>54000</v>
      </c>
      <c r="AB74" s="49" t="n">
        <f aca="false">IF(AND(mig_endo=1,$A74&gt;=talent_start),AA74*MIN(0.5,talent_share_a*U74),0)</f>
        <v>8255.52188150372</v>
      </c>
      <c r="AC74" s="49" t="n">
        <f aca="false">entry_cap*People!B74</f>
        <v>57682.9912078322</v>
      </c>
      <c r="AD74" s="49" t="n">
        <f aca="false">MIN(AC74,Y74+Z74+AB74)</f>
        <v>26794.51478145</v>
      </c>
      <c r="AE74" s="49" t="n">
        <f aca="false">IF(Y74+Z74+AB74&gt;0,AD74*Y74/(Y74+Z74+AB74),0)</f>
        <v>9870.69492436741</v>
      </c>
      <c r="AF74" s="49" t="n">
        <f aca="false">IF(Y74+Z74+AB74&gt;0,AD74*AB74/(Y74+Z74+AB74),0)</f>
        <v>8255.52188150372</v>
      </c>
      <c r="AG74" s="49" t="n">
        <f aca="false">AD74*family_mult</f>
        <v>58947.9325191901</v>
      </c>
      <c r="AH74" s="49" t="n">
        <f aca="false">AH73*(1+Paths!C74)+AG74</f>
        <v>2978217.40270272</v>
      </c>
      <c r="AI74" s="49" t="n">
        <f aca="false">IF(AND(mig_endo=1,$A74&gt;=talent_start),chain_rate*AH73,0)</f>
        <v>42816.8846859583</v>
      </c>
      <c r="AJ74" s="49" t="n">
        <f aca="false">IF(AND(mig_endo=1,$A74&gt;=talent_start),IF(H73&gt;0,H73*job_fill,H73*job_return)*job_family,0)</f>
        <v>11837.8016219649</v>
      </c>
      <c r="AK74" s="49" t="n">
        <f aca="false">K74*gw_conv_family</f>
        <v>37541.3634624226</v>
      </c>
      <c r="AL74" s="49" t="n">
        <f aca="false">AG74+AI74+AJ74+AK74+AR74</f>
        <v>314343.419484077</v>
      </c>
      <c r="AM74" s="49" t="n">
        <f aca="false">AM73*(1-skill_ret)+AD74</f>
        <v>663930.362949166</v>
      </c>
      <c r="AN74" s="67" t="n">
        <f aca="false">AM74/B74</f>
        <v>0.080530276535638</v>
      </c>
      <c r="AO74" s="67" t="n">
        <f aca="false">(skill_rel-1+skill_spill)*AM73/B73-AT74</f>
        <v>0.0858963199937075</v>
      </c>
      <c r="AP74" s="67" t="n">
        <f aca="false">talent_champ*AM73/(skill_base_share*B73)</f>
        <v>0.165573840419516</v>
      </c>
      <c r="AQ74" s="47" t="n">
        <v>1220000</v>
      </c>
      <c r="AR74" s="49" t="n">
        <f aca="false">IF(AND(div_on=1,$A74&gt;=div_start),AQ74*MIN(div_max,div_rate*U74)*(1-div_comp*S74),0)</f>
        <v>163199.437194541</v>
      </c>
      <c r="AS74" s="49" t="n">
        <f aca="false">AS73*(1-div_assim)+AR74</f>
        <v>1714847.76850245</v>
      </c>
      <c r="AT74" s="67" t="n">
        <f aca="false">(1-div_rel)*AS73/Economy!B73</f>
        <v>0.0217266762789781</v>
      </c>
      <c r="AU74" s="49" t="n">
        <f aca="false">AU73*(1-skill_ret)+AE74</f>
        <v>279499.364088951</v>
      </c>
      <c r="AV74" s="49" t="n">
        <f aca="false">AV73*(1+union_nat)+AR74</f>
        <v>3144574.51936558</v>
      </c>
      <c r="AW74" s="49" t="n">
        <f aca="false">AW73*(1+union_nat)+AE74*family_mult</f>
        <v>1301394.25121333</v>
      </c>
      <c r="AX74" s="70" t="n">
        <f aca="false">V74-(AV74+AW74)/1000000</f>
        <v>72.4940312294211</v>
      </c>
      <c r="AY74" s="49" t="n">
        <f aca="false">L74*gw_union</f>
        <v>139207.387133248</v>
      </c>
      <c r="AZ74" s="48" t="n">
        <v>1.052</v>
      </c>
      <c r="BA74" s="49" t="n">
        <f aca="false">Economy!Q74*AZ74/lf_rate</f>
        <v>951.809523809524</v>
      </c>
      <c r="BB74" s="67" t="n">
        <f aca="false">bd_growth*AU73/W73</f>
        <v>0.00216305475865237</v>
      </c>
      <c r="BC74" s="67" t="n">
        <f aca="false">tg_k*MIN(1,Economy!O73/BK73)</f>
        <v>0.00199660637442408</v>
      </c>
      <c r="BD74" s="67" t="n">
        <f aca="false">emu_g*S74</f>
        <v>0.0015</v>
      </c>
      <c r="BE74" s="68" t="n">
        <f aca="false">BE73*(1-BB74-BC74+BD74)</f>
        <v>0.896896461217207</v>
      </c>
      <c r="BF74" s="48" t="n">
        <v>1</v>
      </c>
      <c r="BG74" s="56" t="n">
        <f aca="false">AU74*BA74*BE74*(skill_rel-1+skill_spill)/1000000</f>
        <v>310.18195788605</v>
      </c>
      <c r="BH74" s="56" t="n">
        <f aca="false">union_disp*(Champions!AP74+Champions!AZ74)*(1-IF(union_resp=2,mkt_cut*S74,0))</f>
        <v>254.805702739216</v>
      </c>
      <c r="BI74" s="56" t="n">
        <f aca="false">AY74*BA74*BE74/1000000</f>
        <v>118.837809645112</v>
      </c>
      <c r="BJ74" s="49" t="n">
        <f aca="false">V74*Economy!Q74*AZ74</f>
        <v>30757.5344</v>
      </c>
      <c r="BK74" s="49" t="n">
        <f aca="false">MAX(0.3*BJ74,AX74*Economy!Q74*AZ74*BE74*BF74-BG74-BH74-BI74)</f>
        <v>25308.4258437281</v>
      </c>
      <c r="BL74" s="66" t="n">
        <f aca="false">1-BK74/BJ74</f>
        <v>0.177163373546351</v>
      </c>
      <c r="BM74" s="49" t="n">
        <f aca="false">MAX(0,BH74-BH73)*1000000/BA74</f>
        <v>47817.7501021141</v>
      </c>
      <c r="BN74" s="49" t="n">
        <f aca="false">BN73*(1-IF(AND($A74&gt;=1930,$A74&lt;=1932),0,union_reabsorb))+BM74</f>
        <v>85991.3659285113</v>
      </c>
      <c r="BO74" s="62" t="n">
        <v>0.079</v>
      </c>
      <c r="BP74" s="66" t="n">
        <f aca="false">BO74+BN74/(AX74*1000000*lf_rate)</f>
        <v>0.0818242511000788</v>
      </c>
    </row>
    <row r="75" customFormat="false" ht="14.25" hidden="false" customHeight="true" outlineLevel="0" collapsed="false">
      <c r="A75" s="64" t="n">
        <v>1915</v>
      </c>
      <c r="B75" s="49" t="n">
        <f aca="false">Economy!B75*lf_rate</f>
        <v>8571708.89731665</v>
      </c>
      <c r="C75" s="49" t="n">
        <f aca="false">Economy!O75*1000000/(B75+L75)</f>
        <v>2227.02694176925</v>
      </c>
      <c r="D75" s="49" t="n">
        <f aca="false">Champions!AP75*1000000/(C75*champ_prem)</f>
        <v>286263.029763618</v>
      </c>
      <c r="E75" s="49" t="n">
        <f aca="false">D75*job_mult</f>
        <v>200384.120834532</v>
      </c>
      <c r="F75" s="49" t="n">
        <f aca="false">D75+E75</f>
        <v>486647.15059815</v>
      </c>
      <c r="G75" s="66" t="n">
        <f aca="false">F75/B75</f>
        <v>0.0567736441388593</v>
      </c>
      <c r="H75" s="49" t="n">
        <f aca="false">F75-F74</f>
        <v>59084.3680982628</v>
      </c>
      <c r="I75" s="66" t="n">
        <f aca="false">MAX(0.005,pac_u_base*IF(Paths!AC75=1,pac_u_war,1)+(okun*(1-Economy!G75)*(B75+L75)-MAX(0,L74-L75))/B75)</f>
        <v>0.009</v>
      </c>
      <c r="J75" s="49" t="n">
        <f aca="false">IF(AND(gw_on=1,$A75&gt;=gw_start),MIN(gw_cap*B74,gw_cover*F74+gw_gen*B74),0)</f>
        <v>916096.177441079</v>
      </c>
      <c r="K75" s="49" t="n">
        <f aca="false">L74*gw_conv</f>
        <v>20881.1080699872</v>
      </c>
      <c r="L75" s="49" t="n">
        <f aca="false">MAX(0,L74-K75+gw_adj*(J75-L74))*MAX(0,1-gw_slump*(1-Economy!G75))</f>
        <v>763179.524306189</v>
      </c>
      <c r="M75" s="49" t="n">
        <f aca="false">MAX(0,L75-L74+L74/gw_term)</f>
        <v>299154.900528695</v>
      </c>
      <c r="N75" s="66" t="n">
        <f aca="false">L75/B75</f>
        <v>0.0890346993170872</v>
      </c>
      <c r="O75" s="56" t="n">
        <f aca="false">Economy!L75</f>
        <v>1001.02235817765</v>
      </c>
      <c r="P75" s="56" t="n">
        <f aca="false">O75*gw_wage_share</f>
        <v>650.664532815474</v>
      </c>
      <c r="Q75" s="56" t="n">
        <f aca="false">P75*gw_levy</f>
        <v>162.666133203869</v>
      </c>
      <c r="R75" s="56" t="n">
        <f aca="false">P75*gw_remit</f>
        <v>162.666133203869</v>
      </c>
      <c r="S75" s="66" t="n">
        <f aca="false">IF(union_resp&gt;=1,MIN(1,MAX(0,($A75-resp_start)/(resp_full-resp_start))),0)</f>
        <v>1</v>
      </c>
      <c r="T75" s="70" t="n">
        <f aca="false">Economy!R74</f>
        <v>2.40115078405208</v>
      </c>
      <c r="U75" s="70" t="n">
        <f aca="false">MAX(0,T75-gap_base)</f>
        <v>0.901150784052078</v>
      </c>
      <c r="V75" s="71" t="n">
        <v>77.79</v>
      </c>
      <c r="W75" s="49" t="n">
        <f aca="false">V75*1000000*lf_rate*union_skill_share</f>
        <v>3920616</v>
      </c>
      <c r="X75" s="47" t="n">
        <v>55000</v>
      </c>
      <c r="Y75" s="49" t="n">
        <f aca="false">IF(AND(mig_endo=1,$A75&gt;=talent_start),talent_rate_u*W75*U75*(1-(1-bd_keep)*S75),0)</f>
        <v>11765.1103872825</v>
      </c>
      <c r="Z75" s="49" t="n">
        <f aca="false">IF(AND(mig_endo=1,$A75&gt;=talent_start),X75*MIN(0.5,talent_share_o*U75)*(1-eu_comp*S75),0)</f>
        <v>9367.46240022135</v>
      </c>
      <c r="AA75" s="47" t="n">
        <v>59000</v>
      </c>
      <c r="AB75" s="49" t="n">
        <f aca="false">IF(AND(mig_endo=1,$A75&gt;=talent_start),AA75*MIN(0.5,talent_share_a*U75),0)</f>
        <v>10633.5792518145</v>
      </c>
      <c r="AC75" s="49" t="n">
        <f aca="false">entry_cap*People!B75</f>
        <v>60095.3137816582</v>
      </c>
      <c r="AD75" s="49" t="n">
        <f aca="false">MIN(AC75,Y75+Z75+AB75)</f>
        <v>31766.1520393184</v>
      </c>
      <c r="AE75" s="49" t="n">
        <f aca="false">IF(Y75+Z75+AB75&gt;0,AD75*Y75/(Y75+Z75+AB75),0)</f>
        <v>11765.1103872825</v>
      </c>
      <c r="AF75" s="49" t="n">
        <f aca="false">IF(Y75+Z75+AB75&gt;0,AD75*AB75/(Y75+Z75+AB75),0)</f>
        <v>10633.5792518145</v>
      </c>
      <c r="AG75" s="49" t="n">
        <f aca="false">AD75*family_mult</f>
        <v>69885.5344865005</v>
      </c>
      <c r="AH75" s="49" t="n">
        <f aca="false">AH74*(1+Paths!C75)+AG75</f>
        <v>3114883.50601003</v>
      </c>
      <c r="AI75" s="49" t="n">
        <f aca="false">IF(AND(mig_endo=1,$A75&gt;=talent_start),chain_rate*AH74,0)</f>
        <v>44673.2610405408</v>
      </c>
      <c r="AJ75" s="49" t="n">
        <f aca="false">IF(AND(mig_endo=1,$A75&gt;=talent_start),IF(H74&gt;0,H74*job_fill,H74*job_return)*job_family,0)</f>
        <v>53401.6976597103</v>
      </c>
      <c r="AK75" s="49" t="n">
        <f aca="false">K75*gw_conv_family</f>
        <v>37585.994525977</v>
      </c>
      <c r="AL75" s="49" t="n">
        <f aca="false">AG75+AI75+AJ75+AK75+AR75</f>
        <v>251746.487712729</v>
      </c>
      <c r="AM75" s="49" t="n">
        <f aca="false">AM74*(1-skill_ret)+AD75</f>
        <v>679098.255914755</v>
      </c>
      <c r="AN75" s="67" t="n">
        <f aca="false">AM75/B75</f>
        <v>0.0792255388102768</v>
      </c>
      <c r="AO75" s="67" t="n">
        <f aca="false">(skill_rel-1+skill_spill)*AM74/B74-AT75</f>
        <v>0.0828494149243371</v>
      </c>
      <c r="AP75" s="67" t="n">
        <f aca="false">talent_champ*AM74/(skill_base_share*B74)</f>
        <v>0.161060553071276</v>
      </c>
      <c r="AQ75" s="47" t="n">
        <v>330000</v>
      </c>
      <c r="AR75" s="49" t="n">
        <f aca="false">IF(AND(div_on=1,$A75&gt;=div_start),AQ75*MIN(div_max,div_rate*U75)*(1-div_comp*S75),0)</f>
        <v>46200</v>
      </c>
      <c r="AS75" s="49" t="n">
        <f aca="false">AS74*(1-div_assim)+AR75</f>
        <v>1675305.38007733</v>
      </c>
      <c r="AT75" s="67" t="n">
        <f aca="false">(1-div_rel)*AS74/Economy!B74</f>
        <v>0.0218399445719923</v>
      </c>
      <c r="AU75" s="49" t="n">
        <f aca="false">AU74*(1-skill_ret)+AE75</f>
        <v>284276.99037401</v>
      </c>
      <c r="AV75" s="49" t="n">
        <f aca="false">AV74*(1+union_nat)+AR75</f>
        <v>3231653.98811733</v>
      </c>
      <c r="AW75" s="49" t="n">
        <f aca="false">AW74*(1+union_nat)+AE75*family_mult</f>
        <v>1344195.61933113</v>
      </c>
      <c r="AX75" s="70" t="n">
        <f aca="false">V75-(AV75+AW75)/1000000</f>
        <v>73.2141503925516</v>
      </c>
      <c r="AY75" s="49" t="n">
        <f aca="false">L75*gw_union</f>
        <v>152635.904861238</v>
      </c>
      <c r="AZ75" s="48" t="n">
        <v>1.053</v>
      </c>
      <c r="BA75" s="49" t="n">
        <f aca="false">Economy!Q75*AZ75/lf_rate</f>
        <v>1078.07142857143</v>
      </c>
      <c r="BB75" s="67" t="n">
        <f aca="false">bd_growth*AU74/W74</f>
        <v>0.00216231698856987</v>
      </c>
      <c r="BC75" s="67" t="n">
        <f aca="false">tg_k*MIN(1,Economy!O74/BK74)</f>
        <v>0.00219839549509534</v>
      </c>
      <c r="BD75" s="67" t="n">
        <f aca="false">emu_g*S75</f>
        <v>0.0015</v>
      </c>
      <c r="BE75" s="68" t="n">
        <f aca="false">BE74*(1-BB75-BC75+BD75)</f>
        <v>0.894330698314048</v>
      </c>
      <c r="BF75" s="48" t="n">
        <v>1</v>
      </c>
      <c r="BG75" s="56" t="n">
        <f aca="false">AU75*BA75*BE75*(skill_rel-1+skill_spill)/1000000</f>
        <v>356.312235517961</v>
      </c>
      <c r="BH75" s="56" t="n">
        <f aca="false">union_disp*(Champions!AP75+Champions!AZ75)*(1-IF(union_resp=2,mkt_cut*S75,0))</f>
        <v>305.110928179177</v>
      </c>
      <c r="BI75" s="56" t="n">
        <f aca="false">AY75*BA75*BE75/1000000</f>
        <v>147.164269960412</v>
      </c>
      <c r="BJ75" s="49" t="n">
        <f aca="false">V75*Economy!Q75*AZ75</f>
        <v>35222.5341</v>
      </c>
      <c r="BK75" s="49" t="n">
        <f aca="false">MAX(0.3*BJ75,AX75*Economy!Q75*AZ75*BE75*BF75-BG75-BH75-BI75)</f>
        <v>28839.0432551799</v>
      </c>
      <c r="BL75" s="66" t="n">
        <f aca="false">1-BK75/BJ75</f>
        <v>0.181233151104257</v>
      </c>
      <c r="BM75" s="49" t="n">
        <f aca="false">MAX(0,BH75-BH74)*1000000/BA75</f>
        <v>46662.2378691746</v>
      </c>
      <c r="BN75" s="49" t="n">
        <f aca="false">BN74*(1-IF(AND($A75&gt;=1930,$A75&lt;=1932),0,union_reabsorb))+BM75</f>
        <v>111155.762315558</v>
      </c>
      <c r="BO75" s="62" t="n">
        <v>0.085</v>
      </c>
      <c r="BP75" s="66" t="n">
        <f aca="false">BO75+BN75/(AX75*1000000*lf_rate)</f>
        <v>0.088614828219993</v>
      </c>
    </row>
    <row r="76" customFormat="false" ht="14.25" hidden="false" customHeight="true" outlineLevel="0" collapsed="false">
      <c r="A76" s="64" t="n">
        <v>1916</v>
      </c>
      <c r="B76" s="49" t="n">
        <f aca="false">Economy!B76*lf_rate</f>
        <v>8882797.69739482</v>
      </c>
      <c r="C76" s="49" t="n">
        <f aca="false">Economy!O76*1000000/(B76+L76)</f>
        <v>2544.77547972577</v>
      </c>
      <c r="D76" s="49" t="n">
        <f aca="false">Champions!AP76*1000000/(C76*champ_prem)</f>
        <v>304607.008763216</v>
      </c>
      <c r="E76" s="49" t="n">
        <f aca="false">D76*job_mult</f>
        <v>213224.906134251</v>
      </c>
      <c r="F76" s="49" t="n">
        <f aca="false">D76+E76</f>
        <v>517831.914897468</v>
      </c>
      <c r="G76" s="66" t="n">
        <f aca="false">F76/B76</f>
        <v>0.0582960383133952</v>
      </c>
      <c r="H76" s="49" t="n">
        <f aca="false">F76-F75</f>
        <v>31184.7642993174</v>
      </c>
      <c r="I76" s="66" t="n">
        <f aca="false">MAX(0.005,pac_u_base*IF(Paths!AC76=1,pac_u_war,1)+(okun*(1-Economy!G76)*(B76+L76)-MAX(0,L75-L76))/B76)</f>
        <v>0.009</v>
      </c>
      <c r="J76" s="49" t="n">
        <f aca="false">IF(AND(gw_on=1,$A76&gt;=gw_start),MIN(gw_cap*B75,gw_cover*F75+gw_gen*B75),0)</f>
        <v>977725.002144222</v>
      </c>
      <c r="K76" s="49" t="n">
        <f aca="false">L75*gw_conv</f>
        <v>22895.3857291857</v>
      </c>
      <c r="L76" s="49" t="n">
        <f aca="false">MAX(0,L75-K76+gw_adj*(J76-L75))*MAX(0,1-gw_slump*(1-Economy!G76))</f>
        <v>826102.329712217</v>
      </c>
      <c r="M76" s="49" t="n">
        <f aca="false">MAX(0,L76-L75+L75/gw_term)</f>
        <v>317315.980174757</v>
      </c>
      <c r="N76" s="66" t="n">
        <f aca="false">L76/B76</f>
        <v>0.0930002413490177</v>
      </c>
      <c r="O76" s="56" t="n">
        <f aca="false">Economy!L76</f>
        <v>1235.50822178253</v>
      </c>
      <c r="P76" s="56" t="n">
        <f aca="false">O76*gw_wage_share</f>
        <v>803.080344158644</v>
      </c>
      <c r="Q76" s="56" t="n">
        <f aca="false">P76*gw_levy</f>
        <v>200.770086039661</v>
      </c>
      <c r="R76" s="56" t="n">
        <f aca="false">P76*gw_remit</f>
        <v>200.770086039661</v>
      </c>
      <c r="S76" s="66" t="n">
        <f aca="false">IF(union_resp&gt;=1,MIN(1,MAX(0,($A76-resp_start)/(resp_full-resp_start))),0)</f>
        <v>1</v>
      </c>
      <c r="T76" s="70" t="n">
        <f aca="false">Economy!R75</f>
        <v>2.28351596077338</v>
      </c>
      <c r="U76" s="70" t="n">
        <f aca="false">MAX(0,T76-gap_base)</f>
        <v>0.783515960773383</v>
      </c>
      <c r="V76" s="71" t="n">
        <v>78.63</v>
      </c>
      <c r="W76" s="49" t="n">
        <f aca="false">V76*1000000*lf_rate*union_skill_share</f>
        <v>3962952</v>
      </c>
      <c r="X76" s="47" t="n">
        <v>50000</v>
      </c>
      <c r="Y76" s="49" t="n">
        <f aca="false">IF(AND(mig_endo=1,$A76&gt;=talent_start),talent_rate_u*W76*U76*(1-(1-bd_keep)*S76),0)</f>
        <v>10339.7703587834</v>
      </c>
      <c r="Z76" s="49" t="n">
        <f aca="false">IF(AND(mig_endo=1,$A76&gt;=talent_start),X76*MIN(0.5,talent_share_o*U76)*(1-eu_comp*S76),0)</f>
        <v>7404.22582930847</v>
      </c>
      <c r="AA76" s="47" t="n">
        <v>63000</v>
      </c>
      <c r="AB76" s="49" t="n">
        <f aca="false">IF(AND(mig_endo=1,$A76&gt;=talent_start),AA76*MIN(0.5,talent_share_a*U76),0)</f>
        <v>9872.30110574462</v>
      </c>
      <c r="AC76" s="49" t="n">
        <f aca="false">entry_cap*People!B76</f>
        <v>62357.6704657225</v>
      </c>
      <c r="AD76" s="49" t="n">
        <f aca="false">MIN(AC76,Y76+Z76+AB76)</f>
        <v>27616.2972938365</v>
      </c>
      <c r="AE76" s="49" t="n">
        <f aca="false">IF(Y76+Z76+AB76&gt;0,AD76*Y76/(Y76+Z76+AB76),0)</f>
        <v>10339.7703587834</v>
      </c>
      <c r="AF76" s="49" t="n">
        <f aca="false">IF(Y76+Z76+AB76&gt;0,AD76*AB76/(Y76+Z76+AB76),0)</f>
        <v>9872.30110574462</v>
      </c>
      <c r="AG76" s="49" t="n">
        <f aca="false">AD76*family_mult</f>
        <v>60755.8540464403</v>
      </c>
      <c r="AH76" s="49" t="n">
        <f aca="false">AH75*(1+Paths!C76)+AG76</f>
        <v>3243509.55676892</v>
      </c>
      <c r="AI76" s="49" t="n">
        <f aca="false">IF(AND(mig_endo=1,$A76&gt;=talent_start),chain_rate*AH75,0)</f>
        <v>46723.2525901504</v>
      </c>
      <c r="AJ76" s="49" t="n">
        <f aca="false">IF(AND(mig_endo=1,$A76&gt;=talent_start),IF(H75&gt;0,H75*job_fill,H75*job_return)*job_family,0)</f>
        <v>37223.1519019056</v>
      </c>
      <c r="AK76" s="49" t="n">
        <f aca="false">K76*gw_conv_family</f>
        <v>41211.6943125342</v>
      </c>
      <c r="AL76" s="49" t="n">
        <f aca="false">AG76+AI76+AJ76+AK76+AR76</f>
        <v>221152.583186813</v>
      </c>
      <c r="AM76" s="49" t="n">
        <f aca="false">AM75*(1-skill_ret)+AD76</f>
        <v>689737.096810723</v>
      </c>
      <c r="AN76" s="67" t="n">
        <f aca="false">AM76/B76</f>
        <v>0.0776486328190286</v>
      </c>
      <c r="AO76" s="67" t="n">
        <f aca="false">(skill_rel-1+skill_spill)*AM75/B75-AT76</f>
        <v>0.0824713807071029</v>
      </c>
      <c r="AP76" s="67" t="n">
        <f aca="false">talent_champ*AM75/(skill_base_share*B75)</f>
        <v>0.158451077620554</v>
      </c>
      <c r="AQ76" s="47" t="n">
        <v>257000</v>
      </c>
      <c r="AR76" s="49" t="n">
        <f aca="false">IF(AND(div_on=1,$A76&gt;=div_start),AQ76*MIN(div_max,div_rate*U76)*(1-div_comp*S76),0)</f>
        <v>35238.6303357829</v>
      </c>
      <c r="AS76" s="49" t="n">
        <f aca="false">AS75*(1-div_assim)+AR76</f>
        <v>1626778.74140924</v>
      </c>
      <c r="AT76" s="67" t="n">
        <f aca="false">(1-div_rel)*AS75/Economy!B75</f>
        <v>0.0205218197462569</v>
      </c>
      <c r="AU76" s="49" t="n">
        <f aca="false">AU75*(1-skill_ret)+AE76</f>
        <v>287509.835973443</v>
      </c>
      <c r="AV76" s="49" t="n">
        <f aca="false">AV75*(1+union_nat)+AR76</f>
        <v>3308904.12029864</v>
      </c>
      <c r="AW76" s="49" t="n">
        <f aca="false">AW75*(1+union_nat)+AE76*family_mult</f>
        <v>1384417.65717176</v>
      </c>
      <c r="AX76" s="70" t="n">
        <f aca="false">V76-(AV76+AW76)/1000000</f>
        <v>73.9366782225296</v>
      </c>
      <c r="AY76" s="49" t="n">
        <f aca="false">L76*gw_union</f>
        <v>165220.465942443</v>
      </c>
      <c r="AZ76" s="48" t="n">
        <v>1.054</v>
      </c>
      <c r="BA76" s="49" t="n">
        <f aca="false">Economy!Q76*AZ76/lf_rate</f>
        <v>1204.57142857143</v>
      </c>
      <c r="BB76" s="67" t="n">
        <f aca="false">bd_growth*AU75/W75</f>
        <v>0.00217524738745653</v>
      </c>
      <c r="BC76" s="67" t="n">
        <f aca="false">tg_k*MIN(1,Economy!O75/BK75)</f>
        <v>0.00216259407388246</v>
      </c>
      <c r="BD76" s="67" t="n">
        <f aca="false">emu_g*S76</f>
        <v>0.0015</v>
      </c>
      <c r="BE76" s="68" t="n">
        <f aca="false">BE75*(1-BB76-BC76+BD76)</f>
        <v>0.891792729578224</v>
      </c>
      <c r="BF76" s="48" t="n">
        <v>1</v>
      </c>
      <c r="BG76" s="56" t="n">
        <f aca="false">AU76*BA76*BE76*(skill_rel-1+skill_spill)/1000000</f>
        <v>401.506466695842</v>
      </c>
      <c r="BH76" s="56" t="n">
        <f aca="false">union_disp*(Champions!AP76+Champions!AZ76)*(1-IF(union_resp=2,mkt_cut*S76,0))</f>
        <v>364.197362298307</v>
      </c>
      <c r="BI76" s="56" t="n">
        <f aca="false">AY76*BA76*BE76/1000000</f>
        <v>177.484457670249</v>
      </c>
      <c r="BJ76" s="49" t="n">
        <f aca="false">V76*Economy!Q76*AZ76</f>
        <v>39780.4896</v>
      </c>
      <c r="BK76" s="49" t="n">
        <f aca="false">MAX(0.3*BJ76,AX76*Economy!Q76*AZ76*BE76*BF76-BG76-BH76-BI76)</f>
        <v>32415.2500145049</v>
      </c>
      <c r="BL76" s="66" t="n">
        <f aca="false">1-BK76/BJ76</f>
        <v>0.185147032114332</v>
      </c>
      <c r="BM76" s="49" t="n">
        <f aca="false">MAX(0,BH76-BH75)*1000000/BA76</f>
        <v>49051.8309812511</v>
      </c>
      <c r="BN76" s="49" t="n">
        <f aca="false">BN75*(1-IF(AND($A76&gt;=1930,$A76&lt;=1932),0,union_reabsorb))+BM76</f>
        <v>132418.65271792</v>
      </c>
      <c r="BO76" s="62" t="n">
        <v>0.051</v>
      </c>
      <c r="BP76" s="66" t="n">
        <f aca="false">BO76+BN76/(AX76*1000000*lf_rate)</f>
        <v>0.0552642233063585</v>
      </c>
    </row>
    <row r="77" customFormat="false" ht="14.25" hidden="false" customHeight="true" outlineLevel="0" collapsed="false">
      <c r="A77" s="64" t="n">
        <v>1917</v>
      </c>
      <c r="B77" s="49" t="n">
        <f aca="false">Economy!B77*lf_rate</f>
        <v>9184628.94374214</v>
      </c>
      <c r="C77" s="49" t="n">
        <f aca="false">Economy!O77*1000000/(B77+L77)</f>
        <v>3107.65238397776</v>
      </c>
      <c r="D77" s="49" t="n">
        <f aca="false">Champions!AP77*1000000/(C77*champ_prem)</f>
        <v>287451.455208785</v>
      </c>
      <c r="E77" s="49" t="n">
        <f aca="false">D77*job_mult</f>
        <v>201216.01864615</v>
      </c>
      <c r="F77" s="49" t="n">
        <f aca="false">D77+E77</f>
        <v>488667.473854935</v>
      </c>
      <c r="G77" s="66" t="n">
        <f aca="false">F77/B77</f>
        <v>0.0532049227952626</v>
      </c>
      <c r="H77" s="49" t="n">
        <f aca="false">F77-F76</f>
        <v>-29164.441042533</v>
      </c>
      <c r="I77" s="66" t="n">
        <f aca="false">MAX(0.005,pac_u_base*IF(Paths!AC77=1,pac_u_war,1)+(okun*(1-Economy!G77)*(B77+L77)-MAX(0,L76-L77))/B77)</f>
        <v>0.009</v>
      </c>
      <c r="J77" s="49" t="n">
        <f aca="false">IF(AND(gw_on=1,$A77&gt;=gw_start),MIN(gw_cap*B76,gw_cover*F76+gw_gen*B76),0)</f>
        <v>1021322.96473007</v>
      </c>
      <c r="K77" s="49" t="n">
        <f aca="false">L76*gw_conv</f>
        <v>24783.0698913665</v>
      </c>
      <c r="L77" s="49" t="n">
        <f aca="false">MAX(0,L76-K77+gw_adj*(J77-L76))*MAX(0,1-gw_slump*(1-Economy!G77))</f>
        <v>879407.51382799</v>
      </c>
      <c r="M77" s="49" t="n">
        <f aca="false">MAX(0,L77-L76+L76/gw_term)</f>
        <v>328672.627353179</v>
      </c>
      <c r="N77" s="66" t="n">
        <f aca="false">L77/B77</f>
        <v>0.0957477454140557</v>
      </c>
      <c r="O77" s="56" t="n">
        <f aca="false">Economy!L77</f>
        <v>1617.54469001619</v>
      </c>
      <c r="P77" s="56" t="n">
        <f aca="false">O77*gw_wage_share</f>
        <v>1051.40404851052</v>
      </c>
      <c r="Q77" s="56" t="n">
        <f aca="false">P77*gw_levy</f>
        <v>262.85101212763</v>
      </c>
      <c r="R77" s="56" t="n">
        <f aca="false">P77*gw_remit</f>
        <v>262.85101212763</v>
      </c>
      <c r="S77" s="66" t="n">
        <f aca="false">IF(union_resp&gt;=1,MIN(1,MAX(0,($A77-resp_start)/(resp_full-resp_start))),0)</f>
        <v>1</v>
      </c>
      <c r="T77" s="70" t="n">
        <f aca="false">Economy!R76</f>
        <v>2.34227085000039</v>
      </c>
      <c r="U77" s="70" t="n">
        <f aca="false">MAX(0,T77-gap_base)</f>
        <v>0.842270850000393</v>
      </c>
      <c r="V77" s="71" t="n">
        <v>79.47</v>
      </c>
      <c r="W77" s="49" t="n">
        <f aca="false">V77*1000000*lf_rate*union_skill_share</f>
        <v>4005288</v>
      </c>
      <c r="X77" s="47" t="n">
        <v>45000</v>
      </c>
      <c r="Y77" s="49" t="n">
        <f aca="false">IF(AND(mig_endo=1,$A77&gt;=talent_start),talent_rate_u*W77*U77*(1-(1-bd_keep)*S77),0)</f>
        <v>11233.8793030937</v>
      </c>
      <c r="Z77" s="49" t="n">
        <f aca="false">IF(AND(mig_endo=1,$A77&gt;=talent_start),X77*MIN(0.5,talent_share_o*U77)*(1-eu_comp*S77),0)</f>
        <v>7163.51357925335</v>
      </c>
      <c r="AA77" s="47" t="n">
        <v>67000</v>
      </c>
      <c r="AB77" s="49" t="n">
        <f aca="false">IF(AND(mig_endo=1,$A77&gt;=talent_start),AA77*MIN(0.5,talent_share_a*U77),0)</f>
        <v>11286.4293900053</v>
      </c>
      <c r="AC77" s="49" t="n">
        <f aca="false">entry_cap*People!B77</f>
        <v>64539.4394970606</v>
      </c>
      <c r="AD77" s="49" t="n">
        <f aca="false">MIN(AC77,Y77+Z77+AB77)</f>
        <v>29683.8222723523</v>
      </c>
      <c r="AE77" s="49" t="n">
        <f aca="false">IF(Y77+Z77+AB77&gt;0,AD77*Y77/(Y77+Z77+AB77),0)</f>
        <v>11233.8793030937</v>
      </c>
      <c r="AF77" s="49" t="n">
        <f aca="false">IF(Y77+Z77+AB77&gt;0,AD77*AB77/(Y77+Z77+AB77),0)</f>
        <v>11286.4293900053</v>
      </c>
      <c r="AG77" s="49" t="n">
        <f aca="false">AD77*family_mult</f>
        <v>65304.4089991752</v>
      </c>
      <c r="AH77" s="49" t="n">
        <f aca="false">AH76*(1+Paths!C77)+AG77</f>
        <v>3377112.54650498</v>
      </c>
      <c r="AI77" s="49" t="n">
        <f aca="false">IF(AND(mig_endo=1,$A77&gt;=talent_start),chain_rate*AH76,0)</f>
        <v>48652.6433515338</v>
      </c>
      <c r="AJ77" s="49" t="n">
        <f aca="false">IF(AND(mig_endo=1,$A77&gt;=talent_start),IF(H76&gt;0,H76*job_fill,H76*job_return)*job_family,0)</f>
        <v>19646.40150857</v>
      </c>
      <c r="AK77" s="49" t="n">
        <f aca="false">K77*gw_conv_family</f>
        <v>44609.5258044597</v>
      </c>
      <c r="AL77" s="49" t="n">
        <f aca="false">AG77+AI77+AJ77+AK77+AR77</f>
        <v>203832.979663739</v>
      </c>
      <c r="AM77" s="49" t="n">
        <f aca="false">AM76*(1-skill_ret)+AD77</f>
        <v>702177.491662807</v>
      </c>
      <c r="AN77" s="67" t="n">
        <f aca="false">AM77/B77</f>
        <v>0.0764513728277754</v>
      </c>
      <c r="AO77" s="67" t="n">
        <f aca="false">(skill_rel-1+skill_spill)*AM76/B76-AT77</f>
        <v>0.0817137215923366</v>
      </c>
      <c r="AP77" s="67" t="n">
        <f aca="false">talent_champ*AM76/(skill_base_share*B76)</f>
        <v>0.155297265638057</v>
      </c>
      <c r="AQ77" s="47" t="n">
        <v>183000</v>
      </c>
      <c r="AR77" s="49" t="n">
        <f aca="false">IF(AND(div_on=1,$A77&gt;=div_start),AQ77*MIN(div_max,div_rate*U77)*(1-div_comp*S77),0)</f>
        <v>25620</v>
      </c>
      <c r="AS77" s="49" t="n">
        <f aca="false">AS76*(1-div_assim)+AR77</f>
        <v>1571059.80433878</v>
      </c>
      <c r="AT77" s="67" t="n">
        <f aca="false">(1-div_rel)*AS76/Economy!B76</f>
        <v>0.0192295010724005</v>
      </c>
      <c r="AU77" s="49" t="n">
        <f aca="false">AU76*(1-skill_ret)+AE77</f>
        <v>291555.9693772</v>
      </c>
      <c r="AV77" s="49" t="n">
        <f aca="false">AV76*(1+union_nat)+AR77</f>
        <v>3377539.87386252</v>
      </c>
      <c r="AW77" s="49" t="n">
        <f aca="false">AW76*(1+union_nat)+AE77*family_mult</f>
        <v>1427129.6211818</v>
      </c>
      <c r="AX77" s="70" t="n">
        <f aca="false">V77-(AV77+AW77)/1000000</f>
        <v>74.6653305049557</v>
      </c>
      <c r="AY77" s="49" t="n">
        <f aca="false">L77*gw_union</f>
        <v>175881.502765598</v>
      </c>
      <c r="AZ77" s="48" t="n">
        <v>1.055</v>
      </c>
      <c r="BA77" s="49" t="n">
        <f aca="false">Economy!Q77*AZ77/lf_rate</f>
        <v>1456.90476190476</v>
      </c>
      <c r="BB77" s="67" t="n">
        <f aca="false">bd_growth*AU76/W76</f>
        <v>0.00217648234932022</v>
      </c>
      <c r="BC77" s="67" t="n">
        <f aca="false">tg_k*MIN(1,Economy!O76/BK76)</f>
        <v>0.00228660621587387</v>
      </c>
      <c r="BD77" s="67" t="n">
        <f aca="false">emu_g*S77</f>
        <v>0.0015</v>
      </c>
      <c r="BE77" s="68" t="n">
        <f aca="false">BE76*(1-BB77-BC77+BD77)</f>
        <v>0.889150268738688</v>
      </c>
      <c r="BF77" s="48" t="n">
        <v>1</v>
      </c>
      <c r="BG77" s="56" t="n">
        <f aca="false">AU77*BA77*BE77*(skill_rel-1+skill_spill)/1000000</f>
        <v>490.988835473502</v>
      </c>
      <c r="BH77" s="56" t="n">
        <f aca="false">union_disp*(Champions!AP77+Champions!AZ77)*(1-IF(union_resp=2,mkt_cut*S77,0))</f>
        <v>416.224417576193</v>
      </c>
      <c r="BI77" s="56" t="n">
        <f aca="false">AY77*BA77*BE77/1000000</f>
        <v>227.838175683273</v>
      </c>
      <c r="BJ77" s="49" t="n">
        <f aca="false">V77*Economy!Q77*AZ77</f>
        <v>48627.693</v>
      </c>
      <c r="BK77" s="49" t="n">
        <f aca="false">MAX(0.3*BJ77,AX77*Economy!Q77*AZ77*BE77*BF77-BG77-BH77-BI77)</f>
        <v>39488.1932959725</v>
      </c>
      <c r="BL77" s="66" t="n">
        <f aca="false">1-BK77/BJ77</f>
        <v>0.187948453652273</v>
      </c>
      <c r="BM77" s="49" t="n">
        <f aca="false">MAX(0,BH77-BH76)*1000000/BA77</f>
        <v>35710.6769353036</v>
      </c>
      <c r="BN77" s="49" t="n">
        <f aca="false">BN76*(1-IF(AND($A77&gt;=1930,$A77&lt;=1932),0,union_reabsorb))+BM77</f>
        <v>135024.666473743</v>
      </c>
      <c r="BO77" s="62" t="n">
        <v>0.033</v>
      </c>
      <c r="BP77" s="66" t="n">
        <f aca="false">BO77+BN77/(AX77*1000000*lf_rate)</f>
        <v>0.0373057105480384</v>
      </c>
    </row>
    <row r="78" customFormat="false" ht="14.25" hidden="false" customHeight="true" outlineLevel="0" collapsed="false">
      <c r="A78" s="64" t="n">
        <v>1918</v>
      </c>
      <c r="B78" s="49" t="n">
        <f aca="false">Economy!B78*lf_rate</f>
        <v>9474018.98938386</v>
      </c>
      <c r="C78" s="49" t="n">
        <f aca="false">Economy!O78*1000000/(B78+L78)</f>
        <v>3663.85707963146</v>
      </c>
      <c r="D78" s="49" t="n">
        <f aca="false">Champions!AP78*1000000/(C78*champ_prem)</f>
        <v>276011.95092623</v>
      </c>
      <c r="E78" s="49" t="n">
        <f aca="false">D78*job_mult</f>
        <v>193208.365648361</v>
      </c>
      <c r="F78" s="49" t="n">
        <f aca="false">D78+E78</f>
        <v>469220.316574591</v>
      </c>
      <c r="G78" s="66" t="n">
        <f aca="false">F78/B78</f>
        <v>0.049527061018178</v>
      </c>
      <c r="H78" s="49" t="n">
        <f aca="false">F78-F77</f>
        <v>-19447.1572803431</v>
      </c>
      <c r="I78" s="66" t="n">
        <f aca="false">MAX(0.005,pac_u_base*IF(Paths!AC78=1,pac_u_war,1)+(okun*(1-Economy!G78)*(B78+L78)-MAX(0,L77-L78))/B78)</f>
        <v>0.009</v>
      </c>
      <c r="J78" s="49" t="n">
        <f aca="false">IF(AND(gw_on=1,$A78&gt;=gw_start),MIN(gw_cap*B77,gw_cover*F77+gw_gen*B77),0)</f>
        <v>1027970.79981233</v>
      </c>
      <c r="K78" s="49" t="n">
        <f aca="false">L77*gw_conv</f>
        <v>26382.2254148397</v>
      </c>
      <c r="L78" s="49" t="n">
        <f aca="false">MAX(0,L77-K78+gw_adj*(J78-L77))*MAX(0,1-gw_slump*(1-Economy!G78))</f>
        <v>912450.602806887</v>
      </c>
      <c r="M78" s="49" t="n">
        <f aca="false">MAX(0,L78-L77+L77/gw_term)</f>
        <v>326178.92692156</v>
      </c>
      <c r="N78" s="66" t="n">
        <f aca="false">L78/B78</f>
        <v>0.0963108268865976</v>
      </c>
      <c r="O78" s="56" t="n">
        <f aca="false">Economy!L78</f>
        <v>1990.03487576389</v>
      </c>
      <c r="P78" s="56" t="n">
        <f aca="false">O78*gw_wage_share</f>
        <v>1293.52266924653</v>
      </c>
      <c r="Q78" s="56" t="n">
        <f aca="false">P78*gw_levy</f>
        <v>323.380667311632</v>
      </c>
      <c r="R78" s="56" t="n">
        <f aca="false">P78*gw_remit</f>
        <v>323.380667311632</v>
      </c>
      <c r="S78" s="66" t="n">
        <f aca="false">IF(union_resp&gt;=1,MIN(1,MAX(0,($A78-resp_start)/(resp_full-resp_start))),0)</f>
        <v>1</v>
      </c>
      <c r="T78" s="70" t="n">
        <f aca="false">Economy!R77</f>
        <v>2.37050894998882</v>
      </c>
      <c r="U78" s="70" t="n">
        <f aca="false">MAX(0,T78-gap_base)</f>
        <v>0.87050894998882</v>
      </c>
      <c r="V78" s="71" t="n">
        <v>80.31</v>
      </c>
      <c r="W78" s="49" t="n">
        <f aca="false">V78*1000000*lf_rate*union_skill_share</f>
        <v>4047624</v>
      </c>
      <c r="X78" s="47" t="n">
        <v>40000</v>
      </c>
      <c r="Y78" s="49" t="n">
        <f aca="false">IF(AND(mig_endo=1,$A78&gt;=talent_start),talent_rate_u*W78*U78*(1-(1-bd_keep)*S78),0)</f>
        <v>11733.2314175712</v>
      </c>
      <c r="Z78" s="49" t="n">
        <f aca="false">IF(AND(mig_endo=1,$A78&gt;=talent_start),X78*MIN(0.5,talent_share_o*U78)*(1-eu_comp*S78),0)</f>
        <v>6581.04766191548</v>
      </c>
      <c r="AA78" s="47" t="n">
        <v>71000</v>
      </c>
      <c r="AB78" s="49" t="n">
        <f aca="false">IF(AND(mig_endo=1,$A78&gt;=talent_start),AA78*MIN(0.5,talent_share_a*U78),0)</f>
        <v>12361.2270898412</v>
      </c>
      <c r="AC78" s="49" t="n">
        <f aca="false">entry_cap*People!B78</f>
        <v>66669.5454135414</v>
      </c>
      <c r="AD78" s="49" t="n">
        <f aca="false">MIN(AC78,Y78+Z78+AB78)</f>
        <v>30675.5061693279</v>
      </c>
      <c r="AE78" s="49" t="n">
        <f aca="false">IF(Y78+Z78+AB78&gt;0,AD78*Y78/(Y78+Z78+AB78),0)</f>
        <v>11733.2314175712</v>
      </c>
      <c r="AF78" s="49" t="n">
        <f aca="false">IF(Y78+Z78+AB78&gt;0,AD78*AB78/(Y78+Z78+AB78),0)</f>
        <v>12361.2270898412</v>
      </c>
      <c r="AG78" s="49" t="n">
        <f aca="false">AD78*family_mult</f>
        <v>67486.1135725214</v>
      </c>
      <c r="AH78" s="49" t="n">
        <f aca="false">AH77*(1+Paths!C78)+AG78</f>
        <v>3512910.8926682</v>
      </c>
      <c r="AI78" s="49" t="n">
        <f aca="false">IF(AND(mig_endo=1,$A78&gt;=talent_start),chain_rate*AH77,0)</f>
        <v>50656.6881975747</v>
      </c>
      <c r="AJ78" s="49" t="n">
        <f aca="false">IF(AND(mig_endo=1,$A78&gt;=talent_start),IF(H77&gt;0,H77*job_fill,H77*job_return)*job_family,0)</f>
        <v>-15748.7981629678</v>
      </c>
      <c r="AK78" s="49" t="n">
        <f aca="false">K78*gw_conv_family</f>
        <v>47488.0057467114</v>
      </c>
      <c r="AL78" s="49" t="n">
        <f aca="false">AG78+AI78+AJ78+AK78+AR78</f>
        <v>165282.00935384</v>
      </c>
      <c r="AM78" s="49" t="n">
        <f aca="false">AM77*(1-skill_ret)+AD78</f>
        <v>715298.560540565</v>
      </c>
      <c r="AN78" s="67" t="n">
        <f aca="false">AM78/B78</f>
        <v>0.0755010689066693</v>
      </c>
      <c r="AO78" s="67" t="n">
        <f aca="false">(skill_rel-1+skill_spill)*AM77/B77-AT78</f>
        <v>0.0814262028751451</v>
      </c>
      <c r="AP78" s="67" t="n">
        <f aca="false">talent_champ*AM77/(skill_base_share*B77)</f>
        <v>0.152902745655551</v>
      </c>
      <c r="AQ78" s="47" t="n">
        <v>110000</v>
      </c>
      <c r="AR78" s="49" t="n">
        <f aca="false">IF(AND(div_on=1,$A78&gt;=div_start),AQ78*MIN(div_max,div_rate*U78)*(1-div_comp*S78),0)</f>
        <v>15400</v>
      </c>
      <c r="AS78" s="49" t="n">
        <f aca="false">AS77*(1-div_assim)+AR78</f>
        <v>1507906.81412184</v>
      </c>
      <c r="AT78" s="67" t="n">
        <f aca="false">(1-div_rel)*AS77/Economy!B77</f>
        <v>0.0179605818009629</v>
      </c>
      <c r="AU78" s="49" t="n">
        <f aca="false">AU77*(1-skill_ret)+AE78</f>
        <v>296000.301560342</v>
      </c>
      <c r="AV78" s="49" t="n">
        <f aca="false">AV77*(1+union_nat)+AR78</f>
        <v>3436847.89222273</v>
      </c>
      <c r="AW78" s="49" t="n">
        <f aca="false">AW77*(1+union_nat)+AE78*family_mult</f>
        <v>1471495.41537582</v>
      </c>
      <c r="AX78" s="70" t="n">
        <f aca="false">V78-(AV78+AW78)/1000000</f>
        <v>75.4016566924015</v>
      </c>
      <c r="AY78" s="49" t="n">
        <f aca="false">L78*gw_union</f>
        <v>182490.120561377</v>
      </c>
      <c r="AZ78" s="48" t="n">
        <v>1.056</v>
      </c>
      <c r="BA78" s="49" t="n">
        <f aca="false">Economy!Q78*AZ78/lf_rate</f>
        <v>1855.54285714286</v>
      </c>
      <c r="BB78" s="67" t="n">
        <f aca="false">bd_growth*AU77/W77</f>
        <v>0.0021837828094549</v>
      </c>
      <c r="BC78" s="67" t="n">
        <f aca="false">tg_k*MIN(1,Economy!O77/BK77)</f>
        <v>0.00237606668824198</v>
      </c>
      <c r="BD78" s="67" t="n">
        <f aca="false">emu_g*S78</f>
        <v>0.0015</v>
      </c>
      <c r="BE78" s="68" t="n">
        <f aca="false">BE77*(1-BB78-BC78+BD78)</f>
        <v>0.886429602735511</v>
      </c>
      <c r="BF78" s="48" t="n">
        <v>1</v>
      </c>
      <c r="BG78" s="56" t="n">
        <f aca="false">AU78*BA78*BE78*(skill_rel-1+skill_spill)/1000000</f>
        <v>632.922808508629</v>
      </c>
      <c r="BH78" s="56" t="n">
        <f aca="false">union_disp*(Champions!AP78+Champions!AZ78)*(1-IF(union_resp=2,mkt_cut*S78,0))</f>
        <v>470.501009361013</v>
      </c>
      <c r="BI78" s="56" t="n">
        <f aca="false">AY78*BA78*BE78/1000000</f>
        <v>300.161231702299</v>
      </c>
      <c r="BJ78" s="49" t="n">
        <f aca="false">V78*Economy!Q78*AZ78</f>
        <v>62587.83168</v>
      </c>
      <c r="BK78" s="49" t="n">
        <f aca="false">MAX(0.3*BJ78,AX78*Economy!Q78*AZ78*BE78*BF78-BG78-BH78-BI78)</f>
        <v>50685.3428975202</v>
      </c>
      <c r="BL78" s="66" t="n">
        <f aca="false">1-BK78/BJ78</f>
        <v>0.190172569699091</v>
      </c>
      <c r="BM78" s="49" t="n">
        <f aca="false">MAX(0,BH78-BH77)*1000000/BA78</f>
        <v>29251.0580264335</v>
      </c>
      <c r="BN78" s="49" t="n">
        <f aca="false">BN77*(1-IF(AND($A78&gt;=1930,$A78&lt;=1932),0,union_reabsorb))+BM78</f>
        <v>130519.557881741</v>
      </c>
      <c r="BO78" s="62" t="n">
        <v>0.014</v>
      </c>
      <c r="BP78" s="66" t="n">
        <f aca="false">BO78+BN78/(AX78*1000000*lf_rate)</f>
        <v>0.0181214061564605</v>
      </c>
    </row>
    <row r="79" customFormat="false" ht="14.25" hidden="false" customHeight="true" outlineLevel="0" collapsed="false">
      <c r="A79" s="64" t="n">
        <v>1919</v>
      </c>
      <c r="B79" s="49" t="n">
        <f aca="false">Economy!B79*lf_rate</f>
        <v>9785432.04416477</v>
      </c>
      <c r="C79" s="49" t="n">
        <f aca="false">Economy!O79*1000000/(B79+L79)</f>
        <v>4071.26741380129</v>
      </c>
      <c r="D79" s="49" t="n">
        <f aca="false">Champions!AP79*1000000/(C79*champ_prem)</f>
        <v>261067.470739135</v>
      </c>
      <c r="E79" s="49" t="n">
        <f aca="false">D79*job_mult</f>
        <v>182747.229517395</v>
      </c>
      <c r="F79" s="49" t="n">
        <f aca="false">D79+E79</f>
        <v>443814.70025653</v>
      </c>
      <c r="G79" s="66" t="n">
        <f aca="false">F79/B79</f>
        <v>0.0453546351610693</v>
      </c>
      <c r="H79" s="49" t="n">
        <f aca="false">F79-F78</f>
        <v>-25405.6163180617</v>
      </c>
      <c r="I79" s="66" t="n">
        <f aca="false">MAX(0.005,pac_u_base*IF(Paths!AC79=1,pac_u_war,1)+(okun*(1-Economy!G79)*(B79+L79)-MAX(0,L78-L79))/B79)</f>
        <v>0.009</v>
      </c>
      <c r="J79" s="49" t="n">
        <f aca="false">IF(AND(gw_on=1,$A79&gt;=gw_start),MIN(gw_cap*B78,gw_cover*F78+gw_gen*B78),0)</f>
        <v>1039453.70909546</v>
      </c>
      <c r="K79" s="49" t="n">
        <f aca="false">L78*gw_conv</f>
        <v>27373.5180842066</v>
      </c>
      <c r="L79" s="49" t="n">
        <f aca="false">MAX(0,L78-K79+gw_adj*(J79-L78))*MAX(0,1-gw_slump*(1-Economy!G79))</f>
        <v>935878.327238111</v>
      </c>
      <c r="M79" s="49" t="n">
        <f aca="false">MAX(0,L79-L78+L78/gw_term)</f>
        <v>327577.925366853</v>
      </c>
      <c r="N79" s="66" t="n">
        <f aca="false">L79/B79</f>
        <v>0.0956399597906556</v>
      </c>
      <c r="O79" s="56" t="n">
        <f aca="false">Economy!L79</f>
        <v>2280.98178972745</v>
      </c>
      <c r="P79" s="56" t="n">
        <f aca="false">O79*gw_wage_share</f>
        <v>1482.63816332285</v>
      </c>
      <c r="Q79" s="56" t="n">
        <f aca="false">P79*gw_levy</f>
        <v>370.659540830711</v>
      </c>
      <c r="R79" s="56" t="n">
        <f aca="false">P79*gw_remit</f>
        <v>370.659540830711</v>
      </c>
      <c r="S79" s="66" t="n">
        <f aca="false">IF(union_resp&gt;=1,MIN(1,MAX(0,($A79-resp_start)/(resp_full-resp_start))),0)</f>
        <v>1</v>
      </c>
      <c r="T79" s="70" t="n">
        <f aca="false">Economy!R78</f>
        <v>2.19706908415988</v>
      </c>
      <c r="U79" s="70" t="n">
        <f aca="false">MAX(0,T79-gap_base)</f>
        <v>0.697069084159879</v>
      </c>
      <c r="V79" s="71" t="n">
        <v>81.16</v>
      </c>
      <c r="W79" s="49" t="n">
        <f aca="false">V79*1000000*lf_rate*union_skill_share</f>
        <v>4090464</v>
      </c>
      <c r="X79" s="47" t="n">
        <v>200000</v>
      </c>
      <c r="Y79" s="49" t="n">
        <f aca="false">IF(AND(mig_endo=1,$A79&gt;=talent_start),talent_rate_u*W79*U79*(1-(1-bd_keep)*S79),0)</f>
        <v>9494.94886091561</v>
      </c>
      <c r="Z79" s="49" t="n">
        <f aca="false">IF(AND(mig_endo=1,$A79&gt;=talent_start),X79*MIN(0.5,talent_share_o*U79)*(1-eu_comp*S79),0)</f>
        <v>26349.2113812434</v>
      </c>
      <c r="AA79" s="47" t="n">
        <v>76000</v>
      </c>
      <c r="AB79" s="49" t="n">
        <f aca="false">IF(AND(mig_endo=1,$A79&gt;=talent_start),AA79*MIN(0.5,talent_share_a*U79),0)</f>
        <v>10595.4500792302</v>
      </c>
      <c r="AC79" s="49" t="n">
        <f aca="false">entry_cap*People!B79</f>
        <v>68673.583006228</v>
      </c>
      <c r="AD79" s="49" t="n">
        <f aca="false">MIN(AC79,Y79+Z79+AB79)</f>
        <v>46439.6103213892</v>
      </c>
      <c r="AE79" s="49" t="n">
        <f aca="false">IF(Y79+Z79+AB79&gt;0,AD79*Y79/(Y79+Z79+AB79),0)</f>
        <v>9494.94886091561</v>
      </c>
      <c r="AF79" s="49" t="n">
        <f aca="false">IF(Y79+Z79+AB79&gt;0,AD79*AB79/(Y79+Z79+AB79),0)</f>
        <v>10595.4500792302</v>
      </c>
      <c r="AG79" s="49" t="n">
        <f aca="false">AD79*family_mult</f>
        <v>102167.142707056</v>
      </c>
      <c r="AH79" s="49" t="n">
        <f aca="false">AH78*(1+Paths!C79)+AG79</f>
        <v>3683021.24495035</v>
      </c>
      <c r="AI79" s="49" t="n">
        <f aca="false">IF(AND(mig_endo=1,$A79&gt;=talent_start),chain_rate*AH78,0)</f>
        <v>52693.663390023</v>
      </c>
      <c r="AJ79" s="49" t="n">
        <f aca="false">IF(AND(mig_endo=1,$A79&gt;=talent_start),IF(H78&gt;0,H78*job_fill,H78*job_return)*job_family,0)</f>
        <v>-10501.4649313853</v>
      </c>
      <c r="AK79" s="49" t="n">
        <f aca="false">K79*gw_conv_family</f>
        <v>49272.3325515719</v>
      </c>
      <c r="AL79" s="49" t="n">
        <f aca="false">AG79+AI79+AJ79+AK79+AR79</f>
        <v>226568.18794382</v>
      </c>
      <c r="AM79" s="49" t="n">
        <f aca="false">AM78*(1-skill_ret)+AD79</f>
        <v>743855.70684844</v>
      </c>
      <c r="AN79" s="67" t="n">
        <f aca="false">AM79/B79</f>
        <v>0.0760166442821515</v>
      </c>
      <c r="AO79" s="67" t="n">
        <f aca="false">(skill_rel-1+skill_spill)*AM78/B78-AT79</f>
        <v>0.0814393462884666</v>
      </c>
      <c r="AP79" s="67" t="n">
        <f aca="false">talent_champ*AM78/(skill_base_share*B78)</f>
        <v>0.151002137813339</v>
      </c>
      <c r="AQ79" s="47" t="n">
        <v>270000</v>
      </c>
      <c r="AR79" s="49" t="n">
        <f aca="false">IF(AND(div_on=1,$A79&gt;=div_start),AQ79*MIN(div_max,div_rate*U79)*(1-div_comp*S79),0)</f>
        <v>32936.5142265543</v>
      </c>
      <c r="AS79" s="49" t="n">
        <f aca="false">AS78*(1-div_assim)+AR79</f>
        <v>1465447.9876423</v>
      </c>
      <c r="AT79" s="67" t="n">
        <f aca="false">(1-div_rel)*AS78/Economy!B78</f>
        <v>0.0167120432902035</v>
      </c>
      <c r="AU79" s="49" t="n">
        <f aca="false">AU78*(1-skill_ret)+AE79</f>
        <v>298095.242882249</v>
      </c>
      <c r="AV79" s="49" t="n">
        <f aca="false">AV78*(1+union_nat)+AR79</f>
        <v>3514463.42904818</v>
      </c>
      <c r="AW79" s="49" t="n">
        <f aca="false">AW78*(1+union_nat)+AE79*family_mult</f>
        <v>1511513.74326972</v>
      </c>
      <c r="AX79" s="70" t="n">
        <f aca="false">V79-(AV79+AW79)/1000000</f>
        <v>76.1340228276821</v>
      </c>
      <c r="AY79" s="49" t="n">
        <f aca="false">L79*gw_union</f>
        <v>187175.665447622</v>
      </c>
      <c r="AZ79" s="48" t="n">
        <v>1.057</v>
      </c>
      <c r="BA79" s="49" t="n">
        <f aca="false">Economy!Q79*AZ79/lf_rate</f>
        <v>2013.33333333333</v>
      </c>
      <c r="BB79" s="67" t="n">
        <f aca="false">bd_growth*AU78/W78</f>
        <v>0.00219388190375644</v>
      </c>
      <c r="BC79" s="67" t="n">
        <f aca="false">tg_k*MIN(1,Economy!O78/BK78)</f>
        <v>0.00225239909442854</v>
      </c>
      <c r="BD79" s="67" t="n">
        <f aca="false">emu_g*S79</f>
        <v>0.0015</v>
      </c>
      <c r="BE79" s="68" t="n">
        <f aca="false">BE78*(1-BB79-BC79+BD79)</f>
        <v>0.883817932040742</v>
      </c>
      <c r="BF79" s="48" t="n">
        <v>1</v>
      </c>
      <c r="BG79" s="56" t="n">
        <f aca="false">AU79*BA79*BE79*(skill_rel-1+skill_spill)/1000000</f>
        <v>689.5676681993</v>
      </c>
      <c r="BH79" s="56" t="n">
        <f aca="false">union_disp*(Champions!AP79+Champions!AZ79)*(1-IF(union_resp=2,mkt_cut*S79,0))</f>
        <v>500.784473974004</v>
      </c>
      <c r="BI79" s="56" t="n">
        <f aca="false">AY79*BA79*BE79/1000000</f>
        <v>333.064141922725</v>
      </c>
      <c r="BJ79" s="49" t="n">
        <f aca="false">V79*Economy!Q79*AZ79</f>
        <v>68628.896</v>
      </c>
      <c r="BK79" s="49" t="n">
        <f aca="false">MAX(0.3*BJ79,AX79*Economy!Q79*AZ79*BE79*BF79-BG79-BH79-BI79)</f>
        <v>55375.8362330835</v>
      </c>
      <c r="BL79" s="66" t="n">
        <f aca="false">1-BK79/BJ79</f>
        <v>0.193111947581329</v>
      </c>
      <c r="BM79" s="49" t="n">
        <f aca="false">MAX(0,BH79-BH78)*1000000/BA79</f>
        <v>15041.4559336047</v>
      </c>
      <c r="BN79" s="49" t="n">
        <f aca="false">BN78*(1-IF(AND($A79&gt;=1930,$A79&lt;=1932),0,union_reabsorb))+BM79</f>
        <v>112931.12434491</v>
      </c>
      <c r="BO79" s="62" t="n">
        <v>0.014</v>
      </c>
      <c r="BP79" s="66" t="n">
        <f aca="false">BO79+BN79/(AX79*1000000*lf_rate)</f>
        <v>0.0175317144609739</v>
      </c>
    </row>
    <row r="80" customFormat="false" ht="14.25" hidden="false" customHeight="true" outlineLevel="0" collapsed="false">
      <c r="A80" s="64" t="n">
        <v>1920</v>
      </c>
      <c r="B80" s="49" t="n">
        <f aca="false">Economy!B80*lf_rate</f>
        <v>10134461.7064853</v>
      </c>
      <c r="C80" s="49" t="n">
        <f aca="false">Economy!O80*1000000/(B80+L80)</f>
        <v>4624.08675278507</v>
      </c>
      <c r="D80" s="49" t="n">
        <f aca="false">Champions!AP80*1000000/(C80*champ_prem)</f>
        <v>242092.260273418</v>
      </c>
      <c r="E80" s="49" t="n">
        <f aca="false">D80*job_mult</f>
        <v>169464.582191392</v>
      </c>
      <c r="F80" s="49" t="n">
        <f aca="false">D80+E80</f>
        <v>411556.84246481</v>
      </c>
      <c r="G80" s="66" t="n">
        <f aca="false">F80/B80</f>
        <v>0.0406096400957779</v>
      </c>
      <c r="H80" s="49" t="n">
        <f aca="false">F80-F79</f>
        <v>-32257.8577917195</v>
      </c>
      <c r="I80" s="66" t="n">
        <f aca="false">MAX(0.005,pac_u_base*IF(Paths!AC80=1,pac_u_war,1)+(okun*(1-Economy!G80)*(B80+L80)-MAX(0,L79-L80))/B80)</f>
        <v>0.009</v>
      </c>
      <c r="J80" s="49" t="n">
        <f aca="false">IF(AND(gw_on=1,$A80&gt;=gw_start),MIN(gw_cap*B79,gw_cover*F79+gw_gen*B79),0)</f>
        <v>1049123.3836871</v>
      </c>
      <c r="K80" s="49" t="n">
        <f aca="false">L79*gw_conv</f>
        <v>28076.3498171433</v>
      </c>
      <c r="L80" s="49" t="n">
        <f aca="false">MAX(0,L79-K80+gw_adj*(J80-L79))*MAX(0,1-gw_slump*(1-Economy!G80))</f>
        <v>953100.000000563</v>
      </c>
      <c r="M80" s="49" t="n">
        <f aca="false">MAX(0,L80-L79+L79/gw_term)</f>
        <v>329181.115175156</v>
      </c>
      <c r="N80" s="66" t="n">
        <f aca="false">L80/B80</f>
        <v>0.0940454488461536</v>
      </c>
      <c r="O80" s="56" t="n">
        <f aca="false">Economy!L80</f>
        <v>2647.57870417446</v>
      </c>
      <c r="P80" s="56" t="n">
        <f aca="false">O80*gw_wage_share</f>
        <v>1720.9261577134</v>
      </c>
      <c r="Q80" s="56" t="n">
        <f aca="false">P80*gw_levy</f>
        <v>430.23153942835</v>
      </c>
      <c r="R80" s="56" t="n">
        <f aca="false">P80*gw_remit</f>
        <v>430.23153942835</v>
      </c>
      <c r="S80" s="66" t="n">
        <f aca="false">IF(union_resp&gt;=1,MIN(1,MAX(0,($A80-resp_start)/(resp_full-resp_start))),0)</f>
        <v>1</v>
      </c>
      <c r="T80" s="70" t="n">
        <f aca="false">Economy!R79</f>
        <v>2.25140164984518</v>
      </c>
      <c r="U80" s="70" t="n">
        <f aca="false">MAX(0,T80-gap_base)</f>
        <v>0.751401649845181</v>
      </c>
      <c r="V80" s="71" t="n">
        <v>82</v>
      </c>
      <c r="W80" s="49" t="n">
        <f aca="false">V80*1000000*lf_rate*union_skill_share</f>
        <v>4132800</v>
      </c>
      <c r="X80" s="47" t="n">
        <v>190000</v>
      </c>
      <c r="Y80" s="49" t="n">
        <f aca="false">IF(AND(mig_endo=1,$A80&gt;=talent_start),talent_rate_u*W80*U80*(1-(1-bd_keep)*S80),0)</f>
        <v>10340.9578191389</v>
      </c>
      <c r="Z80" s="49" t="n">
        <f aca="false">IF(AND(mig_endo=1,$A80&gt;=talent_start),X80*MIN(0.5,talent_share_o*U80)*(1-eu_comp*S80),0)</f>
        <v>26982.8332459405</v>
      </c>
      <c r="AA80" s="47" t="n">
        <v>80000</v>
      </c>
      <c r="AB80" s="49" t="n">
        <f aca="false">IF(AND(mig_endo=1,$A80&gt;=talent_start),AA80*MIN(0.5,talent_share_a*U80),0)</f>
        <v>12022.4263975229</v>
      </c>
      <c r="AC80" s="49" t="n">
        <f aca="false">entry_cap*People!B80</f>
        <v>71118.303338983</v>
      </c>
      <c r="AD80" s="49" t="n">
        <f aca="false">MIN(AC80,Y80+Z80+AB80)</f>
        <v>49346.2174626023</v>
      </c>
      <c r="AE80" s="49" t="n">
        <f aca="false">IF(Y80+Z80+AB80&gt;0,AD80*Y80/(Y80+Z80+AB80),0)</f>
        <v>10340.9578191389</v>
      </c>
      <c r="AF80" s="49" t="n">
        <f aca="false">IF(Y80+Z80+AB80&gt;0,AD80*AB80/(Y80+Z80+AB80),0)</f>
        <v>12022.4263975229</v>
      </c>
      <c r="AG80" s="49" t="n">
        <f aca="false">AD80*family_mult</f>
        <v>108561.678417725</v>
      </c>
      <c r="AH80" s="49" t="n">
        <f aca="false">AH79*(1+Paths!C80)+AG80</f>
        <v>3860621.15660467</v>
      </c>
      <c r="AI80" s="49" t="n">
        <f aca="false">IF(AND(mig_endo=1,$A80&gt;=talent_start),chain_rate*AH79,0)</f>
        <v>55245.3186742553</v>
      </c>
      <c r="AJ80" s="49" t="n">
        <f aca="false">IF(AND(mig_endo=1,$A80&gt;=talent_start),IF(H79&gt;0,H79*job_fill,H79*job_return)*job_family,0)</f>
        <v>-13719.0328117533</v>
      </c>
      <c r="AK80" s="49" t="n">
        <f aca="false">K80*gw_conv_family</f>
        <v>50537.429670858</v>
      </c>
      <c r="AL80" s="49" t="n">
        <f aca="false">AG80+AI80+AJ80+AK80+AR80</f>
        <v>257168.368101935</v>
      </c>
      <c r="AM80" s="49" t="n">
        <f aca="false">AM79*(1-skill_ret)+AD80</f>
        <v>774605.531639831</v>
      </c>
      <c r="AN80" s="67" t="n">
        <f aca="false">AM80/B80</f>
        <v>0.0764328243644301</v>
      </c>
      <c r="AO80" s="67" t="n">
        <f aca="false">(skill_rel-1+skill_spill)*AM79/B79-AT80</f>
        <v>0.0830970340942095</v>
      </c>
      <c r="AP80" s="67" t="n">
        <f aca="false">talent_champ*AM79/(skill_base_share*B79)</f>
        <v>0.152033288564303</v>
      </c>
      <c r="AQ80" s="47" t="n">
        <v>430000</v>
      </c>
      <c r="AR80" s="49" t="n">
        <f aca="false">IF(AND(div_on=1,$A80&gt;=div_start),AQ80*MIN(div_max,div_rate*U80)*(1-div_comp*S80),0)</f>
        <v>56542.9741508499</v>
      </c>
      <c r="AS80" s="49" t="n">
        <f aca="false">AS79*(1-div_assim)+AR80</f>
        <v>1448718.56241104</v>
      </c>
      <c r="AT80" s="67" t="n">
        <f aca="false">(1-div_rel)*AS79/Economy!B79</f>
        <v>0.0157246034725874</v>
      </c>
      <c r="AU80" s="49" t="n">
        <f aca="false">AU79*(1-skill_ret)+AE80</f>
        <v>300983.819629331</v>
      </c>
      <c r="AV80" s="49" t="n">
        <f aca="false">AV79*(1+union_nat)+AR80</f>
        <v>3616694.42777666</v>
      </c>
      <c r="AW80" s="49" t="n">
        <f aca="false">AW79*(1+union_nat)+AE80*family_mult</f>
        <v>1553913.52913433</v>
      </c>
      <c r="AX80" s="70" t="n">
        <f aca="false">V80-(AV80+AW80)/1000000</f>
        <v>76.829392043089</v>
      </c>
      <c r="AY80" s="49" t="n">
        <f aca="false">L80*gw_union</f>
        <v>190620.000000113</v>
      </c>
      <c r="AZ80" s="48" t="n">
        <v>1.058</v>
      </c>
      <c r="BA80" s="49" t="n">
        <f aca="false">Economy!Q80*AZ80/lf_rate</f>
        <v>2166.38095238095</v>
      </c>
      <c r="BB80" s="67" t="n">
        <f aca="false">bd_growth*AU79/W79</f>
        <v>0.00218626964727411</v>
      </c>
      <c r="BC80" s="67" t="n">
        <f aca="false">tg_k*MIN(1,Economy!O79/BK79)</f>
        <v>0.00236471308701961</v>
      </c>
      <c r="BD80" s="67" t="n">
        <f aca="false">emu_g*S80</f>
        <v>0.0015</v>
      </c>
      <c r="BE80" s="68" t="n">
        <f aca="false">BE79*(1-BB80-BC80+BD80)</f>
        <v>0.881121418789827</v>
      </c>
      <c r="BF80" s="48" t="n">
        <v>1</v>
      </c>
      <c r="BG80" s="56" t="n">
        <f aca="false">AU80*BA80*BE80*(skill_rel-1+skill_spill)/1000000</f>
        <v>746.890763274016</v>
      </c>
      <c r="BH80" s="56" t="n">
        <f aca="false">union_disp*(Champions!AP80+Champions!AZ80)*(1-IF(union_resp=2,mkt_cut*S80,0))</f>
        <v>533.815267588029</v>
      </c>
      <c r="BI80" s="56" t="n">
        <f aca="false">AY80*BA80*BE80/1000000</f>
        <v>363.863968784644</v>
      </c>
      <c r="BJ80" s="49" t="n">
        <f aca="false">V80*Economy!Q80*AZ80</f>
        <v>74610.16</v>
      </c>
      <c r="BK80" s="49" t="n">
        <f aca="false">MAX(0.3*BJ80,AX80*Economy!Q80*AZ80*BE80*BF80-BG80-BH80-BI80)</f>
        <v>59950.6873364102</v>
      </c>
      <c r="BL80" s="66" t="n">
        <f aca="false">1-BK80/BJ80</f>
        <v>0.196480917124288</v>
      </c>
      <c r="BM80" s="49" t="n">
        <f aca="false">MAX(0,BH80-BH79)*1000000/BA80</f>
        <v>15246.9922603974</v>
      </c>
      <c r="BN80" s="49" t="n">
        <f aca="false">BN79*(1-IF(AND($A80&gt;=1930,$A80&lt;=1932),0,union_reabsorb))+BM80</f>
        <v>99945.3355190803</v>
      </c>
      <c r="BO80" s="62" t="n">
        <v>0.052</v>
      </c>
      <c r="BP80" s="66" t="n">
        <f aca="false">BO80+BN80/(AX80*1000000*lf_rate)</f>
        <v>0.0550973183340534</v>
      </c>
    </row>
    <row r="81" customFormat="false" ht="14.25" hidden="false" customHeight="true" outlineLevel="0" collapsed="false">
      <c r="A81" s="64" t="n">
        <v>1921</v>
      </c>
      <c r="B81" s="49" t="n">
        <f aca="false">Economy!B81*lf_rate</f>
        <v>10505792.9887304</v>
      </c>
      <c r="C81" s="49" t="n">
        <f aca="false">Economy!O81*1000000/(B81+L81)</f>
        <v>3688.44188556767</v>
      </c>
      <c r="D81" s="49" t="n">
        <f aca="false">Champions!AP81*1000000/(C81*champ_prem)</f>
        <v>274605.803925421</v>
      </c>
      <c r="E81" s="49" t="n">
        <f aca="false">D81*job_mult</f>
        <v>192224.062747794</v>
      </c>
      <c r="F81" s="49" t="n">
        <f aca="false">D81+E81</f>
        <v>466829.866673215</v>
      </c>
      <c r="G81" s="66" t="n">
        <f aca="false">F81/B81</f>
        <v>0.0444354716653931</v>
      </c>
      <c r="H81" s="49" t="n">
        <f aca="false">F81-F80</f>
        <v>55273.0242084048</v>
      </c>
      <c r="I81" s="66" t="n">
        <f aca="false">MAX(0.005,pac_u_base*IF(Paths!AC81=1,pac_u_war,1)+(okun*(1-Economy!G81)*(B81+L81)-MAX(0,L80-L81))/B81)</f>
        <v>0.0378174022124515</v>
      </c>
      <c r="J81" s="49" t="n">
        <f aca="false">IF(AND(gw_on=1,$A81&gt;=gw_start),MIN(gw_cap*B80,gw_cover*F80+gw_gen*B80),0)</f>
        <v>1057691.04199771</v>
      </c>
      <c r="K81" s="49" t="n">
        <f aca="false">L80*gw_conv</f>
        <v>28593.0000000169</v>
      </c>
      <c r="L81" s="49" t="n">
        <f aca="false">MAX(0,L80-K81+gw_adj*(J81-L80))*MAX(0,1-gw_slump*(1-Economy!G81))</f>
        <v>858112.954117871</v>
      </c>
      <c r="M81" s="49" t="n">
        <f aca="false">MAX(0,L81-L80+L80/gw_term)</f>
        <v>222712.954117496</v>
      </c>
      <c r="N81" s="66" t="n">
        <f aca="false">L81/B81</f>
        <v>0.081679979325537</v>
      </c>
      <c r="O81" s="56" t="n">
        <f aca="false">Economy!L81</f>
        <v>1888.56169414355</v>
      </c>
      <c r="P81" s="56" t="n">
        <f aca="false">O81*gw_wage_share</f>
        <v>1227.56510119331</v>
      </c>
      <c r="Q81" s="56" t="n">
        <f aca="false">P81*gw_levy</f>
        <v>306.891275298327</v>
      </c>
      <c r="R81" s="56" t="n">
        <f aca="false">P81*gw_remit</f>
        <v>306.891275298327</v>
      </c>
      <c r="S81" s="66" t="n">
        <f aca="false">IF(union_resp&gt;=1,MIN(1,MAX(0,($A81-resp_start)/(resp_full-resp_start))),0)</f>
        <v>1</v>
      </c>
      <c r="T81" s="70" t="n">
        <f aca="false">Economy!R80</f>
        <v>2.37677496025535</v>
      </c>
      <c r="U81" s="70" t="n">
        <f aca="false">MAX(0,T81-gap_base)</f>
        <v>0.876774960255355</v>
      </c>
      <c r="V81" s="71" t="n">
        <v>82.97</v>
      </c>
      <c r="W81" s="49" t="n">
        <f aca="false">V81*1000000*lf_rate*union_skill_share</f>
        <v>4181688</v>
      </c>
      <c r="X81" s="47" t="n">
        <v>180000</v>
      </c>
      <c r="Y81" s="49" t="n">
        <f aca="false">IF(AND(mig_endo=1,$A81&gt;=talent_start),talent_rate_u*W81*U81*(1-(1-bd_keep)*S81),0)</f>
        <v>12209.109768901</v>
      </c>
      <c r="Z81" s="49" t="n">
        <f aca="false">IF(AND(mig_endo=1,$A81&gt;=talent_start),X81*MIN(0.5,talent_share_o*U81)*(1-eu_comp*S81),0)</f>
        <v>29827.8841478872</v>
      </c>
      <c r="AA81" s="47" t="n">
        <v>84000</v>
      </c>
      <c r="AB81" s="49" t="n">
        <f aca="false">IF(AND(mig_endo=1,$A81&gt;=talent_start),AA81*MIN(0.5,talent_share_a*U81),0)</f>
        <v>14729.81933229</v>
      </c>
      <c r="AC81" s="49" t="n">
        <f aca="false">entry_cap*People!B81</f>
        <v>73659.721039378</v>
      </c>
      <c r="AD81" s="49" t="n">
        <f aca="false">MIN(AC81,Y81+Z81+AB81)</f>
        <v>56766.8132490781</v>
      </c>
      <c r="AE81" s="49" t="n">
        <f aca="false">IF(Y81+Z81+AB81&gt;0,AD81*Y81/(Y81+Z81+AB81),0)</f>
        <v>12209.109768901</v>
      </c>
      <c r="AF81" s="49" t="n">
        <f aca="false">IF(Y81+Z81+AB81&gt;0,AD81*AB81/(Y81+Z81+AB81),0)</f>
        <v>14729.81933229</v>
      </c>
      <c r="AG81" s="49" t="n">
        <f aca="false">AD81*family_mult</f>
        <v>124886.989147972</v>
      </c>
      <c r="AH81" s="49" t="n">
        <f aca="false">AH80*(1+Paths!C81)+AG81</f>
        <v>4055628.60782005</v>
      </c>
      <c r="AI81" s="49" t="n">
        <f aca="false">IF(AND(mig_endo=1,$A81&gt;=talent_start),chain_rate*AH80,0)</f>
        <v>57909.3173490701</v>
      </c>
      <c r="AJ81" s="49" t="n">
        <f aca="false">IF(AND(mig_endo=1,$A81&gt;=talent_start),IF(H80&gt;0,H80*job_fill,H80*job_return)*job_family,0)</f>
        <v>-17419.2432075285</v>
      </c>
      <c r="AK81" s="49" t="n">
        <f aca="false">K81*gw_conv_family</f>
        <v>51467.4000000304</v>
      </c>
      <c r="AL81" s="49" t="n">
        <f aca="false">AG81+AI81+AJ81+AK81+AR81</f>
        <v>329544.463289544</v>
      </c>
      <c r="AM81" s="49" t="n">
        <f aca="false">AM80*(1-skill_ret)+AD81</f>
        <v>812007.206597913</v>
      </c>
      <c r="AN81" s="67" t="n">
        <f aca="false">AM81/B81</f>
        <v>0.0772913770020936</v>
      </c>
      <c r="AO81" s="67" t="n">
        <f aca="false">(skill_rel-1+skill_spill)*AM80/B80-AT81</f>
        <v>0.0843529500468258</v>
      </c>
      <c r="AP81" s="67" t="n">
        <f aca="false">talent_champ*AM80/(skill_base_share*B80)</f>
        <v>0.15286564872886</v>
      </c>
      <c r="AQ81" s="47" t="n">
        <v>805000</v>
      </c>
      <c r="AR81" s="49" t="n">
        <f aca="false">IF(AND(div_on=1,$A81&gt;=div_start),AQ81*MIN(div_max,div_rate*U81)*(1-div_comp*S81),0)</f>
        <v>112700</v>
      </c>
      <c r="AS81" s="49" t="n">
        <f aca="false">AS80*(1-div_assim)+AR81</f>
        <v>1488982.63429049</v>
      </c>
      <c r="AT81" s="67" t="n">
        <f aca="false">(1-div_rel)*AS80/Economy!B80</f>
        <v>0.0150097216269333</v>
      </c>
      <c r="AU81" s="49" t="n">
        <f aca="false">AU80*(1-skill_ret)+AE81</f>
        <v>305668.333907499</v>
      </c>
      <c r="AV81" s="49" t="n">
        <f aca="false">AV80*(1+union_nat)+AR81</f>
        <v>3776411.45533775</v>
      </c>
      <c r="AW81" s="49" t="n">
        <f aca="false">AW80*(1+union_nat)+AE81*family_mult</f>
        <v>1600974.44650466</v>
      </c>
      <c r="AX81" s="70" t="n">
        <f aca="false">V81-(AV81+AW81)/1000000</f>
        <v>77.5926140981576</v>
      </c>
      <c r="AY81" s="49" t="n">
        <f aca="false">L81*gw_union</f>
        <v>171622.590823574</v>
      </c>
      <c r="AZ81" s="48" t="n">
        <v>1.059</v>
      </c>
      <c r="BA81" s="49" t="n">
        <f aca="false">Economy!Q81*AZ81/lf_rate</f>
        <v>1623.8</v>
      </c>
      <c r="BB81" s="67" t="n">
        <f aca="false">bd_growth*AU80/W80</f>
        <v>0.00218484189626402</v>
      </c>
      <c r="BC81" s="67" t="n">
        <f aca="false">tg_k*MIN(1,Economy!O80/BK80)</f>
        <v>0.00256560097067528</v>
      </c>
      <c r="BD81" s="67" t="n">
        <f aca="false">emu_g*S81</f>
        <v>0.0015</v>
      </c>
      <c r="BE81" s="68" t="n">
        <f aca="false">BE80*(1-BB81-BC81+BD81)</f>
        <v>0.878257383959214</v>
      </c>
      <c r="BF81" s="48" t="n">
        <v>1</v>
      </c>
      <c r="BG81" s="56" t="n">
        <f aca="false">AU81*BA81*BE81*(skill_rel-1+skill_spill)/1000000</f>
        <v>566.693392579207</v>
      </c>
      <c r="BH81" s="56" t="n">
        <f aca="false">union_disp*(Champions!AP81+Champions!AZ81)*(1-IF(union_resp=2,mkt_cut*S81,0))</f>
        <v>502.938487847439</v>
      </c>
      <c r="BI81" s="56" t="n">
        <f aca="false">AY81*BA81*BE81/1000000</f>
        <v>244.753437853975</v>
      </c>
      <c r="BJ81" s="49" t="n">
        <f aca="false">V81*Economy!Q81*AZ81</f>
        <v>56585.20812</v>
      </c>
      <c r="BK81" s="49" t="n">
        <f aca="false">MAX(0.3*BJ81,AX81*Economy!Q81*AZ81*BE81*BF81-BG81-BH81-BI81)</f>
        <v>45161.1093343543</v>
      </c>
      <c r="BL81" s="66" t="n">
        <f aca="false">1-BK81/BJ81</f>
        <v>0.201891963734032</v>
      </c>
      <c r="BM81" s="49" t="n">
        <f aca="false">MAX(0,BH81-BH80)*1000000/BA81</f>
        <v>0</v>
      </c>
      <c r="BN81" s="49" t="n">
        <f aca="false">BN80*(1-IF(AND($A81&gt;=1930,$A81&lt;=1932),0,union_reabsorb))+BM81</f>
        <v>74959.0016393102</v>
      </c>
      <c r="BO81" s="62" t="n">
        <v>0.117</v>
      </c>
      <c r="BP81" s="66" t="n">
        <f aca="false">BO81+BN81/(AX81*1000000*lf_rate)</f>
        <v>0.119300139201408</v>
      </c>
    </row>
    <row r="82" customFormat="false" ht="14.25" hidden="false" customHeight="true" outlineLevel="0" collapsed="false">
      <c r="A82" s="64" t="n">
        <v>1922</v>
      </c>
      <c r="B82" s="49" t="n">
        <f aca="false">Economy!B82*lf_rate</f>
        <v>10894221.0228097</v>
      </c>
      <c r="C82" s="49" t="n">
        <f aca="false">Economy!O82*1000000/(B82+L82)</f>
        <v>3680.91385087381</v>
      </c>
      <c r="D82" s="49" t="n">
        <f aca="false">Champions!AP82*1000000/(C82*champ_prem)</f>
        <v>327459.422900022</v>
      </c>
      <c r="E82" s="49" t="n">
        <f aca="false">D82*job_mult</f>
        <v>229221.596030015</v>
      </c>
      <c r="F82" s="49" t="n">
        <f aca="false">D82+E82</f>
        <v>556681.018930037</v>
      </c>
      <c r="G82" s="66" t="n">
        <f aca="false">F82/B82</f>
        <v>0.0510987447165329</v>
      </c>
      <c r="H82" s="49" t="n">
        <f aca="false">F82-F81</f>
        <v>89851.1522568222</v>
      </c>
      <c r="I82" s="66" t="n">
        <f aca="false">MAX(0.005,pac_u_base*IF(Paths!AC82=1,pac_u_war,1)+(okun*(1-Economy!G82)*(B82+L82)-MAX(0,L81-L82))/B82)</f>
        <v>0.0252286645053837</v>
      </c>
      <c r="J82" s="49" t="n">
        <f aca="false">IF(AND(gw_on=1,$A82&gt;=gw_start),MIN(gw_cap*B81,gw_cover*F81+gw_gen*B81),0)</f>
        <v>1120561.35910236</v>
      </c>
      <c r="K82" s="49" t="n">
        <f aca="false">L81*gw_conv</f>
        <v>25743.3886235361</v>
      </c>
      <c r="L82" s="49" t="n">
        <f aca="false">MAX(0,L81-K82+gw_adj*(J82-L81))*MAX(0,1-gw_slump*(1-Economy!G82))</f>
        <v>892356.178968701</v>
      </c>
      <c r="M82" s="49" t="n">
        <f aca="false">MAX(0,L82-L81+L81/gw_term)</f>
        <v>320280.876223453</v>
      </c>
      <c r="N82" s="66" t="n">
        <f aca="false">L82/B82</f>
        <v>0.0819109670255761</v>
      </c>
      <c r="O82" s="56" t="n">
        <f aca="false">Economy!L82</f>
        <v>1949.51058799275</v>
      </c>
      <c r="P82" s="56" t="n">
        <f aca="false">O82*gw_wage_share</f>
        <v>1267.18188219529</v>
      </c>
      <c r="Q82" s="56" t="n">
        <f aca="false">P82*gw_levy</f>
        <v>316.795470548822</v>
      </c>
      <c r="R82" s="56" t="n">
        <f aca="false">P82*gw_remit</f>
        <v>316.795470548822</v>
      </c>
      <c r="S82" s="66" t="n">
        <f aca="false">IF(union_resp&gt;=1,MIN(1,MAX(0,($A82-resp_start)/(resp_full-resp_start))),0)</f>
        <v>1</v>
      </c>
      <c r="T82" s="70" t="n">
        <f aca="false">Economy!R81</f>
        <v>2.51568515652413</v>
      </c>
      <c r="U82" s="70" t="n">
        <f aca="false">MAX(0,T82-gap_base)</f>
        <v>1.01568515652413</v>
      </c>
      <c r="V82" s="71" t="n">
        <v>83.93</v>
      </c>
      <c r="W82" s="49" t="n">
        <f aca="false">V82*1000000*lf_rate*union_skill_share</f>
        <v>4230072</v>
      </c>
      <c r="X82" s="47" t="n">
        <v>170000</v>
      </c>
      <c r="Y82" s="49" t="n">
        <f aca="false">IF(AND(mig_endo=1,$A82&gt;=talent_start),talent_rate_u*W82*U82*(1-(1-bd_keep)*S82),0)</f>
        <v>14307.0830669564</v>
      </c>
      <c r="Z82" s="49" t="n">
        <f aca="false">IF(AND(mig_endo=1,$A82&gt;=talent_start),X82*MIN(0.5,talent_share_o*U82)*(1-eu_comp*S82),0)</f>
        <v>32633.9640791203</v>
      </c>
      <c r="AA82" s="47" t="n">
        <v>89000</v>
      </c>
      <c r="AB82" s="49" t="n">
        <f aca="false">IF(AND(mig_endo=1,$A82&gt;=talent_start),AA82*MIN(0.5,talent_share_a*U82),0)</f>
        <v>18079.1957861295</v>
      </c>
      <c r="AC82" s="49" t="n">
        <f aca="false">entry_cap*People!B82</f>
        <v>76423.0359424849</v>
      </c>
      <c r="AD82" s="49" t="n">
        <f aca="false">MIN(AC82,Y82+Z82+AB82)</f>
        <v>65020.2429322062</v>
      </c>
      <c r="AE82" s="49" t="n">
        <f aca="false">IF(Y82+Z82+AB82&gt;0,AD82*Y82/(Y82+Z82+AB82),0)</f>
        <v>14307.0830669564</v>
      </c>
      <c r="AF82" s="49" t="n">
        <f aca="false">IF(Y82+Z82+AB82&gt;0,AD82*AB82/(Y82+Z82+AB82),0)</f>
        <v>18079.1957861295</v>
      </c>
      <c r="AG82" s="49" t="n">
        <f aca="false">AD82*family_mult</f>
        <v>143044.534450854</v>
      </c>
      <c r="AH82" s="49" t="n">
        <f aca="false">AH81*(1+Paths!C82)+AG82</f>
        <v>4271033.66789163</v>
      </c>
      <c r="AI82" s="49" t="n">
        <f aca="false">IF(AND(mig_endo=1,$A82&gt;=talent_start),chain_rate*AH81,0)</f>
        <v>60834.4291173008</v>
      </c>
      <c r="AJ82" s="49" t="n">
        <f aca="false">IF(AND(mig_endo=1,$A82&gt;=talent_start),IF(H81&gt;0,H81*job_fill,H81*job_return)*job_family,0)</f>
        <v>34822.005251295</v>
      </c>
      <c r="AK82" s="49" t="n">
        <f aca="false">K82*gw_conv_family</f>
        <v>46338.099522365</v>
      </c>
      <c r="AL82" s="49" t="n">
        <f aca="false">AG82+AI82+AJ82+AK82+AR82</f>
        <v>328439.068341815</v>
      </c>
      <c r="AM82" s="49" t="n">
        <f aca="false">AM81*(1-skill_ret)+AD82</f>
        <v>856727.269365172</v>
      </c>
      <c r="AN82" s="67" t="n">
        <f aca="false">AM82/B82</f>
        <v>0.0786405257954109</v>
      </c>
      <c r="AO82" s="67" t="n">
        <f aca="false">(skill_rel-1+skill_spill)*AM81/B81-AT82</f>
        <v>0.0855971741439634</v>
      </c>
      <c r="AP82" s="67" t="n">
        <f aca="false">talent_champ*AM81/(skill_base_share*B81)</f>
        <v>0.154582754004187</v>
      </c>
      <c r="AQ82" s="47" t="n">
        <v>310000</v>
      </c>
      <c r="AR82" s="49" t="n">
        <f aca="false">IF(AND(div_on=1,$A82&gt;=div_start),AQ82*MIN(div_max,div_rate*U82)*(1-div_comp*S82),0)</f>
        <v>43400</v>
      </c>
      <c r="AS82" s="49" t="n">
        <f aca="false">AS81*(1-div_assim)+AR82</f>
        <v>1457933.50257596</v>
      </c>
      <c r="AT82" s="67" t="n">
        <f aca="false">(1-div_rel)*AS81/Economy!B81</f>
        <v>0.0148816159587583</v>
      </c>
      <c r="AU82" s="49" t="n">
        <f aca="false">AU81*(1-skill_ret)+AE82</f>
        <v>312333.708626768</v>
      </c>
      <c r="AV82" s="49" t="n">
        <f aca="false">AV81*(1+union_nat)+AR82</f>
        <v>3868904.80425714</v>
      </c>
      <c r="AW82" s="49" t="n">
        <f aca="false">AW81*(1+union_nat)+AE82*family_mult</f>
        <v>1653262.69705652</v>
      </c>
      <c r="AX82" s="70" t="n">
        <f aca="false">V82-(AV82+AW82)/1000000</f>
        <v>78.4078324986864</v>
      </c>
      <c r="AY82" s="49" t="n">
        <f aca="false">L82*gw_union</f>
        <v>178471.23579374</v>
      </c>
      <c r="AZ82" s="48" t="n">
        <v>1.06</v>
      </c>
      <c r="BA82" s="49" t="n">
        <f aca="false">Economy!Q82*AZ82/lf_rate</f>
        <v>1716.19047619048</v>
      </c>
      <c r="BB82" s="67" t="n">
        <f aca="false">bd_growth*AU81/W81</f>
        <v>0.00219290631372426</v>
      </c>
      <c r="BC82" s="67" t="n">
        <f aca="false">tg_k*MIN(1,Economy!O81/BK81)</f>
        <v>0.00278437181555466</v>
      </c>
      <c r="BD82" s="67" t="n">
        <f aca="false">emu_g*S82</f>
        <v>0.0015</v>
      </c>
      <c r="BE82" s="68" t="n">
        <f aca="false">BE81*(1-BB82-BC82+BD82)</f>
        <v>0.875203438766095</v>
      </c>
      <c r="BF82" s="48" t="n">
        <v>1</v>
      </c>
      <c r="BG82" s="56" t="n">
        <f aca="false">AU82*BA82*BE82*(skill_rel-1+skill_spill)/1000000</f>
        <v>609.869217373064</v>
      </c>
      <c r="BH82" s="56" t="n">
        <f aca="false">union_disp*(Champions!AP82+Champions!AZ82)*(1-IF(union_resp=2,mkt_cut*S82,0))</f>
        <v>586.971823241944</v>
      </c>
      <c r="BI82" s="56" t="n">
        <f aca="false">AY82*BA82*BE82/1000000</f>
        <v>268.066617139146</v>
      </c>
      <c r="BJ82" s="49" t="n">
        <f aca="false">V82*Economy!Q82*AZ82</f>
        <v>60496.744</v>
      </c>
      <c r="BK82" s="49" t="n">
        <f aca="false">MAX(0.3*BJ82,AX82*Economy!Q82*AZ82*BE82*BF82-BG82-BH82-BI82)</f>
        <v>47998.4099188624</v>
      </c>
      <c r="BL82" s="66" t="n">
        <f aca="false">1-BK82/BJ82</f>
        <v>0.206595152974475</v>
      </c>
      <c r="BM82" s="49" t="n">
        <f aca="false">MAX(0,BH82-BH81)*1000000/BA82</f>
        <v>48965.0400467426</v>
      </c>
      <c r="BN82" s="49" t="n">
        <f aca="false">BN81*(1-IF(AND($A82&gt;=1930,$A82&lt;=1932),0,union_reabsorb))+BM82</f>
        <v>105184.291276225</v>
      </c>
      <c r="BO82" s="62" t="n">
        <v>0.067</v>
      </c>
      <c r="BP82" s="66" t="n">
        <f aca="false">BO82+BN82/(AX82*1000000*lf_rate)</f>
        <v>0.0701940532058084</v>
      </c>
    </row>
    <row r="83" customFormat="false" ht="14.25" hidden="false" customHeight="true" outlineLevel="0" collapsed="false">
      <c r="A83" s="61" t="n">
        <v>1923</v>
      </c>
      <c r="B83" s="49" t="n">
        <f aca="false">Economy!B83*lf_rate</f>
        <v>11293684.7322356</v>
      </c>
      <c r="C83" s="49" t="n">
        <f aca="false">Economy!O83*1000000/(B83+L83)</f>
        <v>3986.364440982</v>
      </c>
      <c r="D83" s="49" t="n">
        <f aca="false">Champions!AP83*1000000/(C83*champ_prem)</f>
        <v>353722.599711301</v>
      </c>
      <c r="E83" s="49" t="n">
        <f aca="false">D83*job_mult</f>
        <v>247605.81979791</v>
      </c>
      <c r="F83" s="49" t="n">
        <f aca="false">D83+E83</f>
        <v>601328.419509211</v>
      </c>
      <c r="G83" s="66" t="n">
        <f aca="false">F83/B83</f>
        <v>0.0532446613984928</v>
      </c>
      <c r="H83" s="49" t="n">
        <f aca="false">F83-F82</f>
        <v>44647.4005791738</v>
      </c>
      <c r="I83" s="66" t="n">
        <f aca="false">MAX(0.005,pac_u_base*IF(Paths!AC83=1,pac_u_war,1)+(okun*(1-Economy!G83)*(B83+L83)-MAX(0,L82-L83))/B83)</f>
        <v>0.015</v>
      </c>
      <c r="J83" s="49" t="n">
        <f aca="false">IF(AND(gw_on=1,$A83&gt;=gw_start),MIN(gw_cap*B82,gw_cover*F82+gw_gen*B82),0)</f>
        <v>1205546.2931828</v>
      </c>
      <c r="K83" s="49" t="n">
        <f aca="false">L82*gw_conv</f>
        <v>26770.685369061</v>
      </c>
      <c r="L83" s="49" t="n">
        <f aca="false">MAX(0,L82-K83+gw_adj*(J83-L82))*MAX(0,1-gw_slump*(1-Economy!G83))</f>
        <v>990861.539285278</v>
      </c>
      <c r="M83" s="49" t="n">
        <f aca="false">MAX(0,L83-L82+L82/gw_term)</f>
        <v>395957.419972811</v>
      </c>
      <c r="N83" s="66" t="n">
        <f aca="false">L83/B83</f>
        <v>0.0877358951288112</v>
      </c>
      <c r="O83" s="56" t="n">
        <f aca="false">Economy!L83</f>
        <v>2345.08665802141</v>
      </c>
      <c r="P83" s="56" t="n">
        <f aca="false">O83*gw_wage_share</f>
        <v>1524.30632771392</v>
      </c>
      <c r="Q83" s="56" t="n">
        <f aca="false">P83*gw_levy</f>
        <v>381.076581928479</v>
      </c>
      <c r="R83" s="56" t="n">
        <f aca="false">P83*gw_remit</f>
        <v>381.076581928479</v>
      </c>
      <c r="S83" s="66" t="n">
        <f aca="false">IF(union_resp&gt;=1,MIN(1,MAX(0,($A83-resp_start)/(resp_full-resp_start))),0)</f>
        <v>1</v>
      </c>
      <c r="T83" s="70" t="n">
        <f aca="false">Economy!R82</f>
        <v>2.37792387848927</v>
      </c>
      <c r="U83" s="70" t="n">
        <f aca="false">MAX(0,T83-gap_base)</f>
        <v>0.877923878489273</v>
      </c>
      <c r="V83" s="71" t="n">
        <v>84.9</v>
      </c>
      <c r="W83" s="49" t="n">
        <f aca="false">V83*1000000*lf_rate*union_skill_share</f>
        <v>4278960</v>
      </c>
      <c r="X83" s="47" t="n">
        <v>160000</v>
      </c>
      <c r="Y83" s="49" t="n">
        <f aca="false">IF(AND(mig_endo=1,$A83&gt;=talent_start),talent_rate_u*W83*U83*(1-(1-bd_keep)*S83),0)</f>
        <v>12509.4818598045</v>
      </c>
      <c r="Z83" s="49" t="n">
        <f aca="false">IF(AND(mig_endo=1,$A83&gt;=talent_start),X83*MIN(0.5,talent_share_o*U83)*(1-eu_comp*S83),0)</f>
        <v>26548.4180855156</v>
      </c>
      <c r="AA83" s="47" t="n">
        <v>93000</v>
      </c>
      <c r="AB83" s="49" t="n">
        <f aca="false">IF(AND(mig_endo=1,$A83&gt;=talent_start),AA83*MIN(0.5,talent_share_a*U83),0)</f>
        <v>16329.3841399005</v>
      </c>
      <c r="AC83" s="49" t="n">
        <f aca="false">entry_cap*People!B83</f>
        <v>79208.6929547961</v>
      </c>
      <c r="AD83" s="49" t="n">
        <f aca="false">MIN(AC83,Y83+Z83+AB83)</f>
        <v>55387.2840852206</v>
      </c>
      <c r="AE83" s="49" t="n">
        <f aca="false">IF(Y83+Z83+AB83&gt;0,AD83*Y83/(Y83+Z83+AB83),0)</f>
        <v>12509.4818598045</v>
      </c>
      <c r="AF83" s="49" t="n">
        <f aca="false">IF(Y83+Z83+AB83&gt;0,AD83*AB83/(Y83+Z83+AB83),0)</f>
        <v>16329.3841399005</v>
      </c>
      <c r="AG83" s="49" t="n">
        <f aca="false">AD83*family_mult</f>
        <v>121852.024987485</v>
      </c>
      <c r="AH83" s="49" t="n">
        <f aca="false">AH82*(1+Paths!C83)+AG83</f>
        <v>4468371.94192543</v>
      </c>
      <c r="AI83" s="49" t="n">
        <f aca="false">IF(AND(mig_endo=1,$A83&gt;=talent_start),chain_rate*AH82,0)</f>
        <v>64065.5050183745</v>
      </c>
      <c r="AJ83" s="49" t="n">
        <f aca="false">IF(AND(mig_endo=1,$A83&gt;=talent_start),IF(H82&gt;0,H82*job_fill,H82*job_return)*job_family,0)</f>
        <v>56606.225921798</v>
      </c>
      <c r="AK83" s="49" t="n">
        <f aca="false">K83*gw_conv_family</f>
        <v>48187.2336643098</v>
      </c>
      <c r="AL83" s="49" t="n">
        <f aca="false">AG83+AI83+AJ83+AK83+AR83</f>
        <v>361410.989591968</v>
      </c>
      <c r="AM83" s="49" t="n">
        <f aca="false">AM82*(1-skill_ret)+AD83</f>
        <v>890696.371716263</v>
      </c>
      <c r="AN83" s="67" t="n">
        <f aca="false">AM83/B83</f>
        <v>0.0788667642876507</v>
      </c>
      <c r="AO83" s="67" t="n">
        <f aca="false">(skill_rel-1+skill_spill)*AM82/B82-AT83</f>
        <v>0.0881809199935332</v>
      </c>
      <c r="AP83" s="67" t="n">
        <f aca="false">talent_champ*AM82/(skill_base_share*B82)</f>
        <v>0.157281051590822</v>
      </c>
      <c r="AQ83" s="47" t="n">
        <v>505000</v>
      </c>
      <c r="AR83" s="49" t="n">
        <f aca="false">IF(AND(div_on=1,$A83&gt;=div_start),AQ83*MIN(div_max,div_rate*U83)*(1-div_comp*S83),0)</f>
        <v>70700</v>
      </c>
      <c r="AS83" s="49" t="n">
        <f aca="false">AS82*(1-div_assim)+AR83</f>
        <v>1455736.82744716</v>
      </c>
      <c r="AT83" s="67" t="n">
        <f aca="false">(1-div_rel)*AS82/Economy!B82</f>
        <v>0.014051763540501</v>
      </c>
      <c r="AU83" s="49" t="n">
        <f aca="false">AU82*(1-skill_ret)+AE83</f>
        <v>317034.847770903</v>
      </c>
      <c r="AV83" s="49" t="n">
        <f aca="false">AV82*(1+union_nat)+AR83</f>
        <v>3989900.56671248</v>
      </c>
      <c r="AW83" s="49" t="n">
        <f aca="false">AW82*(1+union_nat)+AE83*family_mult</f>
        <v>1702275.97220983</v>
      </c>
      <c r="AX83" s="70" t="n">
        <f aca="false">V83-(AV83+AW83)/1000000</f>
        <v>79.2078234610777</v>
      </c>
      <c r="AY83" s="49" t="n">
        <f aca="false">L83*gw_union</f>
        <v>198172.307857056</v>
      </c>
      <c r="AZ83" s="48" t="n">
        <v>1.061</v>
      </c>
      <c r="BA83" s="49" t="n">
        <f aca="false">Economy!Q83*AZ83/lf_rate</f>
        <v>1945.16666666667</v>
      </c>
      <c r="BB83" s="67" t="n">
        <f aca="false">bd_growth*AU82/W82</f>
        <v>0.00221509498155186</v>
      </c>
      <c r="BC83" s="67" t="n">
        <f aca="false">tg_k*MIN(1,Economy!O82/BK82)</f>
        <v>0.00271167578362028</v>
      </c>
      <c r="BD83" s="67" t="n">
        <f aca="false">emu_g*S83</f>
        <v>0.0015</v>
      </c>
      <c r="BE83" s="68" t="n">
        <f aca="false">BE82*(1-BB83-BC83+BD83)</f>
        <v>0.872204317208553</v>
      </c>
      <c r="BF83" s="48" t="n">
        <v>1</v>
      </c>
      <c r="BG83" s="56" t="n">
        <f aca="false">AU83*BA83*BE83*(skill_rel-1+skill_spill)/1000000</f>
        <v>699.23861595719</v>
      </c>
      <c r="BH83" s="56" t="n">
        <f aca="false">union_disp*(Champions!AP83+Champions!AZ83)*(1-IF(union_resp=2,mkt_cut*S83,0))</f>
        <v>675.799111204934</v>
      </c>
      <c r="BI83" s="56" t="n">
        <f aca="false">AY83*BA83*BE83/1000000</f>
        <v>336.215721883097</v>
      </c>
      <c r="BJ83" s="49" t="n">
        <f aca="false">V83*Economy!Q83*AZ83</f>
        <v>69360.753</v>
      </c>
      <c r="BK83" s="49" t="n">
        <f aca="false">MAX(0.3*BJ83,AX83*Economy!Q83*AZ83*BE83*BF83-BG83-BH83-BI83)</f>
        <v>54729.4503471939</v>
      </c>
      <c r="BL83" s="66" t="n">
        <f aca="false">1-BK83/BJ83</f>
        <v>0.210944979977454</v>
      </c>
      <c r="BM83" s="49" t="n">
        <f aca="false">MAX(0,BH83-BH82)*1000000/BA83</f>
        <v>45665.6437133017</v>
      </c>
      <c r="BN83" s="49" t="n">
        <f aca="false">BN82*(1-IF(AND($A83&gt;=1930,$A83&lt;=1932),0,union_reabsorb))+BM83</f>
        <v>124553.862170471</v>
      </c>
      <c r="BO83" s="62" t="n">
        <v>0.024</v>
      </c>
      <c r="BP83" s="66" t="n">
        <f aca="false">BO83+BN83/(AX83*1000000*lf_rate)</f>
        <v>0.0277440343861654</v>
      </c>
    </row>
    <row r="84" customFormat="false" ht="14.25" hidden="false" customHeight="true" outlineLevel="0" collapsed="false">
      <c r="A84" s="61" t="n">
        <v>1924</v>
      </c>
      <c r="B84" s="49" t="n">
        <f aca="false">Economy!B84*lf_rate</f>
        <v>11704427.7390875</v>
      </c>
      <c r="C84" s="49" t="n">
        <f aca="false">Economy!O84*1000000/(B84+L84)</f>
        <v>4090.82933128408</v>
      </c>
      <c r="D84" s="49" t="n">
        <f aca="false">Champions!AP84*1000000/(C84*champ_prem)</f>
        <v>384870.293709381</v>
      </c>
      <c r="E84" s="49" t="n">
        <f aca="false">D84*job_mult</f>
        <v>269409.205596567</v>
      </c>
      <c r="F84" s="49" t="n">
        <f aca="false">D84+E84</f>
        <v>654279.499305948</v>
      </c>
      <c r="G84" s="66" t="n">
        <f aca="false">F84/B84</f>
        <v>0.0559001699092858</v>
      </c>
      <c r="H84" s="49" t="n">
        <f aca="false">F84-F83</f>
        <v>52951.0797967364</v>
      </c>
      <c r="I84" s="66" t="n">
        <f aca="false">MAX(0.005,pac_u_base*IF(Paths!AC84=1,pac_u_war,1)+(okun*(1-Economy!G84)*(B84+L84)-MAX(0,L83-L84))/B84)</f>
        <v>0.015</v>
      </c>
      <c r="J84" s="49" t="n">
        <f aca="false">IF(AND(gw_on=1,$A84&gt;=gw_start),MIN(gw_cap*B83,gw_cover*F83+gw_gen*B83),0)</f>
        <v>1264291.83028437</v>
      </c>
      <c r="K84" s="49" t="n">
        <f aca="false">L83*gw_conv</f>
        <v>29725.8461785583</v>
      </c>
      <c r="L84" s="49" t="n">
        <f aca="false">MAX(0,L83-K84+gw_adj*(J84-L83))*MAX(0,1-gw_slump*(1-Economy!G84))</f>
        <v>1070507.80950636</v>
      </c>
      <c r="M84" s="49" t="n">
        <f aca="false">MAX(0,L84-L83+L83/gw_term)</f>
        <v>409933.449982839</v>
      </c>
      <c r="N84" s="66" t="n">
        <f aca="false">L84/B84</f>
        <v>0.0914617812480782</v>
      </c>
      <c r="O84" s="56" t="n">
        <f aca="false">Economy!L84</f>
        <v>2597.34830655981</v>
      </c>
      <c r="P84" s="56" t="n">
        <f aca="false">O84*gw_wage_share</f>
        <v>1688.27639926388</v>
      </c>
      <c r="Q84" s="56" t="n">
        <f aca="false">P84*gw_levy</f>
        <v>422.06909981597</v>
      </c>
      <c r="R84" s="56" t="n">
        <f aca="false">P84*gw_remit</f>
        <v>422.06909981597</v>
      </c>
      <c r="S84" s="66" t="n">
        <f aca="false">IF(union_resp&gt;=1,MIN(1,MAX(0,($A84-resp_start)/(resp_full-resp_start))),0)</f>
        <v>1</v>
      </c>
      <c r="T84" s="70" t="n">
        <f aca="false">Economy!R83</f>
        <v>2.28109556895092</v>
      </c>
      <c r="U84" s="70" t="n">
        <f aca="false">MAX(0,T84-gap_base)</f>
        <v>0.781095568950919</v>
      </c>
      <c r="V84" s="71" t="n">
        <v>85.87</v>
      </c>
      <c r="W84" s="49" t="n">
        <f aca="false">V84*1000000*lf_rate*union_skill_share</f>
        <v>4327848</v>
      </c>
      <c r="X84" s="47" t="n">
        <v>153000</v>
      </c>
      <c r="Y84" s="49" t="n">
        <f aca="false">IF(AND(mig_endo=1,$A84&gt;=talent_start),talent_rate_u*W84*U84*(1-(1-bd_keep)*S84),0)</f>
        <v>11256.941443324</v>
      </c>
      <c r="Z84" s="49" t="n">
        <f aca="false">IF(AND(mig_endo=1,$A84&gt;=talent_start),X84*MIN(0.5,talent_share_o*U84)*(1-eu_comp*S84),0)</f>
        <v>22586.9405673537</v>
      </c>
      <c r="AA84" s="47" t="n">
        <v>98000</v>
      </c>
      <c r="AB84" s="49" t="n">
        <f aca="false">IF(AND(mig_endo=1,$A84&gt;=talent_start),AA84*MIN(0.5,talent_share_a*U84),0)</f>
        <v>15309.473151438</v>
      </c>
      <c r="AC84" s="49" t="n">
        <f aca="false">entry_cap*People!B84</f>
        <v>82129.6603628551</v>
      </c>
      <c r="AD84" s="49" t="n">
        <f aca="false">MIN(AC84,Y84+Z84+AB84)</f>
        <v>49153.3551621157</v>
      </c>
      <c r="AE84" s="49" t="n">
        <f aca="false">IF(Y84+Z84+AB84&gt;0,AD84*Y84/(Y84+Z84+AB84),0)</f>
        <v>11256.941443324</v>
      </c>
      <c r="AF84" s="49" t="n">
        <f aca="false">IF(Y84+Z84+AB84&gt;0,AD84*AB84/(Y84+Z84+AB84),0)</f>
        <v>15309.473151438</v>
      </c>
      <c r="AG84" s="49" t="n">
        <f aca="false">AD84*family_mult</f>
        <v>108137.381356655</v>
      </c>
      <c r="AH84" s="49" t="n">
        <f aca="false">AH83*(1+Paths!C84)+AG84</f>
        <v>4655536.94944698</v>
      </c>
      <c r="AI84" s="49" t="n">
        <f aca="false">IF(AND(mig_endo=1,$A84&gt;=talent_start),chain_rate*AH83,0)</f>
        <v>67025.5791288815</v>
      </c>
      <c r="AJ84" s="49" t="n">
        <f aca="false">IF(AND(mig_endo=1,$A84&gt;=talent_start),IF(H83&gt;0,H83*job_fill,H83*job_return)*job_family,0)</f>
        <v>28127.8623648795</v>
      </c>
      <c r="AK84" s="49" t="n">
        <f aca="false">K84*gw_conv_family</f>
        <v>53506.523121405</v>
      </c>
      <c r="AL84" s="49" t="n">
        <f aca="false">AG84+AI84+AJ84+AK84+AR84</f>
        <v>352481.553168308</v>
      </c>
      <c r="AM84" s="49" t="n">
        <f aca="false">AM83*(1-skill_ret)+AD84</f>
        <v>917582.317585472</v>
      </c>
      <c r="AN84" s="67" t="n">
        <f aca="false">AM84/B84</f>
        <v>0.078396170922664</v>
      </c>
      <c r="AO84" s="67" t="n">
        <f aca="false">(skill_rel-1+skill_spill)*AM83/B83-AT84</f>
        <v>0.0889924714721729</v>
      </c>
      <c r="AP84" s="67" t="n">
        <f aca="false">talent_champ*AM83/(skill_base_share*B83)</f>
        <v>0.157733528575301</v>
      </c>
      <c r="AQ84" s="47" t="n">
        <v>700000</v>
      </c>
      <c r="AR84" s="49" t="n">
        <f aca="false">IF(AND(div_on=1,$A84&gt;=div_start),AQ84*MIN(div_max,div_rate*U84)*(1-div_comp*S84),0)</f>
        <v>95684.2071964875</v>
      </c>
      <c r="AS84" s="49" t="n">
        <f aca="false">AS83*(1-div_assim)+AR84</f>
        <v>1478634.19327129</v>
      </c>
      <c r="AT84" s="67" t="n">
        <f aca="false">(1-div_rel)*AS83/Economy!B83</f>
        <v>0.013534322101773</v>
      </c>
      <c r="AU84" s="49" t="n">
        <f aca="false">AU83*(1-skill_ret)+AE84</f>
        <v>320365.918019955</v>
      </c>
      <c r="AV84" s="49" t="n">
        <f aca="false">AV83*(1+union_nat)+AR84</f>
        <v>4137453.48127623</v>
      </c>
      <c r="AW84" s="49" t="n">
        <f aca="false">AW83*(1+union_nat)+AE84*family_mult</f>
        <v>1749170.83102387</v>
      </c>
      <c r="AX84" s="70" t="n">
        <f aca="false">V84-(AV84+AW84)/1000000</f>
        <v>79.9833756876999</v>
      </c>
      <c r="AY84" s="49" t="n">
        <f aca="false">L84*gw_union</f>
        <v>214101.561901272</v>
      </c>
      <c r="AZ84" s="48" t="n">
        <v>1.062</v>
      </c>
      <c r="BA84" s="49" t="n">
        <f aca="false">Economy!Q84*AZ84/lf_rate</f>
        <v>1921.71428571429</v>
      </c>
      <c r="BB84" s="67" t="n">
        <f aca="false">bd_growth*AU83/W83</f>
        <v>0.00222274698364254</v>
      </c>
      <c r="BC84" s="67" t="n">
        <f aca="false">tg_k*MIN(1,Economy!O83/BK83)</f>
        <v>0.00268433237240978</v>
      </c>
      <c r="BD84" s="67" t="n">
        <f aca="false">emu_g*S84</f>
        <v>0.0015</v>
      </c>
      <c r="BE84" s="68" t="n">
        <f aca="false">BE83*(1-BB84-BC84+BD84)</f>
        <v>0.869232647885132</v>
      </c>
      <c r="BF84" s="48" t="n">
        <v>1</v>
      </c>
      <c r="BG84" s="56" t="n">
        <f aca="false">AU84*BA84*BE84*(skill_rel-1+skill_spill)/1000000</f>
        <v>695.687993861786</v>
      </c>
      <c r="BH84" s="56" t="n">
        <f aca="false">union_disp*(Champions!AP84+Champions!AZ84)*(1-IF(union_resp=2,mkt_cut*S84,0))</f>
        <v>748.688176701726</v>
      </c>
      <c r="BI84" s="56" t="n">
        <f aca="false">AY84*BA84*BE84/1000000</f>
        <v>357.638845274549</v>
      </c>
      <c r="BJ84" s="49" t="n">
        <f aca="false">V84*Economy!Q84*AZ84</f>
        <v>69307.3944</v>
      </c>
      <c r="BK84" s="49" t="n">
        <f aca="false">MAX(0.3*BJ84,AX84*Economy!Q84*AZ84*BE84*BF84-BG84-BH84-BI84)</f>
        <v>54312.3261622335</v>
      </c>
      <c r="BL84" s="66" t="n">
        <f aca="false">1-BK84/BJ84</f>
        <v>0.216355965587512</v>
      </c>
      <c r="BM84" s="49" t="n">
        <f aca="false">MAX(0,BH84-BH83)*1000000/BA84</f>
        <v>37929.18959839</v>
      </c>
      <c r="BN84" s="49" t="n">
        <f aca="false">BN83*(1-IF(AND($A84&gt;=1930,$A84&lt;=1932),0,union_reabsorb))+BM84</f>
        <v>131344.586226243</v>
      </c>
      <c r="BO84" s="62" t="n">
        <v>0.028</v>
      </c>
      <c r="BP84" s="66" t="n">
        <f aca="false">BO84+BN84/(AX84*1000000*lf_rate)</f>
        <v>0.0319098775540762</v>
      </c>
    </row>
    <row r="85" customFormat="false" ht="14.25" hidden="false" customHeight="true" outlineLevel="0" collapsed="false">
      <c r="A85" s="61" t="n">
        <v>1925</v>
      </c>
      <c r="B85" s="49" t="n">
        <f aca="false">Economy!B85*lf_rate</f>
        <v>12114351.433837</v>
      </c>
      <c r="C85" s="49" t="n">
        <f aca="false">Economy!O85*1000000/(B85+L85)</f>
        <v>4261.7362346513</v>
      </c>
      <c r="D85" s="49" t="n">
        <f aca="false">Champions!AP85*1000000/(C85*champ_prem)</f>
        <v>401887.117561347</v>
      </c>
      <c r="E85" s="49" t="n">
        <f aca="false">D85*job_mult</f>
        <v>281320.982292943</v>
      </c>
      <c r="F85" s="49" t="n">
        <f aca="false">D85+E85</f>
        <v>683208.099854289</v>
      </c>
      <c r="G85" s="66" t="n">
        <f aca="false">F85/B85</f>
        <v>0.0563965890857351</v>
      </c>
      <c r="H85" s="49" t="n">
        <f aca="false">F85-F84</f>
        <v>28928.600548342</v>
      </c>
      <c r="I85" s="66" t="n">
        <f aca="false">MAX(0.005,pac_u_base*IF(Paths!AC85=1,pac_u_war,1)+(okun*(1-Economy!G85)*(B85+L85)-MAX(0,L84-L85))/B85)</f>
        <v>0.015</v>
      </c>
      <c r="J85" s="49" t="n">
        <f aca="false">IF(AND(gw_on=1,$A85&gt;=gw_start),MIN(gw_cap*B84,gw_cover*F84+gw_gen*B84),0)</f>
        <v>1328921.91871057</v>
      </c>
      <c r="K85" s="49" t="n">
        <f aca="false">L84*gw_conv</f>
        <v>32115.2342851907</v>
      </c>
      <c r="L85" s="49" t="n">
        <f aca="false">MAX(0,L84-K85+gw_adj*(J85-L84))*MAX(0,1-gw_slump*(1-Economy!G85))</f>
        <v>1141758.21890285</v>
      </c>
      <c r="M85" s="49" t="n">
        <f aca="false">MAX(0,L85-L84+L84/gw_term)</f>
        <v>428086.345898612</v>
      </c>
      <c r="N85" s="66" t="n">
        <f aca="false">L85/B85</f>
        <v>0.0942483982851753</v>
      </c>
      <c r="O85" s="56" t="n">
        <f aca="false">Economy!L85</f>
        <v>2888.91961643285</v>
      </c>
      <c r="P85" s="56" t="n">
        <f aca="false">O85*gw_wage_share</f>
        <v>1877.79775068135</v>
      </c>
      <c r="Q85" s="56" t="n">
        <f aca="false">P85*gw_levy</f>
        <v>469.449437670339</v>
      </c>
      <c r="R85" s="56" t="n">
        <f aca="false">P85*gw_remit</f>
        <v>469.449437670339</v>
      </c>
      <c r="S85" s="66" t="n">
        <f aca="false">IF(union_resp&gt;=1,MIN(1,MAX(0,($A85-resp_start)/(resp_full-resp_start))),0)</f>
        <v>1</v>
      </c>
      <c r="T85" s="70" t="n">
        <f aca="false">Economy!R84</f>
        <v>2.37621142300178</v>
      </c>
      <c r="U85" s="70" t="n">
        <f aca="false">MAX(0,T85-gap_base)</f>
        <v>0.876211423001781</v>
      </c>
      <c r="V85" s="71" t="n">
        <v>86.83</v>
      </c>
      <c r="W85" s="49" t="n">
        <f aca="false">V85*1000000*lf_rate*union_skill_share</f>
        <v>4376232</v>
      </c>
      <c r="X85" s="47" t="n">
        <v>147000</v>
      </c>
      <c r="Y85" s="49" t="n">
        <f aca="false">IF(AND(mig_endo=1,$A85&gt;=talent_start),talent_rate_u*W85*U85*(1-(1-bd_keep)*S85),0)</f>
        <v>12768.8998787927</v>
      </c>
      <c r="Z85" s="49" t="n">
        <f aca="false">IF(AND(mig_endo=1,$A85&gt;=talent_start),X85*MIN(0.5,talent_share_o*U85)*(1-eu_comp*S85),0)</f>
        <v>24343.7819652585</v>
      </c>
      <c r="AA85" s="47" t="n">
        <v>102000</v>
      </c>
      <c r="AB85" s="49" t="n">
        <f aca="false">IF(AND(mig_endo=1,$A85&gt;=talent_start),AA85*MIN(0.5,talent_share_a*U85),0)</f>
        <v>17874.7130292363</v>
      </c>
      <c r="AC85" s="49" t="n">
        <f aca="false">entry_cap*People!B85</f>
        <v>85076.4501955375</v>
      </c>
      <c r="AD85" s="49" t="n">
        <f aca="false">MIN(AC85,Y85+Z85+AB85)</f>
        <v>54987.3948732876</v>
      </c>
      <c r="AE85" s="49" t="n">
        <f aca="false">IF(Y85+Z85+AB85&gt;0,AD85*Y85/(Y85+Z85+AB85),0)</f>
        <v>12768.8998787927</v>
      </c>
      <c r="AF85" s="49" t="n">
        <f aca="false">IF(Y85+Z85+AB85&gt;0,AD85*AB85/(Y85+Z85+AB85),0)</f>
        <v>17874.7130292363</v>
      </c>
      <c r="AG85" s="49" t="n">
        <f aca="false">AD85*family_mult</f>
        <v>120972.268721233</v>
      </c>
      <c r="AH85" s="49" t="n">
        <f aca="false">AH84*(1+Paths!C85)+AG85</f>
        <v>4858851.70019308</v>
      </c>
      <c r="AI85" s="49" t="n">
        <f aca="false">IF(AND(mig_endo=1,$A85&gt;=talent_start),chain_rate*AH84,0)</f>
        <v>69833.0542417047</v>
      </c>
      <c r="AJ85" s="49" t="n">
        <f aca="false">IF(AND(mig_endo=1,$A85&gt;=talent_start),IF(H84&gt;0,H84*job_fill,H84*job_return)*job_family,0)</f>
        <v>33359.1802719439</v>
      </c>
      <c r="AK85" s="49" t="n">
        <f aca="false">K85*gw_conv_family</f>
        <v>57807.4217133433</v>
      </c>
      <c r="AL85" s="49" t="n">
        <f aca="false">AG85+AI85+AJ85+AK85+AR85</f>
        <v>322571.924948225</v>
      </c>
      <c r="AM85" s="49" t="n">
        <f aca="false">AM84*(1-skill_ret)+AD85</f>
        <v>949630.154519123</v>
      </c>
      <c r="AN85" s="67" t="n">
        <f aca="false">AM85/B85</f>
        <v>0.0783888563663988</v>
      </c>
      <c r="AO85" s="67" t="n">
        <f aca="false">(skill_rel-1+skill_spill)*AM84/B84-AT85</f>
        <v>0.0886502480683027</v>
      </c>
      <c r="AP85" s="67" t="n">
        <f aca="false">talent_champ*AM84/(skill_base_share*B84)</f>
        <v>0.156792341845328</v>
      </c>
      <c r="AQ85" s="47" t="n">
        <v>290000</v>
      </c>
      <c r="AR85" s="49" t="n">
        <f aca="false">IF(AND(div_on=1,$A85&gt;=div_start),AQ85*MIN(div_max,div_rate*U85)*(1-div_comp*S85),0)</f>
        <v>40600</v>
      </c>
      <c r="AS85" s="49" t="n">
        <f aca="false">AS84*(1-div_assim)+AR85</f>
        <v>1445302.48360773</v>
      </c>
      <c r="AT85" s="67" t="n">
        <f aca="false">(1-div_rel)*AS84/Economy!B84</f>
        <v>0.0132647741311606</v>
      </c>
      <c r="AU85" s="49" t="n">
        <f aca="false">AU84*(1-skill_ret)+AE85</f>
        <v>325125.669948249</v>
      </c>
      <c r="AV85" s="49" t="n">
        <f aca="false">AV84*(1+union_nat)+AR85</f>
        <v>4231840.37653283</v>
      </c>
      <c r="AW85" s="49" t="n">
        <f aca="false">AW84*(1+union_nat)+AE85*family_mult</f>
        <v>1800001.63156052</v>
      </c>
      <c r="AX85" s="70" t="n">
        <f aca="false">V85-(AV85+AW85)/1000000</f>
        <v>80.7981579919067</v>
      </c>
      <c r="AY85" s="49" t="n">
        <f aca="false">L85*gw_union</f>
        <v>228351.64378057</v>
      </c>
      <c r="AZ85" s="48" t="n">
        <v>1.063</v>
      </c>
      <c r="BA85" s="49" t="n">
        <f aca="false">Economy!Q85*AZ85/lf_rate</f>
        <v>1991.85952380952</v>
      </c>
      <c r="BB85" s="67" t="n">
        <f aca="false">bd_growth*AU84/W84</f>
        <v>0.00222072899524166</v>
      </c>
      <c r="BC85" s="67" t="n">
        <f aca="false">tg_k*MIN(1,Economy!O84/BK84)</f>
        <v>0.00288664202439137</v>
      </c>
      <c r="BD85" s="67" t="n">
        <f aca="false">emu_g*S85</f>
        <v>0.0015</v>
      </c>
      <c r="BE85" s="68" t="n">
        <f aca="false">BE84*(1-BB85-BC85+BD85)</f>
        <v>0.866097003221832</v>
      </c>
      <c r="BF85" s="48" t="n">
        <v>1</v>
      </c>
      <c r="BG85" s="56" t="n">
        <f aca="false">AU85*BA85*BE85*(skill_rel-1+skill_spill)/1000000</f>
        <v>729.154994276548</v>
      </c>
      <c r="BH85" s="56" t="n">
        <f aca="false">union_disp*(Champions!AP85+Champions!AZ85)*(1-IF(union_resp=2,mkt_cut*S85,0))</f>
        <v>811.371948216313</v>
      </c>
      <c r="BI85" s="56" t="n">
        <f aca="false">AY85*BA85*BE85/1000000</f>
        <v>393.939368690563</v>
      </c>
      <c r="BJ85" s="49" t="n">
        <f aca="false">V85*Economy!Q85*AZ85</f>
        <v>72640.32823</v>
      </c>
      <c r="BK85" s="49" t="n">
        <f aca="false">MAX(0.3*BJ85,AX85*Economy!Q85*AZ85*BE85*BF85-BG85-BH85-BI85)</f>
        <v>56608.671044713</v>
      </c>
      <c r="BL85" s="66" t="n">
        <f aca="false">1-BK85/BJ85</f>
        <v>0.220699129201704</v>
      </c>
      <c r="BM85" s="49" t="n">
        <f aca="false">MAX(0,BH85-BH84)*1000000/BA85</f>
        <v>31469.9760526793</v>
      </c>
      <c r="BN85" s="49" t="n">
        <f aca="false">BN84*(1-IF(AND($A85&gt;=1930,$A85&lt;=1932),0,union_reabsorb))+BM85</f>
        <v>129978.415722362</v>
      </c>
      <c r="BO85" s="62" t="n">
        <v>0.032</v>
      </c>
      <c r="BP85" s="66" t="n">
        <f aca="false">BO85+BN85/(AX85*1000000*lf_rate)</f>
        <v>0.0358301915053258</v>
      </c>
    </row>
    <row r="86" customFormat="false" ht="14.25" hidden="false" customHeight="true" outlineLevel="0" collapsed="false">
      <c r="A86" s="61" t="n">
        <v>1926</v>
      </c>
      <c r="B86" s="49" t="n">
        <f aca="false">Economy!B86*lf_rate</f>
        <v>12523830.0477921</v>
      </c>
      <c r="C86" s="49" t="n">
        <f aca="false">Economy!O86*1000000/(B86+L86)</f>
        <v>4293.22209193958</v>
      </c>
      <c r="D86" s="49" t="n">
        <f aca="false">Champions!AP86*1000000/(C86*champ_prem)</f>
        <v>431103.053090224</v>
      </c>
      <c r="E86" s="49" t="n">
        <f aca="false">D86*job_mult</f>
        <v>301772.137163157</v>
      </c>
      <c r="F86" s="49" t="n">
        <f aca="false">D86+E86</f>
        <v>732875.190253381</v>
      </c>
      <c r="G86" s="66" t="n">
        <f aca="false">F86/B86</f>
        <v>0.0585184554131331</v>
      </c>
      <c r="H86" s="49" t="n">
        <f aca="false">F86-F85</f>
        <v>49667.090399092</v>
      </c>
      <c r="I86" s="66" t="n">
        <f aca="false">MAX(0.005,pac_u_base*IF(Paths!AC86=1,pac_u_war,1)+(okun*(1-Economy!G86)*(B86+L86)-MAX(0,L85-L86))/B86)</f>
        <v>0.015</v>
      </c>
      <c r="J86" s="49" t="n">
        <f aca="false">IF(AND(gw_on=1,$A86&gt;=gw_start),MIN(gw_cap*B85,gw_cover*F85+gw_gen*B85),0)</f>
        <v>1379072.97461953</v>
      </c>
      <c r="K86" s="49" t="n">
        <f aca="false">L85*gw_conv</f>
        <v>34252.7465670855</v>
      </c>
      <c r="L86" s="49" t="n">
        <f aca="false">MAX(0,L85-K86+gw_adj*(J86-L85))*MAX(0,1-gw_slump*(1-Economy!G86))</f>
        <v>1202431.37462244</v>
      </c>
      <c r="M86" s="49" t="n">
        <f aca="false">MAX(0,L86-L85+L85/gw_term)</f>
        <v>441259.228687203</v>
      </c>
      <c r="N86" s="66" t="n">
        <f aca="false">L86/B86</f>
        <v>0.0960114733299513</v>
      </c>
      <c r="O86" s="56" t="n">
        <f aca="false">Economy!L86</f>
        <v>3062.84187502673</v>
      </c>
      <c r="P86" s="56" t="n">
        <f aca="false">O86*gw_wage_share</f>
        <v>1990.84721876737</v>
      </c>
      <c r="Q86" s="56" t="n">
        <f aca="false">P86*gw_levy</f>
        <v>497.711804691843</v>
      </c>
      <c r="R86" s="56" t="n">
        <f aca="false">P86*gw_remit</f>
        <v>497.711804691843</v>
      </c>
      <c r="S86" s="66" t="n">
        <f aca="false">IF(union_resp&gt;=1,MIN(1,MAX(0,($A86-resp_start)/(resp_full-resp_start))),0)</f>
        <v>1</v>
      </c>
      <c r="T86" s="70" t="n">
        <f aca="false">Economy!R85</f>
        <v>2.39396237900292</v>
      </c>
      <c r="U86" s="70" t="n">
        <f aca="false">MAX(0,T86-gap_base)</f>
        <v>0.893962379002919</v>
      </c>
      <c r="V86" s="71" t="n">
        <v>87.8</v>
      </c>
      <c r="W86" s="49" t="n">
        <f aca="false">V86*1000000*lf_rate*union_skill_share</f>
        <v>4425120</v>
      </c>
      <c r="X86" s="47" t="n">
        <v>140000</v>
      </c>
      <c r="Y86" s="49" t="n">
        <f aca="false">IF(AND(mig_endo=1,$A86&gt;=talent_start),talent_rate_u*W86*U86*(1-(1-bd_keep)*S86),0)</f>
        <v>13173.1163725694</v>
      </c>
      <c r="Z86" s="49" t="n">
        <f aca="false">IF(AND(mig_endo=1,$A86&gt;=talent_start),X86*MIN(0.5,talent_share_o*U86)*(1-eu_comp*S86),0)</f>
        <v>23654.2445484172</v>
      </c>
      <c r="AA86" s="47" t="n">
        <v>107000</v>
      </c>
      <c r="AB86" s="49" t="n">
        <f aca="false">IF(AND(mig_endo=1,$A86&gt;=talent_start),AA86*MIN(0.5,talent_share_a*U86),0)</f>
        <v>19130.7949106625</v>
      </c>
      <c r="AC86" s="49" t="n">
        <f aca="false">entry_cap*People!B86</f>
        <v>87985.7131449906</v>
      </c>
      <c r="AD86" s="49" t="n">
        <f aca="false">MIN(AC86,Y86+Z86+AB86)</f>
        <v>55958.1558316491</v>
      </c>
      <c r="AE86" s="49" t="n">
        <f aca="false">IF(Y86+Z86+AB86&gt;0,AD86*Y86/(Y86+Z86+AB86),0)</f>
        <v>13173.1163725694</v>
      </c>
      <c r="AF86" s="49" t="n">
        <f aca="false">IF(Y86+Z86+AB86&gt;0,AD86*AB86/(Y86+Z86+AB86),0)</f>
        <v>19130.7949106625</v>
      </c>
      <c r="AG86" s="49" t="n">
        <f aca="false">AD86*family_mult</f>
        <v>123107.942829628</v>
      </c>
      <c r="AH86" s="49" t="n">
        <f aca="false">AH85*(1+Paths!C86)+AG86</f>
        <v>5067834.98797192</v>
      </c>
      <c r="AI86" s="49" t="n">
        <f aca="false">IF(AND(mig_endo=1,$A86&gt;=talent_start),chain_rate*AH85,0)</f>
        <v>72882.7755028963</v>
      </c>
      <c r="AJ86" s="49" t="n">
        <f aca="false">IF(AND(mig_endo=1,$A86&gt;=talent_start),IF(H85&gt;0,H85*job_fill,H85*job_return)*job_family,0)</f>
        <v>18225.0183454555</v>
      </c>
      <c r="AK86" s="49" t="n">
        <f aca="false">K86*gw_conv_family</f>
        <v>61654.9438207539</v>
      </c>
      <c r="AL86" s="49" t="n">
        <f aca="false">AG86+AI86+AJ86+AK86+AR86</f>
        <v>316190.680498734</v>
      </c>
      <c r="AM86" s="49" t="n">
        <f aca="false">AM85*(1-skill_ret)+AD86</f>
        <v>981847.556487794</v>
      </c>
      <c r="AN86" s="67" t="n">
        <f aca="false">AM86/B86</f>
        <v>0.0783983456132005</v>
      </c>
      <c r="AO86" s="67" t="n">
        <f aca="false">(skill_rel-1+skill_spill)*AM85/B85-AT86</f>
        <v>0.0893784901329304</v>
      </c>
      <c r="AP86" s="67" t="n">
        <f aca="false">talent_champ*AM85/(skill_base_share*B85)</f>
        <v>0.156777712732798</v>
      </c>
      <c r="AQ86" s="47" t="n">
        <v>288000</v>
      </c>
      <c r="AR86" s="49" t="n">
        <f aca="false">IF(AND(div_on=1,$A86&gt;=div_start),AQ86*MIN(div_max,div_rate*U86)*(1-div_comp*S86),0)</f>
        <v>40320</v>
      </c>
      <c r="AS86" s="49" t="n">
        <f aca="false">AS85*(1-div_assim)+AR86</f>
        <v>1413357.35942734</v>
      </c>
      <c r="AT86" s="67" t="n">
        <f aca="false">(1-div_rel)*AS85/Economy!B85</f>
        <v>0.012527023143388</v>
      </c>
      <c r="AU86" s="49" t="n">
        <f aca="false">AU85*(1-skill_ret)+AE86</f>
        <v>330170.644572112</v>
      </c>
      <c r="AV86" s="49" t="n">
        <f aca="false">AV85*(1+union_nat)+AR86</f>
        <v>4327174.30142775</v>
      </c>
      <c r="AW86" s="49" t="n">
        <f aca="false">AW85*(1+union_nat)+AE86*family_mult</f>
        <v>1852382.50879046</v>
      </c>
      <c r="AX86" s="70" t="n">
        <f aca="false">V86-(AV86+AW86)/1000000</f>
        <v>81.6204431897818</v>
      </c>
      <c r="AY86" s="49" t="n">
        <f aca="false">L86*gw_union</f>
        <v>240486.274924487</v>
      </c>
      <c r="AZ86" s="48" t="n">
        <v>1.064</v>
      </c>
      <c r="BA86" s="49" t="n">
        <f aca="false">Economy!Q86*AZ86/lf_rate</f>
        <v>2077.33333333333</v>
      </c>
      <c r="BB86" s="67" t="n">
        <f aca="false">bd_growth*AU85/W85</f>
        <v>0.00222880553372112</v>
      </c>
      <c r="BC86" s="67" t="n">
        <f aca="false">tg_k*MIN(1,Economy!O85/BK85)</f>
        <v>0.00299392523062251</v>
      </c>
      <c r="BD86" s="67" t="n">
        <f aca="false">emu_g*S86</f>
        <v>0.0015</v>
      </c>
      <c r="BE86" s="68" t="n">
        <f aca="false">BE85*(1-BB86-BC86+BD86)</f>
        <v>0.862872757263033</v>
      </c>
      <c r="BF86" s="48" t="n">
        <v>1</v>
      </c>
      <c r="BG86" s="56" t="n">
        <f aca="false">AU86*BA86*BE86*(skill_rel-1+skill_spill)/1000000</f>
        <v>769.369131148683</v>
      </c>
      <c r="BH86" s="56" t="n">
        <f aca="false">union_disp*(Champions!AP86+Champions!AZ86)*(1-IF(union_resp=2,mkt_cut*S86,0))</f>
        <v>877.106662676081</v>
      </c>
      <c r="BI86" s="56" t="n">
        <f aca="false">AY86*BA86*BE86/1000000</f>
        <v>431.065477185916</v>
      </c>
      <c r="BJ86" s="49" t="n">
        <f aca="false">V86*Economy!Q86*AZ86</f>
        <v>76603.744</v>
      </c>
      <c r="BK86" s="49" t="n">
        <f aca="false">MAX(0.3*BJ86,AX86*Economy!Q86*AZ86*BE86*BF86-BG86-BH86-BI86)</f>
        <v>59369.5297818645</v>
      </c>
      <c r="BL86" s="66" t="n">
        <f aca="false">1-BK86/BJ86</f>
        <v>0.224978745400949</v>
      </c>
      <c r="BM86" s="49" t="n">
        <f aca="false">MAX(0,BH86-BH85)*1000000/BA86</f>
        <v>31643.7970762684</v>
      </c>
      <c r="BN86" s="49" t="n">
        <f aca="false">BN85*(1-IF(AND($A86&gt;=1930,$A86&lt;=1932),0,union_reabsorb))+BM86</f>
        <v>129127.60886804</v>
      </c>
      <c r="BO86" s="62" t="n">
        <v>0.032</v>
      </c>
      <c r="BP86" s="66" t="n">
        <f aca="false">BO86+BN86/(AX86*1000000*lf_rate)</f>
        <v>0.0357667853268841</v>
      </c>
    </row>
    <row r="87" customFormat="false" ht="14.25" hidden="false" customHeight="true" outlineLevel="0" collapsed="false">
      <c r="A87" s="61" t="n">
        <v>1927</v>
      </c>
      <c r="B87" s="49" t="n">
        <f aca="false">Economy!B87*lf_rate</f>
        <v>12940402.6869201</v>
      </c>
      <c r="C87" s="49" t="n">
        <f aca="false">Economy!O87*1000000/(B87+L87)</f>
        <v>4299.70973156968</v>
      </c>
      <c r="D87" s="49" t="n">
        <f aca="false">Champions!AP87*1000000/(C87*champ_prem)</f>
        <v>467434.455901404</v>
      </c>
      <c r="E87" s="49" t="n">
        <f aca="false">D87*job_mult</f>
        <v>327204.119130983</v>
      </c>
      <c r="F87" s="49" t="n">
        <f aca="false">D87+E87</f>
        <v>794638.575032387</v>
      </c>
      <c r="G87" s="66" t="n">
        <f aca="false">F87/B87</f>
        <v>0.0614075615927774</v>
      </c>
      <c r="H87" s="49" t="n">
        <f aca="false">F87-F86</f>
        <v>61763.3847790058</v>
      </c>
      <c r="I87" s="66" t="n">
        <f aca="false">MAX(0.005,pac_u_base*IF(Paths!AC87=1,pac_u_war,1)+(okun*(1-Economy!G87)*(B87+L87)-MAX(0,L86-L87))/B87)</f>
        <v>0.015</v>
      </c>
      <c r="J87" s="49" t="n">
        <f aca="false">IF(AND(gw_on=1,$A87&gt;=gw_start),MIN(gw_cap*B86,gw_cover*F86+gw_gen*B86),0)</f>
        <v>1441631.5179754</v>
      </c>
      <c r="K87" s="49" t="n">
        <f aca="false">L86*gw_conv</f>
        <v>36072.9412386731</v>
      </c>
      <c r="L87" s="49" t="n">
        <f aca="false">MAX(0,L86-K87+gw_adj*(J87-L86))*MAX(0,1-gw_slump*(1-Economy!G87))</f>
        <v>1262038.49072495</v>
      </c>
      <c r="M87" s="49" t="n">
        <f aca="false">MAX(0,L87-L86+L86/gw_term)</f>
        <v>460417.574309991</v>
      </c>
      <c r="N87" s="66" t="n">
        <f aca="false">L87/B87</f>
        <v>0.0975269874716181</v>
      </c>
      <c r="O87" s="56" t="n">
        <f aca="false">Economy!L87</f>
        <v>3213.95804572786</v>
      </c>
      <c r="P87" s="56" t="n">
        <f aca="false">O87*gw_wage_share</f>
        <v>2089.07272972311</v>
      </c>
      <c r="Q87" s="56" t="n">
        <f aca="false">P87*gw_levy</f>
        <v>522.268182430777</v>
      </c>
      <c r="R87" s="56" t="n">
        <f aca="false">P87*gw_remit</f>
        <v>522.268182430777</v>
      </c>
      <c r="S87" s="66" t="n">
        <f aca="false">IF(union_resp&gt;=1,MIN(1,MAX(0,($A87-resp_start)/(resp_full-resp_start))),0)</f>
        <v>1</v>
      </c>
      <c r="T87" s="70" t="n">
        <f aca="false">Economy!R86</f>
        <v>2.31667405267648</v>
      </c>
      <c r="U87" s="70" t="n">
        <f aca="false">MAX(0,T87-gap_base)</f>
        <v>0.816674052676483</v>
      </c>
      <c r="V87" s="71" t="n">
        <v>88.77</v>
      </c>
      <c r="W87" s="49" t="n">
        <f aca="false">V87*1000000*lf_rate*union_skill_share</f>
        <v>4474008</v>
      </c>
      <c r="X87" s="47" t="n">
        <v>133000</v>
      </c>
      <c r="Y87" s="49" t="n">
        <f aca="false">IF(AND(mig_endo=1,$A87&gt;=talent_start),talent_rate_u*W87*U87*(1-(1-bd_keep)*S87),0)</f>
        <v>12167.1747960731</v>
      </c>
      <c r="Z87" s="49" t="n">
        <f aca="false">IF(AND(mig_endo=1,$A87&gt;=talent_start),X87*MIN(0.5,talent_share_o*U87)*(1-eu_comp*S87),0)</f>
        <v>20528.7356621287</v>
      </c>
      <c r="AA87" s="47" t="n">
        <v>111000</v>
      </c>
      <c r="AB87" s="49" t="n">
        <f aca="false">IF(AND(mig_endo=1,$A87&gt;=talent_start),AA87*MIN(0.5,talent_share_a*U87),0)</f>
        <v>18130.1639694179</v>
      </c>
      <c r="AC87" s="49" t="n">
        <f aca="false">entry_cap*People!B87</f>
        <v>90926.1446806114</v>
      </c>
      <c r="AD87" s="49" t="n">
        <f aca="false">MIN(AC87,Y87+Z87+AB87)</f>
        <v>50826.0744276198</v>
      </c>
      <c r="AE87" s="49" t="n">
        <f aca="false">IF(Y87+Z87+AB87&gt;0,AD87*Y87/(Y87+Z87+AB87),0)</f>
        <v>12167.1747960731</v>
      </c>
      <c r="AF87" s="49" t="n">
        <f aca="false">IF(Y87+Z87+AB87&gt;0,AD87*AB87/(Y87+Z87+AB87),0)</f>
        <v>18130.1639694179</v>
      </c>
      <c r="AG87" s="49" t="n">
        <f aca="false">AD87*family_mult</f>
        <v>111817.363740764</v>
      </c>
      <c r="AH87" s="49" t="n">
        <f aca="false">AH86*(1+Paths!C87)+AG87</f>
        <v>5268937.46853078</v>
      </c>
      <c r="AI87" s="49" t="n">
        <f aca="false">IF(AND(mig_endo=1,$A87&gt;=talent_start),chain_rate*AH86,0)</f>
        <v>76017.5248195789</v>
      </c>
      <c r="AJ87" s="49" t="n">
        <f aca="false">IF(AND(mig_endo=1,$A87&gt;=talent_start),IF(H86&gt;0,H86*job_fill,H86*job_return)*job_family,0)</f>
        <v>31290.2669514279</v>
      </c>
      <c r="AK87" s="49" t="n">
        <f aca="false">K87*gw_conv_family</f>
        <v>64931.2942296116</v>
      </c>
      <c r="AL87" s="49" t="n">
        <f aca="false">AG87+AI87+AJ87+AK87+AR87</f>
        <v>323956.449741382</v>
      </c>
      <c r="AM87" s="49" t="n">
        <f aca="false">AM86*(1-skill_ret)+AD87</f>
        <v>1008127.44200322</v>
      </c>
      <c r="AN87" s="67" t="n">
        <f aca="false">AM87/B87</f>
        <v>0.0779054150318069</v>
      </c>
      <c r="AO87" s="67" t="n">
        <f aca="false">(skill_rel-1+skill_spill)*AM86/B86-AT87</f>
        <v>0.0900682376229722</v>
      </c>
      <c r="AP87" s="67" t="n">
        <f aca="false">talent_champ*AM86/(skill_base_share*B86)</f>
        <v>0.156796691226401</v>
      </c>
      <c r="AQ87" s="47" t="n">
        <v>285000</v>
      </c>
      <c r="AR87" s="49" t="n">
        <f aca="false">IF(AND(div_on=1,$A87&gt;=div_start),AQ87*MIN(div_max,div_rate*U87)*(1-div_comp*S87),0)</f>
        <v>39900</v>
      </c>
      <c r="AS87" s="49" t="n">
        <f aca="false">AS86*(1-div_assim)+AR87</f>
        <v>1382589.49145597</v>
      </c>
      <c r="AT87" s="67" t="n">
        <f aca="false">(1-div_rel)*AS86/Economy!B86</f>
        <v>0.0118496116741885</v>
      </c>
      <c r="AU87" s="49" t="n">
        <f aca="false">AU86*(1-skill_ret)+AE87</f>
        <v>334083.553253882</v>
      </c>
      <c r="AV87" s="49" t="n">
        <f aca="false">AV86*(1+union_nat)+AR87</f>
        <v>4423327.56734631</v>
      </c>
      <c r="AW87" s="49" t="n">
        <f aca="false">AW86*(1+union_nat)+AE87*family_mult</f>
        <v>1903231.2659561</v>
      </c>
      <c r="AX87" s="70" t="n">
        <f aca="false">V87-(AV87+AW87)/1000000</f>
        <v>82.4434411666976</v>
      </c>
      <c r="AY87" s="49" t="n">
        <f aca="false">L87*gw_union</f>
        <v>252407.69814499</v>
      </c>
      <c r="AZ87" s="48" t="n">
        <v>1.065</v>
      </c>
      <c r="BA87" s="49" t="n">
        <f aca="false">Economy!Q87*AZ87/lf_rate</f>
        <v>2041.25</v>
      </c>
      <c r="BB87" s="67" t="n">
        <f aca="false">bd_growth*AU86/W86</f>
        <v>0.00223838434599815</v>
      </c>
      <c r="BC87" s="67" t="n">
        <f aca="false">tg_k*MIN(1,Economy!O86/BK86)</f>
        <v>0.00297778451311481</v>
      </c>
      <c r="BD87" s="67" t="n">
        <f aca="false">emu_g*S87</f>
        <v>0.0015</v>
      </c>
      <c r="BE87" s="68" t="n">
        <f aca="false">BE86*(1-BB87-BC87+BD87)</f>
        <v>0.859666176393115</v>
      </c>
      <c r="BF87" s="48" t="n">
        <v>1</v>
      </c>
      <c r="BG87" s="56" t="n">
        <f aca="false">AU87*BA87*BE87*(skill_rel-1+skill_spill)/1000000</f>
        <v>762.121977876443</v>
      </c>
      <c r="BH87" s="56" t="n">
        <f aca="false">union_disp*(Champions!AP87+Champions!AZ87)*(1-IF(union_resp=2,mkt_cut*S87,0))</f>
        <v>956.965992293478</v>
      </c>
      <c r="BI87" s="56" t="n">
        <f aca="false">AY87*BA87*BE87/1000000</f>
        <v>442.923408894187</v>
      </c>
      <c r="BJ87" s="49" t="n">
        <f aca="false">V87*Economy!Q87*AZ87</f>
        <v>76104.74025</v>
      </c>
      <c r="BK87" s="49" t="n">
        <f aca="false">MAX(0.3*BJ87,AX87*Economy!Q87*AZ87*BE87*BF87-BG87-BH87-BI87)</f>
        <v>58599.9016440838</v>
      </c>
      <c r="BL87" s="66" t="n">
        <f aca="false">1-BK87/BJ87</f>
        <v>0.230009833138038</v>
      </c>
      <c r="BM87" s="49" t="n">
        <f aca="false">MAX(0,BH87-BH86)*1000000/BA87</f>
        <v>39122.7579264649</v>
      </c>
      <c r="BN87" s="49" t="n">
        <f aca="false">BN86*(1-IF(AND($A87&gt;=1930,$A87&lt;=1932),0,union_reabsorb))+BM87</f>
        <v>135968.464577495</v>
      </c>
      <c r="BO87" s="62" t="n">
        <v>0.032</v>
      </c>
      <c r="BP87" s="66" t="n">
        <f aca="false">BO87+BN87/(AX87*1000000*lf_rate)</f>
        <v>0.0359267458379818</v>
      </c>
    </row>
    <row r="88" customFormat="false" ht="14.25" hidden="false" customHeight="true" outlineLevel="0" collapsed="false">
      <c r="A88" s="61" t="n">
        <v>1928</v>
      </c>
      <c r="B88" s="49" t="n">
        <f aca="false">Economy!B88*lf_rate</f>
        <v>13369105.5785754</v>
      </c>
      <c r="C88" s="49" t="n">
        <f aca="false">Economy!O88*1000000/(B88+L88)</f>
        <v>4459.0820578493</v>
      </c>
      <c r="D88" s="49" t="n">
        <f aca="false">Champions!AP88*1000000/(C88*champ_prem)</f>
        <v>486836.577392879</v>
      </c>
      <c r="E88" s="49" t="n">
        <f aca="false">D88*job_mult</f>
        <v>340785.604175016</v>
      </c>
      <c r="F88" s="49" t="n">
        <f aca="false">D88+E88</f>
        <v>827622.181567895</v>
      </c>
      <c r="G88" s="66" t="n">
        <f aca="false">F88/B88</f>
        <v>0.0619055760090786</v>
      </c>
      <c r="H88" s="49" t="n">
        <f aca="false">F88-F87</f>
        <v>32983.6065355078</v>
      </c>
      <c r="I88" s="66" t="n">
        <f aca="false">MAX(0.005,pac_u_base*IF(Paths!AC88=1,pac_u_war,1)+(okun*(1-Economy!G88)*(B88+L88)-MAX(0,L87-L88))/B88)</f>
        <v>0.015</v>
      </c>
      <c r="J88" s="49" t="n">
        <f aca="false">IF(AND(gw_on=1,$A88&gt;=gw_start),MIN(gw_cap*B87,gw_cover*F87+gw_gen*B87),0)</f>
        <v>1512015.35997304</v>
      </c>
      <c r="K88" s="49" t="n">
        <f aca="false">L87*gw_conv</f>
        <v>37861.1547217485</v>
      </c>
      <c r="L88" s="49" t="n">
        <f aca="false">MAX(0,L87-K88+gw_adj*(J88-L87))*MAX(0,1-gw_slump*(1-Economy!G88))</f>
        <v>1324168.08370244</v>
      </c>
      <c r="M88" s="49" t="n">
        <f aca="false">MAX(0,L88-L87+L87/gw_term)</f>
        <v>482809.089885804</v>
      </c>
      <c r="N88" s="66" t="n">
        <f aca="false">L88/B88</f>
        <v>0.0990468716040718</v>
      </c>
      <c r="O88" s="56" t="n">
        <f aca="false">Economy!L88</f>
        <v>3498.02064937732</v>
      </c>
      <c r="P88" s="56" t="n">
        <f aca="false">O88*gw_wage_share</f>
        <v>2273.71342209526</v>
      </c>
      <c r="Q88" s="56" t="n">
        <f aca="false">P88*gw_levy</f>
        <v>568.428355523814</v>
      </c>
      <c r="R88" s="56" t="n">
        <f aca="false">P88*gw_remit</f>
        <v>568.428355523814</v>
      </c>
      <c r="S88" s="66" t="n">
        <f aca="false">IF(union_resp&gt;=1,MIN(1,MAX(0,($A88-resp_start)/(resp_full-resp_start))),0)</f>
        <v>1</v>
      </c>
      <c r="T88" s="70" t="n">
        <f aca="false">Economy!R87</f>
        <v>2.36522879441566</v>
      </c>
      <c r="U88" s="70" t="n">
        <f aca="false">MAX(0,T88-gap_base)</f>
        <v>0.865228794415659</v>
      </c>
      <c r="V88" s="71" t="n">
        <v>89.73</v>
      </c>
      <c r="W88" s="49" t="n">
        <f aca="false">V88*1000000*lf_rate*union_skill_share</f>
        <v>4522392</v>
      </c>
      <c r="X88" s="47" t="n">
        <v>127000</v>
      </c>
      <c r="Y88" s="49" t="n">
        <f aca="false">IF(AND(mig_endo=1,$A88&gt;=talent_start),talent_rate_u*W88*U88*(1-(1-bd_keep)*S88),0)</f>
        <v>13029.9695808566</v>
      </c>
      <c r="Z88" s="49" t="n">
        <f aca="false">IF(AND(mig_endo=1,$A88&gt;=talent_start),X88*MIN(0.5,talent_share_o*U88)*(1-eu_comp*S88),0)</f>
        <v>20768.0867523591</v>
      </c>
      <c r="AA88" s="47" t="n">
        <v>116000</v>
      </c>
      <c r="AB88" s="49" t="n">
        <f aca="false">IF(AND(mig_endo=1,$A88&gt;=talent_start),AA88*MIN(0.5,talent_share_a*U88),0)</f>
        <v>20073.3080304433</v>
      </c>
      <c r="AC88" s="49" t="n">
        <f aca="false">entry_cap*People!B88</f>
        <v>93936.7508468185</v>
      </c>
      <c r="AD88" s="49" t="n">
        <f aca="false">MIN(AC88,Y88+Z88+AB88)</f>
        <v>53871.364363659</v>
      </c>
      <c r="AE88" s="49" t="n">
        <f aca="false">IF(Y88+Z88+AB88&gt;0,AD88*Y88/(Y88+Z88+AB88),0)</f>
        <v>13029.9695808566</v>
      </c>
      <c r="AF88" s="49" t="n">
        <f aca="false">IF(Y88+Z88+AB88&gt;0,AD88*AB88/(Y88+Z88+AB88),0)</f>
        <v>20073.3080304433</v>
      </c>
      <c r="AG88" s="49" t="n">
        <f aca="false">AD88*family_mult</f>
        <v>118517.00160005</v>
      </c>
      <c r="AH88" s="49" t="n">
        <f aca="false">AH87*(1+Paths!C88)+AG88</f>
        <v>5479703.02732986</v>
      </c>
      <c r="AI88" s="49" t="n">
        <f aca="false">IF(AND(mig_endo=1,$A88&gt;=talent_start),chain_rate*AH87,0)</f>
        <v>79034.0620279617</v>
      </c>
      <c r="AJ88" s="49" t="n">
        <f aca="false">IF(AND(mig_endo=1,$A88&gt;=talent_start),IF(H87&gt;0,H87*job_fill,H87*job_return)*job_family,0)</f>
        <v>38910.9324107736</v>
      </c>
      <c r="AK88" s="49" t="n">
        <f aca="false">K88*gw_conv_family</f>
        <v>68150.0784991473</v>
      </c>
      <c r="AL88" s="49" t="n">
        <f aca="false">AG88+AI88+AJ88+AK88+AR88</f>
        <v>344092.074537932</v>
      </c>
      <c r="AM88" s="49" t="n">
        <f aca="false">AM87*(1-skill_ret)+AD88</f>
        <v>1036795.6203168</v>
      </c>
      <c r="AN88" s="67" t="n">
        <f aca="false">AM88/B88</f>
        <v>0.0775516068912127</v>
      </c>
      <c r="AO88" s="67" t="n">
        <f aca="false">(skill_rel-1+skill_spill)*AM87/B87-AT88</f>
        <v>0.0900585403867891</v>
      </c>
      <c r="AP88" s="67" t="n">
        <f aca="false">talent_champ*AM87/(skill_base_share*B87)</f>
        <v>0.155810830063614</v>
      </c>
      <c r="AQ88" s="47" t="n">
        <v>282000</v>
      </c>
      <c r="AR88" s="49" t="n">
        <f aca="false">IF(AND(div_on=1,$A88&gt;=div_start),AQ88*MIN(div_max,div_rate*U88)*(1-div_comp*S88),0)</f>
        <v>39480</v>
      </c>
      <c r="AS88" s="49" t="n">
        <f aca="false">AS87*(1-div_assim)+AR88</f>
        <v>1352940.01688318</v>
      </c>
      <c r="AT88" s="67" t="n">
        <f aca="false">(1-div_rel)*AS87/Economy!B87</f>
        <v>0.0112184991545599</v>
      </c>
      <c r="AU88" s="49" t="n">
        <f aca="false">AU87*(1-skill_ret)+AE88</f>
        <v>338761.434003392</v>
      </c>
      <c r="AV88" s="49" t="n">
        <f aca="false">AV87*(1+union_nat)+AR88</f>
        <v>4520310.82572181</v>
      </c>
      <c r="AW88" s="49" t="n">
        <f aca="false">AW87*(1+union_nat)+AE88*family_mult</f>
        <v>1956639.20549141</v>
      </c>
      <c r="AX88" s="70" t="n">
        <f aca="false">V88-(AV88+AW88)/1000000</f>
        <v>83.2530499687868</v>
      </c>
      <c r="AY88" s="49" t="n">
        <f aca="false">L88*gw_union</f>
        <v>264833.616740487</v>
      </c>
      <c r="AZ88" s="48" t="n">
        <v>1.066</v>
      </c>
      <c r="BA88" s="49" t="n">
        <f aca="false">Economy!Q88*AZ88/lf_rate</f>
        <v>2068.54761904762</v>
      </c>
      <c r="BB88" s="67" t="n">
        <f aca="false">bd_growth*AU87/W87</f>
        <v>0.00224016286909108</v>
      </c>
      <c r="BC88" s="67" t="n">
        <f aca="false">tg_k*MIN(1,Economy!O87/BK87)</f>
        <v>0.003</v>
      </c>
      <c r="BD88" s="67" t="n">
        <f aca="false">emu_g*S88</f>
        <v>0.0015</v>
      </c>
      <c r="BE88" s="68" t="n">
        <f aca="false">BE87*(1-BB88-BC88+BD88)</f>
        <v>0.856450884880356</v>
      </c>
      <c r="BF88" s="48" t="n">
        <v>1</v>
      </c>
      <c r="BG88" s="56" t="n">
        <f aca="false">AU88*BA88*BE88*(skill_rel-1+skill_spill)/1000000</f>
        <v>780.198840154576</v>
      </c>
      <c r="BH88" s="56" t="n">
        <f aca="false">union_disp*(Champions!AP88+Champions!AZ88)*(1-IF(union_resp=2,mkt_cut*S88,0))</f>
        <v>1037.03592680126</v>
      </c>
      <c r="BI88" s="56" t="n">
        <f aca="false">AY88*BA88*BE88/1000000</f>
        <v>469.181735115876</v>
      </c>
      <c r="BJ88" s="49" t="n">
        <f aca="false">V88*Economy!Q88*AZ88</f>
        <v>77956.5267</v>
      </c>
      <c r="BK88" s="49" t="n">
        <f aca="false">MAX(0.3*BJ88,AX88*Economy!Q88*AZ88*BE88*BF88-BG88-BH88-BI88)</f>
        <v>59660.1769323051</v>
      </c>
      <c r="BL88" s="66" t="n">
        <f aca="false">1-BK88/BJ88</f>
        <v>0.234699396473944</v>
      </c>
      <c r="BM88" s="49" t="n">
        <f aca="false">MAX(0,BH88-BH87)*1000000/BA88</f>
        <v>38708.2868049434</v>
      </c>
      <c r="BN88" s="49" t="n">
        <f aca="false">BN87*(1-IF(AND($A88&gt;=1930,$A88&lt;=1932),0,union_reabsorb))+BM88</f>
        <v>140684.635238064</v>
      </c>
      <c r="BO88" s="62" t="n">
        <v>0.032</v>
      </c>
      <c r="BP88" s="66" t="n">
        <f aca="false">BO88+BN88/(AX88*1000000*lf_rate)</f>
        <v>0.0360234371876955</v>
      </c>
    </row>
    <row r="89" customFormat="false" ht="14.25" hidden="false" customHeight="true" outlineLevel="0" collapsed="false">
      <c r="A89" s="61" t="n">
        <v>1929</v>
      </c>
      <c r="B89" s="49" t="n">
        <f aca="false">Economy!B89*lf_rate</f>
        <v>13806827.216193</v>
      </c>
      <c r="C89" s="49" t="n">
        <f aca="false">Economy!O89*1000000/(B89+L89)</f>
        <v>4574.14681393429</v>
      </c>
      <c r="D89" s="49" t="n">
        <f aca="false">Champions!AP89*1000000/(C89*champ_prem)</f>
        <v>508456.070625001</v>
      </c>
      <c r="E89" s="49" t="n">
        <f aca="false">D89*job_mult</f>
        <v>355919.249437501</v>
      </c>
      <c r="F89" s="49" t="n">
        <f aca="false">D89+E89</f>
        <v>864375.320062501</v>
      </c>
      <c r="G89" s="66" t="n">
        <f aca="false">F89/B89</f>
        <v>0.0626049204880857</v>
      </c>
      <c r="H89" s="49" t="n">
        <f aca="false">F89-F88</f>
        <v>36753.1384946064</v>
      </c>
      <c r="I89" s="66" t="n">
        <f aca="false">MAX(0.005,pac_u_base*IF(Paths!AC89=1,pac_u_war,1)+(okun*(1-Economy!G89)*(B89+L89)-MAX(0,L88-L89))/B89)</f>
        <v>0.015</v>
      </c>
      <c r="J89" s="49" t="n">
        <f aca="false">IF(AND(gw_on=1,$A89&gt;=gw_start),MIN(gw_cap*B88,gw_cover*F88+gw_gen*B88),0)</f>
        <v>1566101.75522677</v>
      </c>
      <c r="K89" s="49" t="n">
        <f aca="false">L88*gw_conv</f>
        <v>39725.0425110731</v>
      </c>
      <c r="L89" s="49" t="n">
        <f aca="false">MAX(0,L88-K89+gw_adj*(J89-L88))*MAX(0,1-gw_slump*(1-Economy!G89))</f>
        <v>1381216.5098011</v>
      </c>
      <c r="M89" s="49" t="n">
        <f aca="false">MAX(0,L89-L88+L88/gw_term)</f>
        <v>498437.787332805</v>
      </c>
      <c r="N89" s="66" t="n">
        <f aca="false">L89/B89</f>
        <v>0.100038661176347</v>
      </c>
      <c r="O89" s="56" t="n">
        <f aca="false">Economy!L89</f>
        <v>3742.45790054065</v>
      </c>
      <c r="P89" s="56" t="n">
        <f aca="false">O89*gw_wage_share</f>
        <v>2432.59763535142</v>
      </c>
      <c r="Q89" s="56" t="n">
        <f aca="false">P89*gw_levy</f>
        <v>608.149408837855</v>
      </c>
      <c r="R89" s="56" t="n">
        <f aca="false">P89*gw_remit</f>
        <v>608.149408837855</v>
      </c>
      <c r="S89" s="66" t="n">
        <f aca="false">IF(union_resp&gt;=1,MIN(1,MAX(0,($A89-resp_start)/(resp_full-resp_start))),0)</f>
        <v>1</v>
      </c>
      <c r="T89" s="70" t="n">
        <f aca="false">Economy!R88</f>
        <v>2.42466933649932</v>
      </c>
      <c r="U89" s="70" t="n">
        <f aca="false">MAX(0,T89-gap_base)</f>
        <v>0.924669336499323</v>
      </c>
      <c r="V89" s="71" t="n">
        <v>90.7</v>
      </c>
      <c r="W89" s="49" t="n">
        <f aca="false">V89*1000000*lf_rate*union_skill_share</f>
        <v>4571280</v>
      </c>
      <c r="X89" s="47" t="n">
        <v>120000</v>
      </c>
      <c r="Y89" s="49" t="n">
        <f aca="false">IF(AND(mig_endo=1,$A89&gt;=talent_start),talent_rate_u*W89*U89*(1-(1-bd_keep)*S89),0)</f>
        <v>14075.6517403602</v>
      </c>
      <c r="Z89" s="49" t="n">
        <f aca="false">IF(AND(mig_endo=1,$A89&gt;=talent_start),X89*MIN(0.5,talent_share_o*U89)*(1-eu_comp*S89),0)</f>
        <v>20971.5005518046</v>
      </c>
      <c r="AA89" s="47" t="n">
        <v>120000</v>
      </c>
      <c r="AB89" s="49" t="n">
        <f aca="false">IF(AND(mig_endo=1,$A89&gt;=talent_start),AA89*MIN(0.5,talent_share_a*U89),0)</f>
        <v>22192.0640759837</v>
      </c>
      <c r="AC89" s="49" t="n">
        <f aca="false">entry_cap*People!B89</f>
        <v>97050.4717042584</v>
      </c>
      <c r="AD89" s="49" t="n">
        <f aca="false">MIN(AC89,Y89+Z89+AB89)</f>
        <v>57239.2163681486</v>
      </c>
      <c r="AE89" s="49" t="n">
        <f aca="false">IF(Y89+Z89+AB89&gt;0,AD89*Y89/(Y89+Z89+AB89),0)</f>
        <v>14075.6517403602</v>
      </c>
      <c r="AF89" s="49" t="n">
        <f aca="false">IF(Y89+Z89+AB89&gt;0,AD89*AB89/(Y89+Z89+AB89),0)</f>
        <v>22192.0640759837</v>
      </c>
      <c r="AG89" s="49" t="n">
        <f aca="false">AD89*family_mult</f>
        <v>125926.276009927</v>
      </c>
      <c r="AH89" s="49" t="n">
        <f aca="false">AH88*(1+Paths!C89)+AG89</f>
        <v>5700702.15086396</v>
      </c>
      <c r="AI89" s="49" t="n">
        <f aca="false">IF(AND(mig_endo=1,$A89&gt;=talent_start),chain_rate*AH88,0)</f>
        <v>82195.545409948</v>
      </c>
      <c r="AJ89" s="49" t="n">
        <f aca="false">IF(AND(mig_endo=1,$A89&gt;=talent_start),IF(H88&gt;0,H88*job_fill,H88*job_return)*job_family,0)</f>
        <v>20779.6721173699</v>
      </c>
      <c r="AK89" s="49" t="n">
        <f aca="false">K89*gw_conv_family</f>
        <v>71505.0765199316</v>
      </c>
      <c r="AL89" s="49" t="n">
        <f aca="false">AG89+AI89+AJ89+AK89+AR89</f>
        <v>339606.570057177</v>
      </c>
      <c r="AM89" s="49" t="n">
        <f aca="false">AM88*(1-skill_ret)+AD89</f>
        <v>1068114.94617703</v>
      </c>
      <c r="AN89" s="67" t="n">
        <f aca="false">AM89/B89</f>
        <v>0.0773613611188175</v>
      </c>
      <c r="AO89" s="67" t="n">
        <f aca="false">(skill_rel-1+skill_spill)*AM88/B88-AT89</f>
        <v>0.0901911947326839</v>
      </c>
      <c r="AP89" s="67" t="n">
        <f aca="false">talent_champ*AM88/(skill_base_share*B88)</f>
        <v>0.155103213782425</v>
      </c>
      <c r="AQ89" s="47" t="n">
        <v>280000</v>
      </c>
      <c r="AR89" s="49" t="n">
        <f aca="false">IF(AND(div_on=1,$A89&gt;=div_start),AQ89*MIN(div_max,div_rate*U89)*(1-div_comp*S89),0)</f>
        <v>39200</v>
      </c>
      <c r="AS89" s="49" t="n">
        <f aca="false">AS88*(1-div_assim)+AR89</f>
        <v>1324493.01603902</v>
      </c>
      <c r="AT89" s="67" t="n">
        <f aca="false">(1-div_rel)*AS88/Economy!B88</f>
        <v>0.0106258942258926</v>
      </c>
      <c r="AU89" s="49" t="n">
        <f aca="false">AU88*(1-skill_ret)+AE89</f>
        <v>344368.049893667</v>
      </c>
      <c r="AV89" s="49" t="n">
        <f aca="false">AV88*(1+union_nat)+AR89</f>
        <v>4618274.8664562</v>
      </c>
      <c r="AW89" s="49" t="n">
        <f aca="false">AW88*(1+union_nat)+AE89*family_mult</f>
        <v>2013041.94899159</v>
      </c>
      <c r="AX89" s="70" t="n">
        <f aca="false">V89-(AV89+AW89)/1000000</f>
        <v>84.0686831845522</v>
      </c>
      <c r="AY89" s="49" t="n">
        <f aca="false">L89*gw_union</f>
        <v>276243.301960219</v>
      </c>
      <c r="AZ89" s="48" t="n">
        <v>1.067</v>
      </c>
      <c r="BA89" s="49" t="n">
        <f aca="false">Economy!Q89*AZ89/lf_rate</f>
        <v>2182.26904761905</v>
      </c>
      <c r="BB89" s="67" t="n">
        <f aca="false">bd_growth*AU88/W88</f>
        <v>0.00224722735669569</v>
      </c>
      <c r="BC89" s="67" t="n">
        <f aca="false">tg_k*MIN(1,Economy!O88/BK88)</f>
        <v>0.003</v>
      </c>
      <c r="BD89" s="67" t="n">
        <f aca="false">emu_g*S89</f>
        <v>0.0015</v>
      </c>
      <c r="BE89" s="68" t="n">
        <f aca="false">BE88*(1-BB89-BC89+BD89)</f>
        <v>0.853241568694866</v>
      </c>
      <c r="BF89" s="48" t="n">
        <v>1</v>
      </c>
      <c r="BG89" s="56" t="n">
        <f aca="false">AU89*BA89*BE89*(skill_rel-1+skill_spill)/1000000</f>
        <v>833.578494861675</v>
      </c>
      <c r="BH89" s="56" t="n">
        <f aca="false">union_disp*(Champions!AP89+Champions!AZ89)*(1-IF(union_resp=2,mkt_cut*S89,0))</f>
        <v>1115.08795025758</v>
      </c>
      <c r="BI89" s="56" t="n">
        <f aca="false">AY89*BA89*BE89/1000000</f>
        <v>514.365764577756</v>
      </c>
      <c r="BJ89" s="49" t="n">
        <f aca="false">V89*Economy!Q89*AZ89</f>
        <v>83131.3571</v>
      </c>
      <c r="BK89" s="49" t="n">
        <f aca="false">MAX(0.3*BJ89,AX89*Economy!Q89*AZ89*BE89*BF89-BG89-BH89-BI89)</f>
        <v>63282.1349038486</v>
      </c>
      <c r="BL89" s="66" t="n">
        <f aca="false">1-BK89/BJ89</f>
        <v>0.23876937522233</v>
      </c>
      <c r="BM89" s="49" t="n">
        <f aca="false">MAX(0,BH89-BH88)*1000000/BA89</f>
        <v>35766.4530601679</v>
      </c>
      <c r="BN89" s="49" t="n">
        <f aca="false">BN88*(1-IF(AND($A89&gt;=1930,$A89&lt;=1932),0,union_reabsorb))+BM89</f>
        <v>141279.929488716</v>
      </c>
      <c r="BO89" s="62" t="n">
        <v>0.032</v>
      </c>
      <c r="BP89" s="66" t="n">
        <f aca="false">BO89+BN89/(AX89*1000000*lf_rate)</f>
        <v>0.0360012614894717</v>
      </c>
    </row>
    <row r="90" customFormat="false" ht="14.25" hidden="false" customHeight="true" outlineLevel="0" collapsed="false">
      <c r="A90" s="61" t="n">
        <v>1930</v>
      </c>
      <c r="B90" s="49" t="n">
        <f aca="false">Economy!B90*lf_rate</f>
        <v>14226772.8678968</v>
      </c>
      <c r="C90" s="49" t="n">
        <f aca="false">Economy!O90*1000000/(B90+L90)</f>
        <v>4211.76732151595</v>
      </c>
      <c r="D90" s="49" t="n">
        <f aca="false">Champions!AP90*1000000/(C90*champ_prem)</f>
        <v>471370.087638299</v>
      </c>
      <c r="E90" s="49" t="n">
        <f aca="false">D90*job_mult</f>
        <v>329959.061346809</v>
      </c>
      <c r="F90" s="49" t="n">
        <f aca="false">D90+E90</f>
        <v>801329.148985108</v>
      </c>
      <c r="G90" s="66" t="n">
        <f aca="false">F90/B90</f>
        <v>0.0563254334926041</v>
      </c>
      <c r="H90" s="49" t="n">
        <f aca="false">F90-F89</f>
        <v>-63046.171077393</v>
      </c>
      <c r="I90" s="66" t="n">
        <f aca="false">MAX(0.005,pac_u_base*IF(Paths!AC90=1,pac_u_war,1)+(okun*(1-Economy!G90)*(B90+L90)-MAX(0,L89-L90))/B90)</f>
        <v>0.0419350084115873</v>
      </c>
      <c r="J90" s="49" t="n">
        <f aca="false">IF(AND(gw_on=1,$A90&gt;=gw_start),MIN(gw_cap*B89,gw_cover*F89+gw_gen*B89),0)</f>
        <v>1623171.36933294</v>
      </c>
      <c r="K90" s="49" t="n">
        <f aca="false">L89*gw_conv</f>
        <v>41436.4952940329</v>
      </c>
      <c r="L90" s="49" t="n">
        <f aca="false">MAX(0,L89-K90+gw_adj*(J90-L89))*MAX(0,1-gw_slump*(1-Economy!G90))</f>
        <v>1298652.0103211</v>
      </c>
      <c r="M90" s="49" t="n">
        <f aca="false">MAX(0,L90-L89+L89/gw_term)</f>
        <v>377841.003787036</v>
      </c>
      <c r="N90" s="66" t="n">
        <f aca="false">L90/B90</f>
        <v>0.0912822621391215</v>
      </c>
      <c r="O90" s="56" t="n">
        <f aca="false">Economy!L90</f>
        <v>3249.43402168776</v>
      </c>
      <c r="P90" s="56" t="n">
        <f aca="false">O90*gw_wage_share</f>
        <v>2112.13211409704</v>
      </c>
      <c r="Q90" s="56" t="n">
        <f aca="false">P90*gw_levy</f>
        <v>528.033028524261</v>
      </c>
      <c r="R90" s="56" t="n">
        <f aca="false">P90*gw_remit</f>
        <v>528.033028524261</v>
      </c>
      <c r="S90" s="66" t="n">
        <f aca="false">IF(union_resp&gt;=1,MIN(1,MAX(0,($A90-resp_start)/(resp_full-resp_start))),0)</f>
        <v>1</v>
      </c>
      <c r="T90" s="70" t="n">
        <f aca="false">Economy!R89</f>
        <v>2.36102012305346</v>
      </c>
      <c r="U90" s="70" t="n">
        <f aca="false">MAX(0,T90-gap_base)</f>
        <v>0.861020123053457</v>
      </c>
      <c r="V90" s="71" t="n">
        <v>91.43</v>
      </c>
      <c r="W90" s="49" t="n">
        <f aca="false">V90*1000000*lf_rate*union_skill_share</f>
        <v>4608072</v>
      </c>
      <c r="X90" s="47" t="n">
        <v>110000</v>
      </c>
      <c r="Y90" s="49" t="n">
        <f aca="false">IF(AND(mig_endo=1,$A90&gt;=talent_start),talent_rate_u*W90*U90*(1-(1-bd_keep)*S90),0)</f>
        <v>13212.2502591957</v>
      </c>
      <c r="Z90" s="49" t="n">
        <f aca="false">IF(AND(mig_endo=1,$A90&gt;=talent_start),X90*MIN(0.5,talent_share_o*U90)*(1-eu_comp*S90),0)</f>
        <v>17900.6083582814</v>
      </c>
      <c r="AA90" s="47" t="n">
        <v>123000</v>
      </c>
      <c r="AB90" s="49" t="n">
        <f aca="false">IF(AND(mig_endo=1,$A90&gt;=talent_start),AA90*MIN(0.5,talent_share_a*U90),0)</f>
        <v>21181.095027115</v>
      </c>
      <c r="AC90" s="49" t="n">
        <f aca="false">entry_cap*People!B90</f>
        <v>100189.917098499</v>
      </c>
      <c r="AD90" s="49" t="n">
        <f aca="false">MIN(AC90,Y90+Z90+AB90)</f>
        <v>52293.9536445921</v>
      </c>
      <c r="AE90" s="49" t="n">
        <f aca="false">IF(Y90+Z90+AB90&gt;0,AD90*Y90/(Y90+Z90+AB90),0)</f>
        <v>13212.2502591957</v>
      </c>
      <c r="AF90" s="49" t="n">
        <f aca="false">IF(Y90+Z90+AB90&gt;0,AD90*AB90/(Y90+Z90+AB90),0)</f>
        <v>21181.095027115</v>
      </c>
      <c r="AG90" s="49" t="n">
        <f aca="false">AD90*family_mult</f>
        <v>115046.698018103</v>
      </c>
      <c r="AH90" s="49" t="n">
        <f aca="false">AH89*(1+Paths!C90)+AG90</f>
        <v>5913783.82377047</v>
      </c>
      <c r="AI90" s="49" t="n">
        <f aca="false">IF(AND(mig_endo=1,$A90&gt;=talent_start),chain_rate*AH89,0)</f>
        <v>85510.5322629594</v>
      </c>
      <c r="AJ90" s="49" t="n">
        <f aca="false">IF(AND(mig_endo=1,$A90&gt;=talent_start),IF(H89&gt;0,H89*job_fill,H89*job_return)*job_family,0)</f>
        <v>23154.477251602</v>
      </c>
      <c r="AK90" s="49" t="n">
        <f aca="false">K90*gw_conv_family</f>
        <v>74585.6915292592</v>
      </c>
      <c r="AL90" s="49" t="n">
        <f aca="false">AG90+AI90+AJ90+AK90+AR90</f>
        <v>331897.399061923</v>
      </c>
      <c r="AM90" s="49" t="n">
        <f aca="false">AM89*(1-skill_ret)+AD90</f>
        <v>1093706.02616719</v>
      </c>
      <c r="AN90" s="67" t="n">
        <f aca="false">AM90/B90</f>
        <v>0.0768766069665155</v>
      </c>
      <c r="AO90" s="67" t="n">
        <f aca="false">(skill_rel-1+skill_spill)*AM89/B89-AT90</f>
        <v>0.090497088417288</v>
      </c>
      <c r="AP90" s="67" t="n">
        <f aca="false">talent_champ*AM89/(skill_base_share*B89)</f>
        <v>0.154722722237635</v>
      </c>
      <c r="AQ90" s="47" t="n">
        <v>240000</v>
      </c>
      <c r="AR90" s="49" t="n">
        <f aca="false">IF(AND(div_on=1,$A90&gt;=div_start),AQ90*MIN(div_max,div_rate*U90)*(1-div_comp*S90),0)</f>
        <v>33600</v>
      </c>
      <c r="AS90" s="49" t="n">
        <f aca="false">AS89*(1-div_assim)+AR90</f>
        <v>1291868.36523707</v>
      </c>
      <c r="AT90" s="67" t="n">
        <f aca="false">(1-div_rel)*AS89/Economy!B89</f>
        <v>0.0100726810371748</v>
      </c>
      <c r="AU90" s="49" t="n">
        <f aca="false">AU89*(1-skill_ret)+AE90</f>
        <v>348971.098905521</v>
      </c>
      <c r="AV90" s="49" t="n">
        <f aca="false">AV89*(1+union_nat)+AR90</f>
        <v>4711912.43972013</v>
      </c>
      <c r="AW90" s="49" t="n">
        <f aca="false">AW89*(1+union_nat)+AE90*family_mult</f>
        <v>2068278.44489871</v>
      </c>
      <c r="AX90" s="70" t="n">
        <f aca="false">V90-(AV90+AW90)/1000000</f>
        <v>84.6498091153812</v>
      </c>
      <c r="AY90" s="49" t="n">
        <f aca="false">L90*gw_union</f>
        <v>259730.40206422</v>
      </c>
      <c r="AZ90" s="48" t="n">
        <v>1.069</v>
      </c>
      <c r="BA90" s="49" t="n">
        <f aca="false">Economy!Q90*AZ90/lf_rate</f>
        <v>1903.8380952381</v>
      </c>
      <c r="BB90" s="67" t="n">
        <f aca="false">bd_growth*AU89/W89</f>
        <v>0.00225998877706244</v>
      </c>
      <c r="BC90" s="67" t="n">
        <f aca="false">tg_k*MIN(1,Economy!O89/BK89)</f>
        <v>0.003</v>
      </c>
      <c r="BD90" s="67" t="n">
        <f aca="false">emu_g*S90</f>
        <v>0.0015</v>
      </c>
      <c r="BE90" s="68" t="n">
        <f aca="false">BE89*(1-BB90-BC90+BD90)</f>
        <v>0.85003338997245</v>
      </c>
      <c r="BF90" s="48" t="n">
        <v>0.97</v>
      </c>
      <c r="BG90" s="56" t="n">
        <f aca="false">AU90*BA90*BE90*(skill_rel-1+skill_spill)/1000000</f>
        <v>734.173680730934</v>
      </c>
      <c r="BH90" s="56" t="n">
        <f aca="false">union_disp*(Champions!AP90+Champions!AZ90)*(1-IF(union_resp=2,mkt_cut*S90,0))</f>
        <v>967.388298652722</v>
      </c>
      <c r="BI90" s="56" t="n">
        <f aca="false">AY90*BA90*BE90/1000000</f>
        <v>420.328449678468</v>
      </c>
      <c r="BJ90" s="49" t="n">
        <f aca="false">V90*Economy!Q90*AZ90</f>
        <v>73108.52516</v>
      </c>
      <c r="BK90" s="49" t="n">
        <f aca="false">MAX(0.3*BJ90,AX90*Economy!Q90*AZ90*BE90*BF90-BG90-BH90-BI90)</f>
        <v>53688.2359467642</v>
      </c>
      <c r="BL90" s="66" t="n">
        <f aca="false">1-BK90/BJ90</f>
        <v>0.265636451709755</v>
      </c>
      <c r="BM90" s="49" t="n">
        <f aca="false">MAX(0,BH90-BH89)*1000000/BA90</f>
        <v>0</v>
      </c>
      <c r="BN90" s="49" t="n">
        <f aca="false">BN89*(1-IF(AND($A90&gt;=1930,$A90&lt;=1932),0,union_reabsorb))+BM90</f>
        <v>141279.929488716</v>
      </c>
      <c r="BO90" s="62" t="n">
        <v>0.087</v>
      </c>
      <c r="BP90" s="66" t="n">
        <f aca="false">BO90+BN90/(AX90*1000000*lf_rate)</f>
        <v>0.0909737925934179</v>
      </c>
    </row>
    <row r="91" customFormat="false" ht="14.25" hidden="false" customHeight="true" outlineLevel="0" collapsed="false">
      <c r="A91" s="61" t="n">
        <v>1931</v>
      </c>
      <c r="B91" s="49" t="n">
        <f aca="false">Economy!B91*lf_rate</f>
        <v>14615337.9881803</v>
      </c>
      <c r="C91" s="49" t="n">
        <f aca="false">Economy!O91*1000000/(B91+L91)</f>
        <v>3764.8767593518</v>
      </c>
      <c r="D91" s="49" t="n">
        <f aca="false">Champions!AP91*1000000/(C91*champ_prem)</f>
        <v>448301.36351363</v>
      </c>
      <c r="E91" s="49" t="n">
        <f aca="false">D91*job_mult</f>
        <v>313810.954459541</v>
      </c>
      <c r="F91" s="49" t="n">
        <f aca="false">D91+E91</f>
        <v>762112.317973171</v>
      </c>
      <c r="G91" s="66" t="n">
        <f aca="false">F91/B91</f>
        <v>0.0521446933755145</v>
      </c>
      <c r="H91" s="49" t="n">
        <f aca="false">F91-F90</f>
        <v>-39216.8310119377</v>
      </c>
      <c r="I91" s="66" t="n">
        <f aca="false">MAX(0.005,pac_u_base*IF(Paths!AC91=1,pac_u_war,1)+(okun*(1-Economy!G91)*(B91+L91)-MAX(0,L90-L91))/B91)</f>
        <v>0.0636913327258655</v>
      </c>
      <c r="J91" s="49" t="n">
        <f aca="false">IF(AND(gw_on=1,$A91&gt;=gw_start),MIN(gw_cap*B90,gw_cover*F90+gw_gen*B90),0)</f>
        <v>1618939.31882281</v>
      </c>
      <c r="K91" s="49" t="n">
        <f aca="false">L90*gw_conv</f>
        <v>38959.560309633</v>
      </c>
      <c r="L91" s="49" t="n">
        <f aca="false">MAX(0,L90-K91+gw_adj*(J91-L90))*MAX(0,1-gw_slump*(1-Economy!G91))</f>
        <v>1143553.27569161</v>
      </c>
      <c r="M91" s="49" t="n">
        <f aca="false">MAX(0,L91-L90+L90/gw_term)</f>
        <v>277785.26881088</v>
      </c>
      <c r="N91" s="66" t="n">
        <f aca="false">L91/B91</f>
        <v>0.0782433684815518</v>
      </c>
      <c r="O91" s="56" t="n">
        <f aca="false">Economy!L91</f>
        <v>2557.44053843605</v>
      </c>
      <c r="P91" s="56" t="n">
        <f aca="false">O91*gw_wage_share</f>
        <v>1662.33634998343</v>
      </c>
      <c r="Q91" s="56" t="n">
        <f aca="false">P91*gw_levy</f>
        <v>415.584087495857</v>
      </c>
      <c r="R91" s="56" t="n">
        <f aca="false">P91*gw_remit</f>
        <v>415.584087495857</v>
      </c>
      <c r="S91" s="66" t="n">
        <f aca="false">IF(union_resp&gt;=1,MIN(1,MAX(0,($A91-resp_start)/(resp_full-resp_start))),0)</f>
        <v>1</v>
      </c>
      <c r="T91" s="70" t="n">
        <f aca="false">Economy!R90</f>
        <v>2.48547947503365</v>
      </c>
      <c r="U91" s="70" t="n">
        <f aca="false">MAX(0,T91-gap_base)</f>
        <v>0.985479475033647</v>
      </c>
      <c r="V91" s="71" t="n">
        <v>92.17</v>
      </c>
      <c r="W91" s="49" t="n">
        <f aca="false">V91*1000000*lf_rate*union_skill_share</f>
        <v>4645368</v>
      </c>
      <c r="X91" s="47" t="n">
        <v>100000</v>
      </c>
      <c r="Y91" s="49" t="n">
        <f aca="false">IF(AND(mig_endo=1,$A91&gt;=talent_start),talent_rate_u*W91*U91*(1-(1-bd_keep)*S91),0)</f>
        <v>15244.4563438671</v>
      </c>
      <c r="Z91" s="49" t="n">
        <f aca="false">IF(AND(mig_endo=1,$A91&gt;=talent_start),X91*MIN(0.5,talent_share_o*U91)*(1-eu_comp*S91),0)</f>
        <v>18625.5620781359</v>
      </c>
      <c r="AA91" s="47" t="n">
        <v>127000</v>
      </c>
      <c r="AB91" s="49" t="n">
        <f aca="false">IF(AND(mig_endo=1,$A91&gt;=talent_start),AA91*MIN(0.5,talent_share_a*U91),0)</f>
        <v>25031.1786658546</v>
      </c>
      <c r="AC91" s="49" t="n">
        <f aca="false">entry_cap*People!B91</f>
        <v>103049.695300028</v>
      </c>
      <c r="AD91" s="49" t="n">
        <f aca="false">MIN(AC91,Y91+Z91+AB91)</f>
        <v>58901.1970878576</v>
      </c>
      <c r="AE91" s="49" t="n">
        <f aca="false">IF(Y91+Z91+AB91&gt;0,AD91*Y91/(Y91+Z91+AB91),0)</f>
        <v>15244.4563438671</v>
      </c>
      <c r="AF91" s="49" t="n">
        <f aca="false">IF(Y91+Z91+AB91&gt;0,AD91*AB91/(Y91+Z91+AB91),0)</f>
        <v>25031.1786658546</v>
      </c>
      <c r="AG91" s="49" t="n">
        <f aca="false">AD91*family_mult</f>
        <v>129582.633593287</v>
      </c>
      <c r="AH91" s="49" t="n">
        <f aca="false">AH90*(1+Paths!C91)+AG91</f>
        <v>6143575.52425755</v>
      </c>
      <c r="AI91" s="49" t="n">
        <f aca="false">IF(AND(mig_endo=1,$A91&gt;=talent_start),chain_rate*AH90,0)</f>
        <v>88706.7573565571</v>
      </c>
      <c r="AJ91" s="49" t="n">
        <f aca="false">IF(AND(mig_endo=1,$A91&gt;=talent_start),IF(H90&gt;0,H90*job_fill,H90*job_return)*job_family,0)</f>
        <v>-34044.9323817922</v>
      </c>
      <c r="AK91" s="49" t="n">
        <f aca="false">K91*gw_conv_family</f>
        <v>70127.2085573394</v>
      </c>
      <c r="AL91" s="49" t="n">
        <f aca="false">AG91+AI91+AJ91+AK91+AR91</f>
        <v>267951.667125391</v>
      </c>
      <c r="AM91" s="49" t="n">
        <f aca="false">AM90*(1-skill_ret)+AD91</f>
        <v>1125264.57260087</v>
      </c>
      <c r="AN91" s="67" t="n">
        <f aca="false">AM91/B91</f>
        <v>0.0769920321727005</v>
      </c>
      <c r="AO91" s="67" t="n">
        <f aca="false">(skill_rel-1+skill_spill)*AM90/B90-AT91</f>
        <v>0.0904050178919876</v>
      </c>
      <c r="AP91" s="67" t="n">
        <f aca="false">talent_champ*AM90/(skill_base_share*B90)</f>
        <v>0.153753213933031</v>
      </c>
      <c r="AQ91" s="47" t="n">
        <v>97000</v>
      </c>
      <c r="AR91" s="49" t="n">
        <f aca="false">IF(AND(div_on=1,$A91&gt;=div_start),AQ91*MIN(div_max,div_rate*U91)*(1-div_comp*S91),0)</f>
        <v>13580</v>
      </c>
      <c r="AS91" s="49" t="n">
        <f aca="false">AS90*(1-div_assim)+AR91</f>
        <v>1240854.94697521</v>
      </c>
      <c r="AT91" s="67" t="n">
        <f aca="false">(1-div_rel)*AS90/Economy!B90</f>
        <v>0.00953457116448254</v>
      </c>
      <c r="AU91" s="49" t="n">
        <f aca="false">AU90*(1-skill_ret)+AE91</f>
        <v>355491.27777675</v>
      </c>
      <c r="AV91" s="49" t="n">
        <f aca="false">AV90*(1+union_nat)+AR91</f>
        <v>4786747.30143649</v>
      </c>
      <c r="AW91" s="49" t="n">
        <f aca="false">AW90*(1+union_nat)+AE91*family_mult</f>
        <v>2128703.8686389</v>
      </c>
      <c r="AX91" s="70" t="n">
        <f aca="false">V91-(AV91+AW91)/1000000</f>
        <v>85.2545488299246</v>
      </c>
      <c r="AY91" s="49" t="n">
        <f aca="false">L91*gw_union</f>
        <v>228710.655138323</v>
      </c>
      <c r="AZ91" s="48" t="n">
        <v>1.072</v>
      </c>
      <c r="BA91" s="49" t="n">
        <f aca="false">Economy!Q91*AZ91/lf_rate</f>
        <v>1592.68571428571</v>
      </c>
      <c r="BB91" s="67" t="n">
        <f aca="false">bd_growth*AU90/W90</f>
        <v>0.00227191175987824</v>
      </c>
      <c r="BC91" s="67" t="n">
        <f aca="false">tg_k*MIN(1,Economy!O90/BK90)</f>
        <v>0.003</v>
      </c>
      <c r="BD91" s="67" t="n">
        <f aca="false">emu_g*S91</f>
        <v>0.0015</v>
      </c>
      <c r="BE91" s="68" t="n">
        <f aca="false">BE90*(1-BB91-BC91+BD91)</f>
        <v>0.846827139032523</v>
      </c>
      <c r="BF91" s="48" t="n">
        <v>0.94</v>
      </c>
      <c r="BG91" s="56" t="n">
        <f aca="false">AU91*BA91*BE91*(skill_rel-1+skill_spill)/1000000</f>
        <v>623.30003923205</v>
      </c>
      <c r="BH91" s="56" t="n">
        <f aca="false">union_disp*(Champions!AP91+Champions!AZ91)*(1-IF(union_resp=2,mkt_cut*S91,0))</f>
        <v>801.457544900347</v>
      </c>
      <c r="BI91" s="56" t="n">
        <f aca="false">AY91*BA91*BE91/1000000</f>
        <v>308.468804531898</v>
      </c>
      <c r="BJ91" s="49" t="n">
        <f aca="false">V91*Economy!Q91*AZ91</f>
        <v>61655.09376</v>
      </c>
      <c r="BK91" s="49" t="n">
        <f aca="false">MAX(0.3*BJ91,AX91*Economy!Q91*AZ91*BE91*BF91-BG91-BH91-BI91)</f>
        <v>43662.9794836239</v>
      </c>
      <c r="BL91" s="66" t="n">
        <f aca="false">1-BK91/BJ91</f>
        <v>0.291818780560331</v>
      </c>
      <c r="BM91" s="49" t="n">
        <f aca="false">MAX(0,BH91-BH90)*1000000/BA91</f>
        <v>0</v>
      </c>
      <c r="BN91" s="49" t="n">
        <f aca="false">BN90*(1-IF(AND($A91&gt;=1930,$A91&lt;=1932),0,union_reabsorb))+BM91</f>
        <v>141279.929488716</v>
      </c>
      <c r="BO91" s="62" t="n">
        <v>0.159</v>
      </c>
      <c r="BP91" s="66" t="n">
        <f aca="false">BO91+BN91/(AX91*1000000*lf_rate)</f>
        <v>0.162945605121528</v>
      </c>
    </row>
    <row r="92" customFormat="false" ht="14.25" hidden="false" customHeight="true" outlineLevel="0" collapsed="false">
      <c r="A92" s="61" t="n">
        <v>1932</v>
      </c>
      <c r="B92" s="49" t="n">
        <f aca="false">Economy!B92*lf_rate</f>
        <v>14999906.7134172</v>
      </c>
      <c r="C92" s="49" t="n">
        <f aca="false">Economy!O92*1000000/(B92+L92)</f>
        <v>3425.61573626799</v>
      </c>
      <c r="D92" s="49" t="n">
        <f aca="false">Champions!AP92*1000000/(C92*champ_prem)</f>
        <v>418572.939250434</v>
      </c>
      <c r="E92" s="49" t="n">
        <f aca="false">D92*job_mult</f>
        <v>293001.057475304</v>
      </c>
      <c r="F92" s="49" t="n">
        <f aca="false">D92+E92</f>
        <v>711573.996725738</v>
      </c>
      <c r="G92" s="66" t="n">
        <f aca="false">F92/B92</f>
        <v>0.0474385614738022</v>
      </c>
      <c r="H92" s="49" t="n">
        <f aca="false">F92-F91</f>
        <v>-50538.3212474326</v>
      </c>
      <c r="I92" s="66" t="n">
        <f aca="false">MAX(0.005,pac_u_base*IF(Paths!AC92=1,pac_u_war,1)+(okun*(1-Economy!G92)*(B92+L92)-MAX(0,L91-L92))/B92)</f>
        <v>0.0808582879188501</v>
      </c>
      <c r="J92" s="49" t="n">
        <f aca="false">IF(AND(gw_on=1,$A92&gt;=gw_start),MIN(gw_cap*B91,gw_cover*F91+gw_gen*B91),0)</f>
        <v>1626494.42983833</v>
      </c>
      <c r="K92" s="49" t="n">
        <f aca="false">L91*gw_conv</f>
        <v>34306.5982707484</v>
      </c>
      <c r="L92" s="49" t="n">
        <f aca="false">MAX(0,L91-K92+gw_adj*(J92-L91))*MAX(0,1-gw_slump*(1-Economy!G92))</f>
        <v>1010680.35592573</v>
      </c>
      <c r="M92" s="49" t="n">
        <f aca="false">MAX(0,L92-L91+L91/gw_term)</f>
        <v>248311.505464656</v>
      </c>
      <c r="N92" s="66" t="n">
        <f aca="false">L92/B92</f>
        <v>0.0673791094328403</v>
      </c>
      <c r="O92" s="56" t="n">
        <f aca="false">Economy!L92</f>
        <v>2055.57730990984</v>
      </c>
      <c r="P92" s="56" t="n">
        <f aca="false">O92*gw_wage_share</f>
        <v>1336.1252514414</v>
      </c>
      <c r="Q92" s="56" t="n">
        <f aca="false">P92*gw_levy</f>
        <v>334.03131286035</v>
      </c>
      <c r="R92" s="56" t="n">
        <f aca="false">P92*gw_remit</f>
        <v>334.03131286035</v>
      </c>
      <c r="S92" s="66" t="n">
        <f aca="false">IF(union_resp&gt;=1,MIN(1,MAX(0,($A92-resp_start)/(resp_full-resp_start))),0)</f>
        <v>1</v>
      </c>
      <c r="T92" s="70" t="n">
        <f aca="false">Economy!R91</f>
        <v>2.64539099607696</v>
      </c>
      <c r="U92" s="70" t="n">
        <f aca="false">MAX(0,T92-gap_base)</f>
        <v>1.14539099607696</v>
      </c>
      <c r="V92" s="71" t="n">
        <v>92.9</v>
      </c>
      <c r="W92" s="49" t="n">
        <f aca="false">V92*1000000*lf_rate*union_skill_share</f>
        <v>4682160</v>
      </c>
      <c r="X92" s="47" t="n">
        <v>130000</v>
      </c>
      <c r="Y92" s="49" t="n">
        <f aca="false">IF(AND(mig_endo=1,$A92&gt;=talent_start),talent_rate_u*W92*U92*(1-(1-bd_keep)*S92),0)</f>
        <v>17858.4700076183</v>
      </c>
      <c r="Z92" s="49" t="n">
        <f aca="false">IF(AND(mig_endo=1,$A92&gt;=talent_start),X92*MIN(0.5,talent_share_o*U92)*(1-eu_comp*S92),0)</f>
        <v>28142.2567736109</v>
      </c>
      <c r="AA92" s="47" t="n">
        <v>130000</v>
      </c>
      <c r="AB92" s="49" t="n">
        <f aca="false">IF(AND(mig_endo=1,$A92&gt;=talent_start),AA92*MIN(0.5,talent_share_a*U92),0)</f>
        <v>29780.1658980009</v>
      </c>
      <c r="AC92" s="49" t="n">
        <f aca="false">entry_cap*People!B92</f>
        <v>105740.847388263</v>
      </c>
      <c r="AD92" s="49" t="n">
        <f aca="false">MIN(AC92,Y92+Z92+AB92)</f>
        <v>75780.8926792301</v>
      </c>
      <c r="AE92" s="49" t="n">
        <f aca="false">IF(Y92+Z92+AB92&gt;0,AD92*Y92/(Y92+Z92+AB92),0)</f>
        <v>17858.4700076183</v>
      </c>
      <c r="AF92" s="49" t="n">
        <f aca="false">IF(Y92+Z92+AB92&gt;0,AD92*AB92/(Y92+Z92+AB92),0)</f>
        <v>29780.1658980009</v>
      </c>
      <c r="AG92" s="49" t="n">
        <f aca="false">AD92*family_mult</f>
        <v>166717.963894306</v>
      </c>
      <c r="AH92" s="49" t="n">
        <f aca="false">AH91*(1+Paths!C92)+AG92</f>
        <v>6411859.07871888</v>
      </c>
      <c r="AI92" s="49" t="n">
        <f aca="false">IF(AND(mig_endo=1,$A92&gt;=talent_start),chain_rate*AH91,0)</f>
        <v>92153.6328638632</v>
      </c>
      <c r="AJ92" s="49" t="n">
        <f aca="false">IF(AND(mig_endo=1,$A92&gt;=talent_start),IF(H91&gt;0,H91*job_fill,H91*job_return)*job_family,0)</f>
        <v>-21177.0887464464</v>
      </c>
      <c r="AK92" s="49" t="n">
        <f aca="false">K92*gw_conv_family</f>
        <v>61751.8768873471</v>
      </c>
      <c r="AL92" s="49" t="n">
        <f aca="false">AG92+AI92+AJ92+AK92+AR92</f>
        <v>304486.38489907</v>
      </c>
      <c r="AM92" s="49" t="n">
        <f aca="false">AM91*(1-skill_ret)+AD92</f>
        <v>1172913.85096508</v>
      </c>
      <c r="AN92" s="67" t="n">
        <f aca="false">AM92/B92</f>
        <v>0.0781947430323634</v>
      </c>
      <c r="AO92" s="67" t="n">
        <f aca="false">(skill_rel-1+skill_spill)*AM91/B91-AT92</f>
        <v>0.0911750502127556</v>
      </c>
      <c r="AP92" s="67" t="n">
        <f aca="false">talent_champ*AM91/(skill_base_share*B91)</f>
        <v>0.153984064345401</v>
      </c>
      <c r="AQ92" s="47" t="n">
        <v>36000</v>
      </c>
      <c r="AR92" s="49" t="n">
        <f aca="false">IF(AND(div_on=1,$A92&gt;=div_start),AQ92*MIN(div_max,div_rate*U92)*(1-div_comp*S92),0)</f>
        <v>5040</v>
      </c>
      <c r="AS92" s="49" t="n">
        <f aca="false">AS91*(1-div_assim)+AR92</f>
        <v>1183852.19962645</v>
      </c>
      <c r="AT92" s="67" t="n">
        <f aca="false">(1-div_rel)*AS91/Economy!B91</f>
        <v>0.00891459161175506</v>
      </c>
      <c r="AU92" s="49" t="n">
        <f aca="false">AU91*(1-skill_ret)+AE92</f>
        <v>364462.46583995</v>
      </c>
      <c r="AV92" s="49" t="n">
        <f aca="false">AV91*(1+union_nat)+AR92</f>
        <v>4854015.01635516</v>
      </c>
      <c r="AW92" s="49" t="n">
        <f aca="false">AW91*(1+union_nat)+AE92*family_mult</f>
        <v>2195665.65294797</v>
      </c>
      <c r="AX92" s="70" t="n">
        <f aca="false">V92-(AV92+AW92)/1000000</f>
        <v>85.8503193306969</v>
      </c>
      <c r="AY92" s="49" t="n">
        <f aca="false">L92*gw_union</f>
        <v>202136.071185146</v>
      </c>
      <c r="AZ92" s="48" t="n">
        <v>1.074</v>
      </c>
      <c r="BA92" s="49" t="n">
        <f aca="false">Economy!Q92*AZ92/lf_rate</f>
        <v>1217.2</v>
      </c>
      <c r="BB92" s="67" t="n">
        <f aca="false">bd_growth*AU91/W91</f>
        <v>0.00229577900680904</v>
      </c>
      <c r="BC92" s="67" t="n">
        <f aca="false">tg_k*MIN(1,Economy!O91/BK91)</f>
        <v>0.003</v>
      </c>
      <c r="BD92" s="67" t="n">
        <f aca="false">emu_g*S92</f>
        <v>0.0015</v>
      </c>
      <c r="BE92" s="68" t="n">
        <f aca="false">BE91*(1-BB92-BC92+BD92)</f>
        <v>0.843612770355788</v>
      </c>
      <c r="BF92" s="48" t="n">
        <v>0.914</v>
      </c>
      <c r="BG92" s="56" t="n">
        <f aca="false">AU92*BA92*BE92*(skill_rel-1+skill_spill)/1000000</f>
        <v>486.520618836323</v>
      </c>
      <c r="BH92" s="56" t="n">
        <f aca="false">union_disp*(Champions!AP92+Champions!AZ92)*(1-IF(union_resp=2,mkt_cut*S92,0))</f>
        <v>686.723029501834</v>
      </c>
      <c r="BI92" s="56" t="n">
        <f aca="false">AY92*BA92*BE92/1000000</f>
        <v>207.562507822826</v>
      </c>
      <c r="BJ92" s="49" t="n">
        <f aca="false">V92*Economy!Q92*AZ92</f>
        <v>47492.7096</v>
      </c>
      <c r="BK92" s="49" t="n">
        <f aca="false">MAX(0.3*BJ92,AX92*Economy!Q92*AZ92*BE92*BF92-BG92-BH92-BI92)</f>
        <v>32460.1394643285</v>
      </c>
      <c r="BL92" s="66" t="n">
        <f aca="false">1-BK92/BJ92</f>
        <v>0.316523741481188</v>
      </c>
      <c r="BM92" s="49" t="n">
        <f aca="false">MAX(0,BH92-BH91)*1000000/BA92</f>
        <v>0</v>
      </c>
      <c r="BN92" s="49" t="n">
        <f aca="false">BN91*(1-IF(AND($A92&gt;=1930,$A92&lt;=1932),0,union_reabsorb))+BM92</f>
        <v>141279.929488716</v>
      </c>
      <c r="BO92" s="62" t="n">
        <v>0.236</v>
      </c>
      <c r="BP92" s="66" t="n">
        <f aca="false">BO92+BN92/(AX92*1000000*lf_rate)</f>
        <v>0.239918224033637</v>
      </c>
    </row>
  </sheetData>
  <mergeCells count="7">
    <mergeCell ref="B4:I4"/>
    <mergeCell ref="J4:R4"/>
    <mergeCell ref="S4:AF4"/>
    <mergeCell ref="AG4:AL4"/>
    <mergeCell ref="AM4:AP4"/>
    <mergeCell ref="AQ4:AT4"/>
    <mergeCell ref="AU4:BP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W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3" min="2" style="1" width="10"/>
  </cols>
  <sheetData>
    <row r="1" customFormat="false" ht="18" hidden="false" customHeight="true" outlineLevel="0" collapsed="false">
      <c r="A1" s="19" t="s">
        <v>1727</v>
      </c>
    </row>
    <row r="2" customFormat="false" ht="14.25" hidden="false" customHeight="true" outlineLevel="0" collapsed="false">
      <c r="A2" s="3" t="s">
        <v>1728</v>
      </c>
    </row>
    <row r="3" customFormat="false" ht="14.25" hidden="false" customHeight="true" outlineLevel="0" collapsed="false">
      <c r="A3" s="20" t="s">
        <v>1315</v>
      </c>
    </row>
    <row r="4" customFormat="false" ht="14.25" hidden="false" customHeight="true" outlineLevel="0" collapsed="false">
      <c r="B4" s="58" t="s">
        <v>1729</v>
      </c>
      <c r="C4" s="58"/>
      <c r="D4" s="58"/>
      <c r="E4" s="58"/>
      <c r="F4" s="58"/>
      <c r="G4" s="58"/>
      <c r="H4" s="58"/>
      <c r="I4" s="58"/>
      <c r="J4" s="58"/>
      <c r="K4" s="58" t="s">
        <v>1730</v>
      </c>
      <c r="L4" s="58"/>
      <c r="M4" s="58"/>
      <c r="N4" s="58"/>
      <c r="O4" s="58"/>
      <c r="P4" s="58"/>
      <c r="Q4" s="58"/>
      <c r="R4" s="58"/>
      <c r="S4" s="58"/>
      <c r="T4" s="58" t="s">
        <v>1731</v>
      </c>
      <c r="U4" s="58"/>
      <c r="V4" s="58"/>
      <c r="W4" s="58"/>
    </row>
    <row r="5" customFormat="false" ht="54" hidden="false" customHeight="true" outlineLevel="0" collapsed="false">
      <c r="A5" s="60" t="s">
        <v>103</v>
      </c>
      <c r="B5" s="7" t="s">
        <v>1732</v>
      </c>
      <c r="C5" s="7" t="s">
        <v>1733</v>
      </c>
      <c r="D5" s="7" t="s">
        <v>1734</v>
      </c>
      <c r="E5" s="7" t="s">
        <v>1735</v>
      </c>
      <c r="F5" s="7" t="s">
        <v>1736</v>
      </c>
      <c r="G5" s="7" t="s">
        <v>1737</v>
      </c>
      <c r="H5" s="7" t="s">
        <v>1738</v>
      </c>
      <c r="I5" s="7" t="s">
        <v>1739</v>
      </c>
      <c r="J5" s="7" t="s">
        <v>1740</v>
      </c>
      <c r="K5" s="7" t="s">
        <v>1741</v>
      </c>
      <c r="L5" s="7" t="s">
        <v>1742</v>
      </c>
      <c r="M5" s="7" t="s">
        <v>1743</v>
      </c>
      <c r="N5" s="7" t="s">
        <v>1744</v>
      </c>
      <c r="O5" s="7" t="s">
        <v>1745</v>
      </c>
      <c r="P5" s="7" t="s">
        <v>1746</v>
      </c>
      <c r="Q5" s="7" t="s">
        <v>1747</v>
      </c>
      <c r="R5" s="7" t="s">
        <v>1748</v>
      </c>
      <c r="S5" s="7" t="s">
        <v>1749</v>
      </c>
      <c r="T5" s="7" t="s">
        <v>1750</v>
      </c>
      <c r="U5" s="7" t="s">
        <v>1751</v>
      </c>
      <c r="V5" s="7" t="s">
        <v>1752</v>
      </c>
      <c r="W5" s="7" t="s">
        <v>1753</v>
      </c>
    </row>
    <row r="6" customFormat="false" ht="14.25" hidden="false" customHeight="true" outlineLevel="0" collapsed="false">
      <c r="A6" s="61" t="n">
        <v>1846</v>
      </c>
      <c r="B6" s="47" t="n">
        <v>0</v>
      </c>
      <c r="C6" s="47" t="n">
        <v>0</v>
      </c>
      <c r="D6" s="47" t="n">
        <v>0</v>
      </c>
      <c r="E6" s="47" t="n">
        <v>0</v>
      </c>
      <c r="F6" s="47" t="n">
        <v>0</v>
      </c>
      <c r="G6" s="47" t="n">
        <v>0</v>
      </c>
      <c r="H6" s="47" t="n">
        <v>0</v>
      </c>
      <c r="I6" s="47" t="n">
        <v>0</v>
      </c>
      <c r="J6" s="47" t="n">
        <v>0</v>
      </c>
      <c r="K6" s="71" t="n">
        <v>0</v>
      </c>
      <c r="L6" s="71" t="n">
        <v>0</v>
      </c>
      <c r="M6" s="71" t="n">
        <v>0</v>
      </c>
      <c r="N6" s="71" t="n">
        <v>0</v>
      </c>
      <c r="O6" s="71" t="n">
        <v>0</v>
      </c>
      <c r="P6" s="71" t="n">
        <v>0</v>
      </c>
      <c r="Q6" s="71" t="n">
        <v>0</v>
      </c>
      <c r="R6" s="71" t="n">
        <v>0</v>
      </c>
      <c r="S6" s="71" t="n">
        <v>0</v>
      </c>
      <c r="T6" s="47" t="n">
        <v>0</v>
      </c>
      <c r="U6" s="47" t="n">
        <v>0</v>
      </c>
      <c r="V6" s="47" t="n">
        <v>0</v>
      </c>
      <c r="W6" s="47" t="n">
        <v>0</v>
      </c>
    </row>
    <row r="7" customFormat="false" ht="14.25" hidden="false" customHeight="true" outlineLevel="0" collapsed="false">
      <c r="A7" s="61" t="n">
        <v>1847</v>
      </c>
      <c r="B7" s="47" t="n">
        <v>0</v>
      </c>
      <c r="C7" s="47" t="n">
        <v>0</v>
      </c>
      <c r="D7" s="47" t="n">
        <v>0</v>
      </c>
      <c r="E7" s="47" t="n">
        <v>0</v>
      </c>
      <c r="F7" s="47" t="n">
        <v>0</v>
      </c>
      <c r="G7" s="47" t="n">
        <v>0</v>
      </c>
      <c r="H7" s="47" t="n">
        <v>0</v>
      </c>
      <c r="I7" s="47" t="n">
        <v>0</v>
      </c>
      <c r="J7" s="47" t="n">
        <v>0</v>
      </c>
      <c r="K7" s="71" t="n">
        <v>0</v>
      </c>
      <c r="L7" s="71" t="n">
        <v>0</v>
      </c>
      <c r="M7" s="71" t="n">
        <v>0</v>
      </c>
      <c r="N7" s="71" t="n">
        <v>0</v>
      </c>
      <c r="O7" s="71" t="n">
        <v>0</v>
      </c>
      <c r="P7" s="71" t="n">
        <v>0</v>
      </c>
      <c r="Q7" s="71" t="n">
        <v>0</v>
      </c>
      <c r="R7" s="71" t="n">
        <v>0</v>
      </c>
      <c r="S7" s="71" t="n">
        <v>0</v>
      </c>
      <c r="T7" s="47" t="n">
        <v>0</v>
      </c>
      <c r="U7" s="47" t="n">
        <v>0</v>
      </c>
      <c r="V7" s="47" t="n">
        <v>0</v>
      </c>
      <c r="W7" s="47" t="n">
        <v>0</v>
      </c>
    </row>
    <row r="8" customFormat="false" ht="14.25" hidden="false" customHeight="true" outlineLevel="0" collapsed="false">
      <c r="A8" s="61" t="n">
        <v>1848</v>
      </c>
      <c r="B8" s="47" t="n">
        <v>0</v>
      </c>
      <c r="C8" s="47" t="n">
        <v>0</v>
      </c>
      <c r="D8" s="47" t="n">
        <v>0</v>
      </c>
      <c r="E8" s="47" t="n">
        <v>0</v>
      </c>
      <c r="F8" s="47" t="n">
        <v>0</v>
      </c>
      <c r="G8" s="47" t="n">
        <v>0</v>
      </c>
      <c r="H8" s="47" t="n">
        <v>0</v>
      </c>
      <c r="I8" s="47" t="n">
        <v>0</v>
      </c>
      <c r="J8" s="47" t="n">
        <v>0</v>
      </c>
      <c r="K8" s="71" t="n">
        <v>0</v>
      </c>
      <c r="L8" s="71" t="n">
        <v>0</v>
      </c>
      <c r="M8" s="71" t="n">
        <v>0</v>
      </c>
      <c r="N8" s="71" t="n">
        <v>0</v>
      </c>
      <c r="O8" s="71" t="n">
        <v>0</v>
      </c>
      <c r="P8" s="71" t="n">
        <v>0</v>
      </c>
      <c r="Q8" s="71" t="n">
        <v>0</v>
      </c>
      <c r="R8" s="71" t="n">
        <v>0</v>
      </c>
      <c r="S8" s="71" t="n">
        <v>0</v>
      </c>
      <c r="T8" s="47" t="n">
        <v>0</v>
      </c>
      <c r="U8" s="47" t="n">
        <v>0</v>
      </c>
      <c r="V8" s="47" t="n">
        <v>0</v>
      </c>
      <c r="W8" s="47" t="n">
        <v>0</v>
      </c>
    </row>
    <row r="9" customFormat="false" ht="14.25" hidden="false" customHeight="true" outlineLevel="0" collapsed="false">
      <c r="A9" s="61" t="n">
        <v>1849</v>
      </c>
      <c r="B9" s="47" t="n">
        <v>0</v>
      </c>
      <c r="C9" s="47" t="n">
        <v>0</v>
      </c>
      <c r="D9" s="47" t="n">
        <v>0</v>
      </c>
      <c r="E9" s="47" t="n">
        <v>0</v>
      </c>
      <c r="F9" s="47" t="n">
        <v>0</v>
      </c>
      <c r="G9" s="47" t="n">
        <v>0</v>
      </c>
      <c r="H9" s="47" t="n">
        <v>0</v>
      </c>
      <c r="I9" s="47" t="n">
        <v>0</v>
      </c>
      <c r="J9" s="47" t="n">
        <v>0</v>
      </c>
      <c r="K9" s="71" t="n">
        <v>0</v>
      </c>
      <c r="L9" s="71" t="n">
        <v>0</v>
      </c>
      <c r="M9" s="71" t="n">
        <v>0</v>
      </c>
      <c r="N9" s="71" t="n">
        <v>0</v>
      </c>
      <c r="O9" s="71" t="n">
        <v>0</v>
      </c>
      <c r="P9" s="71" t="n">
        <v>0</v>
      </c>
      <c r="Q9" s="71" t="n">
        <v>0</v>
      </c>
      <c r="R9" s="71" t="n">
        <v>0</v>
      </c>
      <c r="S9" s="71" t="n">
        <v>0</v>
      </c>
      <c r="T9" s="47" t="n">
        <v>0</v>
      </c>
      <c r="U9" s="47" t="n">
        <v>0</v>
      </c>
      <c r="V9" s="47" t="n">
        <v>0</v>
      </c>
      <c r="W9" s="47" t="n">
        <v>0</v>
      </c>
    </row>
    <row r="10" customFormat="false" ht="14.25" hidden="false" customHeight="true" outlineLevel="0" collapsed="false">
      <c r="A10" s="61" t="n">
        <v>1850</v>
      </c>
      <c r="B10" s="47" t="n">
        <v>0</v>
      </c>
      <c r="C10" s="47" t="n">
        <v>0</v>
      </c>
      <c r="D10" s="47" t="n">
        <v>0</v>
      </c>
      <c r="E10" s="47" t="n">
        <v>0</v>
      </c>
      <c r="F10" s="47" t="n">
        <v>0</v>
      </c>
      <c r="G10" s="47" t="n">
        <v>0</v>
      </c>
      <c r="H10" s="47" t="n">
        <v>0</v>
      </c>
      <c r="I10" s="47" t="n">
        <v>0</v>
      </c>
      <c r="J10" s="47" t="n">
        <v>0</v>
      </c>
      <c r="K10" s="71" t="n">
        <v>0</v>
      </c>
      <c r="L10" s="71" t="n">
        <v>0.4</v>
      </c>
      <c r="M10" s="71" t="n">
        <v>0</v>
      </c>
      <c r="N10" s="71" t="n">
        <v>0</v>
      </c>
      <c r="O10" s="71" t="n">
        <v>0</v>
      </c>
      <c r="P10" s="71" t="n">
        <v>0</v>
      </c>
      <c r="Q10" s="71" t="n">
        <v>0</v>
      </c>
      <c r="R10" s="71" t="n">
        <v>0</v>
      </c>
      <c r="S10" s="71" t="n">
        <v>0</v>
      </c>
      <c r="T10" s="47" t="n">
        <v>0</v>
      </c>
      <c r="U10" s="47" t="n">
        <v>0</v>
      </c>
      <c r="V10" s="47" t="n">
        <v>0</v>
      </c>
      <c r="W10" s="47" t="n">
        <v>0</v>
      </c>
    </row>
    <row r="11" customFormat="false" ht="14.25" hidden="false" customHeight="true" outlineLevel="0" collapsed="false">
      <c r="A11" s="61" t="n">
        <v>1851</v>
      </c>
      <c r="B11" s="47" t="n">
        <v>0</v>
      </c>
      <c r="C11" s="47" t="n">
        <v>0</v>
      </c>
      <c r="D11" s="47" t="n">
        <v>0</v>
      </c>
      <c r="E11" s="47" t="n">
        <v>0</v>
      </c>
      <c r="F11" s="47" t="n">
        <v>0</v>
      </c>
      <c r="G11" s="47" t="n">
        <v>0</v>
      </c>
      <c r="H11" s="47" t="n">
        <v>0</v>
      </c>
      <c r="I11" s="47" t="n">
        <v>0</v>
      </c>
      <c r="J11" s="47" t="n">
        <v>0</v>
      </c>
      <c r="K11" s="71" t="n">
        <v>0</v>
      </c>
      <c r="L11" s="71" t="n">
        <v>0.41</v>
      </c>
      <c r="M11" s="71" t="n">
        <v>0</v>
      </c>
      <c r="N11" s="71" t="n">
        <v>0</v>
      </c>
      <c r="O11" s="71" t="n">
        <v>0</v>
      </c>
      <c r="P11" s="71" t="n">
        <v>0</v>
      </c>
      <c r="Q11" s="71" t="n">
        <v>0</v>
      </c>
      <c r="R11" s="71" t="n">
        <v>0</v>
      </c>
      <c r="S11" s="71" t="n">
        <v>0</v>
      </c>
      <c r="T11" s="47" t="n">
        <v>0</v>
      </c>
      <c r="U11" s="47" t="n">
        <v>0</v>
      </c>
      <c r="V11" s="47" t="n">
        <v>0</v>
      </c>
      <c r="W11" s="47" t="n">
        <v>0</v>
      </c>
    </row>
    <row r="12" customFormat="false" ht="14.25" hidden="false" customHeight="true" outlineLevel="0" collapsed="false">
      <c r="A12" s="61" t="n">
        <v>1852</v>
      </c>
      <c r="B12" s="47" t="n">
        <v>0</v>
      </c>
      <c r="C12" s="47" t="n">
        <v>1</v>
      </c>
      <c r="D12" s="47" t="n">
        <v>0</v>
      </c>
      <c r="E12" s="47" t="n">
        <v>0</v>
      </c>
      <c r="F12" s="47" t="n">
        <v>0</v>
      </c>
      <c r="G12" s="47" t="n">
        <v>0</v>
      </c>
      <c r="H12" s="47" t="n">
        <v>0</v>
      </c>
      <c r="I12" s="47" t="n">
        <v>0</v>
      </c>
      <c r="J12" s="47" t="n">
        <v>0</v>
      </c>
      <c r="K12" s="71" t="n">
        <v>0</v>
      </c>
      <c r="L12" s="71" t="n">
        <v>0.42</v>
      </c>
      <c r="M12" s="71" t="n">
        <v>0</v>
      </c>
      <c r="N12" s="71" t="n">
        <v>0</v>
      </c>
      <c r="O12" s="71" t="n">
        <v>0</v>
      </c>
      <c r="P12" s="71" t="n">
        <v>0</v>
      </c>
      <c r="Q12" s="71" t="n">
        <v>0</v>
      </c>
      <c r="R12" s="71" t="n">
        <v>0</v>
      </c>
      <c r="S12" s="71" t="n">
        <v>0</v>
      </c>
      <c r="T12" s="47" t="n">
        <v>0</v>
      </c>
      <c r="U12" s="47" t="n">
        <v>0</v>
      </c>
      <c r="V12" s="47" t="n">
        <v>0</v>
      </c>
      <c r="W12" s="47" t="n">
        <v>0</v>
      </c>
    </row>
    <row r="13" customFormat="false" ht="14.25" hidden="false" customHeight="true" outlineLevel="0" collapsed="false">
      <c r="A13" s="61" t="n">
        <v>1853</v>
      </c>
      <c r="B13" s="47" t="n">
        <v>0</v>
      </c>
      <c r="C13" s="47" t="n">
        <v>0</v>
      </c>
      <c r="D13" s="47" t="n">
        <v>0</v>
      </c>
      <c r="E13" s="47" t="n">
        <v>0</v>
      </c>
      <c r="F13" s="47" t="n">
        <v>0</v>
      </c>
      <c r="G13" s="47" t="n">
        <v>0</v>
      </c>
      <c r="H13" s="47" t="n">
        <v>0</v>
      </c>
      <c r="I13" s="47" t="n">
        <v>0</v>
      </c>
      <c r="J13" s="47" t="n">
        <v>0</v>
      </c>
      <c r="K13" s="71" t="n">
        <v>0</v>
      </c>
      <c r="L13" s="71" t="n">
        <v>0.43</v>
      </c>
      <c r="M13" s="71" t="n">
        <v>0</v>
      </c>
      <c r="N13" s="71" t="n">
        <v>0</v>
      </c>
      <c r="O13" s="71" t="n">
        <v>0</v>
      </c>
      <c r="P13" s="71" t="n">
        <v>0</v>
      </c>
      <c r="Q13" s="71" t="n">
        <v>0</v>
      </c>
      <c r="R13" s="71" t="n">
        <v>0</v>
      </c>
      <c r="S13" s="71" t="n">
        <v>0</v>
      </c>
      <c r="T13" s="47" t="n">
        <v>0</v>
      </c>
      <c r="U13" s="47" t="n">
        <v>0</v>
      </c>
      <c r="V13" s="47" t="n">
        <v>0</v>
      </c>
      <c r="W13" s="47" t="n">
        <v>0</v>
      </c>
    </row>
    <row r="14" customFormat="false" ht="14.25" hidden="false" customHeight="true" outlineLevel="0" collapsed="false">
      <c r="A14" s="61" t="n">
        <v>1854</v>
      </c>
      <c r="B14" s="47" t="n">
        <v>0</v>
      </c>
      <c r="C14" s="47" t="n">
        <v>0</v>
      </c>
      <c r="D14" s="47" t="n">
        <v>0</v>
      </c>
      <c r="E14" s="47" t="n">
        <v>0</v>
      </c>
      <c r="F14" s="47" t="n">
        <v>0</v>
      </c>
      <c r="G14" s="47" t="n">
        <v>0</v>
      </c>
      <c r="H14" s="47" t="n">
        <v>0</v>
      </c>
      <c r="I14" s="47" t="n">
        <v>0</v>
      </c>
      <c r="J14" s="47" t="n">
        <v>0</v>
      </c>
      <c r="K14" s="71" t="n">
        <v>0</v>
      </c>
      <c r="L14" s="71" t="n">
        <v>0.44</v>
      </c>
      <c r="M14" s="71" t="n">
        <v>0</v>
      </c>
      <c r="N14" s="71" t="n">
        <v>0</v>
      </c>
      <c r="O14" s="71" t="n">
        <v>0</v>
      </c>
      <c r="P14" s="71" t="n">
        <v>0</v>
      </c>
      <c r="Q14" s="71" t="n">
        <v>0</v>
      </c>
      <c r="R14" s="71" t="n">
        <v>0</v>
      </c>
      <c r="S14" s="71" t="n">
        <v>0</v>
      </c>
      <c r="T14" s="47" t="n">
        <v>0</v>
      </c>
      <c r="U14" s="47" t="n">
        <v>0</v>
      </c>
      <c r="V14" s="47" t="n">
        <v>0</v>
      </c>
      <c r="W14" s="47" t="n">
        <v>0</v>
      </c>
    </row>
    <row r="15" customFormat="false" ht="14.25" hidden="false" customHeight="true" outlineLevel="0" collapsed="false">
      <c r="A15" s="61" t="n">
        <v>1855</v>
      </c>
      <c r="B15" s="47" t="n">
        <v>0</v>
      </c>
      <c r="C15" s="47" t="n">
        <v>1</v>
      </c>
      <c r="D15" s="47" t="n">
        <v>0</v>
      </c>
      <c r="E15" s="47" t="n">
        <v>0</v>
      </c>
      <c r="F15" s="47" t="n">
        <v>0</v>
      </c>
      <c r="G15" s="47" t="n">
        <v>0</v>
      </c>
      <c r="H15" s="47" t="n">
        <v>0</v>
      </c>
      <c r="I15" s="47" t="n">
        <v>0</v>
      </c>
      <c r="J15" s="47" t="n">
        <v>0</v>
      </c>
      <c r="K15" s="71" t="n">
        <v>0.8</v>
      </c>
      <c r="L15" s="71" t="n">
        <v>0.45</v>
      </c>
      <c r="M15" s="71" t="n">
        <v>0</v>
      </c>
      <c r="N15" s="71" t="n">
        <v>0</v>
      </c>
      <c r="O15" s="71" t="n">
        <v>0</v>
      </c>
      <c r="P15" s="71" t="n">
        <v>0</v>
      </c>
      <c r="Q15" s="71" t="n">
        <v>0</v>
      </c>
      <c r="R15" s="71" t="n">
        <v>0</v>
      </c>
      <c r="S15" s="71" t="n">
        <v>0</v>
      </c>
      <c r="T15" s="47" t="n">
        <v>0</v>
      </c>
      <c r="U15" s="47" t="n">
        <v>0</v>
      </c>
      <c r="V15" s="47" t="n">
        <v>0</v>
      </c>
      <c r="W15" s="47" t="n">
        <v>0</v>
      </c>
    </row>
    <row r="16" customFormat="false" ht="14.25" hidden="false" customHeight="true" outlineLevel="0" collapsed="false">
      <c r="A16" s="61" t="n">
        <v>1856</v>
      </c>
      <c r="B16" s="47" t="n">
        <v>0</v>
      </c>
      <c r="C16" s="47" t="n">
        <v>0</v>
      </c>
      <c r="D16" s="47" t="n">
        <v>0</v>
      </c>
      <c r="E16" s="47" t="n">
        <v>0</v>
      </c>
      <c r="F16" s="47" t="n">
        <v>0</v>
      </c>
      <c r="G16" s="47" t="n">
        <v>0</v>
      </c>
      <c r="H16" s="47" t="n">
        <v>0</v>
      </c>
      <c r="I16" s="47" t="n">
        <v>0</v>
      </c>
      <c r="J16" s="47" t="n">
        <v>0</v>
      </c>
      <c r="K16" s="71" t="n">
        <v>0.829</v>
      </c>
      <c r="L16" s="71" t="n">
        <v>0.46</v>
      </c>
      <c r="M16" s="71" t="n">
        <v>0</v>
      </c>
      <c r="N16" s="71" t="n">
        <v>0</v>
      </c>
      <c r="O16" s="71" t="n">
        <v>0</v>
      </c>
      <c r="P16" s="71" t="n">
        <v>0</v>
      </c>
      <c r="Q16" s="71" t="n">
        <v>0</v>
      </c>
      <c r="R16" s="71" t="n">
        <v>0</v>
      </c>
      <c r="S16" s="71" t="n">
        <v>0</v>
      </c>
      <c r="T16" s="47" t="n">
        <v>0</v>
      </c>
      <c r="U16" s="47" t="n">
        <v>0</v>
      </c>
      <c r="V16" s="47" t="n">
        <v>0</v>
      </c>
      <c r="W16" s="47" t="n">
        <v>0</v>
      </c>
    </row>
    <row r="17" customFormat="false" ht="14.25" hidden="false" customHeight="true" outlineLevel="0" collapsed="false">
      <c r="A17" s="61" t="n">
        <v>1857</v>
      </c>
      <c r="B17" s="47" t="n">
        <v>0</v>
      </c>
      <c r="C17" s="47" t="n">
        <v>0</v>
      </c>
      <c r="D17" s="47" t="n">
        <v>0</v>
      </c>
      <c r="E17" s="47" t="n">
        <v>0</v>
      </c>
      <c r="F17" s="47" t="n">
        <v>0</v>
      </c>
      <c r="G17" s="47" t="n">
        <v>0</v>
      </c>
      <c r="H17" s="47" t="n">
        <v>0</v>
      </c>
      <c r="I17" s="47" t="n">
        <v>0</v>
      </c>
      <c r="J17" s="47" t="n">
        <v>0</v>
      </c>
      <c r="K17" s="71" t="n">
        <v>0.857</v>
      </c>
      <c r="L17" s="71" t="n">
        <v>0.47</v>
      </c>
      <c r="M17" s="71" t="n">
        <v>0</v>
      </c>
      <c r="N17" s="71" t="n">
        <v>0</v>
      </c>
      <c r="O17" s="71" t="n">
        <v>0</v>
      </c>
      <c r="P17" s="71" t="n">
        <v>0</v>
      </c>
      <c r="Q17" s="71" t="n">
        <v>0</v>
      </c>
      <c r="R17" s="71" t="n">
        <v>0</v>
      </c>
      <c r="S17" s="71" t="n">
        <v>0</v>
      </c>
      <c r="T17" s="47" t="n">
        <v>0</v>
      </c>
      <c r="U17" s="47" t="n">
        <v>0</v>
      </c>
      <c r="V17" s="47" t="n">
        <v>0</v>
      </c>
      <c r="W17" s="47" t="n">
        <v>0</v>
      </c>
    </row>
    <row r="18" customFormat="false" ht="14.25" hidden="false" customHeight="true" outlineLevel="0" collapsed="false">
      <c r="A18" s="61" t="n">
        <v>1858</v>
      </c>
      <c r="B18" s="47" t="n">
        <v>0</v>
      </c>
      <c r="C18" s="47" t="n">
        <v>1</v>
      </c>
      <c r="D18" s="47" t="n">
        <v>0</v>
      </c>
      <c r="E18" s="47" t="n">
        <v>0</v>
      </c>
      <c r="F18" s="47" t="n">
        <v>0</v>
      </c>
      <c r="G18" s="47" t="n">
        <v>0</v>
      </c>
      <c r="H18" s="47" t="n">
        <v>0</v>
      </c>
      <c r="I18" s="47" t="n">
        <v>0</v>
      </c>
      <c r="J18" s="47" t="n">
        <v>0</v>
      </c>
      <c r="K18" s="71" t="n">
        <v>0.886</v>
      </c>
      <c r="L18" s="71" t="n">
        <v>0.48</v>
      </c>
      <c r="M18" s="71" t="n">
        <v>0</v>
      </c>
      <c r="N18" s="71" t="n">
        <v>0</v>
      </c>
      <c r="O18" s="71" t="n">
        <v>0</v>
      </c>
      <c r="P18" s="71" t="n">
        <v>0</v>
      </c>
      <c r="Q18" s="71" t="n">
        <v>0</v>
      </c>
      <c r="R18" s="71" t="n">
        <v>0</v>
      </c>
      <c r="S18" s="71" t="n">
        <v>0</v>
      </c>
      <c r="T18" s="47" t="n">
        <v>0</v>
      </c>
      <c r="U18" s="47" t="n">
        <v>0</v>
      </c>
      <c r="V18" s="47" t="n">
        <v>0</v>
      </c>
      <c r="W18" s="47" t="n">
        <v>0</v>
      </c>
    </row>
    <row r="19" customFormat="false" ht="14.25" hidden="false" customHeight="true" outlineLevel="0" collapsed="false">
      <c r="A19" s="61" t="n">
        <v>1859</v>
      </c>
      <c r="B19" s="47" t="n">
        <v>0</v>
      </c>
      <c r="C19" s="47" t="n">
        <v>0</v>
      </c>
      <c r="D19" s="47" t="n">
        <v>0</v>
      </c>
      <c r="E19" s="47" t="n">
        <v>0</v>
      </c>
      <c r="F19" s="47" t="n">
        <v>0</v>
      </c>
      <c r="G19" s="47" t="n">
        <v>0</v>
      </c>
      <c r="H19" s="47" t="n">
        <v>0</v>
      </c>
      <c r="I19" s="47" t="n">
        <v>0</v>
      </c>
      <c r="J19" s="47" t="n">
        <v>0</v>
      </c>
      <c r="K19" s="71" t="n">
        <v>0.914</v>
      </c>
      <c r="L19" s="71" t="n">
        <v>0.49</v>
      </c>
      <c r="M19" s="71" t="n">
        <v>0</v>
      </c>
      <c r="N19" s="71" t="n">
        <v>0</v>
      </c>
      <c r="O19" s="71" t="n">
        <v>0</v>
      </c>
      <c r="P19" s="71" t="n">
        <v>0</v>
      </c>
      <c r="Q19" s="71" t="n">
        <v>0</v>
      </c>
      <c r="R19" s="71" t="n">
        <v>0</v>
      </c>
      <c r="S19" s="71" t="n">
        <v>0</v>
      </c>
      <c r="T19" s="47" t="n">
        <v>0</v>
      </c>
      <c r="U19" s="47" t="n">
        <v>0</v>
      </c>
      <c r="V19" s="47" t="n">
        <v>0</v>
      </c>
      <c r="W19" s="47" t="n">
        <v>0</v>
      </c>
    </row>
    <row r="20" customFormat="false" ht="14.25" hidden="false" customHeight="true" outlineLevel="0" collapsed="false">
      <c r="A20" s="61" t="n">
        <v>1860</v>
      </c>
      <c r="B20" s="47" t="n">
        <v>0</v>
      </c>
      <c r="C20" s="47" t="n">
        <v>0</v>
      </c>
      <c r="D20" s="47" t="n">
        <v>0</v>
      </c>
      <c r="E20" s="47" t="n">
        <v>0</v>
      </c>
      <c r="F20" s="47" t="n">
        <v>0</v>
      </c>
      <c r="G20" s="47" t="n">
        <v>0</v>
      </c>
      <c r="H20" s="47" t="n">
        <v>0</v>
      </c>
      <c r="I20" s="47" t="n">
        <v>0</v>
      </c>
      <c r="J20" s="47" t="n">
        <v>0</v>
      </c>
      <c r="K20" s="71" t="n">
        <v>0.943</v>
      </c>
      <c r="L20" s="71" t="n">
        <v>0.5</v>
      </c>
      <c r="M20" s="71" t="n">
        <v>0</v>
      </c>
      <c r="N20" s="71" t="n">
        <v>0</v>
      </c>
      <c r="O20" s="71" t="n">
        <v>0</v>
      </c>
      <c r="P20" s="71" t="n">
        <v>0</v>
      </c>
      <c r="Q20" s="71" t="n">
        <v>0</v>
      </c>
      <c r="R20" s="71" t="n">
        <v>0</v>
      </c>
      <c r="S20" s="71" t="n">
        <v>0</v>
      </c>
      <c r="T20" s="47" t="n">
        <v>0</v>
      </c>
      <c r="U20" s="47" t="n">
        <v>0</v>
      </c>
      <c r="V20" s="47" t="n">
        <v>0</v>
      </c>
      <c r="W20" s="47" t="n">
        <v>0</v>
      </c>
    </row>
    <row r="21" customFormat="false" ht="14.25" hidden="false" customHeight="true" outlineLevel="0" collapsed="false">
      <c r="A21" s="61" t="n">
        <v>1861</v>
      </c>
      <c r="B21" s="47" t="n">
        <v>0</v>
      </c>
      <c r="C21" s="47" t="n">
        <v>2</v>
      </c>
      <c r="D21" s="47" t="n">
        <v>0</v>
      </c>
      <c r="E21" s="47" t="n">
        <v>0</v>
      </c>
      <c r="F21" s="47" t="n">
        <v>0</v>
      </c>
      <c r="G21" s="47" t="n">
        <v>0</v>
      </c>
      <c r="H21" s="47" t="n">
        <v>0</v>
      </c>
      <c r="I21" s="47" t="n">
        <v>0</v>
      </c>
      <c r="J21" s="47" t="n">
        <v>0</v>
      </c>
      <c r="K21" s="71" t="n">
        <v>0.971</v>
      </c>
      <c r="L21" s="71" t="n">
        <v>0.53</v>
      </c>
      <c r="M21" s="71" t="n">
        <v>0</v>
      </c>
      <c r="N21" s="71" t="n">
        <v>0</v>
      </c>
      <c r="O21" s="71" t="n">
        <v>0</v>
      </c>
      <c r="P21" s="71" t="n">
        <v>0</v>
      </c>
      <c r="Q21" s="71" t="n">
        <v>0</v>
      </c>
      <c r="R21" s="71" t="n">
        <v>0</v>
      </c>
      <c r="S21" s="71" t="n">
        <v>0</v>
      </c>
      <c r="T21" s="47" t="n">
        <v>0</v>
      </c>
      <c r="U21" s="47" t="n">
        <v>0</v>
      </c>
      <c r="V21" s="47" t="n">
        <v>0</v>
      </c>
      <c r="W21" s="47" t="n">
        <v>0</v>
      </c>
    </row>
    <row r="22" customFormat="false" ht="14.25" hidden="false" customHeight="true" outlineLevel="0" collapsed="false">
      <c r="A22" s="61" t="n">
        <v>1862</v>
      </c>
      <c r="B22" s="47" t="n">
        <v>1</v>
      </c>
      <c r="C22" s="47" t="n">
        <v>0</v>
      </c>
      <c r="D22" s="47" t="n">
        <v>0</v>
      </c>
      <c r="E22" s="47" t="n">
        <v>0</v>
      </c>
      <c r="F22" s="47" t="n">
        <v>0</v>
      </c>
      <c r="G22" s="47" t="n">
        <v>0</v>
      </c>
      <c r="H22" s="47" t="n">
        <v>0</v>
      </c>
      <c r="I22" s="47" t="n">
        <v>0</v>
      </c>
      <c r="J22" s="47" t="n">
        <v>0</v>
      </c>
      <c r="K22" s="71" t="n">
        <v>1</v>
      </c>
      <c r="L22" s="71" t="n">
        <v>0.56</v>
      </c>
      <c r="M22" s="71" t="n">
        <v>0</v>
      </c>
      <c r="N22" s="71" t="n">
        <v>0</v>
      </c>
      <c r="O22" s="71" t="n">
        <v>0</v>
      </c>
      <c r="P22" s="71" t="n">
        <v>0</v>
      </c>
      <c r="Q22" s="71" t="n">
        <v>0</v>
      </c>
      <c r="R22" s="71" t="n">
        <v>0</v>
      </c>
      <c r="S22" s="71" t="n">
        <v>0</v>
      </c>
      <c r="T22" s="47" t="n">
        <v>0</v>
      </c>
      <c r="U22" s="47" t="n">
        <v>0</v>
      </c>
      <c r="V22" s="47" t="n">
        <v>0</v>
      </c>
      <c r="W22" s="47" t="n">
        <v>0</v>
      </c>
    </row>
    <row r="23" customFormat="false" ht="14.25" hidden="false" customHeight="true" outlineLevel="0" collapsed="false">
      <c r="A23" s="61" t="n">
        <v>1863</v>
      </c>
      <c r="B23" s="47" t="n">
        <v>2</v>
      </c>
      <c r="C23" s="47" t="n">
        <v>0</v>
      </c>
      <c r="D23" s="47" t="n">
        <v>0</v>
      </c>
      <c r="E23" s="47" t="n">
        <v>0</v>
      </c>
      <c r="F23" s="47" t="n">
        <v>0</v>
      </c>
      <c r="G23" s="47" t="n">
        <v>0</v>
      </c>
      <c r="H23" s="47" t="n">
        <v>0</v>
      </c>
      <c r="I23" s="47" t="n">
        <v>0</v>
      </c>
      <c r="J23" s="47" t="n">
        <v>0</v>
      </c>
      <c r="K23" s="71" t="n">
        <v>1.025</v>
      </c>
      <c r="L23" s="71" t="n">
        <v>0.59</v>
      </c>
      <c r="M23" s="71" t="n">
        <v>0</v>
      </c>
      <c r="N23" s="71" t="n">
        <v>0</v>
      </c>
      <c r="O23" s="71" t="n">
        <v>0</v>
      </c>
      <c r="P23" s="71" t="n">
        <v>0</v>
      </c>
      <c r="Q23" s="71" t="n">
        <v>0</v>
      </c>
      <c r="R23" s="71" t="n">
        <v>0</v>
      </c>
      <c r="S23" s="71" t="n">
        <v>0</v>
      </c>
      <c r="T23" s="47" t="n">
        <v>0</v>
      </c>
      <c r="U23" s="47" t="n">
        <v>0</v>
      </c>
      <c r="V23" s="47" t="n">
        <v>0</v>
      </c>
      <c r="W23" s="47" t="n">
        <v>0</v>
      </c>
    </row>
    <row r="24" customFormat="false" ht="14.25" hidden="false" customHeight="true" outlineLevel="0" collapsed="false">
      <c r="A24" s="61" t="n">
        <v>1864</v>
      </c>
      <c r="B24" s="47" t="n">
        <v>2</v>
      </c>
      <c r="C24" s="47" t="n">
        <v>1</v>
      </c>
      <c r="D24" s="47" t="n">
        <v>0</v>
      </c>
      <c r="E24" s="47" t="n">
        <v>0</v>
      </c>
      <c r="F24" s="47" t="n">
        <v>0</v>
      </c>
      <c r="G24" s="47" t="n">
        <v>0</v>
      </c>
      <c r="H24" s="47" t="n">
        <v>0</v>
      </c>
      <c r="I24" s="47" t="n">
        <v>0</v>
      </c>
      <c r="J24" s="47" t="n">
        <v>0</v>
      </c>
      <c r="K24" s="71" t="n">
        <v>1.05</v>
      </c>
      <c r="L24" s="71" t="n">
        <v>0.62</v>
      </c>
      <c r="M24" s="71" t="n">
        <v>0</v>
      </c>
      <c r="N24" s="71" t="n">
        <v>0</v>
      </c>
      <c r="O24" s="71" t="n">
        <v>0</v>
      </c>
      <c r="P24" s="71" t="n">
        <v>0</v>
      </c>
      <c r="Q24" s="71" t="n">
        <v>0</v>
      </c>
      <c r="R24" s="71" t="n">
        <v>0</v>
      </c>
      <c r="S24" s="71" t="n">
        <v>0</v>
      </c>
      <c r="T24" s="47" t="n">
        <v>0</v>
      </c>
      <c r="U24" s="47" t="n">
        <v>0</v>
      </c>
      <c r="V24" s="47" t="n">
        <v>0</v>
      </c>
      <c r="W24" s="47" t="n">
        <v>0</v>
      </c>
    </row>
    <row r="25" customFormat="false" ht="14.25" hidden="false" customHeight="true" outlineLevel="0" collapsed="false">
      <c r="A25" s="61" t="n">
        <v>1865</v>
      </c>
      <c r="B25" s="47" t="n">
        <v>1</v>
      </c>
      <c r="C25" s="47" t="n">
        <v>0</v>
      </c>
      <c r="D25" s="47" t="n">
        <v>0</v>
      </c>
      <c r="E25" s="47" t="n">
        <v>0</v>
      </c>
      <c r="F25" s="47" t="n">
        <v>0</v>
      </c>
      <c r="G25" s="47" t="n">
        <v>0</v>
      </c>
      <c r="H25" s="47" t="n">
        <v>0</v>
      </c>
      <c r="I25" s="47" t="n">
        <v>0</v>
      </c>
      <c r="J25" s="47" t="n">
        <v>0</v>
      </c>
      <c r="K25" s="71" t="n">
        <v>1.075</v>
      </c>
      <c r="L25" s="71" t="n">
        <v>0.65</v>
      </c>
      <c r="M25" s="71" t="n">
        <v>0</v>
      </c>
      <c r="N25" s="71" t="n">
        <v>0</v>
      </c>
      <c r="O25" s="71" t="n">
        <v>0</v>
      </c>
      <c r="P25" s="71" t="n">
        <v>0</v>
      </c>
      <c r="Q25" s="71" t="n">
        <v>0</v>
      </c>
      <c r="R25" s="71" t="n">
        <v>0</v>
      </c>
      <c r="S25" s="71" t="n">
        <v>0</v>
      </c>
      <c r="T25" s="47" t="n">
        <v>0</v>
      </c>
      <c r="U25" s="47" t="n">
        <v>0</v>
      </c>
      <c r="V25" s="47" t="n">
        <v>0</v>
      </c>
      <c r="W25" s="47" t="n">
        <v>0</v>
      </c>
    </row>
    <row r="26" customFormat="false" ht="14.25" hidden="false" customHeight="true" outlineLevel="0" collapsed="false">
      <c r="A26" s="61" t="n">
        <v>1866</v>
      </c>
      <c r="B26" s="47" t="n">
        <v>0</v>
      </c>
      <c r="C26" s="47" t="n">
        <v>0</v>
      </c>
      <c r="D26" s="47" t="n">
        <v>0</v>
      </c>
      <c r="E26" s="47" t="n">
        <v>0</v>
      </c>
      <c r="F26" s="47" t="n">
        <v>0</v>
      </c>
      <c r="G26" s="47" t="n">
        <v>0</v>
      </c>
      <c r="H26" s="47" t="n">
        <v>0</v>
      </c>
      <c r="I26" s="47" t="n">
        <v>0</v>
      </c>
      <c r="J26" s="47" t="n">
        <v>0</v>
      </c>
      <c r="K26" s="71" t="n">
        <v>1.1</v>
      </c>
      <c r="L26" s="71" t="n">
        <v>0.68</v>
      </c>
      <c r="M26" s="71" t="n">
        <v>0</v>
      </c>
      <c r="N26" s="71" t="n">
        <v>0</v>
      </c>
      <c r="O26" s="71" t="n">
        <v>0</v>
      </c>
      <c r="P26" s="71" t="n">
        <v>0</v>
      </c>
      <c r="Q26" s="71" t="n">
        <v>0</v>
      </c>
      <c r="R26" s="71" t="n">
        <v>0</v>
      </c>
      <c r="S26" s="71" t="n">
        <v>0</v>
      </c>
      <c r="T26" s="47" t="n">
        <v>0</v>
      </c>
      <c r="U26" s="47" t="n">
        <v>0</v>
      </c>
      <c r="V26" s="47" t="n">
        <v>0</v>
      </c>
      <c r="W26" s="47" t="n">
        <v>0</v>
      </c>
    </row>
    <row r="27" customFormat="false" ht="14.25" hidden="false" customHeight="true" outlineLevel="0" collapsed="false">
      <c r="A27" s="61" t="n">
        <v>1867</v>
      </c>
      <c r="B27" s="47" t="n">
        <v>1</v>
      </c>
      <c r="C27" s="47" t="n">
        <v>0</v>
      </c>
      <c r="D27" s="47" t="n">
        <v>0</v>
      </c>
      <c r="E27" s="47" t="n">
        <v>0</v>
      </c>
      <c r="F27" s="47" t="n">
        <v>0</v>
      </c>
      <c r="G27" s="47" t="n">
        <v>0</v>
      </c>
      <c r="H27" s="47" t="n">
        <v>0</v>
      </c>
      <c r="I27" s="47" t="n">
        <v>0</v>
      </c>
      <c r="J27" s="47" t="n">
        <v>0</v>
      </c>
      <c r="K27" s="71" t="n">
        <v>1.125</v>
      </c>
      <c r="L27" s="71" t="n">
        <v>0.71</v>
      </c>
      <c r="M27" s="71" t="n">
        <v>0</v>
      </c>
      <c r="N27" s="71" t="n">
        <v>0</v>
      </c>
      <c r="O27" s="71" t="n">
        <v>0</v>
      </c>
      <c r="P27" s="71" t="n">
        <v>0</v>
      </c>
      <c r="Q27" s="71" t="n">
        <v>0</v>
      </c>
      <c r="R27" s="71" t="n">
        <v>0</v>
      </c>
      <c r="S27" s="71" t="n">
        <v>0</v>
      </c>
      <c r="T27" s="47" t="n">
        <v>0</v>
      </c>
      <c r="U27" s="47" t="n">
        <v>0</v>
      </c>
      <c r="V27" s="47" t="n">
        <v>0</v>
      </c>
      <c r="W27" s="47" t="n">
        <v>0</v>
      </c>
    </row>
    <row r="28" customFormat="false" ht="14.25" hidden="false" customHeight="true" outlineLevel="0" collapsed="false">
      <c r="A28" s="61" t="n">
        <v>1868</v>
      </c>
      <c r="B28" s="47" t="n">
        <v>0</v>
      </c>
      <c r="C28" s="47" t="n">
        <v>2</v>
      </c>
      <c r="D28" s="47" t="n">
        <v>0</v>
      </c>
      <c r="E28" s="47" t="n">
        <v>0</v>
      </c>
      <c r="F28" s="47" t="n">
        <v>0</v>
      </c>
      <c r="G28" s="47" t="n">
        <v>0</v>
      </c>
      <c r="H28" s="47" t="n">
        <v>0</v>
      </c>
      <c r="I28" s="47" t="n">
        <v>0</v>
      </c>
      <c r="J28" s="47" t="n">
        <v>0</v>
      </c>
      <c r="K28" s="71" t="n">
        <v>1.15</v>
      </c>
      <c r="L28" s="71" t="n">
        <v>0.74</v>
      </c>
      <c r="M28" s="71" t="n">
        <v>0</v>
      </c>
      <c r="N28" s="71" t="n">
        <v>0</v>
      </c>
      <c r="O28" s="71" t="n">
        <v>0</v>
      </c>
      <c r="P28" s="71" t="n">
        <v>0</v>
      </c>
      <c r="Q28" s="71" t="n">
        <v>0</v>
      </c>
      <c r="R28" s="71" t="n">
        <v>0</v>
      </c>
      <c r="S28" s="71" t="n">
        <v>0</v>
      </c>
      <c r="T28" s="47" t="n">
        <v>0</v>
      </c>
      <c r="U28" s="47" t="n">
        <v>0</v>
      </c>
      <c r="V28" s="47" t="n">
        <v>0</v>
      </c>
      <c r="W28" s="47" t="n">
        <v>0</v>
      </c>
    </row>
    <row r="29" customFormat="false" ht="14.25" hidden="false" customHeight="true" outlineLevel="0" collapsed="false">
      <c r="A29" s="61" t="n">
        <v>1869</v>
      </c>
      <c r="B29" s="47" t="n">
        <v>2</v>
      </c>
      <c r="C29" s="47" t="n">
        <v>0</v>
      </c>
      <c r="D29" s="47" t="n">
        <v>0</v>
      </c>
      <c r="E29" s="47" t="n">
        <v>0</v>
      </c>
      <c r="F29" s="47" t="n">
        <v>0</v>
      </c>
      <c r="G29" s="47" t="n">
        <v>0</v>
      </c>
      <c r="H29" s="47" t="n">
        <v>0</v>
      </c>
      <c r="I29" s="47" t="n">
        <v>0</v>
      </c>
      <c r="J29" s="47" t="n">
        <v>0</v>
      </c>
      <c r="K29" s="71" t="n">
        <v>1.175</v>
      </c>
      <c r="L29" s="71" t="n">
        <v>0.77</v>
      </c>
      <c r="M29" s="71" t="n">
        <v>0</v>
      </c>
      <c r="N29" s="71" t="n">
        <v>0</v>
      </c>
      <c r="O29" s="71" t="n">
        <v>0</v>
      </c>
      <c r="P29" s="71" t="n">
        <v>0</v>
      </c>
      <c r="Q29" s="71" t="n">
        <v>0</v>
      </c>
      <c r="R29" s="71" t="n">
        <v>0</v>
      </c>
      <c r="S29" s="71" t="n">
        <v>0</v>
      </c>
      <c r="T29" s="47" t="n">
        <v>0</v>
      </c>
      <c r="U29" s="47" t="n">
        <v>0</v>
      </c>
      <c r="V29" s="47" t="n">
        <v>0</v>
      </c>
      <c r="W29" s="47" t="n">
        <v>0</v>
      </c>
    </row>
    <row r="30" customFormat="false" ht="14.25" hidden="false" customHeight="true" outlineLevel="0" collapsed="false">
      <c r="A30" s="61" t="n">
        <v>1870</v>
      </c>
      <c r="B30" s="47" t="n">
        <v>2</v>
      </c>
      <c r="C30" s="47" t="n">
        <v>0</v>
      </c>
      <c r="D30" s="47" t="n">
        <v>0</v>
      </c>
      <c r="E30" s="47" t="n">
        <v>0</v>
      </c>
      <c r="F30" s="47" t="n">
        <v>0</v>
      </c>
      <c r="G30" s="47" t="n">
        <v>0</v>
      </c>
      <c r="H30" s="47" t="n">
        <v>0</v>
      </c>
      <c r="I30" s="47" t="n">
        <v>0</v>
      </c>
      <c r="J30" s="47" t="n">
        <v>0</v>
      </c>
      <c r="K30" s="71" t="n">
        <v>1.2</v>
      </c>
      <c r="L30" s="71" t="n">
        <v>0.8</v>
      </c>
      <c r="M30" s="71" t="n">
        <v>0</v>
      </c>
      <c r="N30" s="71" t="n">
        <v>0</v>
      </c>
      <c r="O30" s="71" t="n">
        <v>0</v>
      </c>
      <c r="P30" s="71" t="n">
        <v>0</v>
      </c>
      <c r="Q30" s="71" t="n">
        <v>0</v>
      </c>
      <c r="R30" s="71" t="n">
        <v>0</v>
      </c>
      <c r="S30" s="71" t="n">
        <v>0</v>
      </c>
      <c r="T30" s="47" t="n">
        <v>0</v>
      </c>
      <c r="U30" s="47" t="n">
        <v>0</v>
      </c>
      <c r="V30" s="47" t="n">
        <v>0</v>
      </c>
      <c r="W30" s="47" t="n">
        <v>0</v>
      </c>
    </row>
    <row r="31" customFormat="false" ht="14.25" hidden="false" customHeight="true" outlineLevel="0" collapsed="false">
      <c r="A31" s="61" t="n">
        <v>1871</v>
      </c>
      <c r="B31" s="47" t="n">
        <v>0</v>
      </c>
      <c r="C31" s="47" t="n">
        <v>0</v>
      </c>
      <c r="D31" s="47" t="n">
        <v>0</v>
      </c>
      <c r="E31" s="47" t="n">
        <v>0</v>
      </c>
      <c r="F31" s="47" t="n">
        <v>0</v>
      </c>
      <c r="G31" s="47" t="n">
        <v>0</v>
      </c>
      <c r="H31" s="47" t="n">
        <v>0</v>
      </c>
      <c r="I31" s="47" t="n">
        <v>0</v>
      </c>
      <c r="J31" s="47" t="n">
        <v>0</v>
      </c>
      <c r="K31" s="71" t="n">
        <v>1.21</v>
      </c>
      <c r="L31" s="71" t="n">
        <v>0.82</v>
      </c>
      <c r="M31" s="71" t="n">
        <v>0</v>
      </c>
      <c r="N31" s="71" t="n">
        <v>0</v>
      </c>
      <c r="O31" s="71" t="n">
        <v>0</v>
      </c>
      <c r="P31" s="71" t="n">
        <v>0</v>
      </c>
      <c r="Q31" s="71" t="n">
        <v>0</v>
      </c>
      <c r="R31" s="71" t="n">
        <v>0</v>
      </c>
      <c r="S31" s="71" t="n">
        <v>0</v>
      </c>
      <c r="T31" s="47" t="n">
        <v>0</v>
      </c>
      <c r="U31" s="47" t="n">
        <v>0</v>
      </c>
      <c r="V31" s="47" t="n">
        <v>0</v>
      </c>
      <c r="W31" s="47" t="n">
        <v>0</v>
      </c>
    </row>
    <row r="32" customFormat="false" ht="14.25" hidden="false" customHeight="true" outlineLevel="0" collapsed="false">
      <c r="A32" s="61" t="n">
        <v>1872</v>
      </c>
      <c r="B32" s="47" t="n">
        <v>1</v>
      </c>
      <c r="C32" s="47" t="n">
        <v>2</v>
      </c>
      <c r="D32" s="47" t="n">
        <v>0</v>
      </c>
      <c r="E32" s="47" t="n">
        <v>0</v>
      </c>
      <c r="F32" s="47" t="n">
        <v>0</v>
      </c>
      <c r="G32" s="47" t="n">
        <v>0</v>
      </c>
      <c r="H32" s="47" t="n">
        <v>0</v>
      </c>
      <c r="I32" s="47" t="n">
        <v>0</v>
      </c>
      <c r="J32" s="47" t="n">
        <v>0</v>
      </c>
      <c r="K32" s="71" t="n">
        <v>1.22</v>
      </c>
      <c r="L32" s="71" t="n">
        <v>0.84</v>
      </c>
      <c r="M32" s="71" t="n">
        <v>0</v>
      </c>
      <c r="N32" s="71" t="n">
        <v>0</v>
      </c>
      <c r="O32" s="71" t="n">
        <v>0</v>
      </c>
      <c r="P32" s="71" t="n">
        <v>0</v>
      </c>
      <c r="Q32" s="71" t="n">
        <v>0</v>
      </c>
      <c r="R32" s="71" t="n">
        <v>0</v>
      </c>
      <c r="S32" s="71" t="n">
        <v>0</v>
      </c>
      <c r="T32" s="47" t="n">
        <v>0</v>
      </c>
      <c r="U32" s="47" t="n">
        <v>0</v>
      </c>
      <c r="V32" s="47" t="n">
        <v>0</v>
      </c>
      <c r="W32" s="47" t="n">
        <v>0</v>
      </c>
    </row>
    <row r="33" customFormat="false" ht="14.25" hidden="false" customHeight="true" outlineLevel="0" collapsed="false">
      <c r="A33" s="61" t="n">
        <v>1873</v>
      </c>
      <c r="B33" s="47" t="n">
        <v>0</v>
      </c>
      <c r="C33" s="47" t="n">
        <v>0</v>
      </c>
      <c r="D33" s="47" t="n">
        <v>0</v>
      </c>
      <c r="E33" s="47" t="n">
        <v>0</v>
      </c>
      <c r="F33" s="47" t="n">
        <v>0</v>
      </c>
      <c r="G33" s="47" t="n">
        <v>0</v>
      </c>
      <c r="H33" s="47" t="n">
        <v>0</v>
      </c>
      <c r="I33" s="47" t="n">
        <v>0</v>
      </c>
      <c r="J33" s="47" t="n">
        <v>0</v>
      </c>
      <c r="K33" s="71" t="n">
        <v>1.23</v>
      </c>
      <c r="L33" s="71" t="n">
        <v>0.86</v>
      </c>
      <c r="M33" s="71" t="n">
        <v>0</v>
      </c>
      <c r="N33" s="71" t="n">
        <v>0</v>
      </c>
      <c r="O33" s="71" t="n">
        <v>0</v>
      </c>
      <c r="P33" s="71" t="n">
        <v>0</v>
      </c>
      <c r="Q33" s="71" t="n">
        <v>0</v>
      </c>
      <c r="R33" s="71" t="n">
        <v>0</v>
      </c>
      <c r="S33" s="71" t="n">
        <v>0</v>
      </c>
      <c r="T33" s="47" t="n">
        <v>0</v>
      </c>
      <c r="U33" s="47" t="n">
        <v>0</v>
      </c>
      <c r="V33" s="47" t="n">
        <v>0</v>
      </c>
      <c r="W33" s="47" t="n">
        <v>0</v>
      </c>
    </row>
    <row r="34" customFormat="false" ht="14.25" hidden="false" customHeight="true" outlineLevel="0" collapsed="false">
      <c r="A34" s="61" t="n">
        <v>1874</v>
      </c>
      <c r="B34" s="47" t="n">
        <v>0</v>
      </c>
      <c r="C34" s="47" t="n">
        <v>0</v>
      </c>
      <c r="D34" s="47" t="n">
        <v>0</v>
      </c>
      <c r="E34" s="47" t="n">
        <v>0</v>
      </c>
      <c r="F34" s="47" t="n">
        <v>0</v>
      </c>
      <c r="G34" s="47" t="n">
        <v>0</v>
      </c>
      <c r="H34" s="47" t="n">
        <v>0</v>
      </c>
      <c r="I34" s="47" t="n">
        <v>0</v>
      </c>
      <c r="J34" s="47" t="n">
        <v>0</v>
      </c>
      <c r="K34" s="71" t="n">
        <v>1.24</v>
      </c>
      <c r="L34" s="71" t="n">
        <v>0.88</v>
      </c>
      <c r="M34" s="71" t="n">
        <v>0</v>
      </c>
      <c r="N34" s="71" t="n">
        <v>0</v>
      </c>
      <c r="O34" s="71" t="n">
        <v>0</v>
      </c>
      <c r="P34" s="71" t="n">
        <v>0</v>
      </c>
      <c r="Q34" s="71" t="n">
        <v>0</v>
      </c>
      <c r="R34" s="71" t="n">
        <v>0</v>
      </c>
      <c r="S34" s="71" t="n">
        <v>0</v>
      </c>
      <c r="T34" s="47" t="n">
        <v>0</v>
      </c>
      <c r="U34" s="47" t="n">
        <v>0</v>
      </c>
      <c r="V34" s="47" t="n">
        <v>0</v>
      </c>
      <c r="W34" s="47" t="n">
        <v>0</v>
      </c>
    </row>
    <row r="35" customFormat="false" ht="14.25" hidden="false" customHeight="true" outlineLevel="0" collapsed="false">
      <c r="A35" s="61" t="n">
        <v>1875</v>
      </c>
      <c r="B35" s="47" t="n">
        <v>1</v>
      </c>
      <c r="C35" s="47" t="n">
        <v>2</v>
      </c>
      <c r="D35" s="47" t="n">
        <v>0</v>
      </c>
      <c r="E35" s="47" t="n">
        <v>0</v>
      </c>
      <c r="F35" s="47" t="n">
        <v>0</v>
      </c>
      <c r="G35" s="47" t="n">
        <v>0</v>
      </c>
      <c r="H35" s="47" t="n">
        <v>0</v>
      </c>
      <c r="I35" s="47" t="n">
        <v>0</v>
      </c>
      <c r="J35" s="47" t="n">
        <v>0</v>
      </c>
      <c r="K35" s="71" t="n">
        <v>1.25</v>
      </c>
      <c r="L35" s="71" t="n">
        <v>0.9</v>
      </c>
      <c r="M35" s="71" t="n">
        <v>0</v>
      </c>
      <c r="N35" s="71" t="n">
        <v>0</v>
      </c>
      <c r="O35" s="71" t="n">
        <v>0</v>
      </c>
      <c r="P35" s="71" t="n">
        <v>0</v>
      </c>
      <c r="Q35" s="71" t="n">
        <v>0</v>
      </c>
      <c r="R35" s="71" t="n">
        <v>0</v>
      </c>
      <c r="S35" s="71" t="n">
        <v>0</v>
      </c>
      <c r="T35" s="47" t="n">
        <v>0</v>
      </c>
      <c r="U35" s="47" t="n">
        <v>0</v>
      </c>
      <c r="V35" s="47" t="n">
        <v>0</v>
      </c>
      <c r="W35" s="47" t="n">
        <v>0</v>
      </c>
    </row>
    <row r="36" customFormat="false" ht="14.25" hidden="false" customHeight="true" outlineLevel="0" collapsed="false">
      <c r="A36" s="61" t="n">
        <v>1876</v>
      </c>
      <c r="B36" s="47" t="n">
        <v>0</v>
      </c>
      <c r="C36" s="47" t="n">
        <v>0</v>
      </c>
      <c r="D36" s="47" t="n">
        <v>0</v>
      </c>
      <c r="E36" s="47" t="n">
        <v>0</v>
      </c>
      <c r="F36" s="47" t="n">
        <v>0</v>
      </c>
      <c r="G36" s="47" t="n">
        <v>0</v>
      </c>
      <c r="H36" s="47" t="n">
        <v>0</v>
      </c>
      <c r="I36" s="47" t="n">
        <v>0</v>
      </c>
      <c r="J36" s="47" t="n">
        <v>0</v>
      </c>
      <c r="K36" s="71" t="n">
        <v>1.26</v>
      </c>
      <c r="L36" s="71" t="n">
        <v>0.92</v>
      </c>
      <c r="M36" s="71" t="n">
        <v>0</v>
      </c>
      <c r="N36" s="71" t="n">
        <v>0</v>
      </c>
      <c r="O36" s="71" t="n">
        <v>0</v>
      </c>
      <c r="P36" s="71" t="n">
        <v>0</v>
      </c>
      <c r="Q36" s="71" t="n">
        <v>0</v>
      </c>
      <c r="R36" s="71" t="n">
        <v>0</v>
      </c>
      <c r="S36" s="71" t="n">
        <v>0</v>
      </c>
      <c r="T36" s="47" t="n">
        <v>0</v>
      </c>
      <c r="U36" s="47" t="n">
        <v>0</v>
      </c>
      <c r="V36" s="47" t="n">
        <v>0</v>
      </c>
      <c r="W36" s="47" t="n">
        <v>0</v>
      </c>
    </row>
    <row r="37" customFormat="false" ht="14.25" hidden="false" customHeight="true" outlineLevel="0" collapsed="false">
      <c r="A37" s="61" t="n">
        <v>1877</v>
      </c>
      <c r="B37" s="47" t="n">
        <v>0</v>
      </c>
      <c r="C37" s="47" t="n">
        <v>0</v>
      </c>
      <c r="D37" s="47" t="n">
        <v>0</v>
      </c>
      <c r="E37" s="47" t="n">
        <v>0</v>
      </c>
      <c r="F37" s="47" t="n">
        <v>0</v>
      </c>
      <c r="G37" s="47" t="n">
        <v>0</v>
      </c>
      <c r="H37" s="47" t="n">
        <v>0</v>
      </c>
      <c r="I37" s="47" t="n">
        <v>0</v>
      </c>
      <c r="J37" s="47" t="n">
        <v>0</v>
      </c>
      <c r="K37" s="71" t="n">
        <v>1.27</v>
      </c>
      <c r="L37" s="71" t="n">
        <v>0.94</v>
      </c>
      <c r="M37" s="71" t="n">
        <v>0</v>
      </c>
      <c r="N37" s="71" t="n">
        <v>0</v>
      </c>
      <c r="O37" s="71" t="n">
        <v>0</v>
      </c>
      <c r="P37" s="71" t="n">
        <v>0</v>
      </c>
      <c r="Q37" s="71" t="n">
        <v>0</v>
      </c>
      <c r="R37" s="71" t="n">
        <v>0</v>
      </c>
      <c r="S37" s="71" t="n">
        <v>0</v>
      </c>
      <c r="T37" s="47" t="n">
        <v>0</v>
      </c>
      <c r="U37" s="47" t="n">
        <v>0</v>
      </c>
      <c r="V37" s="47" t="n">
        <v>0</v>
      </c>
      <c r="W37" s="47" t="n">
        <v>0</v>
      </c>
    </row>
    <row r="38" customFormat="false" ht="14.25" hidden="false" customHeight="true" outlineLevel="0" collapsed="false">
      <c r="A38" s="61" t="n">
        <v>1878</v>
      </c>
      <c r="B38" s="47" t="n">
        <v>1</v>
      </c>
      <c r="C38" s="47" t="n">
        <v>2</v>
      </c>
      <c r="D38" s="47" t="n">
        <v>0</v>
      </c>
      <c r="E38" s="47" t="n">
        <v>0</v>
      </c>
      <c r="F38" s="47" t="n">
        <v>0</v>
      </c>
      <c r="G38" s="47" t="n">
        <v>0</v>
      </c>
      <c r="H38" s="47" t="n">
        <v>0</v>
      </c>
      <c r="I38" s="47" t="n">
        <v>0</v>
      </c>
      <c r="J38" s="47" t="n">
        <v>0</v>
      </c>
      <c r="K38" s="71" t="n">
        <v>1.28</v>
      </c>
      <c r="L38" s="71" t="n">
        <v>0.96</v>
      </c>
      <c r="M38" s="71" t="n">
        <v>0</v>
      </c>
      <c r="N38" s="71" t="n">
        <v>0</v>
      </c>
      <c r="O38" s="71" t="n">
        <v>0</v>
      </c>
      <c r="P38" s="71" t="n">
        <v>0</v>
      </c>
      <c r="Q38" s="71" t="n">
        <v>0</v>
      </c>
      <c r="R38" s="71" t="n">
        <v>0</v>
      </c>
      <c r="S38" s="71" t="n">
        <v>0</v>
      </c>
      <c r="T38" s="47" t="n">
        <v>0</v>
      </c>
      <c r="U38" s="47" t="n">
        <v>0</v>
      </c>
      <c r="V38" s="47" t="n">
        <v>0</v>
      </c>
      <c r="W38" s="47" t="n">
        <v>0</v>
      </c>
    </row>
    <row r="39" customFormat="false" ht="14.25" hidden="false" customHeight="true" outlineLevel="0" collapsed="false">
      <c r="A39" s="61" t="n">
        <v>1879</v>
      </c>
      <c r="B39" s="47" t="n">
        <v>0</v>
      </c>
      <c r="C39" s="47" t="n">
        <v>0</v>
      </c>
      <c r="D39" s="47" t="n">
        <v>0</v>
      </c>
      <c r="E39" s="47" t="n">
        <v>0</v>
      </c>
      <c r="F39" s="47" t="n">
        <v>0</v>
      </c>
      <c r="G39" s="47" t="n">
        <v>0</v>
      </c>
      <c r="H39" s="47" t="n">
        <v>0</v>
      </c>
      <c r="I39" s="47" t="n">
        <v>0</v>
      </c>
      <c r="J39" s="47" t="n">
        <v>0</v>
      </c>
      <c r="K39" s="71" t="n">
        <v>1.29</v>
      </c>
      <c r="L39" s="71" t="n">
        <v>0.98</v>
      </c>
      <c r="M39" s="71" t="n">
        <v>0</v>
      </c>
      <c r="N39" s="71" t="n">
        <v>0</v>
      </c>
      <c r="O39" s="71" t="n">
        <v>0</v>
      </c>
      <c r="P39" s="71" t="n">
        <v>0</v>
      </c>
      <c r="Q39" s="71" t="n">
        <v>0</v>
      </c>
      <c r="R39" s="71" t="n">
        <v>0</v>
      </c>
      <c r="S39" s="71" t="n">
        <v>0</v>
      </c>
      <c r="T39" s="47" t="n">
        <v>0</v>
      </c>
      <c r="U39" s="47" t="n">
        <v>0</v>
      </c>
      <c r="V39" s="47" t="n">
        <v>0</v>
      </c>
      <c r="W39" s="47" t="n">
        <v>0</v>
      </c>
    </row>
    <row r="40" customFormat="false" ht="14.25" hidden="false" customHeight="true" outlineLevel="0" collapsed="false">
      <c r="A40" s="61" t="n">
        <v>1880</v>
      </c>
      <c r="B40" s="47" t="n">
        <v>0</v>
      </c>
      <c r="C40" s="47" t="n">
        <v>0</v>
      </c>
      <c r="D40" s="47" t="n">
        <v>0</v>
      </c>
      <c r="E40" s="47" t="n">
        <v>0</v>
      </c>
      <c r="F40" s="47" t="n">
        <v>0</v>
      </c>
      <c r="G40" s="47" t="n">
        <v>0</v>
      </c>
      <c r="H40" s="47" t="n">
        <v>0</v>
      </c>
      <c r="I40" s="47" t="n">
        <v>0</v>
      </c>
      <c r="J40" s="47" t="n">
        <v>0</v>
      </c>
      <c r="K40" s="71" t="n">
        <v>1.3</v>
      </c>
      <c r="L40" s="71" t="n">
        <v>1</v>
      </c>
      <c r="M40" s="71" t="n">
        <v>0.07</v>
      </c>
      <c r="N40" s="71" t="n">
        <v>0</v>
      </c>
      <c r="O40" s="71" t="n">
        <v>0</v>
      </c>
      <c r="P40" s="71" t="n">
        <v>0</v>
      </c>
      <c r="Q40" s="71" t="n">
        <v>0</v>
      </c>
      <c r="R40" s="71" t="n">
        <v>0</v>
      </c>
      <c r="S40" s="71" t="n">
        <v>0</v>
      </c>
      <c r="T40" s="47" t="n">
        <v>0</v>
      </c>
      <c r="U40" s="47" t="n">
        <v>0</v>
      </c>
      <c r="V40" s="47" t="n">
        <v>0</v>
      </c>
      <c r="W40" s="47" t="n">
        <v>0</v>
      </c>
    </row>
    <row r="41" customFormat="false" ht="14.25" hidden="false" customHeight="true" outlineLevel="0" collapsed="false">
      <c r="A41" s="61" t="n">
        <v>1881</v>
      </c>
      <c r="B41" s="47" t="n">
        <v>1</v>
      </c>
      <c r="C41" s="47" t="n">
        <v>2</v>
      </c>
      <c r="D41" s="47" t="n">
        <v>0</v>
      </c>
      <c r="E41" s="47" t="n">
        <v>0</v>
      </c>
      <c r="F41" s="47" t="n">
        <v>0</v>
      </c>
      <c r="G41" s="47" t="n">
        <v>0</v>
      </c>
      <c r="H41" s="47" t="n">
        <v>0</v>
      </c>
      <c r="I41" s="47" t="n">
        <v>0</v>
      </c>
      <c r="J41" s="47" t="n">
        <v>0</v>
      </c>
      <c r="K41" s="71" t="n">
        <v>1.3</v>
      </c>
      <c r="L41" s="71" t="n">
        <v>1</v>
      </c>
      <c r="M41" s="71" t="n">
        <v>0.071</v>
      </c>
      <c r="N41" s="71" t="n">
        <v>0</v>
      </c>
      <c r="O41" s="71" t="n">
        <v>0</v>
      </c>
      <c r="P41" s="71" t="n">
        <v>0</v>
      </c>
      <c r="Q41" s="71" t="n">
        <v>0</v>
      </c>
      <c r="R41" s="71" t="n">
        <v>0</v>
      </c>
      <c r="S41" s="71" t="n">
        <v>0</v>
      </c>
      <c r="T41" s="47" t="n">
        <v>0</v>
      </c>
      <c r="U41" s="47" t="n">
        <v>0</v>
      </c>
      <c r="V41" s="47" t="n">
        <v>0</v>
      </c>
      <c r="W41" s="47" t="n">
        <v>0</v>
      </c>
    </row>
    <row r="42" customFormat="false" ht="14.25" hidden="false" customHeight="true" outlineLevel="0" collapsed="false">
      <c r="A42" s="61" t="n">
        <v>1882</v>
      </c>
      <c r="B42" s="47" t="n">
        <v>0</v>
      </c>
      <c r="C42" s="47" t="n">
        <v>0</v>
      </c>
      <c r="D42" s="47" t="n">
        <v>2</v>
      </c>
      <c r="E42" s="47" t="n">
        <v>0</v>
      </c>
      <c r="F42" s="47" t="n">
        <v>0</v>
      </c>
      <c r="G42" s="47" t="n">
        <v>0</v>
      </c>
      <c r="H42" s="47" t="n">
        <v>0</v>
      </c>
      <c r="I42" s="47" t="n">
        <v>0</v>
      </c>
      <c r="J42" s="47" t="n">
        <v>0</v>
      </c>
      <c r="K42" s="71" t="n">
        <v>1.3</v>
      </c>
      <c r="L42" s="71" t="n">
        <v>1</v>
      </c>
      <c r="M42" s="71" t="n">
        <v>0.072</v>
      </c>
      <c r="N42" s="71" t="n">
        <v>0</v>
      </c>
      <c r="O42" s="71" t="n">
        <v>0</v>
      </c>
      <c r="P42" s="71" t="n">
        <v>0</v>
      </c>
      <c r="Q42" s="71" t="n">
        <v>0</v>
      </c>
      <c r="R42" s="71" t="n">
        <v>0</v>
      </c>
      <c r="S42" s="71" t="n">
        <v>0</v>
      </c>
      <c r="T42" s="47" t="n">
        <v>0</v>
      </c>
      <c r="U42" s="47" t="n">
        <v>0</v>
      </c>
      <c r="V42" s="47" t="n">
        <v>0</v>
      </c>
      <c r="W42" s="47" t="n">
        <v>0</v>
      </c>
    </row>
    <row r="43" customFormat="false" ht="14.25" hidden="false" customHeight="true" outlineLevel="0" collapsed="false">
      <c r="A43" s="61" t="n">
        <v>1883</v>
      </c>
      <c r="B43" s="47" t="n">
        <v>0</v>
      </c>
      <c r="C43" s="47" t="n">
        <v>0</v>
      </c>
      <c r="D43" s="47" t="n">
        <v>0</v>
      </c>
      <c r="E43" s="47" t="n">
        <v>0</v>
      </c>
      <c r="F43" s="47" t="n">
        <v>0</v>
      </c>
      <c r="G43" s="47" t="n">
        <v>0</v>
      </c>
      <c r="H43" s="47" t="n">
        <v>0</v>
      </c>
      <c r="I43" s="47" t="n">
        <v>0</v>
      </c>
      <c r="J43" s="47" t="n">
        <v>0</v>
      </c>
      <c r="K43" s="71" t="n">
        <v>1.3</v>
      </c>
      <c r="L43" s="71" t="n">
        <v>1</v>
      </c>
      <c r="M43" s="71" t="n">
        <v>0.073</v>
      </c>
      <c r="N43" s="71" t="n">
        <v>0</v>
      </c>
      <c r="O43" s="71" t="n">
        <v>0</v>
      </c>
      <c r="P43" s="71" t="n">
        <v>0</v>
      </c>
      <c r="Q43" s="71" t="n">
        <v>0</v>
      </c>
      <c r="R43" s="71" t="n">
        <v>0</v>
      </c>
      <c r="S43" s="71" t="n">
        <v>0</v>
      </c>
      <c r="T43" s="47" t="n">
        <v>0</v>
      </c>
      <c r="U43" s="47" t="n">
        <v>0</v>
      </c>
      <c r="V43" s="47" t="n">
        <v>0</v>
      </c>
      <c r="W43" s="47" t="n">
        <v>0</v>
      </c>
    </row>
    <row r="44" customFormat="false" ht="14.25" hidden="false" customHeight="true" outlineLevel="0" collapsed="false">
      <c r="A44" s="61" t="n">
        <v>1884</v>
      </c>
      <c r="B44" s="47" t="n">
        <v>1</v>
      </c>
      <c r="C44" s="47" t="n">
        <v>2</v>
      </c>
      <c r="D44" s="47" t="n">
        <v>4</v>
      </c>
      <c r="E44" s="47" t="n">
        <v>0</v>
      </c>
      <c r="F44" s="47" t="n">
        <v>0</v>
      </c>
      <c r="G44" s="47" t="n">
        <v>0</v>
      </c>
      <c r="H44" s="47" t="n">
        <v>0</v>
      </c>
      <c r="I44" s="47" t="n">
        <v>0</v>
      </c>
      <c r="J44" s="47" t="n">
        <v>0</v>
      </c>
      <c r="K44" s="71" t="n">
        <v>1.3</v>
      </c>
      <c r="L44" s="71" t="n">
        <v>1</v>
      </c>
      <c r="M44" s="71" t="n">
        <v>0.074</v>
      </c>
      <c r="N44" s="71" t="n">
        <v>0</v>
      </c>
      <c r="O44" s="71" t="n">
        <v>0</v>
      </c>
      <c r="P44" s="71" t="n">
        <v>0</v>
      </c>
      <c r="Q44" s="71" t="n">
        <v>0</v>
      </c>
      <c r="R44" s="71" t="n">
        <v>0</v>
      </c>
      <c r="S44" s="71" t="n">
        <v>0</v>
      </c>
      <c r="T44" s="47" t="n">
        <v>0</v>
      </c>
      <c r="U44" s="47" t="n">
        <v>0</v>
      </c>
      <c r="V44" s="47" t="n">
        <v>0</v>
      </c>
      <c r="W44" s="47" t="n">
        <v>0</v>
      </c>
    </row>
    <row r="45" customFormat="false" ht="14.25" hidden="false" customHeight="true" outlineLevel="0" collapsed="false">
      <c r="A45" s="61" t="n">
        <v>1885</v>
      </c>
      <c r="B45" s="47" t="n">
        <v>0</v>
      </c>
      <c r="C45" s="47" t="n">
        <v>0</v>
      </c>
      <c r="D45" s="47" t="n">
        <v>0</v>
      </c>
      <c r="E45" s="47" t="n">
        <v>0</v>
      </c>
      <c r="F45" s="47" t="n">
        <v>0</v>
      </c>
      <c r="G45" s="47" t="n">
        <v>0</v>
      </c>
      <c r="H45" s="47" t="n">
        <v>0</v>
      </c>
      <c r="I45" s="47" t="n">
        <v>0</v>
      </c>
      <c r="J45" s="47" t="n">
        <v>0</v>
      </c>
      <c r="K45" s="71" t="n">
        <v>1.3</v>
      </c>
      <c r="L45" s="71" t="n">
        <v>1</v>
      </c>
      <c r="M45" s="71" t="n">
        <v>0.075</v>
      </c>
      <c r="N45" s="71" t="n">
        <v>0</v>
      </c>
      <c r="O45" s="71" t="n">
        <v>0</v>
      </c>
      <c r="P45" s="71" t="n">
        <v>0</v>
      </c>
      <c r="Q45" s="71" t="n">
        <v>0</v>
      </c>
      <c r="R45" s="71" t="n">
        <v>0</v>
      </c>
      <c r="S45" s="71" t="n">
        <v>0</v>
      </c>
      <c r="T45" s="47" t="n">
        <v>0</v>
      </c>
      <c r="U45" s="47" t="n">
        <v>0</v>
      </c>
      <c r="V45" s="47" t="n">
        <v>0</v>
      </c>
      <c r="W45" s="47" t="n">
        <v>0</v>
      </c>
    </row>
    <row r="46" customFormat="false" ht="14.25" hidden="false" customHeight="true" outlineLevel="0" collapsed="false">
      <c r="A46" s="61" t="n">
        <v>1886</v>
      </c>
      <c r="B46" s="47" t="n">
        <v>0</v>
      </c>
      <c r="C46" s="47" t="n">
        <v>0</v>
      </c>
      <c r="D46" s="47" t="n">
        <v>6</v>
      </c>
      <c r="E46" s="47" t="n">
        <v>0</v>
      </c>
      <c r="F46" s="47" t="n">
        <v>0</v>
      </c>
      <c r="G46" s="47" t="n">
        <v>0</v>
      </c>
      <c r="H46" s="47" t="n">
        <v>0</v>
      </c>
      <c r="I46" s="47" t="n">
        <v>0</v>
      </c>
      <c r="J46" s="47" t="n">
        <v>0</v>
      </c>
      <c r="K46" s="71" t="n">
        <v>1.3</v>
      </c>
      <c r="L46" s="71" t="n">
        <v>1</v>
      </c>
      <c r="M46" s="71" t="n">
        <v>0.076</v>
      </c>
      <c r="N46" s="71" t="n">
        <v>0</v>
      </c>
      <c r="O46" s="71" t="n">
        <v>0</v>
      </c>
      <c r="P46" s="71" t="n">
        <v>0</v>
      </c>
      <c r="Q46" s="71" t="n">
        <v>0</v>
      </c>
      <c r="R46" s="71" t="n">
        <v>0</v>
      </c>
      <c r="S46" s="71" t="n">
        <v>0</v>
      </c>
      <c r="T46" s="47" t="n">
        <v>0</v>
      </c>
      <c r="U46" s="47" t="n">
        <v>0</v>
      </c>
      <c r="V46" s="47" t="n">
        <v>0</v>
      </c>
      <c r="W46" s="47" t="n">
        <v>0</v>
      </c>
    </row>
    <row r="47" customFormat="false" ht="14.25" hidden="false" customHeight="true" outlineLevel="0" collapsed="false">
      <c r="A47" s="61" t="n">
        <v>1887</v>
      </c>
      <c r="B47" s="47" t="n">
        <v>0</v>
      </c>
      <c r="C47" s="47" t="n">
        <v>1</v>
      </c>
      <c r="D47" s="47" t="n">
        <v>0</v>
      </c>
      <c r="E47" s="47" t="n">
        <v>0</v>
      </c>
      <c r="F47" s="47" t="n">
        <v>0</v>
      </c>
      <c r="G47" s="47" t="n">
        <v>0</v>
      </c>
      <c r="H47" s="47" t="n">
        <v>0</v>
      </c>
      <c r="I47" s="47" t="n">
        <v>0</v>
      </c>
      <c r="J47" s="47" t="n">
        <v>0</v>
      </c>
      <c r="K47" s="71" t="n">
        <v>1.3</v>
      </c>
      <c r="L47" s="71" t="n">
        <v>1</v>
      </c>
      <c r="M47" s="71" t="n">
        <v>0.077</v>
      </c>
      <c r="N47" s="71" t="n">
        <v>0</v>
      </c>
      <c r="O47" s="71" t="n">
        <v>0</v>
      </c>
      <c r="P47" s="71" t="n">
        <v>0</v>
      </c>
      <c r="Q47" s="71" t="n">
        <v>0</v>
      </c>
      <c r="R47" s="71" t="n">
        <v>0</v>
      </c>
      <c r="S47" s="71" t="n">
        <v>0</v>
      </c>
      <c r="T47" s="47" t="n">
        <v>0</v>
      </c>
      <c r="U47" s="47" t="n">
        <v>0</v>
      </c>
      <c r="V47" s="47" t="n">
        <v>0</v>
      </c>
      <c r="W47" s="47" t="n">
        <v>0</v>
      </c>
    </row>
    <row r="48" customFormat="false" ht="14.25" hidden="false" customHeight="true" outlineLevel="0" collapsed="false">
      <c r="A48" s="61" t="n">
        <v>1888</v>
      </c>
      <c r="B48" s="47" t="n">
        <v>0</v>
      </c>
      <c r="C48" s="47" t="n">
        <v>0</v>
      </c>
      <c r="D48" s="47" t="n">
        <v>6</v>
      </c>
      <c r="E48" s="47" t="n">
        <v>0</v>
      </c>
      <c r="F48" s="47" t="n">
        <v>0</v>
      </c>
      <c r="G48" s="47" t="n">
        <v>0</v>
      </c>
      <c r="H48" s="47" t="n">
        <v>0</v>
      </c>
      <c r="I48" s="47" t="n">
        <v>0</v>
      </c>
      <c r="J48" s="47" t="n">
        <v>0</v>
      </c>
      <c r="K48" s="71" t="n">
        <v>1.3</v>
      </c>
      <c r="L48" s="71" t="n">
        <v>1</v>
      </c>
      <c r="M48" s="71" t="n">
        <v>0.078</v>
      </c>
      <c r="N48" s="71" t="n">
        <v>1.6</v>
      </c>
      <c r="O48" s="71" t="n">
        <v>0</v>
      </c>
      <c r="P48" s="71" t="n">
        <v>0</v>
      </c>
      <c r="Q48" s="71" t="n">
        <v>0</v>
      </c>
      <c r="R48" s="71" t="n">
        <v>0</v>
      </c>
      <c r="S48" s="71" t="n">
        <v>0</v>
      </c>
      <c r="T48" s="47" t="n">
        <v>0</v>
      </c>
      <c r="U48" s="47" t="n">
        <v>0</v>
      </c>
      <c r="V48" s="47" t="n">
        <v>0</v>
      </c>
      <c r="W48" s="47" t="n">
        <v>0</v>
      </c>
    </row>
    <row r="49" customFormat="false" ht="14.25" hidden="false" customHeight="true" outlineLevel="0" collapsed="false">
      <c r="A49" s="61" t="n">
        <v>1889</v>
      </c>
      <c r="B49" s="47" t="n">
        <v>0</v>
      </c>
      <c r="C49" s="47" t="n">
        <v>0</v>
      </c>
      <c r="D49" s="47" t="n">
        <v>0</v>
      </c>
      <c r="E49" s="47" t="n">
        <v>0</v>
      </c>
      <c r="F49" s="47" t="n">
        <v>0</v>
      </c>
      <c r="G49" s="47" t="n">
        <v>0</v>
      </c>
      <c r="H49" s="47" t="n">
        <v>0</v>
      </c>
      <c r="I49" s="47" t="n">
        <v>0</v>
      </c>
      <c r="J49" s="47" t="n">
        <v>0</v>
      </c>
      <c r="K49" s="71" t="n">
        <v>1.3</v>
      </c>
      <c r="L49" s="71" t="n">
        <v>1</v>
      </c>
      <c r="M49" s="71" t="n">
        <v>0.079</v>
      </c>
      <c r="N49" s="71" t="n">
        <v>1.7</v>
      </c>
      <c r="O49" s="71" t="n">
        <v>0</v>
      </c>
      <c r="P49" s="71" t="n">
        <v>0</v>
      </c>
      <c r="Q49" s="71" t="n">
        <v>0</v>
      </c>
      <c r="R49" s="71" t="n">
        <v>0</v>
      </c>
      <c r="S49" s="71" t="n">
        <v>0</v>
      </c>
      <c r="T49" s="47" t="n">
        <v>0</v>
      </c>
      <c r="U49" s="47" t="n">
        <v>0</v>
      </c>
      <c r="V49" s="47" t="n">
        <v>0</v>
      </c>
      <c r="W49" s="47" t="n">
        <v>0</v>
      </c>
    </row>
    <row r="50" customFormat="false" ht="14.25" hidden="false" customHeight="true" outlineLevel="0" collapsed="false">
      <c r="A50" s="61" t="n">
        <v>1890</v>
      </c>
      <c r="B50" s="47" t="n">
        <v>0</v>
      </c>
      <c r="C50" s="47" t="n">
        <v>0</v>
      </c>
      <c r="D50" s="47" t="n">
        <v>4</v>
      </c>
      <c r="E50" s="47" t="n">
        <v>2</v>
      </c>
      <c r="F50" s="47" t="n">
        <v>0</v>
      </c>
      <c r="G50" s="47" t="n">
        <v>0</v>
      </c>
      <c r="H50" s="47" t="n">
        <v>0</v>
      </c>
      <c r="I50" s="47" t="n">
        <v>0</v>
      </c>
      <c r="J50" s="47" t="n">
        <v>0</v>
      </c>
      <c r="K50" s="71" t="n">
        <v>1.3</v>
      </c>
      <c r="L50" s="71" t="n">
        <v>1</v>
      </c>
      <c r="M50" s="71" t="n">
        <v>0.08</v>
      </c>
      <c r="N50" s="71" t="n">
        <v>1.8</v>
      </c>
      <c r="O50" s="71" t="n">
        <v>0</v>
      </c>
      <c r="P50" s="71" t="n">
        <v>0</v>
      </c>
      <c r="Q50" s="71" t="n">
        <v>0</v>
      </c>
      <c r="R50" s="71" t="n">
        <v>0</v>
      </c>
      <c r="S50" s="71" t="n">
        <v>0</v>
      </c>
      <c r="T50" s="47" t="n">
        <v>0</v>
      </c>
      <c r="U50" s="47" t="n">
        <v>0</v>
      </c>
      <c r="V50" s="47" t="n">
        <v>0</v>
      </c>
      <c r="W50" s="47" t="n">
        <v>0</v>
      </c>
    </row>
    <row r="51" customFormat="false" ht="14.25" hidden="false" customHeight="true" outlineLevel="0" collapsed="false">
      <c r="A51" s="61" t="n">
        <v>1891</v>
      </c>
      <c r="B51" s="47" t="n">
        <v>0</v>
      </c>
      <c r="C51" s="47" t="n">
        <v>0</v>
      </c>
      <c r="D51" s="47" t="n">
        <v>0</v>
      </c>
      <c r="E51" s="47" t="n">
        <v>0</v>
      </c>
      <c r="F51" s="47" t="n">
        <v>0</v>
      </c>
      <c r="G51" s="47" t="n">
        <v>0</v>
      </c>
      <c r="H51" s="47" t="n">
        <v>0</v>
      </c>
      <c r="I51" s="47" t="n">
        <v>0</v>
      </c>
      <c r="J51" s="47" t="n">
        <v>0</v>
      </c>
      <c r="K51" s="71" t="n">
        <v>1.3</v>
      </c>
      <c r="L51" s="71" t="n">
        <v>1</v>
      </c>
      <c r="M51" s="71" t="n">
        <v>0.08</v>
      </c>
      <c r="N51" s="71" t="n">
        <v>1.81</v>
      </c>
      <c r="O51" s="71" t="n">
        <v>0</v>
      </c>
      <c r="P51" s="71" t="n">
        <v>0</v>
      </c>
      <c r="Q51" s="71" t="n">
        <v>0</v>
      </c>
      <c r="R51" s="71" t="n">
        <v>0</v>
      </c>
      <c r="S51" s="71" t="n">
        <v>0</v>
      </c>
      <c r="T51" s="47" t="n">
        <v>0</v>
      </c>
      <c r="U51" s="47" t="n">
        <v>0</v>
      </c>
      <c r="V51" s="47" t="n">
        <v>0</v>
      </c>
      <c r="W51" s="47" t="n">
        <v>0</v>
      </c>
    </row>
    <row r="52" customFormat="false" ht="14.25" hidden="false" customHeight="true" outlineLevel="0" collapsed="false">
      <c r="A52" s="61" t="n">
        <v>1892</v>
      </c>
      <c r="B52" s="47" t="n">
        <v>0</v>
      </c>
      <c r="C52" s="47" t="n">
        <v>0</v>
      </c>
      <c r="D52" s="47" t="n">
        <v>4</v>
      </c>
      <c r="E52" s="47" t="n">
        <v>2</v>
      </c>
      <c r="F52" s="47" t="n">
        <v>0</v>
      </c>
      <c r="G52" s="47" t="n">
        <v>0</v>
      </c>
      <c r="H52" s="47" t="n">
        <v>0</v>
      </c>
      <c r="I52" s="47" t="n">
        <v>0</v>
      </c>
      <c r="J52" s="47" t="n">
        <v>0</v>
      </c>
      <c r="K52" s="71" t="n">
        <v>1.3</v>
      </c>
      <c r="L52" s="71" t="n">
        <v>1</v>
      </c>
      <c r="M52" s="71" t="n">
        <v>0.08</v>
      </c>
      <c r="N52" s="71" t="n">
        <v>1.82</v>
      </c>
      <c r="O52" s="71" t="n">
        <v>0</v>
      </c>
      <c r="P52" s="71" t="n">
        <v>0</v>
      </c>
      <c r="Q52" s="71" t="n">
        <v>0</v>
      </c>
      <c r="R52" s="71" t="n">
        <v>0</v>
      </c>
      <c r="S52" s="71" t="n">
        <v>0</v>
      </c>
      <c r="T52" s="47" t="n">
        <v>0</v>
      </c>
      <c r="U52" s="47" t="n">
        <v>0</v>
      </c>
      <c r="V52" s="47" t="n">
        <v>0</v>
      </c>
      <c r="W52" s="47" t="n">
        <v>0</v>
      </c>
    </row>
    <row r="53" customFormat="false" ht="14.25" hidden="false" customHeight="true" outlineLevel="0" collapsed="false">
      <c r="A53" s="61" t="n">
        <v>1893</v>
      </c>
      <c r="B53" s="47" t="n">
        <v>0</v>
      </c>
      <c r="C53" s="47" t="n">
        <v>0</v>
      </c>
      <c r="D53" s="47" t="n">
        <v>0</v>
      </c>
      <c r="E53" s="47" t="n">
        <v>0</v>
      </c>
      <c r="F53" s="47" t="n">
        <v>0</v>
      </c>
      <c r="G53" s="47" t="n">
        <v>0</v>
      </c>
      <c r="H53" s="47" t="n">
        <v>0</v>
      </c>
      <c r="I53" s="47" t="n">
        <v>0</v>
      </c>
      <c r="J53" s="47" t="n">
        <v>0</v>
      </c>
      <c r="K53" s="71" t="n">
        <v>1.3</v>
      </c>
      <c r="L53" s="71" t="n">
        <v>1</v>
      </c>
      <c r="M53" s="71" t="n">
        <v>0.08</v>
      </c>
      <c r="N53" s="71" t="n">
        <v>1.83</v>
      </c>
      <c r="O53" s="71" t="n">
        <v>0.3</v>
      </c>
      <c r="P53" s="71" t="n">
        <v>0</v>
      </c>
      <c r="Q53" s="71" t="n">
        <v>0</v>
      </c>
      <c r="R53" s="71" t="n">
        <v>0</v>
      </c>
      <c r="S53" s="71" t="n">
        <v>0</v>
      </c>
      <c r="T53" s="47" t="n">
        <v>0</v>
      </c>
      <c r="U53" s="47" t="n">
        <v>0</v>
      </c>
      <c r="V53" s="47" t="n">
        <v>0</v>
      </c>
      <c r="W53" s="47" t="n">
        <v>0</v>
      </c>
    </row>
    <row r="54" customFormat="false" ht="14.25" hidden="false" customHeight="true" outlineLevel="0" collapsed="false">
      <c r="A54" s="61" t="n">
        <v>1894</v>
      </c>
      <c r="B54" s="47" t="n">
        <v>0</v>
      </c>
      <c r="C54" s="47" t="n">
        <v>0</v>
      </c>
      <c r="D54" s="47" t="n">
        <v>0</v>
      </c>
      <c r="E54" s="47" t="n">
        <v>2</v>
      </c>
      <c r="F54" s="47" t="n">
        <v>2</v>
      </c>
      <c r="G54" s="47" t="n">
        <v>0</v>
      </c>
      <c r="H54" s="47" t="n">
        <v>0</v>
      </c>
      <c r="I54" s="47" t="n">
        <v>0</v>
      </c>
      <c r="J54" s="47" t="n">
        <v>0</v>
      </c>
      <c r="K54" s="71" t="n">
        <v>1.3</v>
      </c>
      <c r="L54" s="71" t="n">
        <v>1</v>
      </c>
      <c r="M54" s="71" t="n">
        <v>0.08</v>
      </c>
      <c r="N54" s="71" t="n">
        <v>1.84</v>
      </c>
      <c r="O54" s="71" t="n">
        <v>0.307</v>
      </c>
      <c r="P54" s="71" t="n">
        <v>0</v>
      </c>
      <c r="Q54" s="71" t="n">
        <v>0</v>
      </c>
      <c r="R54" s="71" t="n">
        <v>0</v>
      </c>
      <c r="S54" s="71" t="n">
        <v>0</v>
      </c>
      <c r="T54" s="47" t="n">
        <v>0</v>
      </c>
      <c r="U54" s="47" t="n">
        <v>0</v>
      </c>
      <c r="V54" s="47" t="n">
        <v>0</v>
      </c>
      <c r="W54" s="47" t="n">
        <v>0</v>
      </c>
    </row>
    <row r="55" customFormat="false" ht="14.25" hidden="false" customHeight="true" outlineLevel="0" collapsed="false">
      <c r="A55" s="61" t="n">
        <v>1895</v>
      </c>
      <c r="B55" s="47" t="n">
        <v>0</v>
      </c>
      <c r="C55" s="47" t="n">
        <v>0</v>
      </c>
      <c r="D55" s="47" t="n">
        <v>0</v>
      </c>
      <c r="E55" s="47" t="n">
        <v>0</v>
      </c>
      <c r="F55" s="47" t="n">
        <v>3</v>
      </c>
      <c r="G55" s="47" t="n">
        <v>0</v>
      </c>
      <c r="H55" s="47" t="n">
        <v>0</v>
      </c>
      <c r="I55" s="47" t="n">
        <v>0</v>
      </c>
      <c r="J55" s="47" t="n">
        <v>0</v>
      </c>
      <c r="K55" s="71" t="n">
        <v>1.3</v>
      </c>
      <c r="L55" s="71" t="n">
        <v>1</v>
      </c>
      <c r="M55" s="71" t="n">
        <v>0.08</v>
      </c>
      <c r="N55" s="71" t="n">
        <v>1.85</v>
      </c>
      <c r="O55" s="71" t="n">
        <v>0.314</v>
      </c>
      <c r="P55" s="71" t="n">
        <v>0</v>
      </c>
      <c r="Q55" s="71" t="n">
        <v>0</v>
      </c>
      <c r="R55" s="71" t="n">
        <v>0</v>
      </c>
      <c r="S55" s="71" t="n">
        <v>0</v>
      </c>
      <c r="T55" s="47" t="n">
        <v>0</v>
      </c>
      <c r="U55" s="47" t="n">
        <v>0</v>
      </c>
      <c r="V55" s="47" t="n">
        <v>0</v>
      </c>
      <c r="W55" s="47" t="n">
        <v>0</v>
      </c>
    </row>
    <row r="56" customFormat="false" ht="14.25" hidden="false" customHeight="true" outlineLevel="0" collapsed="false">
      <c r="A56" s="61" t="n">
        <v>1896</v>
      </c>
      <c r="B56" s="47" t="n">
        <v>0</v>
      </c>
      <c r="C56" s="47" t="n">
        <v>0</v>
      </c>
      <c r="D56" s="47" t="n">
        <v>0</v>
      </c>
      <c r="E56" s="47" t="n">
        <v>2</v>
      </c>
      <c r="F56" s="47" t="n">
        <v>3</v>
      </c>
      <c r="G56" s="47" t="n">
        <v>0</v>
      </c>
      <c r="H56" s="47" t="n">
        <v>0</v>
      </c>
      <c r="I56" s="47" t="n">
        <v>0</v>
      </c>
      <c r="J56" s="47" t="n">
        <v>0</v>
      </c>
      <c r="K56" s="71" t="n">
        <v>1.3</v>
      </c>
      <c r="L56" s="71" t="n">
        <v>1</v>
      </c>
      <c r="M56" s="71" t="n">
        <v>0.08</v>
      </c>
      <c r="N56" s="71" t="n">
        <v>1.86</v>
      </c>
      <c r="O56" s="71" t="n">
        <v>0.321</v>
      </c>
      <c r="P56" s="71" t="n">
        <v>0</v>
      </c>
      <c r="Q56" s="71" t="n">
        <v>0</v>
      </c>
      <c r="R56" s="71" t="n">
        <v>0</v>
      </c>
      <c r="S56" s="71" t="n">
        <v>0</v>
      </c>
      <c r="T56" s="47" t="n">
        <v>0</v>
      </c>
      <c r="U56" s="47" t="n">
        <v>0</v>
      </c>
      <c r="V56" s="47" t="n">
        <v>0</v>
      </c>
      <c r="W56" s="47" t="n">
        <v>0</v>
      </c>
    </row>
    <row r="57" customFormat="false" ht="14.25" hidden="false" customHeight="true" outlineLevel="0" collapsed="false">
      <c r="A57" s="61" t="n">
        <v>1897</v>
      </c>
      <c r="B57" s="47" t="n">
        <v>0</v>
      </c>
      <c r="C57" s="47" t="n">
        <v>0</v>
      </c>
      <c r="D57" s="47" t="n">
        <v>0</v>
      </c>
      <c r="E57" s="47" t="n">
        <v>0</v>
      </c>
      <c r="F57" s="47" t="n">
        <v>3</v>
      </c>
      <c r="G57" s="47" t="n">
        <v>0</v>
      </c>
      <c r="H57" s="47" t="n">
        <v>0</v>
      </c>
      <c r="I57" s="47" t="n">
        <v>0</v>
      </c>
      <c r="J57" s="47" t="n">
        <v>0</v>
      </c>
      <c r="K57" s="71" t="n">
        <v>1.3</v>
      </c>
      <c r="L57" s="71" t="n">
        <v>1</v>
      </c>
      <c r="M57" s="71" t="n">
        <v>0.08</v>
      </c>
      <c r="N57" s="71" t="n">
        <v>1.87</v>
      </c>
      <c r="O57" s="71" t="n">
        <v>0.329</v>
      </c>
      <c r="P57" s="71" t="n">
        <v>2.5</v>
      </c>
      <c r="Q57" s="71" t="n">
        <v>0</v>
      </c>
      <c r="R57" s="71" t="n">
        <v>0</v>
      </c>
      <c r="S57" s="71" t="n">
        <v>0</v>
      </c>
      <c r="T57" s="47" t="n">
        <v>0</v>
      </c>
      <c r="U57" s="47" t="n">
        <v>0</v>
      </c>
      <c r="V57" s="47" t="n">
        <v>0</v>
      </c>
      <c r="W57" s="47" t="n">
        <v>0</v>
      </c>
    </row>
    <row r="58" customFormat="false" ht="14.25" hidden="false" customHeight="true" outlineLevel="0" collapsed="false">
      <c r="A58" s="61" t="n">
        <v>1898</v>
      </c>
      <c r="B58" s="47" t="n">
        <v>0</v>
      </c>
      <c r="C58" s="47" t="n">
        <v>0</v>
      </c>
      <c r="D58" s="47" t="n">
        <v>0</v>
      </c>
      <c r="E58" s="47" t="n">
        <v>0</v>
      </c>
      <c r="F58" s="47" t="n">
        <v>4</v>
      </c>
      <c r="G58" s="47" t="n">
        <v>2</v>
      </c>
      <c r="H58" s="47" t="n">
        <v>0</v>
      </c>
      <c r="I58" s="47" t="n">
        <v>0</v>
      </c>
      <c r="J58" s="47" t="n">
        <v>0</v>
      </c>
      <c r="K58" s="71" t="n">
        <v>1.3</v>
      </c>
      <c r="L58" s="71" t="n">
        <v>1</v>
      </c>
      <c r="M58" s="71" t="n">
        <v>0.08</v>
      </c>
      <c r="N58" s="71" t="n">
        <v>1.88</v>
      </c>
      <c r="O58" s="71" t="n">
        <v>0.336</v>
      </c>
      <c r="P58" s="71" t="n">
        <v>2.625</v>
      </c>
      <c r="Q58" s="71" t="n">
        <v>0</v>
      </c>
      <c r="R58" s="71" t="n">
        <v>0</v>
      </c>
      <c r="S58" s="71" t="n">
        <v>0</v>
      </c>
      <c r="T58" s="47" t="n">
        <v>0</v>
      </c>
      <c r="U58" s="47" t="n">
        <v>0</v>
      </c>
      <c r="V58" s="47" t="n">
        <v>0</v>
      </c>
      <c r="W58" s="47" t="n">
        <v>0</v>
      </c>
    </row>
    <row r="59" customFormat="false" ht="14.25" hidden="false" customHeight="true" outlineLevel="0" collapsed="false">
      <c r="A59" s="61" t="n">
        <v>1899</v>
      </c>
      <c r="B59" s="47" t="n">
        <v>0</v>
      </c>
      <c r="C59" s="47" t="n">
        <v>0</v>
      </c>
      <c r="D59" s="47" t="n">
        <v>0</v>
      </c>
      <c r="E59" s="47" t="n">
        <v>0</v>
      </c>
      <c r="F59" s="47" t="n">
        <v>4</v>
      </c>
      <c r="G59" s="47" t="n">
        <v>2</v>
      </c>
      <c r="H59" s="47" t="n">
        <v>0</v>
      </c>
      <c r="I59" s="47" t="n">
        <v>0</v>
      </c>
      <c r="J59" s="47" t="n">
        <v>0</v>
      </c>
      <c r="K59" s="71" t="n">
        <v>1.3</v>
      </c>
      <c r="L59" s="71" t="n">
        <v>1</v>
      </c>
      <c r="M59" s="71" t="n">
        <v>0.08</v>
      </c>
      <c r="N59" s="71" t="n">
        <v>1.89</v>
      </c>
      <c r="O59" s="71" t="n">
        <v>0.343</v>
      </c>
      <c r="P59" s="71" t="n">
        <v>2.75</v>
      </c>
      <c r="Q59" s="71" t="n">
        <v>0</v>
      </c>
      <c r="R59" s="71" t="n">
        <v>0.2</v>
      </c>
      <c r="S59" s="71" t="n">
        <v>0</v>
      </c>
      <c r="T59" s="47" t="n">
        <v>0</v>
      </c>
      <c r="U59" s="47" t="n">
        <v>0</v>
      </c>
      <c r="V59" s="47" t="n">
        <v>0</v>
      </c>
      <c r="W59" s="47" t="n">
        <v>0</v>
      </c>
    </row>
    <row r="60" customFormat="false" ht="14.25" hidden="false" customHeight="true" outlineLevel="0" collapsed="false">
      <c r="A60" s="61" t="n">
        <v>1900</v>
      </c>
      <c r="B60" s="47" t="n">
        <v>0</v>
      </c>
      <c r="C60" s="47" t="n">
        <v>0</v>
      </c>
      <c r="D60" s="47" t="n">
        <v>0</v>
      </c>
      <c r="E60" s="47" t="n">
        <v>0</v>
      </c>
      <c r="F60" s="47" t="n">
        <v>3</v>
      </c>
      <c r="G60" s="47" t="n">
        <v>0</v>
      </c>
      <c r="H60" s="47" t="n">
        <v>0</v>
      </c>
      <c r="I60" s="47" t="n">
        <v>2</v>
      </c>
      <c r="J60" s="47" t="n">
        <v>0</v>
      </c>
      <c r="K60" s="71" t="n">
        <v>1.3</v>
      </c>
      <c r="L60" s="71" t="n">
        <v>1</v>
      </c>
      <c r="M60" s="71" t="n">
        <v>0.08</v>
      </c>
      <c r="N60" s="71" t="n">
        <v>1.9</v>
      </c>
      <c r="O60" s="71" t="n">
        <v>0.35</v>
      </c>
      <c r="P60" s="71" t="n">
        <v>2.875</v>
      </c>
      <c r="Q60" s="71" t="n">
        <v>0</v>
      </c>
      <c r="R60" s="71" t="n">
        <v>0.218</v>
      </c>
      <c r="S60" s="71" t="n">
        <v>0</v>
      </c>
      <c r="T60" s="47" t="n">
        <v>0</v>
      </c>
      <c r="U60" s="47" t="n">
        <v>0</v>
      </c>
      <c r="V60" s="47" t="n">
        <v>0</v>
      </c>
      <c r="W60" s="47" t="n">
        <v>0</v>
      </c>
    </row>
    <row r="61" customFormat="false" ht="14.25" hidden="false" customHeight="true" outlineLevel="0" collapsed="false">
      <c r="A61" s="61" t="n">
        <v>1901</v>
      </c>
      <c r="B61" s="47" t="n">
        <v>0</v>
      </c>
      <c r="C61" s="47" t="n">
        <v>0</v>
      </c>
      <c r="D61" s="47" t="n">
        <v>0</v>
      </c>
      <c r="E61" s="47" t="n">
        <v>0</v>
      </c>
      <c r="F61" s="47" t="n">
        <v>3</v>
      </c>
      <c r="G61" s="47" t="n">
        <v>2</v>
      </c>
      <c r="H61" s="47" t="n">
        <v>0</v>
      </c>
      <c r="I61" s="47" t="n">
        <v>0</v>
      </c>
      <c r="J61" s="47" t="n">
        <v>0</v>
      </c>
      <c r="K61" s="71" t="n">
        <v>1.3</v>
      </c>
      <c r="L61" s="71" t="n">
        <v>1</v>
      </c>
      <c r="M61" s="71" t="n">
        <v>0.08</v>
      </c>
      <c r="N61" s="71" t="n">
        <v>1.938</v>
      </c>
      <c r="O61" s="71" t="n">
        <v>0.37</v>
      </c>
      <c r="P61" s="71" t="n">
        <v>3</v>
      </c>
      <c r="Q61" s="71" t="n">
        <v>0</v>
      </c>
      <c r="R61" s="71" t="n">
        <v>0.236</v>
      </c>
      <c r="S61" s="71" t="n">
        <v>0</v>
      </c>
      <c r="T61" s="47" t="n">
        <v>0</v>
      </c>
      <c r="U61" s="47" t="n">
        <v>0</v>
      </c>
      <c r="V61" s="47" t="n">
        <v>0</v>
      </c>
      <c r="W61" s="47" t="n">
        <v>0</v>
      </c>
    </row>
    <row r="62" customFormat="false" ht="14.25" hidden="false" customHeight="true" outlineLevel="0" collapsed="false">
      <c r="A62" s="61" t="n">
        <v>1902</v>
      </c>
      <c r="B62" s="47" t="n">
        <v>0</v>
      </c>
      <c r="C62" s="47" t="n">
        <v>0</v>
      </c>
      <c r="D62" s="47" t="n">
        <v>0</v>
      </c>
      <c r="E62" s="47" t="n">
        <v>0</v>
      </c>
      <c r="F62" s="47" t="n">
        <v>3</v>
      </c>
      <c r="G62" s="47" t="n">
        <v>0</v>
      </c>
      <c r="H62" s="47" t="n">
        <v>0</v>
      </c>
      <c r="I62" s="47" t="n">
        <v>2</v>
      </c>
      <c r="J62" s="47" t="n">
        <v>0</v>
      </c>
      <c r="K62" s="71" t="n">
        <v>1.3</v>
      </c>
      <c r="L62" s="71" t="n">
        <v>1</v>
      </c>
      <c r="M62" s="71" t="n">
        <v>0.08</v>
      </c>
      <c r="N62" s="71" t="n">
        <v>1.977</v>
      </c>
      <c r="O62" s="71" t="n">
        <v>0.39</v>
      </c>
      <c r="P62" s="71" t="n">
        <v>3.125</v>
      </c>
      <c r="Q62" s="71" t="n">
        <v>6</v>
      </c>
      <c r="R62" s="71" t="n">
        <v>0.255</v>
      </c>
      <c r="S62" s="71" t="n">
        <v>0</v>
      </c>
      <c r="T62" s="47" t="n">
        <v>0</v>
      </c>
      <c r="U62" s="47" t="n">
        <v>0</v>
      </c>
      <c r="V62" s="47" t="n">
        <v>0</v>
      </c>
      <c r="W62" s="47" t="n">
        <v>0</v>
      </c>
    </row>
    <row r="63" customFormat="false" ht="14.25" hidden="false" customHeight="true" outlineLevel="0" collapsed="false">
      <c r="A63" s="61" t="n">
        <v>1903</v>
      </c>
      <c r="B63" s="47" t="n">
        <v>0</v>
      </c>
      <c r="C63" s="47" t="n">
        <v>0</v>
      </c>
      <c r="D63" s="47" t="n">
        <v>0</v>
      </c>
      <c r="E63" s="47" t="n">
        <v>0</v>
      </c>
      <c r="F63" s="47" t="n">
        <v>3</v>
      </c>
      <c r="G63" s="47" t="n">
        <v>1</v>
      </c>
      <c r="H63" s="47" t="n">
        <v>1</v>
      </c>
      <c r="I63" s="47" t="n">
        <v>0</v>
      </c>
      <c r="J63" s="47" t="n">
        <v>0</v>
      </c>
      <c r="K63" s="71" t="n">
        <v>1.3</v>
      </c>
      <c r="L63" s="71" t="n">
        <v>1</v>
      </c>
      <c r="M63" s="71" t="n">
        <v>0.08</v>
      </c>
      <c r="N63" s="71" t="n">
        <v>2.015</v>
      </c>
      <c r="O63" s="71" t="n">
        <v>0.41</v>
      </c>
      <c r="P63" s="71" t="n">
        <v>3.25</v>
      </c>
      <c r="Q63" s="71" t="n">
        <v>6.5</v>
      </c>
      <c r="R63" s="71" t="n">
        <v>0.273</v>
      </c>
      <c r="S63" s="71" t="n">
        <v>0</v>
      </c>
      <c r="T63" s="47" t="n">
        <v>0</v>
      </c>
      <c r="U63" s="47" t="n">
        <v>0</v>
      </c>
      <c r="V63" s="47" t="n">
        <v>0</v>
      </c>
      <c r="W63" s="47" t="n">
        <v>0</v>
      </c>
    </row>
    <row r="64" customFormat="false" ht="14.25" hidden="false" customHeight="true" outlineLevel="0" collapsed="false">
      <c r="A64" s="61" t="n">
        <v>1904</v>
      </c>
      <c r="B64" s="47" t="n">
        <v>0</v>
      </c>
      <c r="C64" s="47" t="n">
        <v>0</v>
      </c>
      <c r="D64" s="47" t="n">
        <v>0</v>
      </c>
      <c r="E64" s="47" t="n">
        <v>0</v>
      </c>
      <c r="F64" s="47" t="n">
        <v>3</v>
      </c>
      <c r="G64" s="47" t="n">
        <v>0</v>
      </c>
      <c r="H64" s="47" t="n">
        <v>0</v>
      </c>
      <c r="I64" s="47" t="n">
        <v>2</v>
      </c>
      <c r="J64" s="47" t="n">
        <v>0</v>
      </c>
      <c r="K64" s="71" t="n">
        <v>1.3</v>
      </c>
      <c r="L64" s="71" t="n">
        <v>1</v>
      </c>
      <c r="M64" s="71" t="n">
        <v>0.08</v>
      </c>
      <c r="N64" s="71" t="n">
        <v>2.054</v>
      </c>
      <c r="O64" s="71" t="n">
        <v>0.43</v>
      </c>
      <c r="P64" s="71" t="n">
        <v>3.375</v>
      </c>
      <c r="Q64" s="71" t="n">
        <v>7</v>
      </c>
      <c r="R64" s="71" t="n">
        <v>0.291</v>
      </c>
      <c r="S64" s="71" t="n">
        <v>0</v>
      </c>
      <c r="T64" s="47" t="n">
        <v>0</v>
      </c>
      <c r="U64" s="47" t="n">
        <v>0</v>
      </c>
      <c r="V64" s="47" t="n">
        <v>0</v>
      </c>
      <c r="W64" s="47" t="n">
        <v>0</v>
      </c>
    </row>
    <row r="65" customFormat="false" ht="14.25" hidden="false" customHeight="true" outlineLevel="0" collapsed="false">
      <c r="A65" s="61" t="n">
        <v>1905</v>
      </c>
      <c r="B65" s="47" t="n">
        <v>0</v>
      </c>
      <c r="C65" s="47" t="n">
        <v>0</v>
      </c>
      <c r="D65" s="47" t="n">
        <v>0</v>
      </c>
      <c r="E65" s="47" t="n">
        <v>0</v>
      </c>
      <c r="F65" s="47" t="n">
        <v>3</v>
      </c>
      <c r="G65" s="47" t="n">
        <v>1</v>
      </c>
      <c r="H65" s="47" t="n">
        <v>1</v>
      </c>
      <c r="I65" s="47" t="n">
        <v>0</v>
      </c>
      <c r="J65" s="47" t="n">
        <v>0</v>
      </c>
      <c r="K65" s="71" t="n">
        <v>1.3</v>
      </c>
      <c r="L65" s="71" t="n">
        <v>1</v>
      </c>
      <c r="M65" s="71" t="n">
        <v>0.08</v>
      </c>
      <c r="N65" s="71" t="n">
        <v>2.092</v>
      </c>
      <c r="O65" s="71" t="n">
        <v>0.45</v>
      </c>
      <c r="P65" s="71" t="n">
        <v>3.5</v>
      </c>
      <c r="Q65" s="71" t="n">
        <v>7.5</v>
      </c>
      <c r="R65" s="71" t="n">
        <v>0.309</v>
      </c>
      <c r="S65" s="71" t="n">
        <v>0</v>
      </c>
      <c r="T65" s="47" t="n">
        <v>0</v>
      </c>
      <c r="U65" s="47" t="n">
        <v>0</v>
      </c>
      <c r="V65" s="47" t="n">
        <v>0</v>
      </c>
      <c r="W65" s="47" t="n">
        <v>0</v>
      </c>
    </row>
    <row r="66" customFormat="false" ht="14.25" hidden="false" customHeight="true" outlineLevel="0" collapsed="false">
      <c r="A66" s="61" t="n">
        <v>1906</v>
      </c>
      <c r="B66" s="47" t="n">
        <v>0</v>
      </c>
      <c r="C66" s="47" t="n">
        <v>0</v>
      </c>
      <c r="D66" s="47" t="n">
        <v>0</v>
      </c>
      <c r="E66" s="47" t="n">
        <v>0</v>
      </c>
      <c r="F66" s="47" t="n">
        <v>4</v>
      </c>
      <c r="G66" s="47" t="n">
        <v>0</v>
      </c>
      <c r="H66" s="47" t="n">
        <v>1</v>
      </c>
      <c r="I66" s="47" t="n">
        <v>3</v>
      </c>
      <c r="J66" s="47" t="n">
        <v>0</v>
      </c>
      <c r="K66" s="71" t="n">
        <v>1.3</v>
      </c>
      <c r="L66" s="71" t="n">
        <v>1</v>
      </c>
      <c r="M66" s="71" t="n">
        <v>0.08</v>
      </c>
      <c r="N66" s="71" t="n">
        <v>2.131</v>
      </c>
      <c r="O66" s="71" t="n">
        <v>0.49</v>
      </c>
      <c r="P66" s="71" t="n">
        <v>3.688</v>
      </c>
      <c r="Q66" s="71" t="n">
        <v>8</v>
      </c>
      <c r="R66" s="71" t="n">
        <v>0.327</v>
      </c>
      <c r="S66" s="71" t="n">
        <v>0</v>
      </c>
      <c r="T66" s="47" t="n">
        <v>0</v>
      </c>
      <c r="U66" s="47" t="n">
        <v>1</v>
      </c>
      <c r="V66" s="47" t="n">
        <v>0</v>
      </c>
      <c r="W66" s="47" t="n">
        <v>0</v>
      </c>
    </row>
    <row r="67" customFormat="false" ht="14.25" hidden="false" customHeight="true" outlineLevel="0" collapsed="false">
      <c r="A67" s="61" t="n">
        <v>1907</v>
      </c>
      <c r="B67" s="47" t="n">
        <v>0</v>
      </c>
      <c r="C67" s="47" t="n">
        <v>0</v>
      </c>
      <c r="D67" s="47" t="n">
        <v>0</v>
      </c>
      <c r="E67" s="47" t="n">
        <v>0</v>
      </c>
      <c r="F67" s="47" t="n">
        <v>4</v>
      </c>
      <c r="G67" s="47" t="n">
        <v>2</v>
      </c>
      <c r="H67" s="47" t="n">
        <v>1</v>
      </c>
      <c r="I67" s="47" t="n">
        <v>0</v>
      </c>
      <c r="J67" s="47" t="n">
        <v>0</v>
      </c>
      <c r="K67" s="71" t="n">
        <v>1.3</v>
      </c>
      <c r="L67" s="71" t="n">
        <v>1</v>
      </c>
      <c r="M67" s="71" t="n">
        <v>0.08</v>
      </c>
      <c r="N67" s="71" t="n">
        <v>2.169</v>
      </c>
      <c r="O67" s="71" t="n">
        <v>0.53</v>
      </c>
      <c r="P67" s="71" t="n">
        <v>3.875</v>
      </c>
      <c r="Q67" s="71" t="n">
        <v>8.75</v>
      </c>
      <c r="R67" s="71" t="n">
        <v>0.345</v>
      </c>
      <c r="S67" s="71" t="n">
        <v>0</v>
      </c>
      <c r="T67" s="47" t="n">
        <v>0</v>
      </c>
      <c r="U67" s="47" t="n">
        <v>3</v>
      </c>
      <c r="V67" s="47" t="n">
        <v>0</v>
      </c>
      <c r="W67" s="47" t="n">
        <v>0</v>
      </c>
    </row>
    <row r="68" customFormat="false" ht="14.25" hidden="false" customHeight="true" outlineLevel="0" collapsed="false">
      <c r="A68" s="61" t="n">
        <v>1908</v>
      </c>
      <c r="B68" s="47" t="n">
        <v>0</v>
      </c>
      <c r="C68" s="47" t="n">
        <v>0</v>
      </c>
      <c r="D68" s="47" t="n">
        <v>0</v>
      </c>
      <c r="E68" s="47" t="n">
        <v>0</v>
      </c>
      <c r="F68" s="47" t="n">
        <v>4</v>
      </c>
      <c r="G68" s="47" t="n">
        <v>0</v>
      </c>
      <c r="H68" s="47" t="n">
        <v>0</v>
      </c>
      <c r="I68" s="47" t="n">
        <v>3</v>
      </c>
      <c r="J68" s="47" t="n">
        <v>0</v>
      </c>
      <c r="K68" s="71" t="n">
        <v>1.3</v>
      </c>
      <c r="L68" s="71" t="n">
        <v>1</v>
      </c>
      <c r="M68" s="71" t="n">
        <v>0.08</v>
      </c>
      <c r="N68" s="71" t="n">
        <v>2.208</v>
      </c>
      <c r="O68" s="71" t="n">
        <v>0.57</v>
      </c>
      <c r="P68" s="71" t="n">
        <v>4.062</v>
      </c>
      <c r="Q68" s="71" t="n">
        <v>9.5</v>
      </c>
      <c r="R68" s="71" t="n">
        <v>0.364</v>
      </c>
      <c r="S68" s="71" t="n">
        <v>0</v>
      </c>
      <c r="T68" s="47" t="n">
        <v>0</v>
      </c>
      <c r="U68" s="47" t="n">
        <v>5</v>
      </c>
      <c r="V68" s="47" t="n">
        <v>0</v>
      </c>
      <c r="W68" s="47" t="n">
        <v>0</v>
      </c>
    </row>
    <row r="69" customFormat="false" ht="14.25" hidden="false" customHeight="true" outlineLevel="0" collapsed="false">
      <c r="A69" s="61" t="n">
        <v>1909</v>
      </c>
      <c r="B69" s="47" t="n">
        <v>0</v>
      </c>
      <c r="C69" s="47" t="n">
        <v>0</v>
      </c>
      <c r="D69" s="47" t="n">
        <v>0</v>
      </c>
      <c r="E69" s="47" t="n">
        <v>0</v>
      </c>
      <c r="F69" s="47" t="n">
        <v>4</v>
      </c>
      <c r="G69" s="47" t="n">
        <v>2</v>
      </c>
      <c r="H69" s="47" t="n">
        <v>1</v>
      </c>
      <c r="I69" s="47" t="n">
        <v>0</v>
      </c>
      <c r="J69" s="47" t="n">
        <v>0</v>
      </c>
      <c r="K69" s="71" t="n">
        <v>1.3</v>
      </c>
      <c r="L69" s="71" t="n">
        <v>1</v>
      </c>
      <c r="M69" s="71" t="n">
        <v>0.08</v>
      </c>
      <c r="N69" s="71" t="n">
        <v>2.246</v>
      </c>
      <c r="O69" s="71" t="n">
        <v>0.61</v>
      </c>
      <c r="P69" s="71" t="n">
        <v>4.25</v>
      </c>
      <c r="Q69" s="71" t="n">
        <v>10.25</v>
      </c>
      <c r="R69" s="71" t="n">
        <v>0.382</v>
      </c>
      <c r="S69" s="71" t="n">
        <v>0</v>
      </c>
      <c r="T69" s="47" t="n">
        <v>0</v>
      </c>
      <c r="U69" s="47" t="n">
        <v>8</v>
      </c>
      <c r="V69" s="47" t="n">
        <v>0</v>
      </c>
      <c r="W69" s="47" t="n">
        <v>4</v>
      </c>
    </row>
    <row r="70" customFormat="false" ht="14.25" hidden="false" customHeight="true" outlineLevel="0" collapsed="false">
      <c r="A70" s="61" t="n">
        <v>1910</v>
      </c>
      <c r="B70" s="47" t="n">
        <v>0</v>
      </c>
      <c r="C70" s="47" t="n">
        <v>0</v>
      </c>
      <c r="D70" s="47" t="n">
        <v>0</v>
      </c>
      <c r="E70" s="47" t="n">
        <v>0</v>
      </c>
      <c r="F70" s="47" t="n">
        <v>4</v>
      </c>
      <c r="G70" s="47" t="n">
        <v>0</v>
      </c>
      <c r="H70" s="47" t="n">
        <v>1</v>
      </c>
      <c r="I70" s="47" t="n">
        <v>4</v>
      </c>
      <c r="J70" s="47" t="n">
        <v>0</v>
      </c>
      <c r="K70" s="71" t="n">
        <v>1.3</v>
      </c>
      <c r="L70" s="71" t="n">
        <v>1</v>
      </c>
      <c r="M70" s="71" t="n">
        <v>0.08</v>
      </c>
      <c r="N70" s="71" t="n">
        <v>2.285</v>
      </c>
      <c r="O70" s="71" t="n">
        <v>0.65</v>
      </c>
      <c r="P70" s="71" t="n">
        <v>4.438</v>
      </c>
      <c r="Q70" s="71" t="n">
        <v>11</v>
      </c>
      <c r="R70" s="71" t="n">
        <v>0.4</v>
      </c>
      <c r="S70" s="71" t="n">
        <v>0</v>
      </c>
      <c r="T70" s="47" t="n">
        <v>2</v>
      </c>
      <c r="U70" s="47" t="n">
        <v>10</v>
      </c>
      <c r="V70" s="47" t="n">
        <v>4</v>
      </c>
      <c r="W70" s="47" t="n">
        <v>8</v>
      </c>
    </row>
    <row r="71" customFormat="false" ht="14.25" hidden="false" customHeight="true" outlineLevel="0" collapsed="false">
      <c r="A71" s="61" t="n">
        <v>1911</v>
      </c>
      <c r="B71" s="47" t="n">
        <v>0</v>
      </c>
      <c r="C71" s="47" t="n">
        <v>0</v>
      </c>
      <c r="D71" s="47" t="n">
        <v>0</v>
      </c>
      <c r="E71" s="47" t="n">
        <v>0</v>
      </c>
      <c r="F71" s="47" t="n">
        <v>4</v>
      </c>
      <c r="G71" s="47" t="n">
        <v>2</v>
      </c>
      <c r="H71" s="47" t="n">
        <v>1</v>
      </c>
      <c r="I71" s="47" t="n">
        <v>0</v>
      </c>
      <c r="J71" s="47" t="n">
        <v>0</v>
      </c>
      <c r="K71" s="71" t="n">
        <v>1.3</v>
      </c>
      <c r="L71" s="71" t="n">
        <v>1</v>
      </c>
      <c r="M71" s="71" t="n">
        <v>0.08</v>
      </c>
      <c r="N71" s="71" t="n">
        <v>2.323</v>
      </c>
      <c r="O71" s="71" t="n">
        <v>0.717</v>
      </c>
      <c r="P71" s="71" t="n">
        <v>4.625</v>
      </c>
      <c r="Q71" s="71" t="n">
        <v>12</v>
      </c>
      <c r="R71" s="71" t="n">
        <v>0.514</v>
      </c>
      <c r="S71" s="71" t="n">
        <v>0</v>
      </c>
      <c r="T71" s="47" t="n">
        <v>2</v>
      </c>
      <c r="U71" s="47" t="n">
        <v>14</v>
      </c>
      <c r="V71" s="47" t="n">
        <v>4</v>
      </c>
      <c r="W71" s="47" t="n">
        <v>8</v>
      </c>
    </row>
    <row r="72" customFormat="false" ht="14.25" hidden="false" customHeight="true" outlineLevel="0" collapsed="false">
      <c r="A72" s="61" t="n">
        <v>1912</v>
      </c>
      <c r="B72" s="47" t="n">
        <v>0</v>
      </c>
      <c r="C72" s="47" t="n">
        <v>0</v>
      </c>
      <c r="D72" s="47" t="n">
        <v>0</v>
      </c>
      <c r="E72" s="47" t="n">
        <v>0</v>
      </c>
      <c r="F72" s="47" t="n">
        <v>4</v>
      </c>
      <c r="G72" s="47" t="n">
        <v>0</v>
      </c>
      <c r="H72" s="47" t="n">
        <v>1</v>
      </c>
      <c r="I72" s="47" t="n">
        <v>4</v>
      </c>
      <c r="J72" s="47" t="n">
        <v>0</v>
      </c>
      <c r="K72" s="71" t="n">
        <v>1.3</v>
      </c>
      <c r="L72" s="71" t="n">
        <v>1</v>
      </c>
      <c r="M72" s="71" t="n">
        <v>0.08</v>
      </c>
      <c r="N72" s="71" t="n">
        <v>2.362</v>
      </c>
      <c r="O72" s="71" t="n">
        <v>0.783</v>
      </c>
      <c r="P72" s="71" t="n">
        <v>4.812</v>
      </c>
      <c r="Q72" s="71" t="n">
        <v>13</v>
      </c>
      <c r="R72" s="71" t="n">
        <v>0.629</v>
      </c>
      <c r="S72" s="71" t="n">
        <v>0</v>
      </c>
      <c r="T72" s="47" t="n">
        <v>3</v>
      </c>
      <c r="U72" s="47" t="n">
        <v>18</v>
      </c>
      <c r="V72" s="47" t="n">
        <v>6</v>
      </c>
      <c r="W72" s="47" t="n">
        <v>12</v>
      </c>
    </row>
    <row r="73" customFormat="false" ht="14.25" hidden="false" customHeight="true" outlineLevel="0" collapsed="false">
      <c r="A73" s="61" t="n">
        <v>1913</v>
      </c>
      <c r="B73" s="47" t="n">
        <v>0</v>
      </c>
      <c r="C73" s="47" t="n">
        <v>0</v>
      </c>
      <c r="D73" s="47" t="n">
        <v>0</v>
      </c>
      <c r="E73" s="47" t="n">
        <v>0</v>
      </c>
      <c r="F73" s="47" t="n">
        <v>4</v>
      </c>
      <c r="G73" s="47" t="n">
        <v>2</v>
      </c>
      <c r="H73" s="47" t="n">
        <v>1</v>
      </c>
      <c r="I73" s="47" t="n">
        <v>0</v>
      </c>
      <c r="J73" s="47" t="n">
        <v>0</v>
      </c>
      <c r="K73" s="71" t="n">
        <v>1.3</v>
      </c>
      <c r="L73" s="71" t="n">
        <v>1</v>
      </c>
      <c r="M73" s="71" t="n">
        <v>0.08</v>
      </c>
      <c r="N73" s="71" t="n">
        <v>2.4</v>
      </c>
      <c r="O73" s="71" t="n">
        <v>0.85</v>
      </c>
      <c r="P73" s="71" t="n">
        <v>5</v>
      </c>
      <c r="Q73" s="71" t="n">
        <v>14</v>
      </c>
      <c r="R73" s="71" t="n">
        <v>0.743</v>
      </c>
      <c r="S73" s="71" t="n">
        <v>0</v>
      </c>
      <c r="T73" s="47" t="n">
        <v>4</v>
      </c>
      <c r="U73" s="47" t="n">
        <v>22</v>
      </c>
      <c r="V73" s="47" t="n">
        <v>6</v>
      </c>
      <c r="W73" s="47" t="n">
        <v>12</v>
      </c>
    </row>
    <row r="74" customFormat="false" ht="14.25" hidden="false" customHeight="true" outlineLevel="0" collapsed="false">
      <c r="A74" s="61" t="n">
        <v>1914</v>
      </c>
      <c r="B74" s="47" t="n">
        <v>0</v>
      </c>
      <c r="C74" s="47" t="n">
        <v>0</v>
      </c>
      <c r="D74" s="47" t="n">
        <v>0</v>
      </c>
      <c r="E74" s="47" t="n">
        <v>0</v>
      </c>
      <c r="F74" s="47" t="n">
        <v>6</v>
      </c>
      <c r="G74" s="47" t="n">
        <v>0</v>
      </c>
      <c r="H74" s="47" t="n">
        <v>1</v>
      </c>
      <c r="I74" s="47" t="n">
        <v>6</v>
      </c>
      <c r="J74" s="47" t="n">
        <v>0</v>
      </c>
      <c r="K74" s="71" t="n">
        <v>1.3</v>
      </c>
      <c r="L74" s="71" t="n">
        <v>1</v>
      </c>
      <c r="M74" s="71" t="n">
        <v>0.08</v>
      </c>
      <c r="N74" s="71" t="n">
        <v>2.7</v>
      </c>
      <c r="O74" s="71" t="n">
        <v>1.038</v>
      </c>
      <c r="P74" s="71" t="n">
        <v>5.8</v>
      </c>
      <c r="Q74" s="71" t="n">
        <v>15.5</v>
      </c>
      <c r="R74" s="71" t="n">
        <v>0.857</v>
      </c>
      <c r="S74" s="71" t="n">
        <v>0</v>
      </c>
      <c r="T74" s="47" t="n">
        <v>4</v>
      </c>
      <c r="U74" s="47" t="n">
        <v>29</v>
      </c>
      <c r="V74" s="47" t="n">
        <v>8</v>
      </c>
      <c r="W74" s="47" t="n">
        <v>17</v>
      </c>
    </row>
    <row r="75" customFormat="false" ht="14.25" hidden="false" customHeight="true" outlineLevel="0" collapsed="false">
      <c r="A75" s="61" t="n">
        <v>1915</v>
      </c>
      <c r="B75" s="47" t="n">
        <v>0</v>
      </c>
      <c r="C75" s="47" t="n">
        <v>0</v>
      </c>
      <c r="D75" s="47" t="n">
        <v>0</v>
      </c>
      <c r="E75" s="47" t="n">
        <v>0</v>
      </c>
      <c r="F75" s="47" t="n">
        <v>10</v>
      </c>
      <c r="G75" s="47" t="n">
        <v>2</v>
      </c>
      <c r="H75" s="47" t="n">
        <v>1</v>
      </c>
      <c r="I75" s="47" t="n">
        <v>8</v>
      </c>
      <c r="J75" s="47" t="n">
        <v>0</v>
      </c>
      <c r="K75" s="71" t="n">
        <v>1.3</v>
      </c>
      <c r="L75" s="71" t="n">
        <v>1</v>
      </c>
      <c r="M75" s="71" t="n">
        <v>0.08</v>
      </c>
      <c r="N75" s="71" t="n">
        <v>3</v>
      </c>
      <c r="O75" s="71" t="n">
        <v>1.225</v>
      </c>
      <c r="P75" s="71" t="n">
        <v>6.6</v>
      </c>
      <c r="Q75" s="71" t="n">
        <v>17</v>
      </c>
      <c r="R75" s="71" t="n">
        <v>0.971</v>
      </c>
      <c r="S75" s="71" t="n">
        <v>0</v>
      </c>
      <c r="T75" s="47" t="n">
        <v>6</v>
      </c>
      <c r="U75" s="47" t="n">
        <v>33</v>
      </c>
      <c r="V75" s="47" t="n">
        <v>8</v>
      </c>
      <c r="W75" s="47" t="n">
        <v>17</v>
      </c>
    </row>
    <row r="76" customFormat="false" ht="14.25" hidden="false" customHeight="true" outlineLevel="0" collapsed="false">
      <c r="A76" s="61" t="n">
        <v>1916</v>
      </c>
      <c r="B76" s="47" t="n">
        <v>0</v>
      </c>
      <c r="C76" s="47" t="n">
        <v>0</v>
      </c>
      <c r="D76" s="47" t="n">
        <v>0</v>
      </c>
      <c r="E76" s="47" t="n">
        <v>0</v>
      </c>
      <c r="F76" s="47" t="n">
        <v>10</v>
      </c>
      <c r="G76" s="47" t="n">
        <v>3</v>
      </c>
      <c r="H76" s="47" t="n">
        <v>1</v>
      </c>
      <c r="I76" s="47" t="n">
        <v>8</v>
      </c>
      <c r="J76" s="47" t="n">
        <v>0</v>
      </c>
      <c r="K76" s="71" t="n">
        <v>1.3</v>
      </c>
      <c r="L76" s="71" t="n">
        <v>1</v>
      </c>
      <c r="M76" s="71" t="n">
        <v>0.08</v>
      </c>
      <c r="N76" s="71" t="n">
        <v>3.3</v>
      </c>
      <c r="O76" s="71" t="n">
        <v>1.413</v>
      </c>
      <c r="P76" s="71" t="n">
        <v>7.4</v>
      </c>
      <c r="Q76" s="71" t="n">
        <v>18.5</v>
      </c>
      <c r="R76" s="71" t="n">
        <v>1.086</v>
      </c>
      <c r="S76" s="71" t="n">
        <v>0</v>
      </c>
      <c r="T76" s="47" t="n">
        <v>6</v>
      </c>
      <c r="U76" s="47" t="n">
        <v>37</v>
      </c>
      <c r="V76" s="47" t="n">
        <v>10</v>
      </c>
      <c r="W76" s="47" t="n">
        <v>21</v>
      </c>
    </row>
    <row r="77" customFormat="false" ht="14.25" hidden="false" customHeight="true" outlineLevel="0" collapsed="false">
      <c r="A77" s="61" t="n">
        <v>1917</v>
      </c>
      <c r="B77" s="47" t="n">
        <v>0</v>
      </c>
      <c r="C77" s="47" t="n">
        <v>0</v>
      </c>
      <c r="D77" s="47" t="n">
        <v>0</v>
      </c>
      <c r="E77" s="47" t="n">
        <v>0</v>
      </c>
      <c r="F77" s="47" t="n">
        <v>10</v>
      </c>
      <c r="G77" s="47" t="n">
        <v>3</v>
      </c>
      <c r="H77" s="47" t="n">
        <v>1</v>
      </c>
      <c r="I77" s="47" t="n">
        <v>8</v>
      </c>
      <c r="J77" s="47" t="n">
        <v>0</v>
      </c>
      <c r="K77" s="71" t="n">
        <v>1.3</v>
      </c>
      <c r="L77" s="71" t="n">
        <v>1</v>
      </c>
      <c r="M77" s="71" t="n">
        <v>0.08</v>
      </c>
      <c r="N77" s="71" t="n">
        <v>3.6</v>
      </c>
      <c r="O77" s="71" t="n">
        <v>1.6</v>
      </c>
      <c r="P77" s="71" t="n">
        <v>8.2</v>
      </c>
      <c r="Q77" s="71" t="n">
        <v>20</v>
      </c>
      <c r="R77" s="71" t="n">
        <v>1.2</v>
      </c>
      <c r="S77" s="71" t="n">
        <v>0</v>
      </c>
      <c r="T77" s="47" t="n">
        <v>8</v>
      </c>
      <c r="U77" s="47" t="n">
        <v>40</v>
      </c>
      <c r="V77" s="47" t="n">
        <v>10</v>
      </c>
      <c r="W77" s="47" t="n">
        <v>21</v>
      </c>
    </row>
    <row r="78" customFormat="false" ht="14.25" hidden="false" customHeight="true" outlineLevel="0" collapsed="false">
      <c r="A78" s="61" t="n">
        <v>1918</v>
      </c>
      <c r="B78" s="47" t="n">
        <v>0</v>
      </c>
      <c r="C78" s="47" t="n">
        <v>0</v>
      </c>
      <c r="D78" s="47" t="n">
        <v>0</v>
      </c>
      <c r="E78" s="47" t="n">
        <v>0</v>
      </c>
      <c r="F78" s="47" t="n">
        <v>8</v>
      </c>
      <c r="G78" s="47" t="n">
        <v>2</v>
      </c>
      <c r="H78" s="47" t="n">
        <v>1</v>
      </c>
      <c r="I78" s="47" t="n">
        <v>6</v>
      </c>
      <c r="J78" s="47" t="n">
        <v>0</v>
      </c>
      <c r="K78" s="71" t="n">
        <v>1.3</v>
      </c>
      <c r="L78" s="71" t="n">
        <v>1</v>
      </c>
      <c r="M78" s="71" t="n">
        <v>0.08</v>
      </c>
      <c r="N78" s="71" t="n">
        <v>3.9</v>
      </c>
      <c r="O78" s="71" t="n">
        <v>1.733</v>
      </c>
      <c r="P78" s="71" t="n">
        <v>9</v>
      </c>
      <c r="Q78" s="71" t="n">
        <v>23.333</v>
      </c>
      <c r="R78" s="71" t="n">
        <v>1.238</v>
      </c>
      <c r="S78" s="71" t="n">
        <v>0</v>
      </c>
      <c r="T78" s="47" t="n">
        <v>8</v>
      </c>
      <c r="U78" s="47" t="n">
        <v>42</v>
      </c>
      <c r="V78" s="47" t="n">
        <v>12</v>
      </c>
      <c r="W78" s="47" t="n">
        <v>24</v>
      </c>
    </row>
    <row r="79" customFormat="false" ht="14.25" hidden="false" customHeight="true" outlineLevel="0" collapsed="false">
      <c r="A79" s="61" t="n">
        <v>1919</v>
      </c>
      <c r="B79" s="47" t="n">
        <v>0</v>
      </c>
      <c r="C79" s="47" t="n">
        <v>0</v>
      </c>
      <c r="D79" s="47" t="n">
        <v>0</v>
      </c>
      <c r="E79" s="47" t="n">
        <v>0</v>
      </c>
      <c r="F79" s="47" t="n">
        <v>2</v>
      </c>
      <c r="G79" s="47" t="n">
        <v>0</v>
      </c>
      <c r="H79" s="47" t="n">
        <v>0</v>
      </c>
      <c r="I79" s="47" t="n">
        <v>0</v>
      </c>
      <c r="J79" s="47" t="n">
        <v>0</v>
      </c>
      <c r="K79" s="71" t="n">
        <v>1.3</v>
      </c>
      <c r="L79" s="71" t="n">
        <v>1</v>
      </c>
      <c r="M79" s="71" t="n">
        <v>0.08</v>
      </c>
      <c r="N79" s="71" t="n">
        <v>4.2</v>
      </c>
      <c r="O79" s="71" t="n">
        <v>1.867</v>
      </c>
      <c r="P79" s="71" t="n">
        <v>9.143</v>
      </c>
      <c r="Q79" s="71" t="n">
        <v>26.667</v>
      </c>
      <c r="R79" s="71" t="n">
        <v>1.275</v>
      </c>
      <c r="S79" s="71" t="n">
        <v>0</v>
      </c>
      <c r="T79" s="47" t="n">
        <v>10</v>
      </c>
      <c r="U79" s="47" t="n">
        <v>42</v>
      </c>
      <c r="V79" s="47" t="n">
        <v>12</v>
      </c>
      <c r="W79" s="47" t="n">
        <v>24</v>
      </c>
    </row>
    <row r="80" customFormat="false" ht="14.25" hidden="false" customHeight="true" outlineLevel="0" collapsed="false">
      <c r="A80" s="61" t="n">
        <v>1920</v>
      </c>
      <c r="B80" s="47" t="n">
        <v>0</v>
      </c>
      <c r="C80" s="47" t="n">
        <v>0</v>
      </c>
      <c r="D80" s="47" t="n">
        <v>0</v>
      </c>
      <c r="E80" s="47" t="n">
        <v>0</v>
      </c>
      <c r="F80" s="47" t="n">
        <v>3</v>
      </c>
      <c r="G80" s="47" t="n">
        <v>0</v>
      </c>
      <c r="H80" s="47" t="n">
        <v>0</v>
      </c>
      <c r="I80" s="47" t="n">
        <v>2</v>
      </c>
      <c r="J80" s="47" t="n">
        <v>0</v>
      </c>
      <c r="K80" s="71" t="n">
        <v>1.3</v>
      </c>
      <c r="L80" s="71" t="n">
        <v>1</v>
      </c>
      <c r="M80" s="71" t="n">
        <v>0.08</v>
      </c>
      <c r="N80" s="71" t="n">
        <v>4.5</v>
      </c>
      <c r="O80" s="71" t="n">
        <v>2</v>
      </c>
      <c r="P80" s="71" t="n">
        <v>9.286</v>
      </c>
      <c r="Q80" s="71" t="n">
        <v>30</v>
      </c>
      <c r="R80" s="71" t="n">
        <v>1.312</v>
      </c>
      <c r="S80" s="71" t="n">
        <v>0</v>
      </c>
      <c r="T80" s="47" t="n">
        <v>10</v>
      </c>
      <c r="U80" s="47" t="n">
        <v>36</v>
      </c>
      <c r="V80" s="47" t="n">
        <v>15</v>
      </c>
      <c r="W80" s="47" t="n">
        <v>21</v>
      </c>
    </row>
    <row r="81" customFormat="false" ht="14.25" hidden="false" customHeight="true" outlineLevel="0" collapsed="false">
      <c r="A81" s="61" t="n">
        <v>1921</v>
      </c>
      <c r="B81" s="47" t="n">
        <v>0</v>
      </c>
      <c r="C81" s="47" t="n">
        <v>0</v>
      </c>
      <c r="D81" s="47" t="n">
        <v>0</v>
      </c>
      <c r="E81" s="47" t="n">
        <v>0</v>
      </c>
      <c r="F81" s="47" t="n">
        <v>3</v>
      </c>
      <c r="G81" s="47" t="n">
        <v>1</v>
      </c>
      <c r="H81" s="47" t="n">
        <v>0</v>
      </c>
      <c r="I81" s="47" t="n">
        <v>0</v>
      </c>
      <c r="J81" s="47" t="n">
        <v>0</v>
      </c>
      <c r="K81" s="71" t="n">
        <v>1.3</v>
      </c>
      <c r="L81" s="71" t="n">
        <v>1</v>
      </c>
      <c r="M81" s="71" t="n">
        <v>0.08</v>
      </c>
      <c r="N81" s="71" t="n">
        <v>4.417</v>
      </c>
      <c r="O81" s="71" t="n">
        <v>1.96</v>
      </c>
      <c r="P81" s="71" t="n">
        <v>9.429</v>
      </c>
      <c r="Q81" s="71" t="n">
        <v>29.6</v>
      </c>
      <c r="R81" s="71" t="n">
        <v>1.35</v>
      </c>
      <c r="S81" s="71" t="n">
        <v>15</v>
      </c>
      <c r="T81" s="47" t="n">
        <v>10</v>
      </c>
      <c r="U81" s="47" t="n">
        <v>30</v>
      </c>
      <c r="V81" s="47" t="n">
        <v>15</v>
      </c>
      <c r="W81" s="47" t="n">
        <v>18</v>
      </c>
    </row>
    <row r="82" customFormat="false" ht="14.25" hidden="false" customHeight="true" outlineLevel="0" collapsed="false">
      <c r="A82" s="61" t="n">
        <v>1922</v>
      </c>
      <c r="B82" s="47" t="n">
        <v>0</v>
      </c>
      <c r="C82" s="47" t="n">
        <v>0</v>
      </c>
      <c r="D82" s="47" t="n">
        <v>0</v>
      </c>
      <c r="E82" s="47" t="n">
        <v>0</v>
      </c>
      <c r="F82" s="47" t="n">
        <v>3</v>
      </c>
      <c r="G82" s="47" t="n">
        <v>0</v>
      </c>
      <c r="H82" s="47" t="n">
        <v>0</v>
      </c>
      <c r="I82" s="47" t="n">
        <v>3</v>
      </c>
      <c r="J82" s="47" t="n">
        <v>1</v>
      </c>
      <c r="K82" s="71" t="n">
        <v>1.3</v>
      </c>
      <c r="L82" s="71" t="n">
        <v>1</v>
      </c>
      <c r="M82" s="71" t="n">
        <v>0.08</v>
      </c>
      <c r="N82" s="71" t="n">
        <v>4.333</v>
      </c>
      <c r="O82" s="71" t="n">
        <v>1.92</v>
      </c>
      <c r="P82" s="71" t="n">
        <v>9.571</v>
      </c>
      <c r="Q82" s="71" t="n">
        <v>29.2</v>
      </c>
      <c r="R82" s="71" t="n">
        <v>1.387</v>
      </c>
      <c r="S82" s="71" t="n">
        <v>16.75</v>
      </c>
      <c r="T82" s="47" t="n">
        <v>10</v>
      </c>
      <c r="U82" s="47" t="n">
        <v>24</v>
      </c>
      <c r="V82" s="47" t="n">
        <v>16</v>
      </c>
      <c r="W82" s="47" t="n">
        <v>16</v>
      </c>
    </row>
    <row r="83" customFormat="false" ht="14.25" hidden="false" customHeight="true" outlineLevel="0" collapsed="false">
      <c r="A83" s="61" t="n">
        <v>1923</v>
      </c>
      <c r="B83" s="47" t="n">
        <v>0</v>
      </c>
      <c r="C83" s="47" t="n">
        <v>0</v>
      </c>
      <c r="D83" s="47" t="n">
        <v>0</v>
      </c>
      <c r="E83" s="47" t="n">
        <v>0</v>
      </c>
      <c r="F83" s="47" t="n">
        <v>3</v>
      </c>
      <c r="G83" s="47" t="n">
        <v>1</v>
      </c>
      <c r="H83" s="47" t="n">
        <v>0</v>
      </c>
      <c r="I83" s="47" t="n">
        <v>3</v>
      </c>
      <c r="J83" s="47" t="n">
        <v>0</v>
      </c>
      <c r="K83" s="71" t="n">
        <v>1.3</v>
      </c>
      <c r="L83" s="71" t="n">
        <v>1</v>
      </c>
      <c r="M83" s="71" t="n">
        <v>0.08</v>
      </c>
      <c r="N83" s="71" t="n">
        <v>4.25</v>
      </c>
      <c r="O83" s="71" t="n">
        <v>1.88</v>
      </c>
      <c r="P83" s="71" t="n">
        <v>9.714</v>
      </c>
      <c r="Q83" s="71" t="n">
        <v>28.8</v>
      </c>
      <c r="R83" s="71" t="n">
        <v>1.425</v>
      </c>
      <c r="S83" s="71" t="n">
        <v>18.5</v>
      </c>
      <c r="T83" s="47" t="n">
        <v>10</v>
      </c>
      <c r="U83" s="47" t="n">
        <v>24</v>
      </c>
      <c r="V83" s="47" t="n">
        <v>16</v>
      </c>
      <c r="W83" s="47" t="n">
        <v>16</v>
      </c>
    </row>
    <row r="84" customFormat="false" ht="14.25" hidden="false" customHeight="true" outlineLevel="0" collapsed="false">
      <c r="A84" s="61" t="n">
        <v>1924</v>
      </c>
      <c r="B84" s="47" t="n">
        <v>0</v>
      </c>
      <c r="C84" s="47" t="n">
        <v>0</v>
      </c>
      <c r="D84" s="47" t="n">
        <v>0</v>
      </c>
      <c r="E84" s="47" t="n">
        <v>0</v>
      </c>
      <c r="F84" s="47" t="n">
        <v>3</v>
      </c>
      <c r="G84" s="47" t="n">
        <v>0</v>
      </c>
      <c r="H84" s="47" t="n">
        <v>0</v>
      </c>
      <c r="I84" s="47" t="n">
        <v>3</v>
      </c>
      <c r="J84" s="47" t="n">
        <v>0</v>
      </c>
      <c r="K84" s="71" t="n">
        <v>1.3</v>
      </c>
      <c r="L84" s="71" t="n">
        <v>1</v>
      </c>
      <c r="M84" s="71" t="n">
        <v>0.08</v>
      </c>
      <c r="N84" s="71" t="n">
        <v>4.167</v>
      </c>
      <c r="O84" s="71" t="n">
        <v>1.84</v>
      </c>
      <c r="P84" s="71" t="n">
        <v>9.857</v>
      </c>
      <c r="Q84" s="71" t="n">
        <v>28.4</v>
      </c>
      <c r="R84" s="71" t="n">
        <v>1.462</v>
      </c>
      <c r="S84" s="71" t="n">
        <v>20.25</v>
      </c>
      <c r="T84" s="47" t="n">
        <v>10</v>
      </c>
      <c r="U84" s="47" t="n">
        <v>24</v>
      </c>
      <c r="V84" s="47" t="n">
        <v>16</v>
      </c>
      <c r="W84" s="47" t="n">
        <v>16</v>
      </c>
    </row>
    <row r="85" customFormat="false" ht="14.25" hidden="false" customHeight="true" outlineLevel="0" collapsed="false">
      <c r="A85" s="61" t="n">
        <v>1925</v>
      </c>
      <c r="B85" s="47" t="n">
        <v>0</v>
      </c>
      <c r="C85" s="47" t="n">
        <v>0</v>
      </c>
      <c r="D85" s="47" t="n">
        <v>0</v>
      </c>
      <c r="E85" s="47" t="n">
        <v>0</v>
      </c>
      <c r="F85" s="47" t="n">
        <v>3</v>
      </c>
      <c r="G85" s="47" t="n">
        <v>1</v>
      </c>
      <c r="H85" s="47" t="n">
        <v>1</v>
      </c>
      <c r="I85" s="47" t="n">
        <v>3</v>
      </c>
      <c r="J85" s="47" t="n">
        <v>1</v>
      </c>
      <c r="K85" s="71" t="n">
        <v>1.3</v>
      </c>
      <c r="L85" s="71" t="n">
        <v>1</v>
      </c>
      <c r="M85" s="71" t="n">
        <v>0.08</v>
      </c>
      <c r="N85" s="71" t="n">
        <v>4.083</v>
      </c>
      <c r="O85" s="71" t="n">
        <v>1.8</v>
      </c>
      <c r="P85" s="71" t="n">
        <v>10</v>
      </c>
      <c r="Q85" s="71" t="n">
        <v>28</v>
      </c>
      <c r="R85" s="71" t="n">
        <v>1.5</v>
      </c>
      <c r="S85" s="71" t="n">
        <v>22</v>
      </c>
      <c r="T85" s="47" t="n">
        <v>10</v>
      </c>
      <c r="U85" s="47" t="n">
        <v>24</v>
      </c>
      <c r="V85" s="47" t="n">
        <v>18</v>
      </c>
      <c r="W85" s="47" t="n">
        <v>16</v>
      </c>
    </row>
    <row r="86" customFormat="false" ht="14.25" hidden="false" customHeight="true" outlineLevel="0" collapsed="false">
      <c r="A86" s="61" t="n">
        <v>1926</v>
      </c>
      <c r="B86" s="47" t="n">
        <v>0</v>
      </c>
      <c r="C86" s="47" t="n">
        <v>0</v>
      </c>
      <c r="D86" s="47" t="n">
        <v>0</v>
      </c>
      <c r="E86" s="47" t="n">
        <v>0</v>
      </c>
      <c r="F86" s="47" t="n">
        <v>3</v>
      </c>
      <c r="G86" s="47" t="n">
        <v>0</v>
      </c>
      <c r="H86" s="47" t="n">
        <v>0</v>
      </c>
      <c r="I86" s="47" t="n">
        <v>3</v>
      </c>
      <c r="J86" s="47" t="n">
        <v>0</v>
      </c>
      <c r="K86" s="71" t="n">
        <v>1.3</v>
      </c>
      <c r="L86" s="71" t="n">
        <v>1</v>
      </c>
      <c r="M86" s="71" t="n">
        <v>0.08</v>
      </c>
      <c r="N86" s="71" t="n">
        <v>4</v>
      </c>
      <c r="O86" s="71" t="n">
        <v>1.771</v>
      </c>
      <c r="P86" s="71" t="n">
        <v>9.857</v>
      </c>
      <c r="Q86" s="71" t="n">
        <v>27.571</v>
      </c>
      <c r="R86" s="71" t="n">
        <v>1.486</v>
      </c>
      <c r="S86" s="71" t="n">
        <v>23</v>
      </c>
      <c r="T86" s="47" t="n">
        <v>10</v>
      </c>
      <c r="U86" s="47" t="n">
        <v>24</v>
      </c>
      <c r="V86" s="47" t="n">
        <v>18</v>
      </c>
      <c r="W86" s="47" t="n">
        <v>16</v>
      </c>
    </row>
    <row r="87" customFormat="false" ht="14.25" hidden="false" customHeight="true" outlineLevel="0" collapsed="false">
      <c r="A87" s="61" t="n">
        <v>1927</v>
      </c>
      <c r="B87" s="47" t="n">
        <v>0</v>
      </c>
      <c r="C87" s="47" t="n">
        <v>0</v>
      </c>
      <c r="D87" s="47" t="n">
        <v>0</v>
      </c>
      <c r="E87" s="47" t="n">
        <v>0</v>
      </c>
      <c r="F87" s="47" t="n">
        <v>3</v>
      </c>
      <c r="G87" s="47" t="n">
        <v>1</v>
      </c>
      <c r="H87" s="47" t="n">
        <v>1</v>
      </c>
      <c r="I87" s="47" t="n">
        <v>3</v>
      </c>
      <c r="J87" s="47" t="n">
        <v>0</v>
      </c>
      <c r="K87" s="71" t="n">
        <v>1.3</v>
      </c>
      <c r="L87" s="71" t="n">
        <v>1</v>
      </c>
      <c r="M87" s="71" t="n">
        <v>0.08</v>
      </c>
      <c r="N87" s="71" t="n">
        <v>3.917</v>
      </c>
      <c r="O87" s="71" t="n">
        <v>1.743</v>
      </c>
      <c r="P87" s="71" t="n">
        <v>9.714</v>
      </c>
      <c r="Q87" s="71" t="n">
        <v>27.143</v>
      </c>
      <c r="R87" s="71" t="n">
        <v>1.471</v>
      </c>
      <c r="S87" s="71" t="n">
        <v>24</v>
      </c>
      <c r="T87" s="47" t="n">
        <v>10</v>
      </c>
      <c r="U87" s="47" t="n">
        <v>24</v>
      </c>
      <c r="V87" s="47" t="n">
        <v>19</v>
      </c>
      <c r="W87" s="47" t="n">
        <v>16</v>
      </c>
    </row>
    <row r="88" customFormat="false" ht="14.25" hidden="false" customHeight="true" outlineLevel="0" collapsed="false">
      <c r="A88" s="61" t="n">
        <v>1928</v>
      </c>
      <c r="B88" s="47" t="n">
        <v>0</v>
      </c>
      <c r="C88" s="47" t="n">
        <v>0</v>
      </c>
      <c r="D88" s="47" t="n">
        <v>0</v>
      </c>
      <c r="E88" s="47" t="n">
        <v>0</v>
      </c>
      <c r="F88" s="47" t="n">
        <v>3</v>
      </c>
      <c r="G88" s="47" t="n">
        <v>0</v>
      </c>
      <c r="H88" s="47" t="n">
        <v>1</v>
      </c>
      <c r="I88" s="47" t="n">
        <v>3</v>
      </c>
      <c r="J88" s="47" t="n">
        <v>1</v>
      </c>
      <c r="K88" s="71" t="n">
        <v>1.3</v>
      </c>
      <c r="L88" s="71" t="n">
        <v>1</v>
      </c>
      <c r="M88" s="71" t="n">
        <v>0.08</v>
      </c>
      <c r="N88" s="71" t="n">
        <v>3.833</v>
      </c>
      <c r="O88" s="71" t="n">
        <v>1.714</v>
      </c>
      <c r="P88" s="71" t="n">
        <v>9.571</v>
      </c>
      <c r="Q88" s="71" t="n">
        <v>26.714</v>
      </c>
      <c r="R88" s="71" t="n">
        <v>1.457</v>
      </c>
      <c r="S88" s="71" t="n">
        <v>25</v>
      </c>
      <c r="T88" s="47" t="n">
        <v>10</v>
      </c>
      <c r="U88" s="47" t="n">
        <v>24</v>
      </c>
      <c r="V88" s="47" t="n">
        <v>20</v>
      </c>
      <c r="W88" s="47" t="n">
        <v>16</v>
      </c>
    </row>
    <row r="89" customFormat="false" ht="14.25" hidden="false" customHeight="true" outlineLevel="0" collapsed="false">
      <c r="A89" s="61" t="n">
        <v>1929</v>
      </c>
      <c r="B89" s="47" t="n">
        <v>0</v>
      </c>
      <c r="C89" s="47" t="n">
        <v>0</v>
      </c>
      <c r="D89" s="47" t="n">
        <v>0</v>
      </c>
      <c r="E89" s="47" t="n">
        <v>0</v>
      </c>
      <c r="F89" s="47" t="n">
        <v>3</v>
      </c>
      <c r="G89" s="47" t="n">
        <v>1</v>
      </c>
      <c r="H89" s="47" t="n">
        <v>1</v>
      </c>
      <c r="I89" s="47" t="n">
        <v>3</v>
      </c>
      <c r="J89" s="47" t="n">
        <v>0</v>
      </c>
      <c r="K89" s="71" t="n">
        <v>1.3</v>
      </c>
      <c r="L89" s="71" t="n">
        <v>1</v>
      </c>
      <c r="M89" s="71" t="n">
        <v>0.08</v>
      </c>
      <c r="N89" s="71" t="n">
        <v>3.75</v>
      </c>
      <c r="O89" s="71" t="n">
        <v>1.686</v>
      </c>
      <c r="P89" s="71" t="n">
        <v>9.429</v>
      </c>
      <c r="Q89" s="71" t="n">
        <v>26.286</v>
      </c>
      <c r="R89" s="71" t="n">
        <v>1.443</v>
      </c>
      <c r="S89" s="71" t="n">
        <v>25</v>
      </c>
      <c r="T89" s="47" t="n">
        <v>10</v>
      </c>
      <c r="U89" s="47" t="n">
        <v>24</v>
      </c>
      <c r="V89" s="47" t="n">
        <v>21</v>
      </c>
      <c r="W89" s="47" t="n">
        <v>16</v>
      </c>
    </row>
    <row r="90" customFormat="false" ht="14.25" hidden="false" customHeight="true" outlineLevel="0" collapsed="false">
      <c r="A90" s="61" t="n">
        <v>1930</v>
      </c>
      <c r="B90" s="47" t="n">
        <v>0</v>
      </c>
      <c r="C90" s="47" t="n">
        <v>0</v>
      </c>
      <c r="D90" s="47" t="n">
        <v>0</v>
      </c>
      <c r="E90" s="47" t="n">
        <v>0</v>
      </c>
      <c r="F90" s="47" t="n">
        <v>4</v>
      </c>
      <c r="G90" s="47" t="n">
        <v>2</v>
      </c>
      <c r="H90" s="47" t="n">
        <v>0</v>
      </c>
      <c r="I90" s="47" t="n">
        <v>3</v>
      </c>
      <c r="J90" s="47" t="n">
        <v>0</v>
      </c>
      <c r="K90" s="71" t="n">
        <v>1.3</v>
      </c>
      <c r="L90" s="71" t="n">
        <v>1</v>
      </c>
      <c r="M90" s="71" t="n">
        <v>0.08</v>
      </c>
      <c r="N90" s="71" t="n">
        <v>3.667</v>
      </c>
      <c r="O90" s="71" t="n">
        <v>1.657</v>
      </c>
      <c r="P90" s="71" t="n">
        <v>9.286</v>
      </c>
      <c r="Q90" s="71" t="n">
        <v>25.857</v>
      </c>
      <c r="R90" s="71" t="n">
        <v>1.429</v>
      </c>
      <c r="S90" s="71" t="n">
        <v>25</v>
      </c>
      <c r="T90" s="47" t="n">
        <v>10</v>
      </c>
      <c r="U90" s="47" t="n">
        <v>24</v>
      </c>
      <c r="V90" s="47" t="n">
        <v>21</v>
      </c>
      <c r="W90" s="47" t="n">
        <v>16</v>
      </c>
    </row>
    <row r="91" customFormat="false" ht="14.25" hidden="false" customHeight="true" outlineLevel="0" collapsed="false">
      <c r="A91" s="61" t="n">
        <v>1931</v>
      </c>
      <c r="B91" s="47" t="n">
        <v>0</v>
      </c>
      <c r="C91" s="47" t="n">
        <v>0</v>
      </c>
      <c r="D91" s="47" t="n">
        <v>0</v>
      </c>
      <c r="E91" s="47" t="n">
        <v>0</v>
      </c>
      <c r="F91" s="47" t="n">
        <v>4</v>
      </c>
      <c r="G91" s="47" t="n">
        <v>0</v>
      </c>
      <c r="H91" s="47" t="n">
        <v>1</v>
      </c>
      <c r="I91" s="47" t="n">
        <v>3</v>
      </c>
      <c r="J91" s="47" t="n">
        <v>1</v>
      </c>
      <c r="K91" s="71" t="n">
        <v>1.3</v>
      </c>
      <c r="L91" s="71" t="n">
        <v>1</v>
      </c>
      <c r="M91" s="71" t="n">
        <v>0.08</v>
      </c>
      <c r="N91" s="71" t="n">
        <v>3.583</v>
      </c>
      <c r="O91" s="71" t="n">
        <v>1.629</v>
      </c>
      <c r="P91" s="71" t="n">
        <v>9.143</v>
      </c>
      <c r="Q91" s="71" t="n">
        <v>25.429</v>
      </c>
      <c r="R91" s="71" t="n">
        <v>1.414</v>
      </c>
      <c r="S91" s="71" t="n">
        <v>25</v>
      </c>
      <c r="T91" s="47" t="n">
        <v>10</v>
      </c>
      <c r="U91" s="47" t="n">
        <v>24</v>
      </c>
      <c r="V91" s="47" t="n">
        <v>21</v>
      </c>
      <c r="W91" s="47" t="n">
        <v>16</v>
      </c>
    </row>
    <row r="92" customFormat="false" ht="14.25" hidden="false" customHeight="true" outlineLevel="0" collapsed="false">
      <c r="A92" s="61" t="n">
        <v>1932</v>
      </c>
      <c r="B92" s="47" t="n">
        <v>0</v>
      </c>
      <c r="C92" s="47" t="n">
        <v>0</v>
      </c>
      <c r="D92" s="47" t="n">
        <v>0</v>
      </c>
      <c r="E92" s="47" t="n">
        <v>0</v>
      </c>
      <c r="F92" s="47" t="n">
        <v>4</v>
      </c>
      <c r="G92" s="47" t="n">
        <v>0</v>
      </c>
      <c r="H92" s="47" t="n">
        <v>1</v>
      </c>
      <c r="I92" s="47" t="n">
        <v>3</v>
      </c>
      <c r="J92" s="47" t="n">
        <v>0</v>
      </c>
      <c r="K92" s="71" t="n">
        <v>1.3</v>
      </c>
      <c r="L92" s="71" t="n">
        <v>1</v>
      </c>
      <c r="M92" s="71" t="n">
        <v>0.08</v>
      </c>
      <c r="N92" s="71" t="n">
        <v>3.5</v>
      </c>
      <c r="O92" s="71" t="n">
        <v>1.6</v>
      </c>
      <c r="P92" s="71" t="n">
        <v>9</v>
      </c>
      <c r="Q92" s="71" t="n">
        <v>25</v>
      </c>
      <c r="R92" s="71" t="n">
        <v>1.4</v>
      </c>
      <c r="S92" s="71" t="n">
        <v>25</v>
      </c>
      <c r="T92" s="47" t="n">
        <v>10</v>
      </c>
      <c r="U92" s="47" t="n">
        <v>24</v>
      </c>
      <c r="V92" s="47" t="n">
        <v>21</v>
      </c>
      <c r="W92" s="47" t="n">
        <v>16</v>
      </c>
    </row>
  </sheetData>
  <mergeCells count="3">
    <mergeCell ref="B4:J4"/>
    <mergeCell ref="K4:S4"/>
    <mergeCell ref="T4:W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E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0" min="2" style="1" width="10"/>
    <col collapsed="false" customWidth="true" hidden="false" outlineLevel="0" max="31" min="11" style="1" width="12.44"/>
  </cols>
  <sheetData>
    <row r="1" customFormat="false" ht="18" hidden="false" customHeight="true" outlineLevel="0" collapsed="false">
      <c r="A1" s="19" t="s">
        <v>1754</v>
      </c>
    </row>
    <row r="2" customFormat="false" ht="14.25" hidden="false" customHeight="true" outlineLevel="0" collapsed="false">
      <c r="A2" s="3" t="s">
        <v>1755</v>
      </c>
    </row>
    <row r="3" customFormat="false" ht="14.25" hidden="false" customHeight="true" outlineLevel="0" collapsed="false">
      <c r="A3" s="20" t="s">
        <v>1315</v>
      </c>
    </row>
    <row r="4" customFormat="false" ht="14.25" hidden="false" customHeight="true" outlineLevel="0" collapsed="false">
      <c r="B4" s="58" t="s">
        <v>37</v>
      </c>
      <c r="C4" s="58"/>
      <c r="D4" s="58"/>
      <c r="E4" s="58"/>
      <c r="F4" s="58"/>
      <c r="G4" s="58"/>
      <c r="H4" s="58"/>
      <c r="I4" s="58"/>
      <c r="J4" s="58"/>
      <c r="K4" s="59" t="s">
        <v>123</v>
      </c>
      <c r="L4" s="59" t="s">
        <v>1756</v>
      </c>
      <c r="M4" s="59" t="s">
        <v>123</v>
      </c>
      <c r="N4" s="58" t="s">
        <v>1757</v>
      </c>
      <c r="O4" s="58"/>
      <c r="P4" s="58" t="s">
        <v>1756</v>
      </c>
      <c r="Q4" s="58"/>
      <c r="R4" s="58"/>
      <c r="S4" s="58" t="s">
        <v>1757</v>
      </c>
      <c r="T4" s="58"/>
      <c r="U4" s="58" t="s">
        <v>1756</v>
      </c>
      <c r="V4" s="58"/>
      <c r="W4" s="58" t="s">
        <v>1758</v>
      </c>
      <c r="X4" s="58"/>
      <c r="Y4" s="58"/>
      <c r="Z4" s="59" t="s">
        <v>123</v>
      </c>
      <c r="AA4" s="58" t="s">
        <v>1759</v>
      </c>
      <c r="AB4" s="58"/>
      <c r="AC4" s="58"/>
      <c r="AD4" s="58"/>
      <c r="AE4" s="58"/>
    </row>
    <row r="5" customFormat="false" ht="54" hidden="false" customHeight="true" outlineLevel="0" collapsed="false">
      <c r="A5" s="60" t="s">
        <v>103</v>
      </c>
      <c r="B5" s="7" t="s">
        <v>1760</v>
      </c>
      <c r="C5" s="7" t="s">
        <v>1761</v>
      </c>
      <c r="D5" s="7" t="s">
        <v>1762</v>
      </c>
      <c r="E5" s="7" t="s">
        <v>1763</v>
      </c>
      <c r="F5" s="7" t="s">
        <v>1764</v>
      </c>
      <c r="G5" s="7" t="s">
        <v>1765</v>
      </c>
      <c r="H5" s="7" t="s">
        <v>1766</v>
      </c>
      <c r="I5" s="7" t="s">
        <v>1767</v>
      </c>
      <c r="J5" s="7" t="s">
        <v>1768</v>
      </c>
      <c r="K5" s="7" t="s">
        <v>37</v>
      </c>
      <c r="L5" s="7" t="s">
        <v>1769</v>
      </c>
      <c r="M5" s="7" t="s">
        <v>1770</v>
      </c>
      <c r="N5" s="7" t="s">
        <v>1771</v>
      </c>
      <c r="O5" s="7" t="s">
        <v>1772</v>
      </c>
      <c r="P5" s="7" t="s">
        <v>1773</v>
      </c>
      <c r="Q5" s="7" t="s">
        <v>1774</v>
      </c>
      <c r="R5" s="7" t="s">
        <v>1775</v>
      </c>
      <c r="S5" s="7" t="s">
        <v>1776</v>
      </c>
      <c r="T5" s="7" t="s">
        <v>1777</v>
      </c>
      <c r="U5" s="7" t="s">
        <v>1778</v>
      </c>
      <c r="V5" s="7" t="s">
        <v>1779</v>
      </c>
      <c r="W5" s="7" t="s">
        <v>1780</v>
      </c>
      <c r="X5" s="7" t="s">
        <v>1781</v>
      </c>
      <c r="Y5" s="7" t="s">
        <v>36</v>
      </c>
      <c r="Z5" s="7" t="s">
        <v>1782</v>
      </c>
      <c r="AA5" s="7" t="s">
        <v>1783</v>
      </c>
      <c r="AB5" s="7" t="s">
        <v>51</v>
      </c>
      <c r="AC5" s="7" t="s">
        <v>54</v>
      </c>
      <c r="AD5" s="7" t="s">
        <v>749</v>
      </c>
      <c r="AE5" s="7" t="s">
        <v>1784</v>
      </c>
    </row>
    <row r="6" customFormat="false" ht="14.25" hidden="false" customHeight="true" outlineLevel="0" collapsed="false">
      <c r="A6" s="61" t="n">
        <v>1846</v>
      </c>
      <c r="B6" s="49" t="n">
        <f aca="false">'Navy plan'!B6</f>
        <v>0</v>
      </c>
      <c r="C6" s="49" t="n">
        <f aca="false">'Navy plan'!C6</f>
        <v>0</v>
      </c>
      <c r="D6" s="49" t="n">
        <f aca="false">'Navy plan'!D6</f>
        <v>0</v>
      </c>
      <c r="E6" s="49" t="n">
        <f aca="false">'Navy plan'!E6</f>
        <v>0</v>
      </c>
      <c r="F6" s="49" t="n">
        <f aca="false">'Navy plan'!F6</f>
        <v>0</v>
      </c>
      <c r="G6" s="49" t="n">
        <f aca="false">'Navy plan'!G6</f>
        <v>0</v>
      </c>
      <c r="H6" s="49" t="n">
        <f aca="false">'Navy plan'!H6</f>
        <v>0</v>
      </c>
      <c r="I6" s="49" t="n">
        <f aca="false">'Navy plan'!I6</f>
        <v>0</v>
      </c>
      <c r="J6" s="49" t="n">
        <f aca="false">'Navy plan'!J6</f>
        <v>0</v>
      </c>
      <c r="K6" s="49" t="n">
        <f aca="false">SUM(B6:J6)</f>
        <v>0</v>
      </c>
      <c r="L6" s="56" t="n">
        <f aca="false">0.5*SUMPRODUCT('Navy plan'!B6:J6,'Navy plan'!K6:S6)+0.5*SUMPRODUCT('Navy plan'!B7:J7,'Navy plan'!K7:S7)</f>
        <v>0</v>
      </c>
      <c r="M6" s="49" t="n">
        <f aca="false">SUMPRODUCT(B6:J6,Levers!$C$192:$K$192)</f>
        <v>0</v>
      </c>
      <c r="N6" s="49" t="n">
        <f aca="false">SUMPRODUCT(B6:J6,Levers!$C$195:$K$195)</f>
        <v>0</v>
      </c>
      <c r="O6" s="49" t="n">
        <f aca="false">N6-M6</f>
        <v>0</v>
      </c>
      <c r="P6" s="56" t="n">
        <f aca="false">M6*sailor_pay*Economy!H6/1000000</f>
        <v>0</v>
      </c>
      <c r="Q6" s="56" t="n">
        <f aca="false">SUMPRODUCT(B6:J6,'Navy plan'!K6:S6)*maint_rate</f>
        <v>0</v>
      </c>
      <c r="R6" s="56" t="n">
        <f aca="false">SUMPRODUCT(B6:J6,Levers!$C$193:$K$193)*Economy!H6</f>
        <v>0</v>
      </c>
      <c r="S6" s="56" t="n">
        <f aca="false">SUMPRODUCT(B6:J6,Levers!$C$193:$K$193,Levers!$C$194:$K$194)*(1/oil_fuel-1)*Economy!H6</f>
        <v>0</v>
      </c>
      <c r="T6" s="56" t="n">
        <f aca="false">S6+O6*sailor_pay*Economy!H6/1000000</f>
        <v>0</v>
      </c>
      <c r="U6" s="56" t="n">
        <f aca="false">(P6+Q6+R6)*navy_overhead</f>
        <v>0</v>
      </c>
      <c r="V6" s="56" t="n">
        <f aca="false">L6+P6+Q6+R6+U6</f>
        <v>0</v>
      </c>
      <c r="W6" s="72" t="n">
        <f aca="false">Japan!I6</f>
        <v>0</v>
      </c>
      <c r="X6" s="56" t="n">
        <f aca="false">IF($A6&gt;=1927,V6+W6,0)</f>
        <v>0</v>
      </c>
      <c r="Y6" s="56" t="n">
        <f aca="false">IF($A6&gt;=1927,pac_quota*X6,V6)</f>
        <v>0</v>
      </c>
      <c r="Z6" s="70" t="n">
        <f aca="false">SUMPRODUCT(B6:J6,Levers!$C$193:$K$193,Levers!$C$194:$K$194)/0.6</f>
        <v>0</v>
      </c>
      <c r="AA6" s="65" t="n">
        <f aca="false">H6</f>
        <v>0</v>
      </c>
      <c r="AB6" s="49" t="n">
        <f aca="false">AA6+'Navy plan'!T6</f>
        <v>0</v>
      </c>
      <c r="AC6" s="65" t="n">
        <f aca="false">'Navy plan'!U6</f>
        <v>0</v>
      </c>
      <c r="AD6" s="65" t="n">
        <f aca="false">'Navy plan'!V6</f>
        <v>0</v>
      </c>
      <c r="AE6" s="70" t="n">
        <f aca="false">IF(AC6&gt;0,AB6/AC6,0)</f>
        <v>0</v>
      </c>
    </row>
    <row r="7" customFormat="false" ht="14.25" hidden="false" customHeight="true" outlineLevel="0" collapsed="false">
      <c r="A7" s="61" t="n">
        <v>1847</v>
      </c>
      <c r="B7" s="49" t="n">
        <f aca="false">B6+'Navy plan'!B7-IF($A7-Levers!$C$191&gt;=1846,INDEX('Navy plan'!B$6:B$92,$A7-1845-Levers!$C$191),0)</f>
        <v>0</v>
      </c>
      <c r="C7" s="49" t="n">
        <f aca="false">C6+'Navy plan'!C7-IF($A7-Levers!$D$191&gt;=1846,INDEX('Navy plan'!C$6:C$92,$A7-1845-Levers!$D$191),0)</f>
        <v>0</v>
      </c>
      <c r="D7" s="49" t="n">
        <f aca="false">D6+'Navy plan'!D7-IF($A7-Levers!$E$191&gt;=1846,INDEX('Navy plan'!D$6:D$92,$A7-1845-Levers!$E$191),0)</f>
        <v>0</v>
      </c>
      <c r="E7" s="49" t="n">
        <f aca="false">E6+'Navy plan'!E7-IF($A7-Levers!$F$191&gt;=1846,INDEX('Navy plan'!E$6:E$92,$A7-1845-Levers!$F$191),0)</f>
        <v>0</v>
      </c>
      <c r="F7" s="49" t="n">
        <f aca="false">F6+'Navy plan'!F7-IF($A7-Levers!$G$191&gt;=1846,INDEX('Navy plan'!F$6:F$92,$A7-1845-Levers!$G$191),0)</f>
        <v>0</v>
      </c>
      <c r="G7" s="49" t="n">
        <f aca="false">G6+'Navy plan'!G7-IF($A7-Levers!$H$191&gt;=1846,INDEX('Navy plan'!G$6:G$92,$A7-1845-Levers!$H$191),0)</f>
        <v>0</v>
      </c>
      <c r="H7" s="49" t="n">
        <f aca="false">H6+'Navy plan'!H7-IF($A7-Levers!$I$191&gt;=1846,INDEX('Navy plan'!H$6:H$92,$A7-1845-Levers!$I$191),0)</f>
        <v>0</v>
      </c>
      <c r="I7" s="49" t="n">
        <f aca="false">I6+'Navy plan'!I7-IF($A7-Levers!$J$191&gt;=1846,INDEX('Navy plan'!I$6:I$92,$A7-1845-Levers!$J$191),0)</f>
        <v>0</v>
      </c>
      <c r="J7" s="49" t="n">
        <f aca="false">J6+'Navy plan'!J7-IF($A7-Levers!$K$191&gt;=1846,INDEX('Navy plan'!J$6:J$92,$A7-1845-Levers!$K$191),0)</f>
        <v>0</v>
      </c>
      <c r="K7" s="49" t="n">
        <f aca="false">SUM(B7:J7)</f>
        <v>0</v>
      </c>
      <c r="L7" s="56" t="n">
        <f aca="false">0.5*SUMPRODUCT('Navy plan'!B7:J7,'Navy plan'!K7:S7)+0.5*SUMPRODUCT('Navy plan'!B8:J8,'Navy plan'!K8:S8)</f>
        <v>0</v>
      </c>
      <c r="M7" s="49" t="n">
        <f aca="false">SUMPRODUCT(B7:J7,Levers!$C$192:$K$192)</f>
        <v>0</v>
      </c>
      <c r="N7" s="49" t="n">
        <f aca="false">SUMPRODUCT(B7:J7,Levers!$C$195:$K$195)</f>
        <v>0</v>
      </c>
      <c r="O7" s="49" t="n">
        <f aca="false">N7-M7</f>
        <v>0</v>
      </c>
      <c r="P7" s="56" t="n">
        <f aca="false">M7*sailor_pay*Economy!H7/1000000</f>
        <v>0</v>
      </c>
      <c r="Q7" s="56" t="n">
        <f aca="false">SUMPRODUCT(B7:J7,'Navy plan'!K7:S7)*maint_rate</f>
        <v>0</v>
      </c>
      <c r="R7" s="56" t="n">
        <f aca="false">SUMPRODUCT(B7:J7,Levers!$C$193:$K$193)*Economy!H7</f>
        <v>0</v>
      </c>
      <c r="S7" s="56" t="n">
        <f aca="false">SUMPRODUCT(B7:J7,Levers!$C$193:$K$193,Levers!$C$194:$K$194)*(1/oil_fuel-1)*Economy!H7</f>
        <v>0</v>
      </c>
      <c r="T7" s="56" t="n">
        <f aca="false">S7+O7*sailor_pay*Economy!H7/1000000</f>
        <v>0</v>
      </c>
      <c r="U7" s="56" t="n">
        <f aca="false">(P7+Q7+R7)*navy_overhead</f>
        <v>0</v>
      </c>
      <c r="V7" s="56" t="n">
        <f aca="false">L7+P7+Q7+R7+U7</f>
        <v>0</v>
      </c>
      <c r="W7" s="72" t="n">
        <f aca="false">Japan!I7</f>
        <v>0</v>
      </c>
      <c r="X7" s="56" t="n">
        <f aca="false">IF($A7&gt;=1927,V7+W7,0)</f>
        <v>0</v>
      </c>
      <c r="Y7" s="56" t="n">
        <f aca="false">IF($A7&gt;=1927,pac_quota*X7,V7)</f>
        <v>0</v>
      </c>
      <c r="Z7" s="70" t="n">
        <f aca="false">SUMPRODUCT(B7:J7,Levers!$C$193:$K$193,Levers!$C$194:$K$194)/0.6</f>
        <v>0</v>
      </c>
      <c r="AA7" s="65" t="n">
        <f aca="false">H7</f>
        <v>0</v>
      </c>
      <c r="AB7" s="49" t="n">
        <f aca="false">AA7+'Navy plan'!T7</f>
        <v>0</v>
      </c>
      <c r="AC7" s="65" t="n">
        <f aca="false">'Navy plan'!U7</f>
        <v>0</v>
      </c>
      <c r="AD7" s="65" t="n">
        <f aca="false">'Navy plan'!V7</f>
        <v>0</v>
      </c>
      <c r="AE7" s="70" t="n">
        <f aca="false">IF(AC7&gt;0,AB7/AC7,0)</f>
        <v>0</v>
      </c>
    </row>
    <row r="8" customFormat="false" ht="14.25" hidden="false" customHeight="true" outlineLevel="0" collapsed="false">
      <c r="A8" s="61" t="n">
        <v>1848</v>
      </c>
      <c r="B8" s="49" t="n">
        <f aca="false">B7+'Navy plan'!B8-IF($A8-Levers!$C$191&gt;=1846,INDEX('Navy plan'!B$6:B$92,$A8-1845-Levers!$C$191),0)</f>
        <v>0</v>
      </c>
      <c r="C8" s="49" t="n">
        <f aca="false">C7+'Navy plan'!C8-IF($A8-Levers!$D$191&gt;=1846,INDEX('Navy plan'!C$6:C$92,$A8-1845-Levers!$D$191),0)</f>
        <v>0</v>
      </c>
      <c r="D8" s="49" t="n">
        <f aca="false">D7+'Navy plan'!D8-IF($A8-Levers!$E$191&gt;=1846,INDEX('Navy plan'!D$6:D$92,$A8-1845-Levers!$E$191),0)</f>
        <v>0</v>
      </c>
      <c r="E8" s="49" t="n">
        <f aca="false">E7+'Navy plan'!E8-IF($A8-Levers!$F$191&gt;=1846,INDEX('Navy plan'!E$6:E$92,$A8-1845-Levers!$F$191),0)</f>
        <v>0</v>
      </c>
      <c r="F8" s="49" t="n">
        <f aca="false">F7+'Navy plan'!F8-IF($A8-Levers!$G$191&gt;=1846,INDEX('Navy plan'!F$6:F$92,$A8-1845-Levers!$G$191),0)</f>
        <v>0</v>
      </c>
      <c r="G8" s="49" t="n">
        <f aca="false">G7+'Navy plan'!G8-IF($A8-Levers!$H$191&gt;=1846,INDEX('Navy plan'!G$6:G$92,$A8-1845-Levers!$H$191),0)</f>
        <v>0</v>
      </c>
      <c r="H8" s="49" t="n">
        <f aca="false">H7+'Navy plan'!H8-IF($A8-Levers!$I$191&gt;=1846,INDEX('Navy plan'!H$6:H$92,$A8-1845-Levers!$I$191),0)</f>
        <v>0</v>
      </c>
      <c r="I8" s="49" t="n">
        <f aca="false">I7+'Navy plan'!I8-IF($A8-Levers!$J$191&gt;=1846,INDEX('Navy plan'!I$6:I$92,$A8-1845-Levers!$J$191),0)</f>
        <v>0</v>
      </c>
      <c r="J8" s="49" t="n">
        <f aca="false">J7+'Navy plan'!J8-IF($A8-Levers!$K$191&gt;=1846,INDEX('Navy plan'!J$6:J$92,$A8-1845-Levers!$K$191),0)</f>
        <v>0</v>
      </c>
      <c r="K8" s="49" t="n">
        <f aca="false">SUM(B8:J8)</f>
        <v>0</v>
      </c>
      <c r="L8" s="56" t="n">
        <f aca="false">0.5*SUMPRODUCT('Navy plan'!B8:J8,'Navy plan'!K8:S8)+0.5*SUMPRODUCT('Navy plan'!B9:J9,'Navy plan'!K9:S9)</f>
        <v>0</v>
      </c>
      <c r="M8" s="49" t="n">
        <f aca="false">SUMPRODUCT(B8:J8,Levers!$C$192:$K$192)</f>
        <v>0</v>
      </c>
      <c r="N8" s="49" t="n">
        <f aca="false">SUMPRODUCT(B8:J8,Levers!$C$195:$K$195)</f>
        <v>0</v>
      </c>
      <c r="O8" s="49" t="n">
        <f aca="false">N8-M8</f>
        <v>0</v>
      </c>
      <c r="P8" s="56" t="n">
        <f aca="false">M8*sailor_pay*Economy!H8/1000000</f>
        <v>0</v>
      </c>
      <c r="Q8" s="56" t="n">
        <f aca="false">SUMPRODUCT(B8:J8,'Navy plan'!K8:S8)*maint_rate</f>
        <v>0</v>
      </c>
      <c r="R8" s="56" t="n">
        <f aca="false">SUMPRODUCT(B8:J8,Levers!$C$193:$K$193)*Economy!H8</f>
        <v>0</v>
      </c>
      <c r="S8" s="56" t="n">
        <f aca="false">SUMPRODUCT(B8:J8,Levers!$C$193:$K$193,Levers!$C$194:$K$194)*(1/oil_fuel-1)*Economy!H8</f>
        <v>0</v>
      </c>
      <c r="T8" s="56" t="n">
        <f aca="false">S8+O8*sailor_pay*Economy!H8/1000000</f>
        <v>0</v>
      </c>
      <c r="U8" s="56" t="n">
        <f aca="false">(P8+Q8+R8)*navy_overhead</f>
        <v>0</v>
      </c>
      <c r="V8" s="56" t="n">
        <f aca="false">L8+P8+Q8+R8+U8</f>
        <v>0</v>
      </c>
      <c r="W8" s="72" t="n">
        <f aca="false">Japan!I8</f>
        <v>0</v>
      </c>
      <c r="X8" s="56" t="n">
        <f aca="false">IF($A8&gt;=1927,V8+W8,0)</f>
        <v>0</v>
      </c>
      <c r="Y8" s="56" t="n">
        <f aca="false">IF($A8&gt;=1927,pac_quota*X8,V8)</f>
        <v>0</v>
      </c>
      <c r="Z8" s="70" t="n">
        <f aca="false">SUMPRODUCT(B8:J8,Levers!$C$193:$K$193,Levers!$C$194:$K$194)/0.6</f>
        <v>0</v>
      </c>
      <c r="AA8" s="65" t="n">
        <f aca="false">H8</f>
        <v>0</v>
      </c>
      <c r="AB8" s="49" t="n">
        <f aca="false">AA8+'Navy plan'!T8</f>
        <v>0</v>
      </c>
      <c r="AC8" s="65" t="n">
        <f aca="false">'Navy plan'!U8</f>
        <v>0</v>
      </c>
      <c r="AD8" s="65" t="n">
        <f aca="false">'Navy plan'!V8</f>
        <v>0</v>
      </c>
      <c r="AE8" s="70" t="n">
        <f aca="false">IF(AC8&gt;0,AB8/AC8,0)</f>
        <v>0</v>
      </c>
    </row>
    <row r="9" customFormat="false" ht="14.25" hidden="false" customHeight="true" outlineLevel="0" collapsed="false">
      <c r="A9" s="61" t="n">
        <v>1849</v>
      </c>
      <c r="B9" s="49" t="n">
        <f aca="false">B8+'Navy plan'!B9-IF($A9-Levers!$C$191&gt;=1846,INDEX('Navy plan'!B$6:B$92,$A9-1845-Levers!$C$191),0)</f>
        <v>0</v>
      </c>
      <c r="C9" s="49" t="n">
        <f aca="false">C8+'Navy plan'!C9-IF($A9-Levers!$D$191&gt;=1846,INDEX('Navy plan'!C$6:C$92,$A9-1845-Levers!$D$191),0)</f>
        <v>0</v>
      </c>
      <c r="D9" s="49" t="n">
        <f aca="false">D8+'Navy plan'!D9-IF($A9-Levers!$E$191&gt;=1846,INDEX('Navy plan'!D$6:D$92,$A9-1845-Levers!$E$191),0)</f>
        <v>0</v>
      </c>
      <c r="E9" s="49" t="n">
        <f aca="false">E8+'Navy plan'!E9-IF($A9-Levers!$F$191&gt;=1846,INDEX('Navy plan'!E$6:E$92,$A9-1845-Levers!$F$191),0)</f>
        <v>0</v>
      </c>
      <c r="F9" s="49" t="n">
        <f aca="false">F8+'Navy plan'!F9-IF($A9-Levers!$G$191&gt;=1846,INDEX('Navy plan'!F$6:F$92,$A9-1845-Levers!$G$191),0)</f>
        <v>0</v>
      </c>
      <c r="G9" s="49" t="n">
        <f aca="false">G8+'Navy plan'!G9-IF($A9-Levers!$H$191&gt;=1846,INDEX('Navy plan'!G$6:G$92,$A9-1845-Levers!$H$191),0)</f>
        <v>0</v>
      </c>
      <c r="H9" s="49" t="n">
        <f aca="false">H8+'Navy plan'!H9-IF($A9-Levers!$I$191&gt;=1846,INDEX('Navy plan'!H$6:H$92,$A9-1845-Levers!$I$191),0)</f>
        <v>0</v>
      </c>
      <c r="I9" s="49" t="n">
        <f aca="false">I8+'Navy plan'!I9-IF($A9-Levers!$J$191&gt;=1846,INDEX('Navy plan'!I$6:I$92,$A9-1845-Levers!$J$191),0)</f>
        <v>0</v>
      </c>
      <c r="J9" s="49" t="n">
        <f aca="false">J8+'Navy plan'!J9-IF($A9-Levers!$K$191&gt;=1846,INDEX('Navy plan'!J$6:J$92,$A9-1845-Levers!$K$191),0)</f>
        <v>0</v>
      </c>
      <c r="K9" s="49" t="n">
        <f aca="false">SUM(B9:J9)</f>
        <v>0</v>
      </c>
      <c r="L9" s="56" t="n">
        <f aca="false">0.5*SUMPRODUCT('Navy plan'!B9:J9,'Navy plan'!K9:S9)+0.5*SUMPRODUCT('Navy plan'!B10:J10,'Navy plan'!K10:S10)</f>
        <v>0</v>
      </c>
      <c r="M9" s="49" t="n">
        <f aca="false">SUMPRODUCT(B9:J9,Levers!$C$192:$K$192)</f>
        <v>0</v>
      </c>
      <c r="N9" s="49" t="n">
        <f aca="false">SUMPRODUCT(B9:J9,Levers!$C$195:$K$195)</f>
        <v>0</v>
      </c>
      <c r="O9" s="49" t="n">
        <f aca="false">N9-M9</f>
        <v>0</v>
      </c>
      <c r="P9" s="56" t="n">
        <f aca="false">M9*sailor_pay*Economy!H9/1000000</f>
        <v>0</v>
      </c>
      <c r="Q9" s="56" t="n">
        <f aca="false">SUMPRODUCT(B9:J9,'Navy plan'!K9:S9)*maint_rate</f>
        <v>0</v>
      </c>
      <c r="R9" s="56" t="n">
        <f aca="false">SUMPRODUCT(B9:J9,Levers!$C$193:$K$193)*Economy!H9</f>
        <v>0</v>
      </c>
      <c r="S9" s="56" t="n">
        <f aca="false">SUMPRODUCT(B9:J9,Levers!$C$193:$K$193,Levers!$C$194:$K$194)*(1/oil_fuel-1)*Economy!H9</f>
        <v>0</v>
      </c>
      <c r="T9" s="56" t="n">
        <f aca="false">S9+O9*sailor_pay*Economy!H9/1000000</f>
        <v>0</v>
      </c>
      <c r="U9" s="56" t="n">
        <f aca="false">(P9+Q9+R9)*navy_overhead</f>
        <v>0</v>
      </c>
      <c r="V9" s="56" t="n">
        <f aca="false">L9+P9+Q9+R9+U9</f>
        <v>0</v>
      </c>
      <c r="W9" s="72" t="n">
        <f aca="false">Japan!I9</f>
        <v>0</v>
      </c>
      <c r="X9" s="56" t="n">
        <f aca="false">IF($A9&gt;=1927,V9+W9,0)</f>
        <v>0</v>
      </c>
      <c r="Y9" s="56" t="n">
        <f aca="false">IF($A9&gt;=1927,pac_quota*X9,V9)</f>
        <v>0</v>
      </c>
      <c r="Z9" s="70" t="n">
        <f aca="false">SUMPRODUCT(B9:J9,Levers!$C$193:$K$193,Levers!$C$194:$K$194)/0.6</f>
        <v>0</v>
      </c>
      <c r="AA9" s="65" t="n">
        <f aca="false">H9</f>
        <v>0</v>
      </c>
      <c r="AB9" s="49" t="n">
        <f aca="false">AA9+'Navy plan'!T9</f>
        <v>0</v>
      </c>
      <c r="AC9" s="65" t="n">
        <f aca="false">'Navy plan'!U9</f>
        <v>0</v>
      </c>
      <c r="AD9" s="65" t="n">
        <f aca="false">'Navy plan'!V9</f>
        <v>0</v>
      </c>
      <c r="AE9" s="70" t="n">
        <f aca="false">IF(AC9&gt;0,AB9/AC9,0)</f>
        <v>0</v>
      </c>
    </row>
    <row r="10" customFormat="false" ht="14.25" hidden="false" customHeight="true" outlineLevel="0" collapsed="false">
      <c r="A10" s="61" t="n">
        <v>1850</v>
      </c>
      <c r="B10" s="49" t="n">
        <f aca="false">B9+'Navy plan'!B10-IF($A10-Levers!$C$191&gt;=1846,INDEX('Navy plan'!B$6:B$92,$A10-1845-Levers!$C$191),0)</f>
        <v>0</v>
      </c>
      <c r="C10" s="49" t="n">
        <f aca="false">C9+'Navy plan'!C10-IF($A10-Levers!$D$191&gt;=1846,INDEX('Navy plan'!C$6:C$92,$A10-1845-Levers!$D$191),0)</f>
        <v>0</v>
      </c>
      <c r="D10" s="49" t="n">
        <f aca="false">D9+'Navy plan'!D10-IF($A10-Levers!$E$191&gt;=1846,INDEX('Navy plan'!D$6:D$92,$A10-1845-Levers!$E$191),0)</f>
        <v>0</v>
      </c>
      <c r="E10" s="49" t="n">
        <f aca="false">E9+'Navy plan'!E10-IF($A10-Levers!$F$191&gt;=1846,INDEX('Navy plan'!E$6:E$92,$A10-1845-Levers!$F$191),0)</f>
        <v>0</v>
      </c>
      <c r="F10" s="49" t="n">
        <f aca="false">F9+'Navy plan'!F10-IF($A10-Levers!$G$191&gt;=1846,INDEX('Navy plan'!F$6:F$92,$A10-1845-Levers!$G$191),0)</f>
        <v>0</v>
      </c>
      <c r="G10" s="49" t="n">
        <f aca="false">G9+'Navy plan'!G10-IF($A10-Levers!$H$191&gt;=1846,INDEX('Navy plan'!G$6:G$92,$A10-1845-Levers!$H$191),0)</f>
        <v>0</v>
      </c>
      <c r="H10" s="49" t="n">
        <f aca="false">H9+'Navy plan'!H10-IF($A10-Levers!$I$191&gt;=1846,INDEX('Navy plan'!H$6:H$92,$A10-1845-Levers!$I$191),0)</f>
        <v>0</v>
      </c>
      <c r="I10" s="49" t="n">
        <f aca="false">I9+'Navy plan'!I10-IF($A10-Levers!$J$191&gt;=1846,INDEX('Navy plan'!I$6:I$92,$A10-1845-Levers!$J$191),0)</f>
        <v>0</v>
      </c>
      <c r="J10" s="49" t="n">
        <f aca="false">J9+'Navy plan'!J10-IF($A10-Levers!$K$191&gt;=1846,INDEX('Navy plan'!J$6:J$92,$A10-1845-Levers!$K$191),0)</f>
        <v>0</v>
      </c>
      <c r="K10" s="49" t="n">
        <f aca="false">SUM(B10:J10)</f>
        <v>0</v>
      </c>
      <c r="L10" s="56" t="n">
        <f aca="false">0.5*SUMPRODUCT('Navy plan'!B10:J10,'Navy plan'!K10:S10)+0.5*SUMPRODUCT('Navy plan'!B11:J11,'Navy plan'!K11:S11)</f>
        <v>0</v>
      </c>
      <c r="M10" s="49" t="n">
        <f aca="false">SUMPRODUCT(B10:J10,Levers!$C$192:$K$192)</f>
        <v>0</v>
      </c>
      <c r="N10" s="49" t="n">
        <f aca="false">SUMPRODUCT(B10:J10,Levers!$C$195:$K$195)</f>
        <v>0</v>
      </c>
      <c r="O10" s="49" t="n">
        <f aca="false">N10-M10</f>
        <v>0</v>
      </c>
      <c r="P10" s="56" t="n">
        <f aca="false">M10*sailor_pay*Economy!H10/1000000</f>
        <v>0</v>
      </c>
      <c r="Q10" s="56" t="n">
        <f aca="false">SUMPRODUCT(B10:J10,'Navy plan'!K10:S10)*maint_rate</f>
        <v>0</v>
      </c>
      <c r="R10" s="56" t="n">
        <f aca="false">SUMPRODUCT(B10:J10,Levers!$C$193:$K$193)*Economy!H10</f>
        <v>0</v>
      </c>
      <c r="S10" s="56" t="n">
        <f aca="false">SUMPRODUCT(B10:J10,Levers!$C$193:$K$193,Levers!$C$194:$K$194)*(1/oil_fuel-1)*Economy!H10</f>
        <v>0</v>
      </c>
      <c r="T10" s="56" t="n">
        <f aca="false">S10+O10*sailor_pay*Economy!H10/1000000</f>
        <v>0</v>
      </c>
      <c r="U10" s="56" t="n">
        <f aca="false">(P10+Q10+R10)*navy_overhead</f>
        <v>0</v>
      </c>
      <c r="V10" s="56" t="n">
        <f aca="false">L10+P10+Q10+R10+U10</f>
        <v>0</v>
      </c>
      <c r="W10" s="72" t="n">
        <f aca="false">Japan!I10</f>
        <v>0</v>
      </c>
      <c r="X10" s="56" t="n">
        <f aca="false">IF($A10&gt;=1927,V10+W10,0)</f>
        <v>0</v>
      </c>
      <c r="Y10" s="56" t="n">
        <f aca="false">IF($A10&gt;=1927,pac_quota*X10,V10)</f>
        <v>0</v>
      </c>
      <c r="Z10" s="70" t="n">
        <f aca="false">SUMPRODUCT(B10:J10,Levers!$C$193:$K$193,Levers!$C$194:$K$194)/0.6</f>
        <v>0</v>
      </c>
      <c r="AA10" s="65" t="n">
        <f aca="false">H10</f>
        <v>0</v>
      </c>
      <c r="AB10" s="49" t="n">
        <f aca="false">AA10+'Navy plan'!T10</f>
        <v>0</v>
      </c>
      <c r="AC10" s="65" t="n">
        <f aca="false">'Navy plan'!U10</f>
        <v>0</v>
      </c>
      <c r="AD10" s="65" t="n">
        <f aca="false">'Navy plan'!V10</f>
        <v>0</v>
      </c>
      <c r="AE10" s="70" t="n">
        <f aca="false">IF(AC10&gt;0,AB10/AC10,0)</f>
        <v>0</v>
      </c>
    </row>
    <row r="11" customFormat="false" ht="14.25" hidden="false" customHeight="true" outlineLevel="0" collapsed="false">
      <c r="A11" s="61" t="n">
        <v>1851</v>
      </c>
      <c r="B11" s="49" t="n">
        <f aca="false">B10+'Navy plan'!B11-IF($A11-Levers!$C$191&gt;=1846,INDEX('Navy plan'!B$6:B$92,$A11-1845-Levers!$C$191),0)</f>
        <v>0</v>
      </c>
      <c r="C11" s="49" t="n">
        <f aca="false">C10+'Navy plan'!C11-IF($A11-Levers!$D$191&gt;=1846,INDEX('Navy plan'!C$6:C$92,$A11-1845-Levers!$D$191),0)</f>
        <v>0</v>
      </c>
      <c r="D11" s="49" t="n">
        <f aca="false">D10+'Navy plan'!D11-IF($A11-Levers!$E$191&gt;=1846,INDEX('Navy plan'!D$6:D$92,$A11-1845-Levers!$E$191),0)</f>
        <v>0</v>
      </c>
      <c r="E11" s="49" t="n">
        <f aca="false">E10+'Navy plan'!E11-IF($A11-Levers!$F$191&gt;=1846,INDEX('Navy plan'!E$6:E$92,$A11-1845-Levers!$F$191),0)</f>
        <v>0</v>
      </c>
      <c r="F11" s="49" t="n">
        <f aca="false">F10+'Navy plan'!F11-IF($A11-Levers!$G$191&gt;=1846,INDEX('Navy plan'!F$6:F$92,$A11-1845-Levers!$G$191),0)</f>
        <v>0</v>
      </c>
      <c r="G11" s="49" t="n">
        <f aca="false">G10+'Navy plan'!G11-IF($A11-Levers!$H$191&gt;=1846,INDEX('Navy plan'!G$6:G$92,$A11-1845-Levers!$H$191),0)</f>
        <v>0</v>
      </c>
      <c r="H11" s="49" t="n">
        <f aca="false">H10+'Navy plan'!H11-IF($A11-Levers!$I$191&gt;=1846,INDEX('Navy plan'!H$6:H$92,$A11-1845-Levers!$I$191),0)</f>
        <v>0</v>
      </c>
      <c r="I11" s="49" t="n">
        <f aca="false">I10+'Navy plan'!I11-IF($A11-Levers!$J$191&gt;=1846,INDEX('Navy plan'!I$6:I$92,$A11-1845-Levers!$J$191),0)</f>
        <v>0</v>
      </c>
      <c r="J11" s="49" t="n">
        <f aca="false">J10+'Navy plan'!J11-IF($A11-Levers!$K$191&gt;=1846,INDEX('Navy plan'!J$6:J$92,$A11-1845-Levers!$K$191),0)</f>
        <v>0</v>
      </c>
      <c r="K11" s="49" t="n">
        <f aca="false">SUM(B11:J11)</f>
        <v>0</v>
      </c>
      <c r="L11" s="56" t="n">
        <f aca="false">0.5*SUMPRODUCT('Navy plan'!B11:J11,'Navy plan'!K11:S11)+0.5*SUMPRODUCT('Navy plan'!B12:J12,'Navy plan'!K12:S12)</f>
        <v>0.21</v>
      </c>
      <c r="M11" s="49" t="n">
        <f aca="false">SUMPRODUCT(B11:J11,Levers!$C$192:$K$192)</f>
        <v>0</v>
      </c>
      <c r="N11" s="49" t="n">
        <f aca="false">SUMPRODUCT(B11:J11,Levers!$C$195:$K$195)</f>
        <v>0</v>
      </c>
      <c r="O11" s="49" t="n">
        <f aca="false">N11-M11</f>
        <v>0</v>
      </c>
      <c r="P11" s="56" t="n">
        <f aca="false">M11*sailor_pay*Economy!H11/1000000</f>
        <v>0</v>
      </c>
      <c r="Q11" s="56" t="n">
        <f aca="false">SUMPRODUCT(B11:J11,'Navy plan'!K11:S11)*maint_rate</f>
        <v>0</v>
      </c>
      <c r="R11" s="56" t="n">
        <f aca="false">SUMPRODUCT(B11:J11,Levers!$C$193:$K$193)*Economy!H11</f>
        <v>0</v>
      </c>
      <c r="S11" s="56" t="n">
        <f aca="false">SUMPRODUCT(B11:J11,Levers!$C$193:$K$193,Levers!$C$194:$K$194)*(1/oil_fuel-1)*Economy!H11</f>
        <v>0</v>
      </c>
      <c r="T11" s="56" t="n">
        <f aca="false">S11+O11*sailor_pay*Economy!H11/1000000</f>
        <v>0</v>
      </c>
      <c r="U11" s="56" t="n">
        <f aca="false">(P11+Q11+R11)*navy_overhead</f>
        <v>0</v>
      </c>
      <c r="V11" s="56" t="n">
        <f aca="false">L11+P11+Q11+R11+U11</f>
        <v>0.21</v>
      </c>
      <c r="W11" s="72" t="n">
        <f aca="false">Japan!I11</f>
        <v>0</v>
      </c>
      <c r="X11" s="56" t="n">
        <f aca="false">IF($A11&gt;=1927,V11+W11,0)</f>
        <v>0</v>
      </c>
      <c r="Y11" s="56" t="n">
        <f aca="false">IF($A11&gt;=1927,pac_quota*X11,V11)</f>
        <v>0.21</v>
      </c>
      <c r="Z11" s="70" t="n">
        <f aca="false">SUMPRODUCT(B11:J11,Levers!$C$193:$K$193,Levers!$C$194:$K$194)/0.6</f>
        <v>0</v>
      </c>
      <c r="AA11" s="65" t="n">
        <f aca="false">H11</f>
        <v>0</v>
      </c>
      <c r="AB11" s="49" t="n">
        <f aca="false">AA11+'Navy plan'!T11</f>
        <v>0</v>
      </c>
      <c r="AC11" s="65" t="n">
        <f aca="false">'Navy plan'!U11</f>
        <v>0</v>
      </c>
      <c r="AD11" s="65" t="n">
        <f aca="false">'Navy plan'!V11</f>
        <v>0</v>
      </c>
      <c r="AE11" s="70" t="n">
        <f aca="false">IF(AC11&gt;0,AB11/AC11,0)</f>
        <v>0</v>
      </c>
    </row>
    <row r="12" customFormat="false" ht="14.25" hidden="false" customHeight="true" outlineLevel="0" collapsed="false">
      <c r="A12" s="61" t="n">
        <v>1852</v>
      </c>
      <c r="B12" s="49" t="n">
        <f aca="false">B11+'Navy plan'!B12-IF($A12-Levers!$C$191&gt;=1846,INDEX('Navy plan'!B$6:B$92,$A12-1845-Levers!$C$191),0)</f>
        <v>0</v>
      </c>
      <c r="C12" s="49" t="n">
        <f aca="false">C11+'Navy plan'!C12-IF($A12-Levers!$D$191&gt;=1846,INDEX('Navy plan'!C$6:C$92,$A12-1845-Levers!$D$191),0)</f>
        <v>1</v>
      </c>
      <c r="D12" s="49" t="n">
        <f aca="false">D11+'Navy plan'!D12-IF($A12-Levers!$E$191&gt;=1846,INDEX('Navy plan'!D$6:D$92,$A12-1845-Levers!$E$191),0)</f>
        <v>0</v>
      </c>
      <c r="E12" s="49" t="n">
        <f aca="false">E11+'Navy plan'!E12-IF($A12-Levers!$F$191&gt;=1846,INDEX('Navy plan'!E$6:E$92,$A12-1845-Levers!$F$191),0)</f>
        <v>0</v>
      </c>
      <c r="F12" s="49" t="n">
        <f aca="false">F11+'Navy plan'!F12-IF($A12-Levers!$G$191&gt;=1846,INDEX('Navy plan'!F$6:F$92,$A12-1845-Levers!$G$191),0)</f>
        <v>0</v>
      </c>
      <c r="G12" s="49" t="n">
        <f aca="false">G11+'Navy plan'!G12-IF($A12-Levers!$H$191&gt;=1846,INDEX('Navy plan'!G$6:G$92,$A12-1845-Levers!$H$191),0)</f>
        <v>0</v>
      </c>
      <c r="H12" s="49" t="n">
        <f aca="false">H11+'Navy plan'!H12-IF($A12-Levers!$I$191&gt;=1846,INDEX('Navy plan'!H$6:H$92,$A12-1845-Levers!$I$191),0)</f>
        <v>0</v>
      </c>
      <c r="I12" s="49" t="n">
        <f aca="false">I11+'Navy plan'!I12-IF($A12-Levers!$J$191&gt;=1846,INDEX('Navy plan'!I$6:I$92,$A12-1845-Levers!$J$191),0)</f>
        <v>0</v>
      </c>
      <c r="J12" s="49" t="n">
        <f aca="false">J11+'Navy plan'!J12-IF($A12-Levers!$K$191&gt;=1846,INDEX('Navy plan'!J$6:J$92,$A12-1845-Levers!$K$191),0)</f>
        <v>0</v>
      </c>
      <c r="K12" s="49" t="n">
        <f aca="false">SUM(B12:J12)</f>
        <v>1</v>
      </c>
      <c r="L12" s="56" t="n">
        <f aca="false">0.5*SUMPRODUCT('Navy plan'!B12:J12,'Navy plan'!K12:S12)+0.5*SUMPRODUCT('Navy plan'!B13:J13,'Navy plan'!K13:S13)</f>
        <v>0.21</v>
      </c>
      <c r="M12" s="49" t="n">
        <f aca="false">SUMPRODUCT(B12:J12,Levers!$C$192:$K$192)</f>
        <v>250</v>
      </c>
      <c r="N12" s="49" t="n">
        <f aca="false">SUMPRODUCT(B12:J12,Levers!$C$195:$K$195)</f>
        <v>250</v>
      </c>
      <c r="O12" s="49" t="n">
        <f aca="false">N12-M12</f>
        <v>0</v>
      </c>
      <c r="P12" s="56" t="n">
        <f aca="false">M12*sailor_pay*Economy!H12/1000000</f>
        <v>0.225</v>
      </c>
      <c r="Q12" s="56" t="n">
        <f aca="false">SUMPRODUCT(B12:J12,'Navy plan'!K12:S12)*maint_rate</f>
        <v>0.021</v>
      </c>
      <c r="R12" s="56" t="n">
        <f aca="false">SUMPRODUCT(B12:J12,Levers!$C$193:$K$193)*Economy!H12</f>
        <v>0.05</v>
      </c>
      <c r="S12" s="56" t="n">
        <f aca="false">SUMPRODUCT(B12:J12,Levers!$C$193:$K$193,Levers!$C$194:$K$194)*(1/oil_fuel-1)*Economy!H12</f>
        <v>0</v>
      </c>
      <c r="T12" s="56" t="n">
        <f aca="false">S12+O12*sailor_pay*Economy!H12/1000000</f>
        <v>0</v>
      </c>
      <c r="U12" s="56" t="n">
        <f aca="false">(P12+Q12+R12)*navy_overhead</f>
        <v>0.0444</v>
      </c>
      <c r="V12" s="56" t="n">
        <f aca="false">L12+P12+Q12+R12+U12</f>
        <v>0.5504</v>
      </c>
      <c r="W12" s="72" t="n">
        <f aca="false">Japan!I12</f>
        <v>0</v>
      </c>
      <c r="X12" s="56" t="n">
        <f aca="false">IF($A12&gt;=1927,V12+W12,0)</f>
        <v>0</v>
      </c>
      <c r="Y12" s="56" t="n">
        <f aca="false">IF($A12&gt;=1927,pac_quota*X12,V12)</f>
        <v>0.5504</v>
      </c>
      <c r="Z12" s="70" t="n">
        <f aca="false">SUMPRODUCT(B12:J12,Levers!$C$193:$K$193,Levers!$C$194:$K$194)/0.6</f>
        <v>0</v>
      </c>
      <c r="AA12" s="65" t="n">
        <f aca="false">H12</f>
        <v>0</v>
      </c>
      <c r="AB12" s="49" t="n">
        <f aca="false">AA12+'Navy plan'!T12</f>
        <v>0</v>
      </c>
      <c r="AC12" s="65" t="n">
        <f aca="false">'Navy plan'!U12</f>
        <v>0</v>
      </c>
      <c r="AD12" s="65" t="n">
        <f aca="false">'Navy plan'!V12</f>
        <v>0</v>
      </c>
      <c r="AE12" s="70" t="n">
        <f aca="false">IF(AC12&gt;0,AB12/AC12,0)</f>
        <v>0</v>
      </c>
    </row>
    <row r="13" customFormat="false" ht="14.25" hidden="false" customHeight="true" outlineLevel="0" collapsed="false">
      <c r="A13" s="61" t="n">
        <v>1853</v>
      </c>
      <c r="B13" s="49" t="n">
        <f aca="false">B12+'Navy plan'!B13-IF($A13-Levers!$C$191&gt;=1846,INDEX('Navy plan'!B$6:B$92,$A13-1845-Levers!$C$191),0)</f>
        <v>0</v>
      </c>
      <c r="C13" s="49" t="n">
        <f aca="false">C12+'Navy plan'!C13-IF($A13-Levers!$D$191&gt;=1846,INDEX('Navy plan'!C$6:C$92,$A13-1845-Levers!$D$191),0)</f>
        <v>1</v>
      </c>
      <c r="D13" s="49" t="n">
        <f aca="false">D12+'Navy plan'!D13-IF($A13-Levers!$E$191&gt;=1846,INDEX('Navy plan'!D$6:D$92,$A13-1845-Levers!$E$191),0)</f>
        <v>0</v>
      </c>
      <c r="E13" s="49" t="n">
        <f aca="false">E12+'Navy plan'!E13-IF($A13-Levers!$F$191&gt;=1846,INDEX('Navy plan'!E$6:E$92,$A13-1845-Levers!$F$191),0)</f>
        <v>0</v>
      </c>
      <c r="F13" s="49" t="n">
        <f aca="false">F12+'Navy plan'!F13-IF($A13-Levers!$G$191&gt;=1846,INDEX('Navy plan'!F$6:F$92,$A13-1845-Levers!$G$191),0)</f>
        <v>0</v>
      </c>
      <c r="G13" s="49" t="n">
        <f aca="false">G12+'Navy plan'!G13-IF($A13-Levers!$H$191&gt;=1846,INDEX('Navy plan'!G$6:G$92,$A13-1845-Levers!$H$191),0)</f>
        <v>0</v>
      </c>
      <c r="H13" s="49" t="n">
        <f aca="false">H12+'Navy plan'!H13-IF($A13-Levers!$I$191&gt;=1846,INDEX('Navy plan'!H$6:H$92,$A13-1845-Levers!$I$191),0)</f>
        <v>0</v>
      </c>
      <c r="I13" s="49" t="n">
        <f aca="false">I12+'Navy plan'!I13-IF($A13-Levers!$J$191&gt;=1846,INDEX('Navy plan'!I$6:I$92,$A13-1845-Levers!$J$191),0)</f>
        <v>0</v>
      </c>
      <c r="J13" s="49" t="n">
        <f aca="false">J12+'Navy plan'!J13-IF($A13-Levers!$K$191&gt;=1846,INDEX('Navy plan'!J$6:J$92,$A13-1845-Levers!$K$191),0)</f>
        <v>0</v>
      </c>
      <c r="K13" s="49" t="n">
        <f aca="false">SUM(B13:J13)</f>
        <v>1</v>
      </c>
      <c r="L13" s="56" t="n">
        <f aca="false">0.5*SUMPRODUCT('Navy plan'!B13:J13,'Navy plan'!K13:S13)+0.5*SUMPRODUCT('Navy plan'!B14:J14,'Navy plan'!K14:S14)</f>
        <v>0</v>
      </c>
      <c r="M13" s="49" t="n">
        <f aca="false">SUMPRODUCT(B13:J13,Levers!$C$192:$K$192)</f>
        <v>250</v>
      </c>
      <c r="N13" s="49" t="n">
        <f aca="false">SUMPRODUCT(B13:J13,Levers!$C$195:$K$195)</f>
        <v>250</v>
      </c>
      <c r="O13" s="49" t="n">
        <f aca="false">N13-M13</f>
        <v>0</v>
      </c>
      <c r="P13" s="56" t="n">
        <f aca="false">M13*sailor_pay*Economy!H13/1000000</f>
        <v>0.22275</v>
      </c>
      <c r="Q13" s="56" t="n">
        <f aca="false">SUMPRODUCT(B13:J13,'Navy plan'!K13:S13)*maint_rate</f>
        <v>0.0215</v>
      </c>
      <c r="R13" s="56" t="n">
        <f aca="false">SUMPRODUCT(B13:J13,Levers!$C$193:$K$193)*Economy!H13</f>
        <v>0.0495</v>
      </c>
      <c r="S13" s="56" t="n">
        <f aca="false">SUMPRODUCT(B13:J13,Levers!$C$193:$K$193,Levers!$C$194:$K$194)*(1/oil_fuel-1)*Economy!H13</f>
        <v>0</v>
      </c>
      <c r="T13" s="56" t="n">
        <f aca="false">S13+O13*sailor_pay*Economy!H13/1000000</f>
        <v>0</v>
      </c>
      <c r="U13" s="56" t="n">
        <f aca="false">(P13+Q13+R13)*navy_overhead</f>
        <v>0.0440625</v>
      </c>
      <c r="V13" s="56" t="n">
        <f aca="false">L13+P13+Q13+R13+U13</f>
        <v>0.3378125</v>
      </c>
      <c r="W13" s="72" t="n">
        <f aca="false">Japan!I13</f>
        <v>0</v>
      </c>
      <c r="X13" s="56" t="n">
        <f aca="false">IF($A13&gt;=1927,V13+W13,0)</f>
        <v>0</v>
      </c>
      <c r="Y13" s="56" t="n">
        <f aca="false">IF($A13&gt;=1927,pac_quota*X13,V13)</f>
        <v>0.3378125</v>
      </c>
      <c r="Z13" s="70" t="n">
        <f aca="false">SUMPRODUCT(B13:J13,Levers!$C$193:$K$193,Levers!$C$194:$K$194)/0.6</f>
        <v>0</v>
      </c>
      <c r="AA13" s="65" t="n">
        <f aca="false">H13</f>
        <v>0</v>
      </c>
      <c r="AB13" s="49" t="n">
        <f aca="false">AA13+'Navy plan'!T13</f>
        <v>0</v>
      </c>
      <c r="AC13" s="65" t="n">
        <f aca="false">'Navy plan'!U13</f>
        <v>0</v>
      </c>
      <c r="AD13" s="65" t="n">
        <f aca="false">'Navy plan'!V13</f>
        <v>0</v>
      </c>
      <c r="AE13" s="70" t="n">
        <f aca="false">IF(AC13&gt;0,AB13/AC13,0)</f>
        <v>0</v>
      </c>
    </row>
    <row r="14" customFormat="false" ht="14.25" hidden="false" customHeight="true" outlineLevel="0" collapsed="false">
      <c r="A14" s="61" t="n">
        <v>1854</v>
      </c>
      <c r="B14" s="49" t="n">
        <f aca="false">B13+'Navy plan'!B14-IF($A14-Levers!$C$191&gt;=1846,INDEX('Navy plan'!B$6:B$92,$A14-1845-Levers!$C$191),0)</f>
        <v>0</v>
      </c>
      <c r="C14" s="49" t="n">
        <f aca="false">C13+'Navy plan'!C14-IF($A14-Levers!$D$191&gt;=1846,INDEX('Navy plan'!C$6:C$92,$A14-1845-Levers!$D$191),0)</f>
        <v>1</v>
      </c>
      <c r="D14" s="49" t="n">
        <f aca="false">D13+'Navy plan'!D14-IF($A14-Levers!$E$191&gt;=1846,INDEX('Navy plan'!D$6:D$92,$A14-1845-Levers!$E$191),0)</f>
        <v>0</v>
      </c>
      <c r="E14" s="49" t="n">
        <f aca="false">E13+'Navy plan'!E14-IF($A14-Levers!$F$191&gt;=1846,INDEX('Navy plan'!E$6:E$92,$A14-1845-Levers!$F$191),0)</f>
        <v>0</v>
      </c>
      <c r="F14" s="49" t="n">
        <f aca="false">F13+'Navy plan'!F14-IF($A14-Levers!$G$191&gt;=1846,INDEX('Navy plan'!F$6:F$92,$A14-1845-Levers!$G$191),0)</f>
        <v>0</v>
      </c>
      <c r="G14" s="49" t="n">
        <f aca="false">G13+'Navy plan'!G14-IF($A14-Levers!$H$191&gt;=1846,INDEX('Navy plan'!G$6:G$92,$A14-1845-Levers!$H$191),0)</f>
        <v>0</v>
      </c>
      <c r="H14" s="49" t="n">
        <f aca="false">H13+'Navy plan'!H14-IF($A14-Levers!$I$191&gt;=1846,INDEX('Navy plan'!H$6:H$92,$A14-1845-Levers!$I$191),0)</f>
        <v>0</v>
      </c>
      <c r="I14" s="49" t="n">
        <f aca="false">I13+'Navy plan'!I14-IF($A14-Levers!$J$191&gt;=1846,INDEX('Navy plan'!I$6:I$92,$A14-1845-Levers!$J$191),0)</f>
        <v>0</v>
      </c>
      <c r="J14" s="49" t="n">
        <f aca="false">J13+'Navy plan'!J14-IF($A14-Levers!$K$191&gt;=1846,INDEX('Navy plan'!J$6:J$92,$A14-1845-Levers!$K$191),0)</f>
        <v>0</v>
      </c>
      <c r="K14" s="49" t="n">
        <f aca="false">SUM(B14:J14)</f>
        <v>1</v>
      </c>
      <c r="L14" s="56" t="n">
        <f aca="false">0.5*SUMPRODUCT('Navy plan'!B14:J14,'Navy plan'!K14:S14)+0.5*SUMPRODUCT('Navy plan'!B15:J15,'Navy plan'!K15:S15)</f>
        <v>0.225</v>
      </c>
      <c r="M14" s="49" t="n">
        <f aca="false">SUMPRODUCT(B14:J14,Levers!$C$192:$K$192)</f>
        <v>250</v>
      </c>
      <c r="N14" s="49" t="n">
        <f aca="false">SUMPRODUCT(B14:J14,Levers!$C$195:$K$195)</f>
        <v>250</v>
      </c>
      <c r="O14" s="49" t="n">
        <f aca="false">N14-M14</f>
        <v>0</v>
      </c>
      <c r="P14" s="56" t="n">
        <f aca="false">M14*sailor_pay*Economy!H14/1000000</f>
        <v>0.21825</v>
      </c>
      <c r="Q14" s="56" t="n">
        <f aca="false">SUMPRODUCT(B14:J14,'Navy plan'!K14:S14)*maint_rate</f>
        <v>0.022</v>
      </c>
      <c r="R14" s="56" t="n">
        <f aca="false">SUMPRODUCT(B14:J14,Levers!$C$193:$K$193)*Economy!H14</f>
        <v>0.0485</v>
      </c>
      <c r="S14" s="56" t="n">
        <f aca="false">SUMPRODUCT(B14:J14,Levers!$C$193:$K$193,Levers!$C$194:$K$194)*(1/oil_fuel-1)*Economy!H14</f>
        <v>0</v>
      </c>
      <c r="T14" s="56" t="n">
        <f aca="false">S14+O14*sailor_pay*Economy!H14/1000000</f>
        <v>0</v>
      </c>
      <c r="U14" s="56" t="n">
        <f aca="false">(P14+Q14+R14)*navy_overhead</f>
        <v>0.0433125</v>
      </c>
      <c r="V14" s="56" t="n">
        <f aca="false">L14+P14+Q14+R14+U14</f>
        <v>0.5570625</v>
      </c>
      <c r="W14" s="72" t="n">
        <f aca="false">Japan!I14</f>
        <v>0</v>
      </c>
      <c r="X14" s="56" t="n">
        <f aca="false">IF($A14&gt;=1927,V14+W14,0)</f>
        <v>0</v>
      </c>
      <c r="Y14" s="56" t="n">
        <f aca="false">IF($A14&gt;=1927,pac_quota*X14,V14)</f>
        <v>0.5570625</v>
      </c>
      <c r="Z14" s="70" t="n">
        <f aca="false">SUMPRODUCT(B14:J14,Levers!$C$193:$K$193,Levers!$C$194:$K$194)/0.6</f>
        <v>0</v>
      </c>
      <c r="AA14" s="65" t="n">
        <f aca="false">H14</f>
        <v>0</v>
      </c>
      <c r="AB14" s="49" t="n">
        <f aca="false">AA14+'Navy plan'!T14</f>
        <v>0</v>
      </c>
      <c r="AC14" s="65" t="n">
        <f aca="false">'Navy plan'!U14</f>
        <v>0</v>
      </c>
      <c r="AD14" s="65" t="n">
        <f aca="false">'Navy plan'!V14</f>
        <v>0</v>
      </c>
      <c r="AE14" s="70" t="n">
        <f aca="false">IF(AC14&gt;0,AB14/AC14,0)</f>
        <v>0</v>
      </c>
    </row>
    <row r="15" customFormat="false" ht="14.25" hidden="false" customHeight="true" outlineLevel="0" collapsed="false">
      <c r="A15" s="61" t="n">
        <v>1855</v>
      </c>
      <c r="B15" s="49" t="n">
        <f aca="false">B14+'Navy plan'!B15-IF($A15-Levers!$C$191&gt;=1846,INDEX('Navy plan'!B$6:B$92,$A15-1845-Levers!$C$191),0)</f>
        <v>0</v>
      </c>
      <c r="C15" s="49" t="n">
        <f aca="false">C14+'Navy plan'!C15-IF($A15-Levers!$D$191&gt;=1846,INDEX('Navy plan'!C$6:C$92,$A15-1845-Levers!$D$191),0)</f>
        <v>2</v>
      </c>
      <c r="D15" s="49" t="n">
        <f aca="false">D14+'Navy plan'!D15-IF($A15-Levers!$E$191&gt;=1846,INDEX('Navy plan'!D$6:D$92,$A15-1845-Levers!$E$191),0)</f>
        <v>0</v>
      </c>
      <c r="E15" s="49" t="n">
        <f aca="false">E14+'Navy plan'!E15-IF($A15-Levers!$F$191&gt;=1846,INDEX('Navy plan'!E$6:E$92,$A15-1845-Levers!$F$191),0)</f>
        <v>0</v>
      </c>
      <c r="F15" s="49" t="n">
        <f aca="false">F14+'Navy plan'!F15-IF($A15-Levers!$G$191&gt;=1846,INDEX('Navy plan'!F$6:F$92,$A15-1845-Levers!$G$191),0)</f>
        <v>0</v>
      </c>
      <c r="G15" s="49" t="n">
        <f aca="false">G14+'Navy plan'!G15-IF($A15-Levers!$H$191&gt;=1846,INDEX('Navy plan'!G$6:G$92,$A15-1845-Levers!$H$191),0)</f>
        <v>0</v>
      </c>
      <c r="H15" s="49" t="n">
        <f aca="false">H14+'Navy plan'!H15-IF($A15-Levers!$I$191&gt;=1846,INDEX('Navy plan'!H$6:H$92,$A15-1845-Levers!$I$191),0)</f>
        <v>0</v>
      </c>
      <c r="I15" s="49" t="n">
        <f aca="false">I14+'Navy plan'!I15-IF($A15-Levers!$J$191&gt;=1846,INDEX('Navy plan'!I$6:I$92,$A15-1845-Levers!$J$191),0)</f>
        <v>0</v>
      </c>
      <c r="J15" s="49" t="n">
        <f aca="false">J14+'Navy plan'!J15-IF($A15-Levers!$K$191&gt;=1846,INDEX('Navy plan'!J$6:J$92,$A15-1845-Levers!$K$191),0)</f>
        <v>0</v>
      </c>
      <c r="K15" s="49" t="n">
        <f aca="false">SUM(B15:J15)</f>
        <v>2</v>
      </c>
      <c r="L15" s="56" t="n">
        <f aca="false">0.5*SUMPRODUCT('Navy plan'!B15:J15,'Navy plan'!K15:S15)+0.5*SUMPRODUCT('Navy plan'!B16:J16,'Navy plan'!K16:S16)</f>
        <v>0.225</v>
      </c>
      <c r="M15" s="49" t="n">
        <f aca="false">SUMPRODUCT(B15:J15,Levers!$C$192:$K$192)</f>
        <v>500</v>
      </c>
      <c r="N15" s="49" t="n">
        <f aca="false">SUMPRODUCT(B15:J15,Levers!$C$195:$K$195)</f>
        <v>500</v>
      </c>
      <c r="O15" s="49" t="n">
        <f aca="false">N15-M15</f>
        <v>0</v>
      </c>
      <c r="P15" s="56" t="n">
        <f aca="false">M15*sailor_pay*Economy!H15/1000000</f>
        <v>0.4275</v>
      </c>
      <c r="Q15" s="56" t="n">
        <f aca="false">SUMPRODUCT(B15:J15,'Navy plan'!K15:S15)*maint_rate</f>
        <v>0.045</v>
      </c>
      <c r="R15" s="56" t="n">
        <f aca="false">SUMPRODUCT(B15:J15,Levers!$C$193:$K$193)*Economy!H15</f>
        <v>0.095</v>
      </c>
      <c r="S15" s="56" t="n">
        <f aca="false">SUMPRODUCT(B15:J15,Levers!$C$193:$K$193,Levers!$C$194:$K$194)*(1/oil_fuel-1)*Economy!H15</f>
        <v>0</v>
      </c>
      <c r="T15" s="56" t="n">
        <f aca="false">S15+O15*sailor_pay*Economy!H15/1000000</f>
        <v>0</v>
      </c>
      <c r="U15" s="56" t="n">
        <f aca="false">(P15+Q15+R15)*navy_overhead</f>
        <v>0.085125</v>
      </c>
      <c r="V15" s="56" t="n">
        <f aca="false">L15+P15+Q15+R15+U15</f>
        <v>0.877625</v>
      </c>
      <c r="W15" s="72" t="n">
        <f aca="false">Japan!I15</f>
        <v>0</v>
      </c>
      <c r="X15" s="56" t="n">
        <f aca="false">IF($A15&gt;=1927,V15+W15,0)</f>
        <v>0</v>
      </c>
      <c r="Y15" s="56" t="n">
        <f aca="false">IF($A15&gt;=1927,pac_quota*X15,V15)</f>
        <v>0.877625</v>
      </c>
      <c r="Z15" s="70" t="n">
        <f aca="false">SUMPRODUCT(B15:J15,Levers!$C$193:$K$193,Levers!$C$194:$K$194)/0.6</f>
        <v>0</v>
      </c>
      <c r="AA15" s="65" t="n">
        <f aca="false">H15</f>
        <v>0</v>
      </c>
      <c r="AB15" s="49" t="n">
        <f aca="false">AA15+'Navy plan'!T15</f>
        <v>0</v>
      </c>
      <c r="AC15" s="65" t="n">
        <f aca="false">'Navy plan'!U15</f>
        <v>0</v>
      </c>
      <c r="AD15" s="65" t="n">
        <f aca="false">'Navy plan'!V15</f>
        <v>0</v>
      </c>
      <c r="AE15" s="70" t="n">
        <f aca="false">IF(AC15&gt;0,AB15/AC15,0)</f>
        <v>0</v>
      </c>
    </row>
    <row r="16" customFormat="false" ht="14.25" hidden="false" customHeight="true" outlineLevel="0" collapsed="false">
      <c r="A16" s="61" t="n">
        <v>1856</v>
      </c>
      <c r="B16" s="49" t="n">
        <f aca="false">B15+'Navy plan'!B16-IF($A16-Levers!$C$191&gt;=1846,INDEX('Navy plan'!B$6:B$92,$A16-1845-Levers!$C$191),0)</f>
        <v>0</v>
      </c>
      <c r="C16" s="49" t="n">
        <f aca="false">C15+'Navy plan'!C16-IF($A16-Levers!$D$191&gt;=1846,INDEX('Navy plan'!C$6:C$92,$A16-1845-Levers!$D$191),0)</f>
        <v>2</v>
      </c>
      <c r="D16" s="49" t="n">
        <f aca="false">D15+'Navy plan'!D16-IF($A16-Levers!$E$191&gt;=1846,INDEX('Navy plan'!D$6:D$92,$A16-1845-Levers!$E$191),0)</f>
        <v>0</v>
      </c>
      <c r="E16" s="49" t="n">
        <f aca="false">E15+'Navy plan'!E16-IF($A16-Levers!$F$191&gt;=1846,INDEX('Navy plan'!E$6:E$92,$A16-1845-Levers!$F$191),0)</f>
        <v>0</v>
      </c>
      <c r="F16" s="49" t="n">
        <f aca="false">F15+'Navy plan'!F16-IF($A16-Levers!$G$191&gt;=1846,INDEX('Navy plan'!F$6:F$92,$A16-1845-Levers!$G$191),0)</f>
        <v>0</v>
      </c>
      <c r="G16" s="49" t="n">
        <f aca="false">G15+'Navy plan'!G16-IF($A16-Levers!$H$191&gt;=1846,INDEX('Navy plan'!G$6:G$92,$A16-1845-Levers!$H$191),0)</f>
        <v>0</v>
      </c>
      <c r="H16" s="49" t="n">
        <f aca="false">H15+'Navy plan'!H16-IF($A16-Levers!$I$191&gt;=1846,INDEX('Navy plan'!H$6:H$92,$A16-1845-Levers!$I$191),0)</f>
        <v>0</v>
      </c>
      <c r="I16" s="49" t="n">
        <f aca="false">I15+'Navy plan'!I16-IF($A16-Levers!$J$191&gt;=1846,INDEX('Navy plan'!I$6:I$92,$A16-1845-Levers!$J$191),0)</f>
        <v>0</v>
      </c>
      <c r="J16" s="49" t="n">
        <f aca="false">J15+'Navy plan'!J16-IF($A16-Levers!$K$191&gt;=1846,INDEX('Navy plan'!J$6:J$92,$A16-1845-Levers!$K$191),0)</f>
        <v>0</v>
      </c>
      <c r="K16" s="49" t="n">
        <f aca="false">SUM(B16:J16)</f>
        <v>2</v>
      </c>
      <c r="L16" s="56" t="n">
        <f aca="false">0.5*SUMPRODUCT('Navy plan'!B16:J16,'Navy plan'!K16:S16)+0.5*SUMPRODUCT('Navy plan'!B17:J17,'Navy plan'!K17:S17)</f>
        <v>0</v>
      </c>
      <c r="M16" s="49" t="n">
        <f aca="false">SUMPRODUCT(B16:J16,Levers!$C$192:$K$192)</f>
        <v>500</v>
      </c>
      <c r="N16" s="49" t="n">
        <f aca="false">SUMPRODUCT(B16:J16,Levers!$C$195:$K$195)</f>
        <v>500</v>
      </c>
      <c r="O16" s="49" t="n">
        <f aca="false">N16-M16</f>
        <v>0</v>
      </c>
      <c r="P16" s="56" t="n">
        <f aca="false">M16*sailor_pay*Economy!H16/1000000</f>
        <v>0.42075</v>
      </c>
      <c r="Q16" s="56" t="n">
        <f aca="false">SUMPRODUCT(B16:J16,'Navy plan'!K16:S16)*maint_rate</f>
        <v>0.046</v>
      </c>
      <c r="R16" s="56" t="n">
        <f aca="false">SUMPRODUCT(B16:J16,Levers!$C$193:$K$193)*Economy!H16</f>
        <v>0.0935</v>
      </c>
      <c r="S16" s="56" t="n">
        <f aca="false">SUMPRODUCT(B16:J16,Levers!$C$193:$K$193,Levers!$C$194:$K$194)*(1/oil_fuel-1)*Economy!H16</f>
        <v>0</v>
      </c>
      <c r="T16" s="56" t="n">
        <f aca="false">S16+O16*sailor_pay*Economy!H16/1000000</f>
        <v>0</v>
      </c>
      <c r="U16" s="56" t="n">
        <f aca="false">(P16+Q16+R16)*navy_overhead</f>
        <v>0.0840375</v>
      </c>
      <c r="V16" s="56" t="n">
        <f aca="false">L16+P16+Q16+R16+U16</f>
        <v>0.6442875</v>
      </c>
      <c r="W16" s="72" t="n">
        <f aca="false">Japan!I16</f>
        <v>0</v>
      </c>
      <c r="X16" s="56" t="n">
        <f aca="false">IF($A16&gt;=1927,V16+W16,0)</f>
        <v>0</v>
      </c>
      <c r="Y16" s="56" t="n">
        <f aca="false">IF($A16&gt;=1927,pac_quota*X16,V16)</f>
        <v>0.6442875</v>
      </c>
      <c r="Z16" s="70" t="n">
        <f aca="false">SUMPRODUCT(B16:J16,Levers!$C$193:$K$193,Levers!$C$194:$K$194)/0.6</f>
        <v>0</v>
      </c>
      <c r="AA16" s="65" t="n">
        <f aca="false">H16</f>
        <v>0</v>
      </c>
      <c r="AB16" s="49" t="n">
        <f aca="false">AA16+'Navy plan'!T16</f>
        <v>0</v>
      </c>
      <c r="AC16" s="65" t="n">
        <f aca="false">'Navy plan'!U16</f>
        <v>0</v>
      </c>
      <c r="AD16" s="65" t="n">
        <f aca="false">'Navy plan'!V16</f>
        <v>0</v>
      </c>
      <c r="AE16" s="70" t="n">
        <f aca="false">IF(AC16&gt;0,AB16/AC16,0)</f>
        <v>0</v>
      </c>
    </row>
    <row r="17" customFormat="false" ht="14.25" hidden="false" customHeight="true" outlineLevel="0" collapsed="false">
      <c r="A17" s="61" t="n">
        <v>1857</v>
      </c>
      <c r="B17" s="49" t="n">
        <f aca="false">B16+'Navy plan'!B17-IF($A17-Levers!$C$191&gt;=1846,INDEX('Navy plan'!B$6:B$92,$A17-1845-Levers!$C$191),0)</f>
        <v>0</v>
      </c>
      <c r="C17" s="49" t="n">
        <f aca="false">C16+'Navy plan'!C17-IF($A17-Levers!$D$191&gt;=1846,INDEX('Navy plan'!C$6:C$92,$A17-1845-Levers!$D$191),0)</f>
        <v>2</v>
      </c>
      <c r="D17" s="49" t="n">
        <f aca="false">D16+'Navy plan'!D17-IF($A17-Levers!$E$191&gt;=1846,INDEX('Navy plan'!D$6:D$92,$A17-1845-Levers!$E$191),0)</f>
        <v>0</v>
      </c>
      <c r="E17" s="49" t="n">
        <f aca="false">E16+'Navy plan'!E17-IF($A17-Levers!$F$191&gt;=1846,INDEX('Navy plan'!E$6:E$92,$A17-1845-Levers!$F$191),0)</f>
        <v>0</v>
      </c>
      <c r="F17" s="49" t="n">
        <f aca="false">F16+'Navy plan'!F17-IF($A17-Levers!$G$191&gt;=1846,INDEX('Navy plan'!F$6:F$92,$A17-1845-Levers!$G$191),0)</f>
        <v>0</v>
      </c>
      <c r="G17" s="49" t="n">
        <f aca="false">G16+'Navy plan'!G17-IF($A17-Levers!$H$191&gt;=1846,INDEX('Navy plan'!G$6:G$92,$A17-1845-Levers!$H$191),0)</f>
        <v>0</v>
      </c>
      <c r="H17" s="49" t="n">
        <f aca="false">H16+'Navy plan'!H17-IF($A17-Levers!$I$191&gt;=1846,INDEX('Navy plan'!H$6:H$92,$A17-1845-Levers!$I$191),0)</f>
        <v>0</v>
      </c>
      <c r="I17" s="49" t="n">
        <f aca="false">I16+'Navy plan'!I17-IF($A17-Levers!$J$191&gt;=1846,INDEX('Navy plan'!I$6:I$92,$A17-1845-Levers!$J$191),0)</f>
        <v>0</v>
      </c>
      <c r="J17" s="49" t="n">
        <f aca="false">J16+'Navy plan'!J17-IF($A17-Levers!$K$191&gt;=1846,INDEX('Navy plan'!J$6:J$92,$A17-1845-Levers!$K$191),0)</f>
        <v>0</v>
      </c>
      <c r="K17" s="49" t="n">
        <f aca="false">SUM(B17:J17)</f>
        <v>2</v>
      </c>
      <c r="L17" s="56" t="n">
        <f aca="false">0.5*SUMPRODUCT('Navy plan'!B17:J17,'Navy plan'!K17:S17)+0.5*SUMPRODUCT('Navy plan'!B18:J18,'Navy plan'!K18:S18)</f>
        <v>0.24</v>
      </c>
      <c r="M17" s="49" t="n">
        <f aca="false">SUMPRODUCT(B17:J17,Levers!$C$192:$K$192)</f>
        <v>500</v>
      </c>
      <c r="N17" s="49" t="n">
        <f aca="false">SUMPRODUCT(B17:J17,Levers!$C$195:$K$195)</f>
        <v>500</v>
      </c>
      <c r="O17" s="49" t="n">
        <f aca="false">N17-M17</f>
        <v>0</v>
      </c>
      <c r="P17" s="56" t="n">
        <f aca="false">M17*sailor_pay*Economy!H17/1000000</f>
        <v>0.414</v>
      </c>
      <c r="Q17" s="56" t="n">
        <f aca="false">SUMPRODUCT(B17:J17,'Navy plan'!K17:S17)*maint_rate</f>
        <v>0.047</v>
      </c>
      <c r="R17" s="56" t="n">
        <f aca="false">SUMPRODUCT(B17:J17,Levers!$C$193:$K$193)*Economy!H17</f>
        <v>0.092</v>
      </c>
      <c r="S17" s="56" t="n">
        <f aca="false">SUMPRODUCT(B17:J17,Levers!$C$193:$K$193,Levers!$C$194:$K$194)*(1/oil_fuel-1)*Economy!H17</f>
        <v>0</v>
      </c>
      <c r="T17" s="56" t="n">
        <f aca="false">S17+O17*sailor_pay*Economy!H17/1000000</f>
        <v>0</v>
      </c>
      <c r="U17" s="56" t="n">
        <f aca="false">(P17+Q17+R17)*navy_overhead</f>
        <v>0.08295</v>
      </c>
      <c r="V17" s="56" t="n">
        <f aca="false">L17+P17+Q17+R17+U17</f>
        <v>0.87595</v>
      </c>
      <c r="W17" s="72" t="n">
        <f aca="false">Japan!I17</f>
        <v>0</v>
      </c>
      <c r="X17" s="56" t="n">
        <f aca="false">IF($A17&gt;=1927,V17+W17,0)</f>
        <v>0</v>
      </c>
      <c r="Y17" s="56" t="n">
        <f aca="false">IF($A17&gt;=1927,pac_quota*X17,V17)</f>
        <v>0.87595</v>
      </c>
      <c r="Z17" s="70" t="n">
        <f aca="false">SUMPRODUCT(B17:J17,Levers!$C$193:$K$193,Levers!$C$194:$K$194)/0.6</f>
        <v>0</v>
      </c>
      <c r="AA17" s="65" t="n">
        <f aca="false">H17</f>
        <v>0</v>
      </c>
      <c r="AB17" s="49" t="n">
        <f aca="false">AA17+'Navy plan'!T17</f>
        <v>0</v>
      </c>
      <c r="AC17" s="65" t="n">
        <f aca="false">'Navy plan'!U17</f>
        <v>0</v>
      </c>
      <c r="AD17" s="65" t="n">
        <f aca="false">'Navy plan'!V17</f>
        <v>0</v>
      </c>
      <c r="AE17" s="70" t="n">
        <f aca="false">IF(AC17&gt;0,AB17/AC17,0)</f>
        <v>0</v>
      </c>
    </row>
    <row r="18" customFormat="false" ht="14.25" hidden="false" customHeight="true" outlineLevel="0" collapsed="false">
      <c r="A18" s="61" t="n">
        <v>1858</v>
      </c>
      <c r="B18" s="49" t="n">
        <f aca="false">B17+'Navy plan'!B18-IF($A18-Levers!$C$191&gt;=1846,INDEX('Navy plan'!B$6:B$92,$A18-1845-Levers!$C$191),0)</f>
        <v>0</v>
      </c>
      <c r="C18" s="49" t="n">
        <f aca="false">C17+'Navy plan'!C18-IF($A18-Levers!$D$191&gt;=1846,INDEX('Navy plan'!C$6:C$92,$A18-1845-Levers!$D$191),0)</f>
        <v>3</v>
      </c>
      <c r="D18" s="49" t="n">
        <f aca="false">D17+'Navy plan'!D18-IF($A18-Levers!$E$191&gt;=1846,INDEX('Navy plan'!D$6:D$92,$A18-1845-Levers!$E$191),0)</f>
        <v>0</v>
      </c>
      <c r="E18" s="49" t="n">
        <f aca="false">E17+'Navy plan'!E18-IF($A18-Levers!$F$191&gt;=1846,INDEX('Navy plan'!E$6:E$92,$A18-1845-Levers!$F$191),0)</f>
        <v>0</v>
      </c>
      <c r="F18" s="49" t="n">
        <f aca="false">F17+'Navy plan'!F18-IF($A18-Levers!$G$191&gt;=1846,INDEX('Navy plan'!F$6:F$92,$A18-1845-Levers!$G$191),0)</f>
        <v>0</v>
      </c>
      <c r="G18" s="49" t="n">
        <f aca="false">G17+'Navy plan'!G18-IF($A18-Levers!$H$191&gt;=1846,INDEX('Navy plan'!G$6:G$92,$A18-1845-Levers!$H$191),0)</f>
        <v>0</v>
      </c>
      <c r="H18" s="49" t="n">
        <f aca="false">H17+'Navy plan'!H18-IF($A18-Levers!$I$191&gt;=1846,INDEX('Navy plan'!H$6:H$92,$A18-1845-Levers!$I$191),0)</f>
        <v>0</v>
      </c>
      <c r="I18" s="49" t="n">
        <f aca="false">I17+'Navy plan'!I18-IF($A18-Levers!$J$191&gt;=1846,INDEX('Navy plan'!I$6:I$92,$A18-1845-Levers!$J$191),0)</f>
        <v>0</v>
      </c>
      <c r="J18" s="49" t="n">
        <f aca="false">J17+'Navy plan'!J18-IF($A18-Levers!$K$191&gt;=1846,INDEX('Navy plan'!J$6:J$92,$A18-1845-Levers!$K$191),0)</f>
        <v>0</v>
      </c>
      <c r="K18" s="49" t="n">
        <f aca="false">SUM(B18:J18)</f>
        <v>3</v>
      </c>
      <c r="L18" s="56" t="n">
        <f aca="false">0.5*SUMPRODUCT('Navy plan'!B18:J18,'Navy plan'!K18:S18)+0.5*SUMPRODUCT('Navy plan'!B19:J19,'Navy plan'!K19:S19)</f>
        <v>0.24</v>
      </c>
      <c r="M18" s="49" t="n">
        <f aca="false">SUMPRODUCT(B18:J18,Levers!$C$192:$K$192)</f>
        <v>750</v>
      </c>
      <c r="N18" s="49" t="n">
        <f aca="false">SUMPRODUCT(B18:J18,Levers!$C$195:$K$195)</f>
        <v>750</v>
      </c>
      <c r="O18" s="49" t="n">
        <f aca="false">N18-M18</f>
        <v>0</v>
      </c>
      <c r="P18" s="56" t="n">
        <f aca="false">M18*sailor_pay*Economy!H18/1000000</f>
        <v>0.6120225</v>
      </c>
      <c r="Q18" s="56" t="n">
        <f aca="false">SUMPRODUCT(B18:J18,'Navy plan'!K18:S18)*maint_rate</f>
        <v>0.072</v>
      </c>
      <c r="R18" s="56" t="n">
        <f aca="false">SUMPRODUCT(B18:J18,Levers!$C$193:$K$193)*Economy!H18</f>
        <v>0.136005</v>
      </c>
      <c r="S18" s="56" t="n">
        <f aca="false">SUMPRODUCT(B18:J18,Levers!$C$193:$K$193,Levers!$C$194:$K$194)*(1/oil_fuel-1)*Economy!H18</f>
        <v>0</v>
      </c>
      <c r="T18" s="56" t="n">
        <f aca="false">S18+O18*sailor_pay*Economy!H18/1000000</f>
        <v>0</v>
      </c>
      <c r="U18" s="56" t="n">
        <f aca="false">(P18+Q18+R18)*navy_overhead</f>
        <v>0.123004125</v>
      </c>
      <c r="V18" s="56" t="n">
        <f aca="false">L18+P18+Q18+R18+U18</f>
        <v>1.183031625</v>
      </c>
      <c r="W18" s="72" t="n">
        <f aca="false">Japan!I18</f>
        <v>0</v>
      </c>
      <c r="X18" s="56" t="n">
        <f aca="false">IF($A18&gt;=1927,V18+W18,0)</f>
        <v>0</v>
      </c>
      <c r="Y18" s="56" t="n">
        <f aca="false">IF($A18&gt;=1927,pac_quota*X18,V18)</f>
        <v>1.183031625</v>
      </c>
      <c r="Z18" s="70" t="n">
        <f aca="false">SUMPRODUCT(B18:J18,Levers!$C$193:$K$193,Levers!$C$194:$K$194)/0.6</f>
        <v>0</v>
      </c>
      <c r="AA18" s="65" t="n">
        <f aca="false">H18</f>
        <v>0</v>
      </c>
      <c r="AB18" s="49" t="n">
        <f aca="false">AA18+'Navy plan'!T18</f>
        <v>0</v>
      </c>
      <c r="AC18" s="65" t="n">
        <f aca="false">'Navy plan'!U18</f>
        <v>0</v>
      </c>
      <c r="AD18" s="65" t="n">
        <f aca="false">'Navy plan'!V18</f>
        <v>0</v>
      </c>
      <c r="AE18" s="70" t="n">
        <f aca="false">IF(AC18&gt;0,AB18/AC18,0)</f>
        <v>0</v>
      </c>
    </row>
    <row r="19" customFormat="false" ht="14.25" hidden="false" customHeight="true" outlineLevel="0" collapsed="false">
      <c r="A19" s="61" t="n">
        <v>1859</v>
      </c>
      <c r="B19" s="49" t="n">
        <f aca="false">B18+'Navy plan'!B19-IF($A19-Levers!$C$191&gt;=1846,INDEX('Navy plan'!B$6:B$92,$A19-1845-Levers!$C$191),0)</f>
        <v>0</v>
      </c>
      <c r="C19" s="49" t="n">
        <f aca="false">C18+'Navy plan'!C19-IF($A19-Levers!$D$191&gt;=1846,INDEX('Navy plan'!C$6:C$92,$A19-1845-Levers!$D$191),0)</f>
        <v>3</v>
      </c>
      <c r="D19" s="49" t="n">
        <f aca="false">D18+'Navy plan'!D19-IF($A19-Levers!$E$191&gt;=1846,INDEX('Navy plan'!D$6:D$92,$A19-1845-Levers!$E$191),0)</f>
        <v>0</v>
      </c>
      <c r="E19" s="49" t="n">
        <f aca="false">E18+'Navy plan'!E19-IF($A19-Levers!$F$191&gt;=1846,INDEX('Navy plan'!E$6:E$92,$A19-1845-Levers!$F$191),0)</f>
        <v>0</v>
      </c>
      <c r="F19" s="49" t="n">
        <f aca="false">F18+'Navy plan'!F19-IF($A19-Levers!$G$191&gt;=1846,INDEX('Navy plan'!F$6:F$92,$A19-1845-Levers!$G$191),0)</f>
        <v>0</v>
      </c>
      <c r="G19" s="49" t="n">
        <f aca="false">G18+'Navy plan'!G19-IF($A19-Levers!$H$191&gt;=1846,INDEX('Navy plan'!G$6:G$92,$A19-1845-Levers!$H$191),0)</f>
        <v>0</v>
      </c>
      <c r="H19" s="49" t="n">
        <f aca="false">H18+'Navy plan'!H19-IF($A19-Levers!$I$191&gt;=1846,INDEX('Navy plan'!H$6:H$92,$A19-1845-Levers!$I$191),0)</f>
        <v>0</v>
      </c>
      <c r="I19" s="49" t="n">
        <f aca="false">I18+'Navy plan'!I19-IF($A19-Levers!$J$191&gt;=1846,INDEX('Navy plan'!I$6:I$92,$A19-1845-Levers!$J$191),0)</f>
        <v>0</v>
      </c>
      <c r="J19" s="49" t="n">
        <f aca="false">J18+'Navy plan'!J19-IF($A19-Levers!$K$191&gt;=1846,INDEX('Navy plan'!J$6:J$92,$A19-1845-Levers!$K$191),0)</f>
        <v>0</v>
      </c>
      <c r="K19" s="49" t="n">
        <f aca="false">SUM(B19:J19)</f>
        <v>3</v>
      </c>
      <c r="L19" s="56" t="n">
        <f aca="false">0.5*SUMPRODUCT('Navy plan'!B19:J19,'Navy plan'!K19:S19)+0.5*SUMPRODUCT('Navy plan'!B20:J20,'Navy plan'!K20:S20)</f>
        <v>0</v>
      </c>
      <c r="M19" s="49" t="n">
        <f aca="false">SUMPRODUCT(B19:J19,Levers!$C$192:$K$192)</f>
        <v>750</v>
      </c>
      <c r="N19" s="49" t="n">
        <f aca="false">SUMPRODUCT(B19:J19,Levers!$C$195:$K$195)</f>
        <v>750</v>
      </c>
      <c r="O19" s="49" t="n">
        <f aca="false">N19-M19</f>
        <v>0</v>
      </c>
      <c r="P19" s="56" t="n">
        <f aca="false">M19*sailor_pay*Economy!H19/1000000</f>
        <v>0.6029775</v>
      </c>
      <c r="Q19" s="56" t="n">
        <f aca="false">SUMPRODUCT(B19:J19,'Navy plan'!K19:S19)*maint_rate</f>
        <v>0.0735</v>
      </c>
      <c r="R19" s="56" t="n">
        <f aca="false">SUMPRODUCT(B19:J19,Levers!$C$193:$K$193)*Economy!H19</f>
        <v>0.133995</v>
      </c>
      <c r="S19" s="56" t="n">
        <f aca="false">SUMPRODUCT(B19:J19,Levers!$C$193:$K$193,Levers!$C$194:$K$194)*(1/oil_fuel-1)*Economy!H19</f>
        <v>0</v>
      </c>
      <c r="T19" s="56" t="n">
        <f aca="false">S19+O19*sailor_pay*Economy!H19/1000000</f>
        <v>0</v>
      </c>
      <c r="U19" s="56" t="n">
        <f aca="false">(P19+Q19+R19)*navy_overhead</f>
        <v>0.121570875</v>
      </c>
      <c r="V19" s="56" t="n">
        <f aca="false">L19+P19+Q19+R19+U19</f>
        <v>0.932043375</v>
      </c>
      <c r="W19" s="72" t="n">
        <f aca="false">Japan!I19</f>
        <v>0</v>
      </c>
      <c r="X19" s="56" t="n">
        <f aca="false">IF($A19&gt;=1927,V19+W19,0)</f>
        <v>0</v>
      </c>
      <c r="Y19" s="56" t="n">
        <f aca="false">IF($A19&gt;=1927,pac_quota*X19,V19)</f>
        <v>0.932043375</v>
      </c>
      <c r="Z19" s="70" t="n">
        <f aca="false">SUMPRODUCT(B19:J19,Levers!$C$193:$K$193,Levers!$C$194:$K$194)/0.6</f>
        <v>0</v>
      </c>
      <c r="AA19" s="65" t="n">
        <f aca="false">H19</f>
        <v>0</v>
      </c>
      <c r="AB19" s="49" t="n">
        <f aca="false">AA19+'Navy plan'!T19</f>
        <v>0</v>
      </c>
      <c r="AC19" s="65" t="n">
        <f aca="false">'Navy plan'!U19</f>
        <v>0</v>
      </c>
      <c r="AD19" s="65" t="n">
        <f aca="false">'Navy plan'!V19</f>
        <v>0</v>
      </c>
      <c r="AE19" s="70" t="n">
        <f aca="false">IF(AC19&gt;0,AB19/AC19,0)</f>
        <v>0</v>
      </c>
    </row>
    <row r="20" customFormat="false" ht="14.25" hidden="false" customHeight="true" outlineLevel="0" collapsed="false">
      <c r="A20" s="61" t="n">
        <v>1860</v>
      </c>
      <c r="B20" s="49" t="n">
        <f aca="false">B19+'Navy plan'!B20-IF($A20-Levers!$C$191&gt;=1846,INDEX('Navy plan'!B$6:B$92,$A20-1845-Levers!$C$191),0)</f>
        <v>0</v>
      </c>
      <c r="C20" s="49" t="n">
        <f aca="false">C19+'Navy plan'!C20-IF($A20-Levers!$D$191&gt;=1846,INDEX('Navy plan'!C$6:C$92,$A20-1845-Levers!$D$191),0)</f>
        <v>3</v>
      </c>
      <c r="D20" s="49" t="n">
        <f aca="false">D19+'Navy plan'!D20-IF($A20-Levers!$E$191&gt;=1846,INDEX('Navy plan'!D$6:D$92,$A20-1845-Levers!$E$191),0)</f>
        <v>0</v>
      </c>
      <c r="E20" s="49" t="n">
        <f aca="false">E19+'Navy plan'!E20-IF($A20-Levers!$F$191&gt;=1846,INDEX('Navy plan'!E$6:E$92,$A20-1845-Levers!$F$191),0)</f>
        <v>0</v>
      </c>
      <c r="F20" s="49" t="n">
        <f aca="false">F19+'Navy plan'!F20-IF($A20-Levers!$G$191&gt;=1846,INDEX('Navy plan'!F$6:F$92,$A20-1845-Levers!$G$191),0)</f>
        <v>0</v>
      </c>
      <c r="G20" s="49" t="n">
        <f aca="false">G19+'Navy plan'!G20-IF($A20-Levers!$H$191&gt;=1846,INDEX('Navy plan'!G$6:G$92,$A20-1845-Levers!$H$191),0)</f>
        <v>0</v>
      </c>
      <c r="H20" s="49" t="n">
        <f aca="false">H19+'Navy plan'!H20-IF($A20-Levers!$I$191&gt;=1846,INDEX('Navy plan'!H$6:H$92,$A20-1845-Levers!$I$191),0)</f>
        <v>0</v>
      </c>
      <c r="I20" s="49" t="n">
        <f aca="false">I19+'Navy plan'!I20-IF($A20-Levers!$J$191&gt;=1846,INDEX('Navy plan'!I$6:I$92,$A20-1845-Levers!$J$191),0)</f>
        <v>0</v>
      </c>
      <c r="J20" s="49" t="n">
        <f aca="false">J19+'Navy plan'!J20-IF($A20-Levers!$K$191&gt;=1846,INDEX('Navy plan'!J$6:J$92,$A20-1845-Levers!$K$191),0)</f>
        <v>0</v>
      </c>
      <c r="K20" s="49" t="n">
        <f aca="false">SUM(B20:J20)</f>
        <v>3</v>
      </c>
      <c r="L20" s="56" t="n">
        <f aca="false">0.5*SUMPRODUCT('Navy plan'!B20:J20,'Navy plan'!K20:S20)+0.5*SUMPRODUCT('Navy plan'!B21:J21,'Navy plan'!K21:S21)</f>
        <v>0.53</v>
      </c>
      <c r="M20" s="49" t="n">
        <f aca="false">SUMPRODUCT(B20:J20,Levers!$C$192:$K$192)</f>
        <v>750</v>
      </c>
      <c r="N20" s="49" t="n">
        <f aca="false">SUMPRODUCT(B20:J20,Levers!$C$195:$K$195)</f>
        <v>750</v>
      </c>
      <c r="O20" s="49" t="n">
        <f aca="false">N20-M20</f>
        <v>0</v>
      </c>
      <c r="P20" s="56" t="n">
        <f aca="false">M20*sailor_pay*Economy!H20/1000000</f>
        <v>0.594</v>
      </c>
      <c r="Q20" s="56" t="n">
        <f aca="false">SUMPRODUCT(B20:J20,'Navy plan'!K20:S20)*maint_rate</f>
        <v>0.075</v>
      </c>
      <c r="R20" s="56" t="n">
        <f aca="false">SUMPRODUCT(B20:J20,Levers!$C$193:$K$193)*Economy!H20</f>
        <v>0.132</v>
      </c>
      <c r="S20" s="56" t="n">
        <f aca="false">SUMPRODUCT(B20:J20,Levers!$C$193:$K$193,Levers!$C$194:$K$194)*(1/oil_fuel-1)*Economy!H20</f>
        <v>0</v>
      </c>
      <c r="T20" s="56" t="n">
        <f aca="false">S20+O20*sailor_pay*Economy!H20/1000000</f>
        <v>0</v>
      </c>
      <c r="U20" s="56" t="n">
        <f aca="false">(P20+Q20+R20)*navy_overhead</f>
        <v>0.12015</v>
      </c>
      <c r="V20" s="56" t="n">
        <f aca="false">L20+P20+Q20+R20+U20</f>
        <v>1.45115</v>
      </c>
      <c r="W20" s="72" t="n">
        <f aca="false">Japan!I20</f>
        <v>0</v>
      </c>
      <c r="X20" s="56" t="n">
        <f aca="false">IF($A20&gt;=1927,V20+W20,0)</f>
        <v>0</v>
      </c>
      <c r="Y20" s="56" t="n">
        <f aca="false">IF($A20&gt;=1927,pac_quota*X20,V20)</f>
        <v>1.45115</v>
      </c>
      <c r="Z20" s="70" t="n">
        <f aca="false">SUMPRODUCT(B20:J20,Levers!$C$193:$K$193,Levers!$C$194:$K$194)/0.6</f>
        <v>0</v>
      </c>
      <c r="AA20" s="65" t="n">
        <f aca="false">H20</f>
        <v>0</v>
      </c>
      <c r="AB20" s="49" t="n">
        <f aca="false">AA20+'Navy plan'!T20</f>
        <v>0</v>
      </c>
      <c r="AC20" s="65" t="n">
        <f aca="false">'Navy plan'!U20</f>
        <v>0</v>
      </c>
      <c r="AD20" s="65" t="n">
        <f aca="false">'Navy plan'!V20</f>
        <v>0</v>
      </c>
      <c r="AE20" s="70" t="n">
        <f aca="false">IF(AC20&gt;0,AB20/AC20,0)</f>
        <v>0</v>
      </c>
    </row>
    <row r="21" customFormat="false" ht="14.25" hidden="false" customHeight="true" outlineLevel="0" collapsed="false">
      <c r="A21" s="61" t="n">
        <v>1861</v>
      </c>
      <c r="B21" s="49" t="n">
        <f aca="false">B20+'Navy plan'!B21-IF($A21-Levers!$C$191&gt;=1846,INDEX('Navy plan'!B$6:B$92,$A21-1845-Levers!$C$191),0)</f>
        <v>0</v>
      </c>
      <c r="C21" s="49" t="n">
        <f aca="false">C20+'Navy plan'!C21-IF($A21-Levers!$D$191&gt;=1846,INDEX('Navy plan'!C$6:C$92,$A21-1845-Levers!$D$191),0)</f>
        <v>5</v>
      </c>
      <c r="D21" s="49" t="n">
        <f aca="false">D20+'Navy plan'!D21-IF($A21-Levers!$E$191&gt;=1846,INDEX('Navy plan'!D$6:D$92,$A21-1845-Levers!$E$191),0)</f>
        <v>0</v>
      </c>
      <c r="E21" s="49" t="n">
        <f aca="false">E20+'Navy plan'!E21-IF($A21-Levers!$F$191&gt;=1846,INDEX('Navy plan'!E$6:E$92,$A21-1845-Levers!$F$191),0)</f>
        <v>0</v>
      </c>
      <c r="F21" s="49" t="n">
        <f aca="false">F20+'Navy plan'!F21-IF($A21-Levers!$G$191&gt;=1846,INDEX('Navy plan'!F$6:F$92,$A21-1845-Levers!$G$191),0)</f>
        <v>0</v>
      </c>
      <c r="G21" s="49" t="n">
        <f aca="false">G20+'Navy plan'!G21-IF($A21-Levers!$H$191&gt;=1846,INDEX('Navy plan'!G$6:G$92,$A21-1845-Levers!$H$191),0)</f>
        <v>0</v>
      </c>
      <c r="H21" s="49" t="n">
        <f aca="false">H20+'Navy plan'!H21-IF($A21-Levers!$I$191&gt;=1846,INDEX('Navy plan'!H$6:H$92,$A21-1845-Levers!$I$191),0)</f>
        <v>0</v>
      </c>
      <c r="I21" s="49" t="n">
        <f aca="false">I20+'Navy plan'!I21-IF($A21-Levers!$J$191&gt;=1846,INDEX('Navy plan'!I$6:I$92,$A21-1845-Levers!$J$191),0)</f>
        <v>0</v>
      </c>
      <c r="J21" s="49" t="n">
        <f aca="false">J20+'Navy plan'!J21-IF($A21-Levers!$K$191&gt;=1846,INDEX('Navy plan'!J$6:J$92,$A21-1845-Levers!$K$191),0)</f>
        <v>0</v>
      </c>
      <c r="K21" s="49" t="n">
        <f aca="false">SUM(B21:J21)</f>
        <v>5</v>
      </c>
      <c r="L21" s="56" t="n">
        <f aca="false">0.5*SUMPRODUCT('Navy plan'!B21:J21,'Navy plan'!K21:S21)+0.5*SUMPRODUCT('Navy plan'!B22:J22,'Navy plan'!K22:S22)</f>
        <v>1.03</v>
      </c>
      <c r="M21" s="49" t="n">
        <f aca="false">SUMPRODUCT(B21:J21,Levers!$C$192:$K$192)</f>
        <v>1250</v>
      </c>
      <c r="N21" s="49" t="n">
        <f aca="false">SUMPRODUCT(B21:J21,Levers!$C$195:$K$195)</f>
        <v>1250</v>
      </c>
      <c r="O21" s="49" t="n">
        <f aca="false">N21-M21</f>
        <v>0</v>
      </c>
      <c r="P21" s="56" t="n">
        <f aca="false">M21*sailor_pay*Economy!H21/1000000</f>
        <v>0.99</v>
      </c>
      <c r="Q21" s="56" t="n">
        <f aca="false">SUMPRODUCT(B21:J21,'Navy plan'!K21:S21)*maint_rate</f>
        <v>0.1325</v>
      </c>
      <c r="R21" s="56" t="n">
        <f aca="false">SUMPRODUCT(B21:J21,Levers!$C$193:$K$193)*Economy!H21</f>
        <v>0.22</v>
      </c>
      <c r="S21" s="56" t="n">
        <f aca="false">SUMPRODUCT(B21:J21,Levers!$C$193:$K$193,Levers!$C$194:$K$194)*(1/oil_fuel-1)*Economy!H21</f>
        <v>0</v>
      </c>
      <c r="T21" s="56" t="n">
        <f aca="false">S21+O21*sailor_pay*Economy!H21/1000000</f>
        <v>0</v>
      </c>
      <c r="U21" s="56" t="n">
        <f aca="false">(P21+Q21+R21)*navy_overhead</f>
        <v>0.201375</v>
      </c>
      <c r="V21" s="56" t="n">
        <f aca="false">L21+P21+Q21+R21+U21</f>
        <v>2.573875</v>
      </c>
      <c r="W21" s="72" t="n">
        <f aca="false">Japan!I21</f>
        <v>0</v>
      </c>
      <c r="X21" s="56" t="n">
        <f aca="false">IF($A21&gt;=1927,V21+W21,0)</f>
        <v>0</v>
      </c>
      <c r="Y21" s="56" t="n">
        <f aca="false">IF($A21&gt;=1927,pac_quota*X21,V21)</f>
        <v>2.573875</v>
      </c>
      <c r="Z21" s="70" t="n">
        <f aca="false">SUMPRODUCT(B21:J21,Levers!$C$193:$K$193,Levers!$C$194:$K$194)/0.6</f>
        <v>0</v>
      </c>
      <c r="AA21" s="65" t="n">
        <f aca="false">H21</f>
        <v>0</v>
      </c>
      <c r="AB21" s="49" t="n">
        <f aca="false">AA21+'Navy plan'!T21</f>
        <v>0</v>
      </c>
      <c r="AC21" s="65" t="n">
        <f aca="false">'Navy plan'!U21</f>
        <v>0</v>
      </c>
      <c r="AD21" s="65" t="n">
        <f aca="false">'Navy plan'!V21</f>
        <v>0</v>
      </c>
      <c r="AE21" s="70" t="n">
        <f aca="false">IF(AC21&gt;0,AB21/AC21,0)</f>
        <v>0</v>
      </c>
    </row>
    <row r="22" customFormat="false" ht="14.25" hidden="false" customHeight="true" outlineLevel="0" collapsed="false">
      <c r="A22" s="61" t="n">
        <v>1862</v>
      </c>
      <c r="B22" s="49" t="n">
        <f aca="false">B21+'Navy plan'!B22-IF($A22-Levers!$C$191&gt;=1846,INDEX('Navy plan'!B$6:B$92,$A22-1845-Levers!$C$191),0)</f>
        <v>1</v>
      </c>
      <c r="C22" s="49" t="n">
        <f aca="false">C21+'Navy plan'!C22-IF($A22-Levers!$D$191&gt;=1846,INDEX('Navy plan'!C$6:C$92,$A22-1845-Levers!$D$191),0)</f>
        <v>5</v>
      </c>
      <c r="D22" s="49" t="n">
        <f aca="false">D21+'Navy plan'!D22-IF($A22-Levers!$E$191&gt;=1846,INDEX('Navy plan'!D$6:D$92,$A22-1845-Levers!$E$191),0)</f>
        <v>0</v>
      </c>
      <c r="E22" s="49" t="n">
        <f aca="false">E21+'Navy plan'!E22-IF($A22-Levers!$F$191&gt;=1846,INDEX('Navy plan'!E$6:E$92,$A22-1845-Levers!$F$191),0)</f>
        <v>0</v>
      </c>
      <c r="F22" s="49" t="n">
        <f aca="false">F21+'Navy plan'!F22-IF($A22-Levers!$G$191&gt;=1846,INDEX('Navy plan'!F$6:F$92,$A22-1845-Levers!$G$191),0)</f>
        <v>0</v>
      </c>
      <c r="G22" s="49" t="n">
        <f aca="false">G21+'Navy plan'!G22-IF($A22-Levers!$H$191&gt;=1846,INDEX('Navy plan'!G$6:G$92,$A22-1845-Levers!$H$191),0)</f>
        <v>0</v>
      </c>
      <c r="H22" s="49" t="n">
        <f aca="false">H21+'Navy plan'!H22-IF($A22-Levers!$I$191&gt;=1846,INDEX('Navy plan'!H$6:H$92,$A22-1845-Levers!$I$191),0)</f>
        <v>0</v>
      </c>
      <c r="I22" s="49" t="n">
        <f aca="false">I21+'Navy plan'!I22-IF($A22-Levers!$J$191&gt;=1846,INDEX('Navy plan'!I$6:I$92,$A22-1845-Levers!$J$191),0)</f>
        <v>0</v>
      </c>
      <c r="J22" s="49" t="n">
        <f aca="false">J21+'Navy plan'!J22-IF($A22-Levers!$K$191&gt;=1846,INDEX('Navy plan'!J$6:J$92,$A22-1845-Levers!$K$191),0)</f>
        <v>0</v>
      </c>
      <c r="K22" s="49" t="n">
        <f aca="false">SUM(B22:J22)</f>
        <v>6</v>
      </c>
      <c r="L22" s="56" t="n">
        <f aca="false">0.5*SUMPRODUCT('Navy plan'!B22:J22,'Navy plan'!K22:S22)+0.5*SUMPRODUCT('Navy plan'!B23:J23,'Navy plan'!K23:S23)</f>
        <v>1.525</v>
      </c>
      <c r="M22" s="49" t="n">
        <f aca="false">SUMPRODUCT(B22:J22,Levers!$C$192:$K$192)</f>
        <v>1370</v>
      </c>
      <c r="N22" s="49" t="n">
        <f aca="false">SUMPRODUCT(B22:J22,Levers!$C$195:$K$195)</f>
        <v>1370</v>
      </c>
      <c r="O22" s="49" t="n">
        <f aca="false">N22-M22</f>
        <v>0</v>
      </c>
      <c r="P22" s="56" t="n">
        <f aca="false">M22*sailor_pay*Economy!H22/1000000</f>
        <v>1.08504</v>
      </c>
      <c r="Q22" s="56" t="n">
        <f aca="false">SUMPRODUCT(B22:J22,'Navy plan'!K22:S22)*maint_rate</f>
        <v>0.19</v>
      </c>
      <c r="R22" s="56" t="n">
        <f aca="false">SUMPRODUCT(B22:J22,Levers!$C$193:$K$193)*Economy!H22</f>
        <v>0.2376</v>
      </c>
      <c r="S22" s="56" t="n">
        <f aca="false">SUMPRODUCT(B22:J22,Levers!$C$193:$K$193,Levers!$C$194:$K$194)*(1/oil_fuel-1)*Economy!H22</f>
        <v>0</v>
      </c>
      <c r="T22" s="56" t="n">
        <f aca="false">S22+O22*sailor_pay*Economy!H22/1000000</f>
        <v>0</v>
      </c>
      <c r="U22" s="56" t="n">
        <f aca="false">(P22+Q22+R22)*navy_overhead</f>
        <v>0.226896</v>
      </c>
      <c r="V22" s="56" t="n">
        <f aca="false">L22+P22+Q22+R22+U22</f>
        <v>3.264536</v>
      </c>
      <c r="W22" s="72" t="n">
        <f aca="false">Japan!I22</f>
        <v>0</v>
      </c>
      <c r="X22" s="56" t="n">
        <f aca="false">IF($A22&gt;=1927,V22+W22,0)</f>
        <v>0</v>
      </c>
      <c r="Y22" s="56" t="n">
        <f aca="false">IF($A22&gt;=1927,pac_quota*X22,V22)</f>
        <v>3.264536</v>
      </c>
      <c r="Z22" s="70" t="n">
        <f aca="false">SUMPRODUCT(B22:J22,Levers!$C$193:$K$193,Levers!$C$194:$K$194)/0.6</f>
        <v>0</v>
      </c>
      <c r="AA22" s="65" t="n">
        <f aca="false">H22</f>
        <v>0</v>
      </c>
      <c r="AB22" s="49" t="n">
        <f aca="false">AA22+'Navy plan'!T22</f>
        <v>0</v>
      </c>
      <c r="AC22" s="65" t="n">
        <f aca="false">'Navy plan'!U22</f>
        <v>0</v>
      </c>
      <c r="AD22" s="65" t="n">
        <f aca="false">'Navy plan'!V22</f>
        <v>0</v>
      </c>
      <c r="AE22" s="70" t="n">
        <f aca="false">IF(AC22&gt;0,AB22/AC22,0)</f>
        <v>0</v>
      </c>
    </row>
    <row r="23" customFormat="false" ht="14.25" hidden="false" customHeight="true" outlineLevel="0" collapsed="false">
      <c r="A23" s="61" t="n">
        <v>1863</v>
      </c>
      <c r="B23" s="49" t="n">
        <f aca="false">B22+'Navy plan'!B23-IF($A23-Levers!$C$191&gt;=1846,INDEX('Navy plan'!B$6:B$92,$A23-1845-Levers!$C$191),0)</f>
        <v>3</v>
      </c>
      <c r="C23" s="49" t="n">
        <f aca="false">C22+'Navy plan'!C23-IF($A23-Levers!$D$191&gt;=1846,INDEX('Navy plan'!C$6:C$92,$A23-1845-Levers!$D$191),0)</f>
        <v>5</v>
      </c>
      <c r="D23" s="49" t="n">
        <f aca="false">D22+'Navy plan'!D23-IF($A23-Levers!$E$191&gt;=1846,INDEX('Navy plan'!D$6:D$92,$A23-1845-Levers!$E$191),0)</f>
        <v>0</v>
      </c>
      <c r="E23" s="49" t="n">
        <f aca="false">E22+'Navy plan'!E23-IF($A23-Levers!$F$191&gt;=1846,INDEX('Navy plan'!E$6:E$92,$A23-1845-Levers!$F$191),0)</f>
        <v>0</v>
      </c>
      <c r="F23" s="49" t="n">
        <f aca="false">F22+'Navy plan'!F23-IF($A23-Levers!$G$191&gt;=1846,INDEX('Navy plan'!F$6:F$92,$A23-1845-Levers!$G$191),0)</f>
        <v>0</v>
      </c>
      <c r="G23" s="49" t="n">
        <f aca="false">G22+'Navy plan'!G23-IF($A23-Levers!$H$191&gt;=1846,INDEX('Navy plan'!G$6:G$92,$A23-1845-Levers!$H$191),0)</f>
        <v>0</v>
      </c>
      <c r="H23" s="49" t="n">
        <f aca="false">H22+'Navy plan'!H23-IF($A23-Levers!$I$191&gt;=1846,INDEX('Navy plan'!H$6:H$92,$A23-1845-Levers!$I$191),0)</f>
        <v>0</v>
      </c>
      <c r="I23" s="49" t="n">
        <f aca="false">I22+'Navy plan'!I23-IF($A23-Levers!$J$191&gt;=1846,INDEX('Navy plan'!I$6:I$92,$A23-1845-Levers!$J$191),0)</f>
        <v>0</v>
      </c>
      <c r="J23" s="49" t="n">
        <f aca="false">J22+'Navy plan'!J23-IF($A23-Levers!$K$191&gt;=1846,INDEX('Navy plan'!J$6:J$92,$A23-1845-Levers!$K$191),0)</f>
        <v>0</v>
      </c>
      <c r="K23" s="49" t="n">
        <f aca="false">SUM(B23:J23)</f>
        <v>8</v>
      </c>
      <c r="L23" s="56" t="n">
        <f aca="false">0.5*SUMPRODUCT('Navy plan'!B23:J23,'Navy plan'!K23:S23)+0.5*SUMPRODUCT('Navy plan'!B24:J24,'Navy plan'!K24:S24)</f>
        <v>2.385</v>
      </c>
      <c r="M23" s="49" t="n">
        <f aca="false">SUMPRODUCT(B23:J23,Levers!$C$192:$K$192)</f>
        <v>1610</v>
      </c>
      <c r="N23" s="49" t="n">
        <f aca="false">SUMPRODUCT(B23:J23,Levers!$C$195:$K$195)</f>
        <v>1610</v>
      </c>
      <c r="O23" s="49" t="n">
        <f aca="false">N23-M23</f>
        <v>0</v>
      </c>
      <c r="P23" s="56" t="n">
        <f aca="false">M23*sailor_pay*Economy!H23/1000000</f>
        <v>1.3088817</v>
      </c>
      <c r="Q23" s="56" t="n">
        <f aca="false">SUMPRODUCT(B23:J23,'Navy plan'!K23:S23)*maint_rate</f>
        <v>0.30125</v>
      </c>
      <c r="R23" s="56" t="n">
        <f aca="false">SUMPRODUCT(B23:J23,Levers!$C$193:$K$193)*Economy!H23</f>
        <v>0.280023</v>
      </c>
      <c r="S23" s="56" t="n">
        <f aca="false">SUMPRODUCT(B23:J23,Levers!$C$193:$K$193,Levers!$C$194:$K$194)*(1/oil_fuel-1)*Economy!H23</f>
        <v>0</v>
      </c>
      <c r="T23" s="56" t="n">
        <f aca="false">S23+O23*sailor_pay*Economy!H23/1000000</f>
        <v>0</v>
      </c>
      <c r="U23" s="56" t="n">
        <f aca="false">(P23+Q23+R23)*navy_overhead</f>
        <v>0.283523205</v>
      </c>
      <c r="V23" s="56" t="n">
        <f aca="false">L23+P23+Q23+R23+U23</f>
        <v>4.558677905</v>
      </c>
      <c r="W23" s="72" t="n">
        <f aca="false">Japan!I23</f>
        <v>0</v>
      </c>
      <c r="X23" s="56" t="n">
        <f aca="false">IF($A23&gt;=1927,V23+W23,0)</f>
        <v>0</v>
      </c>
      <c r="Y23" s="56" t="n">
        <f aca="false">IF($A23&gt;=1927,pac_quota*X23,V23)</f>
        <v>4.558677905</v>
      </c>
      <c r="Z23" s="70" t="n">
        <f aca="false">SUMPRODUCT(B23:J23,Levers!$C$193:$K$193,Levers!$C$194:$K$194)/0.6</f>
        <v>0</v>
      </c>
      <c r="AA23" s="65" t="n">
        <f aca="false">H23</f>
        <v>0</v>
      </c>
      <c r="AB23" s="49" t="n">
        <f aca="false">AA23+'Navy plan'!T23</f>
        <v>0</v>
      </c>
      <c r="AC23" s="65" t="n">
        <f aca="false">'Navy plan'!U23</f>
        <v>0</v>
      </c>
      <c r="AD23" s="65" t="n">
        <f aca="false">'Navy plan'!V23</f>
        <v>0</v>
      </c>
      <c r="AE23" s="70" t="n">
        <f aca="false">IF(AC23&gt;0,AB23/AC23,0)</f>
        <v>0</v>
      </c>
    </row>
    <row r="24" customFormat="false" ht="14.25" hidden="false" customHeight="true" outlineLevel="0" collapsed="false">
      <c r="A24" s="61" t="n">
        <v>1864</v>
      </c>
      <c r="B24" s="49" t="n">
        <f aca="false">B23+'Navy plan'!B24-IF($A24-Levers!$C$191&gt;=1846,INDEX('Navy plan'!B$6:B$92,$A24-1845-Levers!$C$191),0)</f>
        <v>5</v>
      </c>
      <c r="C24" s="49" t="n">
        <f aca="false">C23+'Navy plan'!C24-IF($A24-Levers!$D$191&gt;=1846,INDEX('Navy plan'!C$6:C$92,$A24-1845-Levers!$D$191),0)</f>
        <v>6</v>
      </c>
      <c r="D24" s="49" t="n">
        <f aca="false">D23+'Navy plan'!D24-IF($A24-Levers!$E$191&gt;=1846,INDEX('Navy plan'!D$6:D$92,$A24-1845-Levers!$E$191),0)</f>
        <v>0</v>
      </c>
      <c r="E24" s="49" t="n">
        <f aca="false">E23+'Navy plan'!E24-IF($A24-Levers!$F$191&gt;=1846,INDEX('Navy plan'!E$6:E$92,$A24-1845-Levers!$F$191),0)</f>
        <v>0</v>
      </c>
      <c r="F24" s="49" t="n">
        <f aca="false">F23+'Navy plan'!F24-IF($A24-Levers!$G$191&gt;=1846,INDEX('Navy plan'!F$6:F$92,$A24-1845-Levers!$G$191),0)</f>
        <v>0</v>
      </c>
      <c r="G24" s="49" t="n">
        <f aca="false">G23+'Navy plan'!G24-IF($A24-Levers!$H$191&gt;=1846,INDEX('Navy plan'!G$6:G$92,$A24-1845-Levers!$H$191),0)</f>
        <v>0</v>
      </c>
      <c r="H24" s="49" t="n">
        <f aca="false">H23+'Navy plan'!H24-IF($A24-Levers!$I$191&gt;=1846,INDEX('Navy plan'!H$6:H$92,$A24-1845-Levers!$I$191),0)</f>
        <v>0</v>
      </c>
      <c r="I24" s="49" t="n">
        <f aca="false">I23+'Navy plan'!I24-IF($A24-Levers!$J$191&gt;=1846,INDEX('Navy plan'!I$6:I$92,$A24-1845-Levers!$J$191),0)</f>
        <v>0</v>
      </c>
      <c r="J24" s="49" t="n">
        <f aca="false">J23+'Navy plan'!J24-IF($A24-Levers!$K$191&gt;=1846,INDEX('Navy plan'!J$6:J$92,$A24-1845-Levers!$K$191),0)</f>
        <v>0</v>
      </c>
      <c r="K24" s="49" t="n">
        <f aca="false">SUM(B24:J24)</f>
        <v>11</v>
      </c>
      <c r="L24" s="56" t="n">
        <f aca="false">0.5*SUMPRODUCT('Navy plan'!B24:J24,'Navy plan'!K24:S24)+0.5*SUMPRODUCT('Navy plan'!B25:J25,'Navy plan'!K25:S25)</f>
        <v>1.8975</v>
      </c>
      <c r="M24" s="49" t="n">
        <f aca="false">SUMPRODUCT(B24:J24,Levers!$C$192:$K$192)</f>
        <v>2100</v>
      </c>
      <c r="N24" s="49" t="n">
        <f aca="false">SUMPRODUCT(B24:J24,Levers!$C$195:$K$195)</f>
        <v>2100</v>
      </c>
      <c r="O24" s="49" t="n">
        <f aca="false">N24-M24</f>
        <v>0</v>
      </c>
      <c r="P24" s="56" t="n">
        <f aca="false">M24*sailor_pay*Economy!H24/1000000</f>
        <v>1.751463</v>
      </c>
      <c r="Q24" s="56" t="n">
        <f aca="false">SUMPRODUCT(B24:J24,'Navy plan'!K24:S24)*maint_rate</f>
        <v>0.4485</v>
      </c>
      <c r="R24" s="56" t="n">
        <f aca="false">SUMPRODUCT(B24:J24,Levers!$C$193:$K$193)*Economy!H24</f>
        <v>0.37068</v>
      </c>
      <c r="S24" s="56" t="n">
        <f aca="false">SUMPRODUCT(B24:J24,Levers!$C$193:$K$193,Levers!$C$194:$K$194)*(1/oil_fuel-1)*Economy!H24</f>
        <v>0</v>
      </c>
      <c r="T24" s="56" t="n">
        <f aca="false">S24+O24*sailor_pay*Economy!H24/1000000</f>
        <v>0</v>
      </c>
      <c r="U24" s="56" t="n">
        <f aca="false">(P24+Q24+R24)*navy_overhead</f>
        <v>0.38559645</v>
      </c>
      <c r="V24" s="56" t="n">
        <f aca="false">L24+P24+Q24+R24+U24</f>
        <v>4.85373945</v>
      </c>
      <c r="W24" s="72" t="n">
        <f aca="false">Japan!I24</f>
        <v>0</v>
      </c>
      <c r="X24" s="56" t="n">
        <f aca="false">IF($A24&gt;=1927,V24+W24,0)</f>
        <v>0</v>
      </c>
      <c r="Y24" s="56" t="n">
        <f aca="false">IF($A24&gt;=1927,pac_quota*X24,V24)</f>
        <v>4.85373945</v>
      </c>
      <c r="Z24" s="70" t="n">
        <f aca="false">SUMPRODUCT(B24:J24,Levers!$C$193:$K$193,Levers!$C$194:$K$194)/0.6</f>
        <v>0</v>
      </c>
      <c r="AA24" s="65" t="n">
        <f aca="false">H24</f>
        <v>0</v>
      </c>
      <c r="AB24" s="49" t="n">
        <f aca="false">AA24+'Navy plan'!T24</f>
        <v>0</v>
      </c>
      <c r="AC24" s="65" t="n">
        <f aca="false">'Navy plan'!U24</f>
        <v>0</v>
      </c>
      <c r="AD24" s="65" t="n">
        <f aca="false">'Navy plan'!V24</f>
        <v>0</v>
      </c>
      <c r="AE24" s="70" t="n">
        <f aca="false">IF(AC24&gt;0,AB24/AC24,0)</f>
        <v>0</v>
      </c>
    </row>
    <row r="25" customFormat="false" ht="14.25" hidden="false" customHeight="true" outlineLevel="0" collapsed="false">
      <c r="A25" s="61" t="n">
        <v>1865</v>
      </c>
      <c r="B25" s="49" t="n">
        <f aca="false">B24+'Navy plan'!B25-IF($A25-Levers!$C$191&gt;=1846,INDEX('Navy plan'!B$6:B$92,$A25-1845-Levers!$C$191),0)</f>
        <v>6</v>
      </c>
      <c r="C25" s="49" t="n">
        <f aca="false">C24+'Navy plan'!C25-IF($A25-Levers!$D$191&gt;=1846,INDEX('Navy plan'!C$6:C$92,$A25-1845-Levers!$D$191),0)</f>
        <v>6</v>
      </c>
      <c r="D25" s="49" t="n">
        <f aca="false">D24+'Navy plan'!D25-IF($A25-Levers!$E$191&gt;=1846,INDEX('Navy plan'!D$6:D$92,$A25-1845-Levers!$E$191),0)</f>
        <v>0</v>
      </c>
      <c r="E25" s="49" t="n">
        <f aca="false">E24+'Navy plan'!E25-IF($A25-Levers!$F$191&gt;=1846,INDEX('Navy plan'!E$6:E$92,$A25-1845-Levers!$F$191),0)</f>
        <v>0</v>
      </c>
      <c r="F25" s="49" t="n">
        <f aca="false">F24+'Navy plan'!F25-IF($A25-Levers!$G$191&gt;=1846,INDEX('Navy plan'!F$6:F$92,$A25-1845-Levers!$G$191),0)</f>
        <v>0</v>
      </c>
      <c r="G25" s="49" t="n">
        <f aca="false">G24+'Navy plan'!G25-IF($A25-Levers!$H$191&gt;=1846,INDEX('Navy plan'!G$6:G$92,$A25-1845-Levers!$H$191),0)</f>
        <v>0</v>
      </c>
      <c r="H25" s="49" t="n">
        <f aca="false">H24+'Navy plan'!H25-IF($A25-Levers!$I$191&gt;=1846,INDEX('Navy plan'!H$6:H$92,$A25-1845-Levers!$I$191),0)</f>
        <v>0</v>
      </c>
      <c r="I25" s="49" t="n">
        <f aca="false">I24+'Navy plan'!I25-IF($A25-Levers!$J$191&gt;=1846,INDEX('Navy plan'!I$6:I$92,$A25-1845-Levers!$J$191),0)</f>
        <v>0</v>
      </c>
      <c r="J25" s="49" t="n">
        <f aca="false">J24+'Navy plan'!J25-IF($A25-Levers!$K$191&gt;=1846,INDEX('Navy plan'!J$6:J$92,$A25-1845-Levers!$K$191),0)</f>
        <v>0</v>
      </c>
      <c r="K25" s="49" t="n">
        <f aca="false">SUM(B25:J25)</f>
        <v>12</v>
      </c>
      <c r="L25" s="56" t="n">
        <f aca="false">0.5*SUMPRODUCT('Navy plan'!B25:J25,'Navy plan'!K25:S25)+0.5*SUMPRODUCT('Navy plan'!B26:J26,'Navy plan'!K26:S26)</f>
        <v>0.5375</v>
      </c>
      <c r="M25" s="49" t="n">
        <f aca="false">SUMPRODUCT(B25:J25,Levers!$C$192:$K$192)</f>
        <v>2220</v>
      </c>
      <c r="N25" s="49" t="n">
        <f aca="false">SUMPRODUCT(B25:J25,Levers!$C$195:$K$195)</f>
        <v>2220</v>
      </c>
      <c r="O25" s="49" t="n">
        <f aca="false">N25-M25</f>
        <v>0</v>
      </c>
      <c r="P25" s="56" t="n">
        <f aca="false">M25*sailor_pay*Economy!H25/1000000</f>
        <v>1.8981</v>
      </c>
      <c r="Q25" s="56" t="n">
        <f aca="false">SUMPRODUCT(B25:J25,'Navy plan'!K25:S25)*maint_rate</f>
        <v>0.5175</v>
      </c>
      <c r="R25" s="56" t="n">
        <f aca="false">SUMPRODUCT(B25:J25,Levers!$C$193:$K$193)*Economy!H25</f>
        <v>0.399</v>
      </c>
      <c r="S25" s="56" t="n">
        <f aca="false">SUMPRODUCT(B25:J25,Levers!$C$193:$K$193,Levers!$C$194:$K$194)*(1/oil_fuel-1)*Economy!H25</f>
        <v>0</v>
      </c>
      <c r="T25" s="56" t="n">
        <f aca="false">S25+O25*sailor_pay*Economy!H25/1000000</f>
        <v>0</v>
      </c>
      <c r="U25" s="56" t="n">
        <f aca="false">(P25+Q25+R25)*navy_overhead</f>
        <v>0.42219</v>
      </c>
      <c r="V25" s="56" t="n">
        <f aca="false">L25+P25+Q25+R25+U25</f>
        <v>3.77429</v>
      </c>
      <c r="W25" s="72" t="n">
        <f aca="false">Japan!I25</f>
        <v>0</v>
      </c>
      <c r="X25" s="56" t="n">
        <f aca="false">IF($A25&gt;=1927,V25+W25,0)</f>
        <v>0</v>
      </c>
      <c r="Y25" s="56" t="n">
        <f aca="false">IF($A25&gt;=1927,pac_quota*X25,V25)</f>
        <v>3.77429</v>
      </c>
      <c r="Z25" s="70" t="n">
        <f aca="false">SUMPRODUCT(B25:J25,Levers!$C$193:$K$193,Levers!$C$194:$K$194)/0.6</f>
        <v>0</v>
      </c>
      <c r="AA25" s="65" t="n">
        <f aca="false">H25</f>
        <v>0</v>
      </c>
      <c r="AB25" s="49" t="n">
        <f aca="false">AA25+'Navy plan'!T25</f>
        <v>0</v>
      </c>
      <c r="AC25" s="65" t="n">
        <f aca="false">'Navy plan'!U25</f>
        <v>0</v>
      </c>
      <c r="AD25" s="65" t="n">
        <f aca="false">'Navy plan'!V25</f>
        <v>0</v>
      </c>
      <c r="AE25" s="70" t="n">
        <f aca="false">IF(AC25&gt;0,AB25/AC25,0)</f>
        <v>0</v>
      </c>
    </row>
    <row r="26" customFormat="false" ht="14.25" hidden="false" customHeight="true" outlineLevel="0" collapsed="false">
      <c r="A26" s="61" t="n">
        <v>1866</v>
      </c>
      <c r="B26" s="49" t="n">
        <f aca="false">B25+'Navy plan'!B26-IF($A26-Levers!$C$191&gt;=1846,INDEX('Navy plan'!B$6:B$92,$A26-1845-Levers!$C$191),0)</f>
        <v>6</v>
      </c>
      <c r="C26" s="49" t="n">
        <f aca="false">C25+'Navy plan'!C26-IF($A26-Levers!$D$191&gt;=1846,INDEX('Navy plan'!C$6:C$92,$A26-1845-Levers!$D$191),0)</f>
        <v>6</v>
      </c>
      <c r="D26" s="49" t="n">
        <f aca="false">D25+'Navy plan'!D26-IF($A26-Levers!$E$191&gt;=1846,INDEX('Navy plan'!D$6:D$92,$A26-1845-Levers!$E$191),0)</f>
        <v>0</v>
      </c>
      <c r="E26" s="49" t="n">
        <f aca="false">E25+'Navy plan'!E26-IF($A26-Levers!$F$191&gt;=1846,INDEX('Navy plan'!E$6:E$92,$A26-1845-Levers!$F$191),0)</f>
        <v>0</v>
      </c>
      <c r="F26" s="49" t="n">
        <f aca="false">F25+'Navy plan'!F26-IF($A26-Levers!$G$191&gt;=1846,INDEX('Navy plan'!F$6:F$92,$A26-1845-Levers!$G$191),0)</f>
        <v>0</v>
      </c>
      <c r="G26" s="49" t="n">
        <f aca="false">G25+'Navy plan'!G26-IF($A26-Levers!$H$191&gt;=1846,INDEX('Navy plan'!G$6:G$92,$A26-1845-Levers!$H$191),0)</f>
        <v>0</v>
      </c>
      <c r="H26" s="49" t="n">
        <f aca="false">H25+'Navy plan'!H26-IF($A26-Levers!$I$191&gt;=1846,INDEX('Navy plan'!H$6:H$92,$A26-1845-Levers!$I$191),0)</f>
        <v>0</v>
      </c>
      <c r="I26" s="49" t="n">
        <f aca="false">I25+'Navy plan'!I26-IF($A26-Levers!$J$191&gt;=1846,INDEX('Navy plan'!I$6:I$92,$A26-1845-Levers!$J$191),0)</f>
        <v>0</v>
      </c>
      <c r="J26" s="49" t="n">
        <f aca="false">J25+'Navy plan'!J26-IF($A26-Levers!$K$191&gt;=1846,INDEX('Navy plan'!J$6:J$92,$A26-1845-Levers!$K$191),0)</f>
        <v>0</v>
      </c>
      <c r="K26" s="49" t="n">
        <f aca="false">SUM(B26:J26)</f>
        <v>12</v>
      </c>
      <c r="L26" s="56" t="n">
        <f aca="false">0.5*SUMPRODUCT('Navy plan'!B26:J26,'Navy plan'!K26:S26)+0.5*SUMPRODUCT('Navy plan'!B27:J27,'Navy plan'!K27:S27)</f>
        <v>0.5625</v>
      </c>
      <c r="M26" s="49" t="n">
        <f aca="false">SUMPRODUCT(B26:J26,Levers!$C$192:$K$192)</f>
        <v>2220</v>
      </c>
      <c r="N26" s="49" t="n">
        <f aca="false">SUMPRODUCT(B26:J26,Levers!$C$195:$K$195)</f>
        <v>2220</v>
      </c>
      <c r="O26" s="49" t="n">
        <f aca="false">N26-M26</f>
        <v>0</v>
      </c>
      <c r="P26" s="56" t="n">
        <f aca="false">M26*sailor_pay*Economy!H26/1000000</f>
        <v>1.8981</v>
      </c>
      <c r="Q26" s="56" t="n">
        <f aca="false">SUMPRODUCT(B26:J26,'Navy plan'!K26:S26)*maint_rate</f>
        <v>0.534</v>
      </c>
      <c r="R26" s="56" t="n">
        <f aca="false">SUMPRODUCT(B26:J26,Levers!$C$193:$K$193)*Economy!H26</f>
        <v>0.399</v>
      </c>
      <c r="S26" s="56" t="n">
        <f aca="false">SUMPRODUCT(B26:J26,Levers!$C$193:$K$193,Levers!$C$194:$K$194)*(1/oil_fuel-1)*Economy!H26</f>
        <v>0</v>
      </c>
      <c r="T26" s="56" t="n">
        <f aca="false">S26+O26*sailor_pay*Economy!H26/1000000</f>
        <v>0</v>
      </c>
      <c r="U26" s="56" t="n">
        <f aca="false">(P26+Q26+R26)*navy_overhead</f>
        <v>0.424665</v>
      </c>
      <c r="V26" s="56" t="n">
        <f aca="false">L26+P26+Q26+R26+U26</f>
        <v>3.818265</v>
      </c>
      <c r="W26" s="72" t="n">
        <f aca="false">Japan!I26</f>
        <v>0</v>
      </c>
      <c r="X26" s="56" t="n">
        <f aca="false">IF($A26&gt;=1927,V26+W26,0)</f>
        <v>0</v>
      </c>
      <c r="Y26" s="56" t="n">
        <f aca="false">IF($A26&gt;=1927,pac_quota*X26,V26)</f>
        <v>3.818265</v>
      </c>
      <c r="Z26" s="70" t="n">
        <f aca="false">SUMPRODUCT(B26:J26,Levers!$C$193:$K$193,Levers!$C$194:$K$194)/0.6</f>
        <v>0</v>
      </c>
      <c r="AA26" s="65" t="n">
        <f aca="false">H26</f>
        <v>0</v>
      </c>
      <c r="AB26" s="49" t="n">
        <f aca="false">AA26+'Navy plan'!T26</f>
        <v>0</v>
      </c>
      <c r="AC26" s="65" t="n">
        <f aca="false">'Navy plan'!U26</f>
        <v>0</v>
      </c>
      <c r="AD26" s="65" t="n">
        <f aca="false">'Navy plan'!V26</f>
        <v>0</v>
      </c>
      <c r="AE26" s="70" t="n">
        <f aca="false">IF(AC26&gt;0,AB26/AC26,0)</f>
        <v>0</v>
      </c>
    </row>
    <row r="27" customFormat="false" ht="14.25" hidden="false" customHeight="true" outlineLevel="0" collapsed="false">
      <c r="A27" s="61" t="n">
        <v>1867</v>
      </c>
      <c r="B27" s="49" t="n">
        <f aca="false">B26+'Navy plan'!B27-IF($A27-Levers!$C$191&gt;=1846,INDEX('Navy plan'!B$6:B$92,$A27-1845-Levers!$C$191),0)</f>
        <v>7</v>
      </c>
      <c r="C27" s="49" t="n">
        <f aca="false">C26+'Navy plan'!C27-IF($A27-Levers!$D$191&gt;=1846,INDEX('Navy plan'!C$6:C$92,$A27-1845-Levers!$D$191),0)</f>
        <v>6</v>
      </c>
      <c r="D27" s="49" t="n">
        <f aca="false">D26+'Navy plan'!D27-IF($A27-Levers!$E$191&gt;=1846,INDEX('Navy plan'!D$6:D$92,$A27-1845-Levers!$E$191),0)</f>
        <v>0</v>
      </c>
      <c r="E27" s="49" t="n">
        <f aca="false">E26+'Navy plan'!E27-IF($A27-Levers!$F$191&gt;=1846,INDEX('Navy plan'!E$6:E$92,$A27-1845-Levers!$F$191),0)</f>
        <v>0</v>
      </c>
      <c r="F27" s="49" t="n">
        <f aca="false">F26+'Navy plan'!F27-IF($A27-Levers!$G$191&gt;=1846,INDEX('Navy plan'!F$6:F$92,$A27-1845-Levers!$G$191),0)</f>
        <v>0</v>
      </c>
      <c r="G27" s="49" t="n">
        <f aca="false">G26+'Navy plan'!G27-IF($A27-Levers!$H$191&gt;=1846,INDEX('Navy plan'!G$6:G$92,$A27-1845-Levers!$H$191),0)</f>
        <v>0</v>
      </c>
      <c r="H27" s="49" t="n">
        <f aca="false">H26+'Navy plan'!H27-IF($A27-Levers!$I$191&gt;=1846,INDEX('Navy plan'!H$6:H$92,$A27-1845-Levers!$I$191),0)</f>
        <v>0</v>
      </c>
      <c r="I27" s="49" t="n">
        <f aca="false">I26+'Navy plan'!I27-IF($A27-Levers!$J$191&gt;=1846,INDEX('Navy plan'!I$6:I$92,$A27-1845-Levers!$J$191),0)</f>
        <v>0</v>
      </c>
      <c r="J27" s="49" t="n">
        <f aca="false">J26+'Navy plan'!J27-IF($A27-Levers!$K$191&gt;=1846,INDEX('Navy plan'!J$6:J$92,$A27-1845-Levers!$K$191),0)</f>
        <v>0</v>
      </c>
      <c r="K27" s="49" t="n">
        <f aca="false">SUM(B27:J27)</f>
        <v>13</v>
      </c>
      <c r="L27" s="56" t="n">
        <f aca="false">0.5*SUMPRODUCT('Navy plan'!B27:J27,'Navy plan'!K27:S27)+0.5*SUMPRODUCT('Navy plan'!B28:J28,'Navy plan'!K28:S28)</f>
        <v>1.3025</v>
      </c>
      <c r="M27" s="49" t="n">
        <f aca="false">SUMPRODUCT(B27:J27,Levers!$C$192:$K$192)</f>
        <v>2340</v>
      </c>
      <c r="N27" s="49" t="n">
        <f aca="false">SUMPRODUCT(B27:J27,Levers!$C$195:$K$195)</f>
        <v>2340</v>
      </c>
      <c r="O27" s="49" t="n">
        <f aca="false">N27-M27</f>
        <v>0</v>
      </c>
      <c r="P27" s="56" t="n">
        <f aca="false">M27*sailor_pay*Economy!H27/1000000</f>
        <v>2.0007</v>
      </c>
      <c r="Q27" s="56" t="n">
        <f aca="false">SUMPRODUCT(B27:J27,'Navy plan'!K27:S27)*maint_rate</f>
        <v>0.60675</v>
      </c>
      <c r="R27" s="56" t="n">
        <f aca="false">SUMPRODUCT(B27:J27,Levers!$C$193:$K$193)*Economy!H27</f>
        <v>0.418</v>
      </c>
      <c r="S27" s="56" t="n">
        <f aca="false">SUMPRODUCT(B27:J27,Levers!$C$193:$K$193,Levers!$C$194:$K$194)*(1/oil_fuel-1)*Economy!H27</f>
        <v>0</v>
      </c>
      <c r="T27" s="56" t="n">
        <f aca="false">S27+O27*sailor_pay*Economy!H27/1000000</f>
        <v>0</v>
      </c>
      <c r="U27" s="56" t="n">
        <f aca="false">(P27+Q27+R27)*navy_overhead</f>
        <v>0.4538175</v>
      </c>
      <c r="V27" s="56" t="n">
        <f aca="false">L27+P27+Q27+R27+U27</f>
        <v>4.7817675</v>
      </c>
      <c r="W27" s="72" t="n">
        <f aca="false">Japan!I27</f>
        <v>0</v>
      </c>
      <c r="X27" s="56" t="n">
        <f aca="false">IF($A27&gt;=1927,V27+W27,0)</f>
        <v>0</v>
      </c>
      <c r="Y27" s="56" t="n">
        <f aca="false">IF($A27&gt;=1927,pac_quota*X27,V27)</f>
        <v>4.7817675</v>
      </c>
      <c r="Z27" s="70" t="n">
        <f aca="false">SUMPRODUCT(B27:J27,Levers!$C$193:$K$193,Levers!$C$194:$K$194)/0.6</f>
        <v>0</v>
      </c>
      <c r="AA27" s="65" t="n">
        <f aca="false">H27</f>
        <v>0</v>
      </c>
      <c r="AB27" s="49" t="n">
        <f aca="false">AA27+'Navy plan'!T27</f>
        <v>0</v>
      </c>
      <c r="AC27" s="65" t="n">
        <f aca="false">'Navy plan'!U27</f>
        <v>0</v>
      </c>
      <c r="AD27" s="65" t="n">
        <f aca="false">'Navy plan'!V27</f>
        <v>0</v>
      </c>
      <c r="AE27" s="70" t="n">
        <f aca="false">IF(AC27&gt;0,AB27/AC27,0)</f>
        <v>0</v>
      </c>
    </row>
    <row r="28" customFormat="false" ht="14.25" hidden="false" customHeight="true" outlineLevel="0" collapsed="false">
      <c r="A28" s="61" t="n">
        <v>1868</v>
      </c>
      <c r="B28" s="49" t="n">
        <f aca="false">B27+'Navy plan'!B28-IF($A28-Levers!$C$191&gt;=1846,INDEX('Navy plan'!B$6:B$92,$A28-1845-Levers!$C$191),0)</f>
        <v>7</v>
      </c>
      <c r="C28" s="49" t="n">
        <f aca="false">C27+'Navy plan'!C28-IF($A28-Levers!$D$191&gt;=1846,INDEX('Navy plan'!C$6:C$92,$A28-1845-Levers!$D$191),0)</f>
        <v>8</v>
      </c>
      <c r="D28" s="49" t="n">
        <f aca="false">D27+'Navy plan'!D28-IF($A28-Levers!$E$191&gt;=1846,INDEX('Navy plan'!D$6:D$92,$A28-1845-Levers!$E$191),0)</f>
        <v>0</v>
      </c>
      <c r="E28" s="49" t="n">
        <f aca="false">E27+'Navy plan'!E28-IF($A28-Levers!$F$191&gt;=1846,INDEX('Navy plan'!E$6:E$92,$A28-1845-Levers!$F$191),0)</f>
        <v>0</v>
      </c>
      <c r="F28" s="49" t="n">
        <f aca="false">F27+'Navy plan'!F28-IF($A28-Levers!$G$191&gt;=1846,INDEX('Navy plan'!F$6:F$92,$A28-1845-Levers!$G$191),0)</f>
        <v>0</v>
      </c>
      <c r="G28" s="49" t="n">
        <f aca="false">G27+'Navy plan'!G28-IF($A28-Levers!$H$191&gt;=1846,INDEX('Navy plan'!G$6:G$92,$A28-1845-Levers!$H$191),0)</f>
        <v>0</v>
      </c>
      <c r="H28" s="49" t="n">
        <f aca="false">H27+'Navy plan'!H28-IF($A28-Levers!$I$191&gt;=1846,INDEX('Navy plan'!H$6:H$92,$A28-1845-Levers!$I$191),0)</f>
        <v>0</v>
      </c>
      <c r="I28" s="49" t="n">
        <f aca="false">I27+'Navy plan'!I28-IF($A28-Levers!$J$191&gt;=1846,INDEX('Navy plan'!I$6:I$92,$A28-1845-Levers!$J$191),0)</f>
        <v>0</v>
      </c>
      <c r="J28" s="49" t="n">
        <f aca="false">J27+'Navy plan'!J28-IF($A28-Levers!$K$191&gt;=1846,INDEX('Navy plan'!J$6:J$92,$A28-1845-Levers!$K$191),0)</f>
        <v>0</v>
      </c>
      <c r="K28" s="49" t="n">
        <f aca="false">SUM(B28:J28)</f>
        <v>15</v>
      </c>
      <c r="L28" s="56" t="n">
        <f aca="false">0.5*SUMPRODUCT('Navy plan'!B28:J28,'Navy plan'!K28:S28)+0.5*SUMPRODUCT('Navy plan'!B29:J29,'Navy plan'!K29:S29)</f>
        <v>1.915</v>
      </c>
      <c r="M28" s="49" t="n">
        <f aca="false">SUMPRODUCT(B28:J28,Levers!$C$192:$K$192)</f>
        <v>2840</v>
      </c>
      <c r="N28" s="49" t="n">
        <f aca="false">SUMPRODUCT(B28:J28,Levers!$C$195:$K$195)</f>
        <v>2840</v>
      </c>
      <c r="O28" s="49" t="n">
        <f aca="false">N28-M28</f>
        <v>0</v>
      </c>
      <c r="P28" s="56" t="n">
        <f aca="false">M28*sailor_pay*Economy!H28/1000000</f>
        <v>2.4282</v>
      </c>
      <c r="Q28" s="56" t="n">
        <f aca="false">SUMPRODUCT(B28:J28,'Navy plan'!K28:S28)*maint_rate</f>
        <v>0.6985</v>
      </c>
      <c r="R28" s="56" t="n">
        <f aca="false">SUMPRODUCT(B28:J28,Levers!$C$193:$K$193)*Economy!H28</f>
        <v>0.513</v>
      </c>
      <c r="S28" s="56" t="n">
        <f aca="false">SUMPRODUCT(B28:J28,Levers!$C$193:$K$193,Levers!$C$194:$K$194)*(1/oil_fuel-1)*Economy!H28</f>
        <v>0</v>
      </c>
      <c r="T28" s="56" t="n">
        <f aca="false">S28+O28*sailor_pay*Economy!H28/1000000</f>
        <v>0</v>
      </c>
      <c r="U28" s="56" t="n">
        <f aca="false">(P28+Q28+R28)*navy_overhead</f>
        <v>0.545955</v>
      </c>
      <c r="V28" s="56" t="n">
        <f aca="false">L28+P28+Q28+R28+U28</f>
        <v>6.100655</v>
      </c>
      <c r="W28" s="72" t="n">
        <f aca="false">Japan!I28</f>
        <v>0</v>
      </c>
      <c r="X28" s="56" t="n">
        <f aca="false">IF($A28&gt;=1927,V28+W28,0)</f>
        <v>0</v>
      </c>
      <c r="Y28" s="56" t="n">
        <f aca="false">IF($A28&gt;=1927,pac_quota*X28,V28)</f>
        <v>6.100655</v>
      </c>
      <c r="Z28" s="70" t="n">
        <f aca="false">SUMPRODUCT(B28:J28,Levers!$C$193:$K$193,Levers!$C$194:$K$194)/0.6</f>
        <v>0</v>
      </c>
      <c r="AA28" s="65" t="n">
        <f aca="false">H28</f>
        <v>0</v>
      </c>
      <c r="AB28" s="49" t="n">
        <f aca="false">AA28+'Navy plan'!T28</f>
        <v>0</v>
      </c>
      <c r="AC28" s="65" t="n">
        <f aca="false">'Navy plan'!U28</f>
        <v>0</v>
      </c>
      <c r="AD28" s="65" t="n">
        <f aca="false">'Navy plan'!V28</f>
        <v>0</v>
      </c>
      <c r="AE28" s="70" t="n">
        <f aca="false">IF(AC28&gt;0,AB28/AC28,0)</f>
        <v>0</v>
      </c>
    </row>
    <row r="29" customFormat="false" ht="14.25" hidden="false" customHeight="true" outlineLevel="0" collapsed="false">
      <c r="A29" s="61" t="n">
        <v>1869</v>
      </c>
      <c r="B29" s="49" t="n">
        <f aca="false">B28+'Navy plan'!B29-IF($A29-Levers!$C$191&gt;=1846,INDEX('Navy plan'!B$6:B$92,$A29-1845-Levers!$C$191),0)</f>
        <v>9</v>
      </c>
      <c r="C29" s="49" t="n">
        <f aca="false">C28+'Navy plan'!C29-IF($A29-Levers!$D$191&gt;=1846,INDEX('Navy plan'!C$6:C$92,$A29-1845-Levers!$D$191),0)</f>
        <v>8</v>
      </c>
      <c r="D29" s="49" t="n">
        <f aca="false">D28+'Navy plan'!D29-IF($A29-Levers!$E$191&gt;=1846,INDEX('Navy plan'!D$6:D$92,$A29-1845-Levers!$E$191),0)</f>
        <v>0</v>
      </c>
      <c r="E29" s="49" t="n">
        <f aca="false">E28+'Navy plan'!E29-IF($A29-Levers!$F$191&gt;=1846,INDEX('Navy plan'!E$6:E$92,$A29-1845-Levers!$F$191),0)</f>
        <v>0</v>
      </c>
      <c r="F29" s="49" t="n">
        <f aca="false">F28+'Navy plan'!F29-IF($A29-Levers!$G$191&gt;=1846,INDEX('Navy plan'!F$6:F$92,$A29-1845-Levers!$G$191),0)</f>
        <v>0</v>
      </c>
      <c r="G29" s="49" t="n">
        <f aca="false">G28+'Navy plan'!G29-IF($A29-Levers!$H$191&gt;=1846,INDEX('Navy plan'!G$6:G$92,$A29-1845-Levers!$H$191),0)</f>
        <v>0</v>
      </c>
      <c r="H29" s="49" t="n">
        <f aca="false">H28+'Navy plan'!H29-IF($A29-Levers!$I$191&gt;=1846,INDEX('Navy plan'!H$6:H$92,$A29-1845-Levers!$I$191),0)</f>
        <v>0</v>
      </c>
      <c r="I29" s="49" t="n">
        <f aca="false">I28+'Navy plan'!I29-IF($A29-Levers!$J$191&gt;=1846,INDEX('Navy plan'!I$6:I$92,$A29-1845-Levers!$J$191),0)</f>
        <v>0</v>
      </c>
      <c r="J29" s="49" t="n">
        <f aca="false">J28+'Navy plan'!J29-IF($A29-Levers!$K$191&gt;=1846,INDEX('Navy plan'!J$6:J$92,$A29-1845-Levers!$K$191),0)</f>
        <v>0</v>
      </c>
      <c r="K29" s="49" t="n">
        <f aca="false">SUM(B29:J29)</f>
        <v>17</v>
      </c>
      <c r="L29" s="56" t="n">
        <f aca="false">0.5*SUMPRODUCT('Navy plan'!B29:J29,'Navy plan'!K29:S29)+0.5*SUMPRODUCT('Navy plan'!B30:J30,'Navy plan'!K30:S30)</f>
        <v>2.375</v>
      </c>
      <c r="M29" s="49" t="n">
        <f aca="false">SUMPRODUCT(B29:J29,Levers!$C$192:$K$192)</f>
        <v>3080</v>
      </c>
      <c r="N29" s="49" t="n">
        <f aca="false">SUMPRODUCT(B29:J29,Levers!$C$195:$K$195)</f>
        <v>3080</v>
      </c>
      <c r="O29" s="49" t="n">
        <f aca="false">N29-M29</f>
        <v>0</v>
      </c>
      <c r="P29" s="56" t="n">
        <f aca="false">M29*sailor_pay*Economy!H29/1000000</f>
        <v>2.6334</v>
      </c>
      <c r="Q29" s="56" t="n">
        <f aca="false">SUMPRODUCT(B29:J29,'Navy plan'!K29:S29)*maint_rate</f>
        <v>0.83675</v>
      </c>
      <c r="R29" s="56" t="n">
        <f aca="false">SUMPRODUCT(B29:J29,Levers!$C$193:$K$193)*Economy!H29</f>
        <v>0.551</v>
      </c>
      <c r="S29" s="56" t="n">
        <f aca="false">SUMPRODUCT(B29:J29,Levers!$C$193:$K$193,Levers!$C$194:$K$194)*(1/oil_fuel-1)*Economy!H29</f>
        <v>0</v>
      </c>
      <c r="T29" s="56" t="n">
        <f aca="false">S29+O29*sailor_pay*Economy!H29/1000000</f>
        <v>0</v>
      </c>
      <c r="U29" s="56" t="n">
        <f aca="false">(P29+Q29+R29)*navy_overhead</f>
        <v>0.6031725</v>
      </c>
      <c r="V29" s="56" t="n">
        <f aca="false">L29+P29+Q29+R29+U29</f>
        <v>6.9993225</v>
      </c>
      <c r="W29" s="72" t="n">
        <f aca="false">Japan!I29</f>
        <v>0</v>
      </c>
      <c r="X29" s="56" t="n">
        <f aca="false">IF($A29&gt;=1927,V29+W29,0)</f>
        <v>0</v>
      </c>
      <c r="Y29" s="56" t="n">
        <f aca="false">IF($A29&gt;=1927,pac_quota*X29,V29)</f>
        <v>6.9993225</v>
      </c>
      <c r="Z29" s="70" t="n">
        <f aca="false">SUMPRODUCT(B29:J29,Levers!$C$193:$K$193,Levers!$C$194:$K$194)/0.6</f>
        <v>0</v>
      </c>
      <c r="AA29" s="65" t="n">
        <f aca="false">H29</f>
        <v>0</v>
      </c>
      <c r="AB29" s="49" t="n">
        <f aca="false">AA29+'Navy plan'!T29</f>
        <v>0</v>
      </c>
      <c r="AC29" s="65" t="n">
        <f aca="false">'Navy plan'!U29</f>
        <v>0</v>
      </c>
      <c r="AD29" s="65" t="n">
        <f aca="false">'Navy plan'!V29</f>
        <v>0</v>
      </c>
      <c r="AE29" s="70" t="n">
        <f aca="false">IF(AC29&gt;0,AB29/AC29,0)</f>
        <v>0</v>
      </c>
    </row>
    <row r="30" customFormat="false" ht="14.25" hidden="false" customHeight="true" outlineLevel="0" collapsed="false">
      <c r="A30" s="61" t="n">
        <v>1870</v>
      </c>
      <c r="B30" s="49" t="n">
        <f aca="false">B29+'Navy plan'!B30-IF($A30-Levers!$C$191&gt;=1846,INDEX('Navy plan'!B$6:B$92,$A30-1845-Levers!$C$191),0)</f>
        <v>11</v>
      </c>
      <c r="C30" s="49" t="n">
        <f aca="false">C29+'Navy plan'!C30-IF($A30-Levers!$D$191&gt;=1846,INDEX('Navy plan'!C$6:C$92,$A30-1845-Levers!$D$191),0)</f>
        <v>8</v>
      </c>
      <c r="D30" s="49" t="n">
        <f aca="false">D29+'Navy plan'!D30-IF($A30-Levers!$E$191&gt;=1846,INDEX('Navy plan'!D$6:D$92,$A30-1845-Levers!$E$191),0)</f>
        <v>0</v>
      </c>
      <c r="E30" s="49" t="n">
        <f aca="false">E29+'Navy plan'!E30-IF($A30-Levers!$F$191&gt;=1846,INDEX('Navy plan'!E$6:E$92,$A30-1845-Levers!$F$191),0)</f>
        <v>0</v>
      </c>
      <c r="F30" s="49" t="n">
        <f aca="false">F29+'Navy plan'!F30-IF($A30-Levers!$G$191&gt;=1846,INDEX('Navy plan'!F$6:F$92,$A30-1845-Levers!$G$191),0)</f>
        <v>0</v>
      </c>
      <c r="G30" s="49" t="n">
        <f aca="false">G29+'Navy plan'!G30-IF($A30-Levers!$H$191&gt;=1846,INDEX('Navy plan'!G$6:G$92,$A30-1845-Levers!$H$191),0)</f>
        <v>0</v>
      </c>
      <c r="H30" s="49" t="n">
        <f aca="false">H29+'Navy plan'!H30-IF($A30-Levers!$I$191&gt;=1846,INDEX('Navy plan'!H$6:H$92,$A30-1845-Levers!$I$191),0)</f>
        <v>0</v>
      </c>
      <c r="I30" s="49" t="n">
        <f aca="false">I29+'Navy plan'!I30-IF($A30-Levers!$J$191&gt;=1846,INDEX('Navy plan'!I$6:I$92,$A30-1845-Levers!$J$191),0)</f>
        <v>0</v>
      </c>
      <c r="J30" s="49" t="n">
        <f aca="false">J29+'Navy plan'!J30-IF($A30-Levers!$K$191&gt;=1846,INDEX('Navy plan'!J$6:J$92,$A30-1845-Levers!$K$191),0)</f>
        <v>0</v>
      </c>
      <c r="K30" s="49" t="n">
        <f aca="false">SUM(B30:J30)</f>
        <v>19</v>
      </c>
      <c r="L30" s="56" t="n">
        <f aca="false">0.5*SUMPRODUCT('Navy plan'!B30:J30,'Navy plan'!K30:S30)+0.5*SUMPRODUCT('Navy plan'!B31:J31,'Navy plan'!K31:S31)</f>
        <v>1.2</v>
      </c>
      <c r="M30" s="49" t="n">
        <f aca="false">SUMPRODUCT(B30:J30,Levers!$C$192:$K$192)</f>
        <v>3320</v>
      </c>
      <c r="N30" s="49" t="n">
        <f aca="false">SUMPRODUCT(B30:J30,Levers!$C$195:$K$195)</f>
        <v>3320</v>
      </c>
      <c r="O30" s="49" t="n">
        <f aca="false">N30-M30</f>
        <v>0</v>
      </c>
      <c r="P30" s="56" t="n">
        <f aca="false">M30*sailor_pay*Economy!H30/1000000</f>
        <v>2.8386</v>
      </c>
      <c r="Q30" s="56" t="n">
        <f aca="false">SUMPRODUCT(B30:J30,'Navy plan'!K30:S30)*maint_rate</f>
        <v>0.98</v>
      </c>
      <c r="R30" s="56" t="n">
        <f aca="false">SUMPRODUCT(B30:J30,Levers!$C$193:$K$193)*Economy!H30</f>
        <v>0.589</v>
      </c>
      <c r="S30" s="56" t="n">
        <f aca="false">SUMPRODUCT(B30:J30,Levers!$C$193:$K$193,Levers!$C$194:$K$194)*(1/oil_fuel-1)*Economy!H30</f>
        <v>0</v>
      </c>
      <c r="T30" s="56" t="n">
        <f aca="false">S30+O30*sailor_pay*Economy!H30/1000000</f>
        <v>0</v>
      </c>
      <c r="U30" s="56" t="n">
        <f aca="false">(P30+Q30+R30)*navy_overhead</f>
        <v>0.66114</v>
      </c>
      <c r="V30" s="56" t="n">
        <f aca="false">L30+P30+Q30+R30+U30</f>
        <v>6.26874</v>
      </c>
      <c r="W30" s="72" t="n">
        <f aca="false">Japan!I30</f>
        <v>2</v>
      </c>
      <c r="X30" s="56" t="n">
        <f aca="false">IF($A30&gt;=1927,V30+W30,0)</f>
        <v>0</v>
      </c>
      <c r="Y30" s="56" t="n">
        <f aca="false">IF($A30&gt;=1927,pac_quota*X30,V30)</f>
        <v>6.26874</v>
      </c>
      <c r="Z30" s="70" t="n">
        <f aca="false">SUMPRODUCT(B30:J30,Levers!$C$193:$K$193,Levers!$C$194:$K$194)/0.6</f>
        <v>0</v>
      </c>
      <c r="AA30" s="65" t="n">
        <f aca="false">H30</f>
        <v>0</v>
      </c>
      <c r="AB30" s="49" t="n">
        <f aca="false">AA30+'Navy plan'!T30</f>
        <v>0</v>
      </c>
      <c r="AC30" s="65" t="n">
        <f aca="false">'Navy plan'!U30</f>
        <v>0</v>
      </c>
      <c r="AD30" s="65" t="n">
        <f aca="false">'Navy plan'!V30</f>
        <v>0</v>
      </c>
      <c r="AE30" s="70" t="n">
        <f aca="false">IF(AC30&gt;0,AB30/AC30,0)</f>
        <v>0</v>
      </c>
    </row>
    <row r="31" customFormat="false" ht="14.25" hidden="false" customHeight="true" outlineLevel="0" collapsed="false">
      <c r="A31" s="61" t="n">
        <v>1871</v>
      </c>
      <c r="B31" s="49" t="n">
        <f aca="false">B30+'Navy plan'!B31-IF($A31-Levers!$C$191&gt;=1846,INDEX('Navy plan'!B$6:B$92,$A31-1845-Levers!$C$191),0)</f>
        <v>11</v>
      </c>
      <c r="C31" s="49" t="n">
        <f aca="false">C30+'Navy plan'!C31-IF($A31-Levers!$D$191&gt;=1846,INDEX('Navy plan'!C$6:C$92,$A31-1845-Levers!$D$191),0)</f>
        <v>8</v>
      </c>
      <c r="D31" s="49" t="n">
        <f aca="false">D30+'Navy plan'!D31-IF($A31-Levers!$E$191&gt;=1846,INDEX('Navy plan'!D$6:D$92,$A31-1845-Levers!$E$191),0)</f>
        <v>0</v>
      </c>
      <c r="E31" s="49" t="n">
        <f aca="false">E30+'Navy plan'!E31-IF($A31-Levers!$F$191&gt;=1846,INDEX('Navy plan'!E$6:E$92,$A31-1845-Levers!$F$191),0)</f>
        <v>0</v>
      </c>
      <c r="F31" s="49" t="n">
        <f aca="false">F30+'Navy plan'!F31-IF($A31-Levers!$G$191&gt;=1846,INDEX('Navy plan'!F$6:F$92,$A31-1845-Levers!$G$191),0)</f>
        <v>0</v>
      </c>
      <c r="G31" s="49" t="n">
        <f aca="false">G30+'Navy plan'!G31-IF($A31-Levers!$H$191&gt;=1846,INDEX('Navy plan'!G$6:G$92,$A31-1845-Levers!$H$191),0)</f>
        <v>0</v>
      </c>
      <c r="H31" s="49" t="n">
        <f aca="false">H30+'Navy plan'!H31-IF($A31-Levers!$I$191&gt;=1846,INDEX('Navy plan'!H$6:H$92,$A31-1845-Levers!$I$191),0)</f>
        <v>0</v>
      </c>
      <c r="I31" s="49" t="n">
        <f aca="false">I30+'Navy plan'!I31-IF($A31-Levers!$J$191&gt;=1846,INDEX('Navy plan'!I$6:I$92,$A31-1845-Levers!$J$191),0)</f>
        <v>0</v>
      </c>
      <c r="J31" s="49" t="n">
        <f aca="false">J30+'Navy plan'!J31-IF($A31-Levers!$K$191&gt;=1846,INDEX('Navy plan'!J$6:J$92,$A31-1845-Levers!$K$191),0)</f>
        <v>0</v>
      </c>
      <c r="K31" s="49" t="n">
        <f aca="false">SUM(B31:J31)</f>
        <v>19</v>
      </c>
      <c r="L31" s="56" t="n">
        <f aca="false">0.5*SUMPRODUCT('Navy plan'!B31:J31,'Navy plan'!K31:S31)+0.5*SUMPRODUCT('Navy plan'!B32:J32,'Navy plan'!K32:S32)</f>
        <v>1.45</v>
      </c>
      <c r="M31" s="49" t="n">
        <f aca="false">SUMPRODUCT(B31:J31,Levers!$C$192:$K$192)</f>
        <v>3320</v>
      </c>
      <c r="N31" s="49" t="n">
        <f aca="false">SUMPRODUCT(B31:J31,Levers!$C$195:$K$195)</f>
        <v>3320</v>
      </c>
      <c r="O31" s="49" t="n">
        <f aca="false">N31-M31</f>
        <v>0</v>
      </c>
      <c r="P31" s="56" t="n">
        <f aca="false">M31*sailor_pay*Economy!H31/1000000</f>
        <v>2.796768</v>
      </c>
      <c r="Q31" s="56" t="n">
        <f aca="false">SUMPRODUCT(B31:J31,'Navy plan'!K31:S31)*maint_rate</f>
        <v>0.9935</v>
      </c>
      <c r="R31" s="56" t="n">
        <f aca="false">SUMPRODUCT(B31:J31,Levers!$C$193:$K$193)*Economy!H31</f>
        <v>0.58032</v>
      </c>
      <c r="S31" s="56" t="n">
        <f aca="false">SUMPRODUCT(B31:J31,Levers!$C$193:$K$193,Levers!$C$194:$K$194)*(1/oil_fuel-1)*Economy!H31</f>
        <v>0</v>
      </c>
      <c r="T31" s="56" t="n">
        <f aca="false">S31+O31*sailor_pay*Economy!H31/1000000</f>
        <v>0</v>
      </c>
      <c r="U31" s="56" t="n">
        <f aca="false">(P31+Q31+R31)*navy_overhead</f>
        <v>0.6555882</v>
      </c>
      <c r="V31" s="56" t="n">
        <f aca="false">L31+P31+Q31+R31+U31</f>
        <v>6.4761762</v>
      </c>
      <c r="W31" s="72" t="n">
        <f aca="false">Japan!I31</f>
        <v>2.2</v>
      </c>
      <c r="X31" s="56" t="n">
        <f aca="false">IF($A31&gt;=1927,V31+W31,0)</f>
        <v>0</v>
      </c>
      <c r="Y31" s="56" t="n">
        <f aca="false">IF($A31&gt;=1927,pac_quota*X31,V31)</f>
        <v>6.4761762</v>
      </c>
      <c r="Z31" s="70" t="n">
        <f aca="false">SUMPRODUCT(B31:J31,Levers!$C$193:$K$193,Levers!$C$194:$K$194)/0.6</f>
        <v>0</v>
      </c>
      <c r="AA31" s="65" t="n">
        <f aca="false">H31</f>
        <v>0</v>
      </c>
      <c r="AB31" s="49" t="n">
        <f aca="false">AA31+'Navy plan'!T31</f>
        <v>0</v>
      </c>
      <c r="AC31" s="65" t="n">
        <f aca="false">'Navy plan'!U31</f>
        <v>0</v>
      </c>
      <c r="AD31" s="65" t="n">
        <f aca="false">'Navy plan'!V31</f>
        <v>0</v>
      </c>
      <c r="AE31" s="70" t="n">
        <f aca="false">IF(AC31&gt;0,AB31/AC31,0)</f>
        <v>0</v>
      </c>
    </row>
    <row r="32" customFormat="false" ht="14.25" hidden="false" customHeight="true" outlineLevel="0" collapsed="false">
      <c r="A32" s="61" t="n">
        <v>1872</v>
      </c>
      <c r="B32" s="49" t="n">
        <f aca="false">B31+'Navy plan'!B32-IF($A32-Levers!$C$191&gt;=1846,INDEX('Navy plan'!B$6:B$92,$A32-1845-Levers!$C$191),0)</f>
        <v>12</v>
      </c>
      <c r="C32" s="49" t="n">
        <f aca="false">C31+'Navy plan'!C32-IF($A32-Levers!$D$191&gt;=1846,INDEX('Navy plan'!C$6:C$92,$A32-1845-Levers!$D$191),0)</f>
        <v>9</v>
      </c>
      <c r="D32" s="49" t="n">
        <f aca="false">D31+'Navy plan'!D32-IF($A32-Levers!$E$191&gt;=1846,INDEX('Navy plan'!D$6:D$92,$A32-1845-Levers!$E$191),0)</f>
        <v>0</v>
      </c>
      <c r="E32" s="49" t="n">
        <f aca="false">E31+'Navy plan'!E32-IF($A32-Levers!$F$191&gt;=1846,INDEX('Navy plan'!E$6:E$92,$A32-1845-Levers!$F$191),0)</f>
        <v>0</v>
      </c>
      <c r="F32" s="49" t="n">
        <f aca="false">F31+'Navy plan'!F32-IF($A32-Levers!$G$191&gt;=1846,INDEX('Navy plan'!F$6:F$92,$A32-1845-Levers!$G$191),0)</f>
        <v>0</v>
      </c>
      <c r="G32" s="49" t="n">
        <f aca="false">G31+'Navy plan'!G32-IF($A32-Levers!$H$191&gt;=1846,INDEX('Navy plan'!G$6:G$92,$A32-1845-Levers!$H$191),0)</f>
        <v>0</v>
      </c>
      <c r="H32" s="49" t="n">
        <f aca="false">H31+'Navy plan'!H32-IF($A32-Levers!$I$191&gt;=1846,INDEX('Navy plan'!H$6:H$92,$A32-1845-Levers!$I$191),0)</f>
        <v>0</v>
      </c>
      <c r="I32" s="49" t="n">
        <f aca="false">I31+'Navy plan'!I32-IF($A32-Levers!$J$191&gt;=1846,INDEX('Navy plan'!I$6:I$92,$A32-1845-Levers!$J$191),0)</f>
        <v>0</v>
      </c>
      <c r="J32" s="49" t="n">
        <f aca="false">J31+'Navy plan'!J32-IF($A32-Levers!$K$191&gt;=1846,INDEX('Navy plan'!J$6:J$92,$A32-1845-Levers!$K$191),0)</f>
        <v>0</v>
      </c>
      <c r="K32" s="49" t="n">
        <f aca="false">SUM(B32:J32)</f>
        <v>21</v>
      </c>
      <c r="L32" s="56" t="n">
        <f aca="false">0.5*SUMPRODUCT('Navy plan'!B32:J32,'Navy plan'!K32:S32)+0.5*SUMPRODUCT('Navy plan'!B33:J33,'Navy plan'!K33:S33)</f>
        <v>1.45</v>
      </c>
      <c r="M32" s="49" t="n">
        <f aca="false">SUMPRODUCT(B32:J32,Levers!$C$192:$K$192)</f>
        <v>3690</v>
      </c>
      <c r="N32" s="49" t="n">
        <f aca="false">SUMPRODUCT(B32:J32,Levers!$C$195:$K$195)</f>
        <v>3690</v>
      </c>
      <c r="O32" s="49" t="n">
        <f aca="false">N32-M32</f>
        <v>0</v>
      </c>
      <c r="P32" s="56" t="n">
        <f aca="false">M32*sailor_pay*Economy!H32/1000000</f>
        <v>3.061962</v>
      </c>
      <c r="Q32" s="56" t="n">
        <f aca="false">SUMPRODUCT(B32:J32,'Navy plan'!K32:S32)*maint_rate</f>
        <v>1.11</v>
      </c>
      <c r="R32" s="56" t="n">
        <f aca="false">SUMPRODUCT(B32:J32,Levers!$C$193:$K$193)*Economy!H32</f>
        <v>0.63618</v>
      </c>
      <c r="S32" s="56" t="n">
        <f aca="false">SUMPRODUCT(B32:J32,Levers!$C$193:$K$193,Levers!$C$194:$K$194)*(1/oil_fuel-1)*Economy!H32</f>
        <v>0</v>
      </c>
      <c r="T32" s="56" t="n">
        <f aca="false">S32+O32*sailor_pay*Economy!H32/1000000</f>
        <v>0</v>
      </c>
      <c r="U32" s="56" t="n">
        <f aca="false">(P32+Q32+R32)*navy_overhead</f>
        <v>0.7212213</v>
      </c>
      <c r="V32" s="56" t="n">
        <f aca="false">L32+P32+Q32+R32+U32</f>
        <v>6.9793633</v>
      </c>
      <c r="W32" s="72" t="n">
        <f aca="false">Japan!I32</f>
        <v>2.4</v>
      </c>
      <c r="X32" s="56" t="n">
        <f aca="false">IF($A32&gt;=1927,V32+W32,0)</f>
        <v>0</v>
      </c>
      <c r="Y32" s="56" t="n">
        <f aca="false">IF($A32&gt;=1927,pac_quota*X32,V32)</f>
        <v>6.9793633</v>
      </c>
      <c r="Z32" s="70" t="n">
        <f aca="false">SUMPRODUCT(B32:J32,Levers!$C$193:$K$193,Levers!$C$194:$K$194)/0.6</f>
        <v>0</v>
      </c>
      <c r="AA32" s="65" t="n">
        <f aca="false">H32</f>
        <v>0</v>
      </c>
      <c r="AB32" s="49" t="n">
        <f aca="false">AA32+'Navy plan'!T32</f>
        <v>0</v>
      </c>
      <c r="AC32" s="65" t="n">
        <f aca="false">'Navy plan'!U32</f>
        <v>0</v>
      </c>
      <c r="AD32" s="65" t="n">
        <f aca="false">'Navy plan'!V32</f>
        <v>0</v>
      </c>
      <c r="AE32" s="70" t="n">
        <f aca="false">IF(AC32&gt;0,AB32/AC32,0)</f>
        <v>0</v>
      </c>
    </row>
    <row r="33" customFormat="false" ht="14.25" hidden="false" customHeight="true" outlineLevel="0" collapsed="false">
      <c r="A33" s="61" t="n">
        <v>1873</v>
      </c>
      <c r="B33" s="49" t="n">
        <f aca="false">B32+'Navy plan'!B33-IF($A33-Levers!$C$191&gt;=1846,INDEX('Navy plan'!B$6:B$92,$A33-1845-Levers!$C$191),0)</f>
        <v>12</v>
      </c>
      <c r="C33" s="49" t="n">
        <f aca="false">C32+'Navy plan'!C33-IF($A33-Levers!$D$191&gt;=1846,INDEX('Navy plan'!C$6:C$92,$A33-1845-Levers!$D$191),0)</f>
        <v>9</v>
      </c>
      <c r="D33" s="49" t="n">
        <f aca="false">D32+'Navy plan'!D33-IF($A33-Levers!$E$191&gt;=1846,INDEX('Navy plan'!D$6:D$92,$A33-1845-Levers!$E$191),0)</f>
        <v>0</v>
      </c>
      <c r="E33" s="49" t="n">
        <f aca="false">E32+'Navy plan'!E33-IF($A33-Levers!$F$191&gt;=1846,INDEX('Navy plan'!E$6:E$92,$A33-1845-Levers!$F$191),0)</f>
        <v>0</v>
      </c>
      <c r="F33" s="49" t="n">
        <f aca="false">F32+'Navy plan'!F33-IF($A33-Levers!$G$191&gt;=1846,INDEX('Navy plan'!F$6:F$92,$A33-1845-Levers!$G$191),0)</f>
        <v>0</v>
      </c>
      <c r="G33" s="49" t="n">
        <f aca="false">G32+'Navy plan'!G33-IF($A33-Levers!$H$191&gt;=1846,INDEX('Navy plan'!G$6:G$92,$A33-1845-Levers!$H$191),0)</f>
        <v>0</v>
      </c>
      <c r="H33" s="49" t="n">
        <f aca="false">H32+'Navy plan'!H33-IF($A33-Levers!$I$191&gt;=1846,INDEX('Navy plan'!H$6:H$92,$A33-1845-Levers!$I$191),0)</f>
        <v>0</v>
      </c>
      <c r="I33" s="49" t="n">
        <f aca="false">I32+'Navy plan'!I33-IF($A33-Levers!$J$191&gt;=1846,INDEX('Navy plan'!I$6:I$92,$A33-1845-Levers!$J$191),0)</f>
        <v>0</v>
      </c>
      <c r="J33" s="49" t="n">
        <f aca="false">J32+'Navy plan'!J33-IF($A33-Levers!$K$191&gt;=1846,INDEX('Navy plan'!J$6:J$92,$A33-1845-Levers!$K$191),0)</f>
        <v>0</v>
      </c>
      <c r="K33" s="49" t="n">
        <f aca="false">SUM(B33:J33)</f>
        <v>21</v>
      </c>
      <c r="L33" s="56" t="n">
        <f aca="false">0.5*SUMPRODUCT('Navy plan'!B33:J33,'Navy plan'!K33:S33)+0.5*SUMPRODUCT('Navy plan'!B34:J34,'Navy plan'!K34:S34)</f>
        <v>0</v>
      </c>
      <c r="M33" s="49" t="n">
        <f aca="false">SUMPRODUCT(B33:J33,Levers!$C$192:$K$192)</f>
        <v>3690</v>
      </c>
      <c r="N33" s="49" t="n">
        <f aca="false">SUMPRODUCT(B33:J33,Levers!$C$195:$K$195)</f>
        <v>3690</v>
      </c>
      <c r="O33" s="49" t="n">
        <f aca="false">N33-M33</f>
        <v>0</v>
      </c>
      <c r="P33" s="56" t="n">
        <f aca="false">M33*sailor_pay*Economy!H33/1000000</f>
        <v>3.015468</v>
      </c>
      <c r="Q33" s="56" t="n">
        <f aca="false">SUMPRODUCT(B33:J33,'Navy plan'!K33:S33)*maint_rate</f>
        <v>1.125</v>
      </c>
      <c r="R33" s="56" t="n">
        <f aca="false">SUMPRODUCT(B33:J33,Levers!$C$193:$K$193)*Economy!H33</f>
        <v>0.62652</v>
      </c>
      <c r="S33" s="56" t="n">
        <f aca="false">SUMPRODUCT(B33:J33,Levers!$C$193:$K$193,Levers!$C$194:$K$194)*(1/oil_fuel-1)*Economy!H33</f>
        <v>0</v>
      </c>
      <c r="T33" s="56" t="n">
        <f aca="false">S33+O33*sailor_pay*Economy!H33/1000000</f>
        <v>0</v>
      </c>
      <c r="U33" s="56" t="n">
        <f aca="false">(P33+Q33+R33)*navy_overhead</f>
        <v>0.7150482</v>
      </c>
      <c r="V33" s="56" t="n">
        <f aca="false">L33+P33+Q33+R33+U33</f>
        <v>5.4820362</v>
      </c>
      <c r="W33" s="72" t="n">
        <f aca="false">Japan!I33</f>
        <v>2.6</v>
      </c>
      <c r="X33" s="56" t="n">
        <f aca="false">IF($A33&gt;=1927,V33+W33,0)</f>
        <v>0</v>
      </c>
      <c r="Y33" s="56" t="n">
        <f aca="false">IF($A33&gt;=1927,pac_quota*X33,V33)</f>
        <v>5.4820362</v>
      </c>
      <c r="Z33" s="70" t="n">
        <f aca="false">SUMPRODUCT(B33:J33,Levers!$C$193:$K$193,Levers!$C$194:$K$194)/0.6</f>
        <v>0</v>
      </c>
      <c r="AA33" s="65" t="n">
        <f aca="false">H33</f>
        <v>0</v>
      </c>
      <c r="AB33" s="49" t="n">
        <f aca="false">AA33+'Navy plan'!T33</f>
        <v>0</v>
      </c>
      <c r="AC33" s="65" t="n">
        <f aca="false">'Navy plan'!U33</f>
        <v>0</v>
      </c>
      <c r="AD33" s="65" t="n">
        <f aca="false">'Navy plan'!V33</f>
        <v>0</v>
      </c>
      <c r="AE33" s="70" t="n">
        <f aca="false">IF(AC33&gt;0,AB33/AC33,0)</f>
        <v>0</v>
      </c>
    </row>
    <row r="34" customFormat="false" ht="14.25" hidden="false" customHeight="true" outlineLevel="0" collapsed="false">
      <c r="A34" s="61" t="n">
        <v>1874</v>
      </c>
      <c r="B34" s="49" t="n">
        <f aca="false">B33+'Navy plan'!B34-IF($A34-Levers!$C$191&gt;=1846,INDEX('Navy plan'!B$6:B$92,$A34-1845-Levers!$C$191),0)</f>
        <v>12</v>
      </c>
      <c r="C34" s="49" t="n">
        <f aca="false">C33+'Navy plan'!C34-IF($A34-Levers!$D$191&gt;=1846,INDEX('Navy plan'!C$6:C$92,$A34-1845-Levers!$D$191),0)</f>
        <v>9</v>
      </c>
      <c r="D34" s="49" t="n">
        <f aca="false">D33+'Navy plan'!D34-IF($A34-Levers!$E$191&gt;=1846,INDEX('Navy plan'!D$6:D$92,$A34-1845-Levers!$E$191),0)</f>
        <v>0</v>
      </c>
      <c r="E34" s="49" t="n">
        <f aca="false">E33+'Navy plan'!E34-IF($A34-Levers!$F$191&gt;=1846,INDEX('Navy plan'!E$6:E$92,$A34-1845-Levers!$F$191),0)</f>
        <v>0</v>
      </c>
      <c r="F34" s="49" t="n">
        <f aca="false">F33+'Navy plan'!F34-IF($A34-Levers!$G$191&gt;=1846,INDEX('Navy plan'!F$6:F$92,$A34-1845-Levers!$G$191),0)</f>
        <v>0</v>
      </c>
      <c r="G34" s="49" t="n">
        <f aca="false">G33+'Navy plan'!G34-IF($A34-Levers!$H$191&gt;=1846,INDEX('Navy plan'!G$6:G$92,$A34-1845-Levers!$H$191),0)</f>
        <v>0</v>
      </c>
      <c r="H34" s="49" t="n">
        <f aca="false">H33+'Navy plan'!H34-IF($A34-Levers!$I$191&gt;=1846,INDEX('Navy plan'!H$6:H$92,$A34-1845-Levers!$I$191),0)</f>
        <v>0</v>
      </c>
      <c r="I34" s="49" t="n">
        <f aca="false">I33+'Navy plan'!I34-IF($A34-Levers!$J$191&gt;=1846,INDEX('Navy plan'!I$6:I$92,$A34-1845-Levers!$J$191),0)</f>
        <v>0</v>
      </c>
      <c r="J34" s="49" t="n">
        <f aca="false">J33+'Navy plan'!J34-IF($A34-Levers!$K$191&gt;=1846,INDEX('Navy plan'!J$6:J$92,$A34-1845-Levers!$K$191),0)</f>
        <v>0</v>
      </c>
      <c r="K34" s="49" t="n">
        <f aca="false">SUM(B34:J34)</f>
        <v>21</v>
      </c>
      <c r="L34" s="56" t="n">
        <f aca="false">0.5*SUMPRODUCT('Navy plan'!B34:J34,'Navy plan'!K34:S34)+0.5*SUMPRODUCT('Navy plan'!B35:J35,'Navy plan'!K35:S35)</f>
        <v>1.525</v>
      </c>
      <c r="M34" s="49" t="n">
        <f aca="false">SUMPRODUCT(B34:J34,Levers!$C$192:$K$192)</f>
        <v>3690</v>
      </c>
      <c r="N34" s="49" t="n">
        <f aca="false">SUMPRODUCT(B34:J34,Levers!$C$195:$K$195)</f>
        <v>3690</v>
      </c>
      <c r="O34" s="49" t="n">
        <f aca="false">N34-M34</f>
        <v>0</v>
      </c>
      <c r="P34" s="56" t="n">
        <f aca="false">M34*sailor_pay*Economy!H34/1000000</f>
        <v>2.968974</v>
      </c>
      <c r="Q34" s="56" t="n">
        <f aca="false">SUMPRODUCT(B34:J34,'Navy plan'!K34:S34)*maint_rate</f>
        <v>1.14</v>
      </c>
      <c r="R34" s="56" t="n">
        <f aca="false">SUMPRODUCT(B34:J34,Levers!$C$193:$K$193)*Economy!H34</f>
        <v>0.61686</v>
      </c>
      <c r="S34" s="56" t="n">
        <f aca="false">SUMPRODUCT(B34:J34,Levers!$C$193:$K$193,Levers!$C$194:$K$194)*(1/oil_fuel-1)*Economy!H34</f>
        <v>0</v>
      </c>
      <c r="T34" s="56" t="n">
        <f aca="false">S34+O34*sailor_pay*Economy!H34/1000000</f>
        <v>0</v>
      </c>
      <c r="U34" s="56" t="n">
        <f aca="false">(P34+Q34+R34)*navy_overhead</f>
        <v>0.7088751</v>
      </c>
      <c r="V34" s="56" t="n">
        <f aca="false">L34+P34+Q34+R34+U34</f>
        <v>6.9597091</v>
      </c>
      <c r="W34" s="72" t="n">
        <f aca="false">Japan!I34</f>
        <v>2.8</v>
      </c>
      <c r="X34" s="56" t="n">
        <f aca="false">IF($A34&gt;=1927,V34+W34,0)</f>
        <v>0</v>
      </c>
      <c r="Y34" s="56" t="n">
        <f aca="false">IF($A34&gt;=1927,pac_quota*X34,V34)</f>
        <v>6.9597091</v>
      </c>
      <c r="Z34" s="70" t="n">
        <f aca="false">SUMPRODUCT(B34:J34,Levers!$C$193:$K$193,Levers!$C$194:$K$194)/0.6</f>
        <v>0</v>
      </c>
      <c r="AA34" s="65" t="n">
        <f aca="false">H34</f>
        <v>0</v>
      </c>
      <c r="AB34" s="49" t="n">
        <f aca="false">AA34+'Navy plan'!T34</f>
        <v>0</v>
      </c>
      <c r="AC34" s="65" t="n">
        <f aca="false">'Navy plan'!U34</f>
        <v>0</v>
      </c>
      <c r="AD34" s="65" t="n">
        <f aca="false">'Navy plan'!V34</f>
        <v>0</v>
      </c>
      <c r="AE34" s="70" t="n">
        <f aca="false">IF(AC34&gt;0,AB34/AC34,0)</f>
        <v>0</v>
      </c>
    </row>
    <row r="35" customFormat="false" ht="14.25" hidden="false" customHeight="true" outlineLevel="0" collapsed="false">
      <c r="A35" s="61" t="n">
        <v>1875</v>
      </c>
      <c r="B35" s="49" t="n">
        <f aca="false">B34+'Navy plan'!B35-IF($A35-Levers!$C$191&gt;=1846,INDEX('Navy plan'!B$6:B$92,$A35-1845-Levers!$C$191),0)</f>
        <v>13</v>
      </c>
      <c r="C35" s="49" t="n">
        <f aca="false">C34+'Navy plan'!C35-IF($A35-Levers!$D$191&gt;=1846,INDEX('Navy plan'!C$6:C$92,$A35-1845-Levers!$D$191),0)</f>
        <v>10</v>
      </c>
      <c r="D35" s="49" t="n">
        <f aca="false">D34+'Navy plan'!D35-IF($A35-Levers!$E$191&gt;=1846,INDEX('Navy plan'!D$6:D$92,$A35-1845-Levers!$E$191),0)</f>
        <v>0</v>
      </c>
      <c r="E35" s="49" t="n">
        <f aca="false">E34+'Navy plan'!E35-IF($A35-Levers!$F$191&gt;=1846,INDEX('Navy plan'!E$6:E$92,$A35-1845-Levers!$F$191),0)</f>
        <v>0</v>
      </c>
      <c r="F35" s="49" t="n">
        <f aca="false">F34+'Navy plan'!F35-IF($A35-Levers!$G$191&gt;=1846,INDEX('Navy plan'!F$6:F$92,$A35-1845-Levers!$G$191),0)</f>
        <v>0</v>
      </c>
      <c r="G35" s="49" t="n">
        <f aca="false">G34+'Navy plan'!G35-IF($A35-Levers!$H$191&gt;=1846,INDEX('Navy plan'!G$6:G$92,$A35-1845-Levers!$H$191),0)</f>
        <v>0</v>
      </c>
      <c r="H35" s="49" t="n">
        <f aca="false">H34+'Navy plan'!H35-IF($A35-Levers!$I$191&gt;=1846,INDEX('Navy plan'!H$6:H$92,$A35-1845-Levers!$I$191),0)</f>
        <v>0</v>
      </c>
      <c r="I35" s="49" t="n">
        <f aca="false">I34+'Navy plan'!I35-IF($A35-Levers!$J$191&gt;=1846,INDEX('Navy plan'!I$6:I$92,$A35-1845-Levers!$J$191),0)</f>
        <v>0</v>
      </c>
      <c r="J35" s="49" t="n">
        <f aca="false">J34+'Navy plan'!J35-IF($A35-Levers!$K$191&gt;=1846,INDEX('Navy plan'!J$6:J$92,$A35-1845-Levers!$K$191),0)</f>
        <v>0</v>
      </c>
      <c r="K35" s="49" t="n">
        <f aca="false">SUM(B35:J35)</f>
        <v>23</v>
      </c>
      <c r="L35" s="56" t="n">
        <f aca="false">0.5*SUMPRODUCT('Navy plan'!B35:J35,'Navy plan'!K35:S35)+0.5*SUMPRODUCT('Navy plan'!B36:J36,'Navy plan'!K36:S36)</f>
        <v>1.525</v>
      </c>
      <c r="M35" s="49" t="n">
        <f aca="false">SUMPRODUCT(B35:J35,Levers!$C$192:$K$192)</f>
        <v>4060</v>
      </c>
      <c r="N35" s="49" t="n">
        <f aca="false">SUMPRODUCT(B35:J35,Levers!$C$195:$K$195)</f>
        <v>4060</v>
      </c>
      <c r="O35" s="49" t="n">
        <f aca="false">N35-M35</f>
        <v>0</v>
      </c>
      <c r="P35" s="56" t="n">
        <f aca="false">M35*sailor_pay*Economy!H35/1000000</f>
        <v>3.21552</v>
      </c>
      <c r="Q35" s="56" t="n">
        <f aca="false">SUMPRODUCT(B35:J35,'Navy plan'!K35:S35)*maint_rate</f>
        <v>1.2625</v>
      </c>
      <c r="R35" s="56" t="n">
        <f aca="false">SUMPRODUCT(B35:J35,Levers!$C$193:$K$193)*Economy!H35</f>
        <v>0.6688</v>
      </c>
      <c r="S35" s="56" t="n">
        <f aca="false">SUMPRODUCT(B35:J35,Levers!$C$193:$K$193,Levers!$C$194:$K$194)*(1/oil_fuel-1)*Economy!H35</f>
        <v>0</v>
      </c>
      <c r="T35" s="56" t="n">
        <f aca="false">S35+O35*sailor_pay*Economy!H35/1000000</f>
        <v>0</v>
      </c>
      <c r="U35" s="56" t="n">
        <f aca="false">(P35+Q35+R35)*navy_overhead</f>
        <v>0.772023</v>
      </c>
      <c r="V35" s="56" t="n">
        <f aca="false">L35+P35+Q35+R35+U35</f>
        <v>7.443843</v>
      </c>
      <c r="W35" s="72" t="n">
        <f aca="false">Japan!I35</f>
        <v>3</v>
      </c>
      <c r="X35" s="56" t="n">
        <f aca="false">IF($A35&gt;=1927,V35+W35,0)</f>
        <v>0</v>
      </c>
      <c r="Y35" s="56" t="n">
        <f aca="false">IF($A35&gt;=1927,pac_quota*X35,V35)</f>
        <v>7.443843</v>
      </c>
      <c r="Z35" s="70" t="n">
        <f aca="false">SUMPRODUCT(B35:J35,Levers!$C$193:$K$193,Levers!$C$194:$K$194)/0.6</f>
        <v>0</v>
      </c>
      <c r="AA35" s="65" t="n">
        <f aca="false">H35</f>
        <v>0</v>
      </c>
      <c r="AB35" s="49" t="n">
        <f aca="false">AA35+'Navy plan'!T35</f>
        <v>0</v>
      </c>
      <c r="AC35" s="65" t="n">
        <f aca="false">'Navy plan'!U35</f>
        <v>0</v>
      </c>
      <c r="AD35" s="65" t="n">
        <f aca="false">'Navy plan'!V35</f>
        <v>0</v>
      </c>
      <c r="AE35" s="70" t="n">
        <f aca="false">IF(AC35&gt;0,AB35/AC35,0)</f>
        <v>0</v>
      </c>
    </row>
    <row r="36" customFormat="false" ht="14.25" hidden="false" customHeight="true" outlineLevel="0" collapsed="false">
      <c r="A36" s="61" t="n">
        <v>1876</v>
      </c>
      <c r="B36" s="49" t="n">
        <f aca="false">B35+'Navy plan'!B36-IF($A36-Levers!$C$191&gt;=1846,INDEX('Navy plan'!B$6:B$92,$A36-1845-Levers!$C$191),0)</f>
        <v>13</v>
      </c>
      <c r="C36" s="49" t="n">
        <f aca="false">C35+'Navy plan'!C36-IF($A36-Levers!$D$191&gt;=1846,INDEX('Navy plan'!C$6:C$92,$A36-1845-Levers!$D$191),0)</f>
        <v>10</v>
      </c>
      <c r="D36" s="49" t="n">
        <f aca="false">D35+'Navy plan'!D36-IF($A36-Levers!$E$191&gt;=1846,INDEX('Navy plan'!D$6:D$92,$A36-1845-Levers!$E$191),0)</f>
        <v>0</v>
      </c>
      <c r="E36" s="49" t="n">
        <f aca="false">E35+'Navy plan'!E36-IF($A36-Levers!$F$191&gt;=1846,INDEX('Navy plan'!E$6:E$92,$A36-1845-Levers!$F$191),0)</f>
        <v>0</v>
      </c>
      <c r="F36" s="49" t="n">
        <f aca="false">F35+'Navy plan'!F36-IF($A36-Levers!$G$191&gt;=1846,INDEX('Navy plan'!F$6:F$92,$A36-1845-Levers!$G$191),0)</f>
        <v>0</v>
      </c>
      <c r="G36" s="49" t="n">
        <f aca="false">G35+'Navy plan'!G36-IF($A36-Levers!$H$191&gt;=1846,INDEX('Navy plan'!G$6:G$92,$A36-1845-Levers!$H$191),0)</f>
        <v>0</v>
      </c>
      <c r="H36" s="49" t="n">
        <f aca="false">H35+'Navy plan'!H36-IF($A36-Levers!$I$191&gt;=1846,INDEX('Navy plan'!H$6:H$92,$A36-1845-Levers!$I$191),0)</f>
        <v>0</v>
      </c>
      <c r="I36" s="49" t="n">
        <f aca="false">I35+'Navy plan'!I36-IF($A36-Levers!$J$191&gt;=1846,INDEX('Navy plan'!I$6:I$92,$A36-1845-Levers!$J$191),0)</f>
        <v>0</v>
      </c>
      <c r="J36" s="49" t="n">
        <f aca="false">J35+'Navy plan'!J36-IF($A36-Levers!$K$191&gt;=1846,INDEX('Navy plan'!J$6:J$92,$A36-1845-Levers!$K$191),0)</f>
        <v>0</v>
      </c>
      <c r="K36" s="49" t="n">
        <f aca="false">SUM(B36:J36)</f>
        <v>23</v>
      </c>
      <c r="L36" s="56" t="n">
        <f aca="false">0.5*SUMPRODUCT('Navy plan'!B36:J36,'Navy plan'!K36:S36)+0.5*SUMPRODUCT('Navy plan'!B37:J37,'Navy plan'!K37:S37)</f>
        <v>0</v>
      </c>
      <c r="M36" s="49" t="n">
        <f aca="false">SUMPRODUCT(B36:J36,Levers!$C$192:$K$192)</f>
        <v>4060</v>
      </c>
      <c r="N36" s="49" t="n">
        <f aca="false">SUMPRODUCT(B36:J36,Levers!$C$195:$K$195)</f>
        <v>4060</v>
      </c>
      <c r="O36" s="49" t="n">
        <f aca="false">N36-M36</f>
        <v>0</v>
      </c>
      <c r="P36" s="56" t="n">
        <f aca="false">M36*sailor_pay*Economy!H36/1000000</f>
        <v>3.157056</v>
      </c>
      <c r="Q36" s="56" t="n">
        <f aca="false">SUMPRODUCT(B36:J36,'Navy plan'!K36:S36)*maint_rate</f>
        <v>1.279</v>
      </c>
      <c r="R36" s="56" t="n">
        <f aca="false">SUMPRODUCT(B36:J36,Levers!$C$193:$K$193)*Economy!H36</f>
        <v>0.65664</v>
      </c>
      <c r="S36" s="56" t="n">
        <f aca="false">SUMPRODUCT(B36:J36,Levers!$C$193:$K$193,Levers!$C$194:$K$194)*(1/oil_fuel-1)*Economy!H36</f>
        <v>0</v>
      </c>
      <c r="T36" s="56" t="n">
        <f aca="false">S36+O36*sailor_pay*Economy!H36/1000000</f>
        <v>0</v>
      </c>
      <c r="U36" s="56" t="n">
        <f aca="false">(P36+Q36+R36)*navy_overhead</f>
        <v>0.7639044</v>
      </c>
      <c r="V36" s="56" t="n">
        <f aca="false">L36+P36+Q36+R36+U36</f>
        <v>5.8566004</v>
      </c>
      <c r="W36" s="72" t="n">
        <f aca="false">Japan!I36</f>
        <v>3.2</v>
      </c>
      <c r="X36" s="56" t="n">
        <f aca="false">IF($A36&gt;=1927,V36+W36,0)</f>
        <v>0</v>
      </c>
      <c r="Y36" s="56" t="n">
        <f aca="false">IF($A36&gt;=1927,pac_quota*X36,V36)</f>
        <v>5.8566004</v>
      </c>
      <c r="Z36" s="70" t="n">
        <f aca="false">SUMPRODUCT(B36:J36,Levers!$C$193:$K$193,Levers!$C$194:$K$194)/0.6</f>
        <v>0</v>
      </c>
      <c r="AA36" s="65" t="n">
        <f aca="false">H36</f>
        <v>0</v>
      </c>
      <c r="AB36" s="49" t="n">
        <f aca="false">AA36+'Navy plan'!T36</f>
        <v>0</v>
      </c>
      <c r="AC36" s="65" t="n">
        <f aca="false">'Navy plan'!U36</f>
        <v>0</v>
      </c>
      <c r="AD36" s="65" t="n">
        <f aca="false">'Navy plan'!V36</f>
        <v>0</v>
      </c>
      <c r="AE36" s="70" t="n">
        <f aca="false">IF(AC36&gt;0,AB36/AC36,0)</f>
        <v>0</v>
      </c>
    </row>
    <row r="37" customFormat="false" ht="14.25" hidden="false" customHeight="true" outlineLevel="0" collapsed="false">
      <c r="A37" s="61" t="n">
        <v>1877</v>
      </c>
      <c r="B37" s="49" t="n">
        <f aca="false">B36+'Navy plan'!B37-IF($A37-Levers!$C$191&gt;=1846,INDEX('Navy plan'!B$6:B$92,$A37-1845-Levers!$C$191),0)</f>
        <v>13</v>
      </c>
      <c r="C37" s="49" t="n">
        <f aca="false">C36+'Navy plan'!C37-IF($A37-Levers!$D$191&gt;=1846,INDEX('Navy plan'!C$6:C$92,$A37-1845-Levers!$D$191),0)</f>
        <v>10</v>
      </c>
      <c r="D37" s="49" t="n">
        <f aca="false">D36+'Navy plan'!D37-IF($A37-Levers!$E$191&gt;=1846,INDEX('Navy plan'!D$6:D$92,$A37-1845-Levers!$E$191),0)</f>
        <v>0</v>
      </c>
      <c r="E37" s="49" t="n">
        <f aca="false">E36+'Navy plan'!E37-IF($A37-Levers!$F$191&gt;=1846,INDEX('Navy plan'!E$6:E$92,$A37-1845-Levers!$F$191),0)</f>
        <v>0</v>
      </c>
      <c r="F37" s="49" t="n">
        <f aca="false">F36+'Navy plan'!F37-IF($A37-Levers!$G$191&gt;=1846,INDEX('Navy plan'!F$6:F$92,$A37-1845-Levers!$G$191),0)</f>
        <v>0</v>
      </c>
      <c r="G37" s="49" t="n">
        <f aca="false">G36+'Navy plan'!G37-IF($A37-Levers!$H$191&gt;=1846,INDEX('Navy plan'!G$6:G$92,$A37-1845-Levers!$H$191),0)</f>
        <v>0</v>
      </c>
      <c r="H37" s="49" t="n">
        <f aca="false">H36+'Navy plan'!H37-IF($A37-Levers!$I$191&gt;=1846,INDEX('Navy plan'!H$6:H$92,$A37-1845-Levers!$I$191),0)</f>
        <v>0</v>
      </c>
      <c r="I37" s="49" t="n">
        <f aca="false">I36+'Navy plan'!I37-IF($A37-Levers!$J$191&gt;=1846,INDEX('Navy plan'!I$6:I$92,$A37-1845-Levers!$J$191),0)</f>
        <v>0</v>
      </c>
      <c r="J37" s="49" t="n">
        <f aca="false">J36+'Navy plan'!J37-IF($A37-Levers!$K$191&gt;=1846,INDEX('Navy plan'!J$6:J$92,$A37-1845-Levers!$K$191),0)</f>
        <v>0</v>
      </c>
      <c r="K37" s="49" t="n">
        <f aca="false">SUM(B37:J37)</f>
        <v>23</v>
      </c>
      <c r="L37" s="56" t="n">
        <f aca="false">0.5*SUMPRODUCT('Navy plan'!B37:J37,'Navy plan'!K37:S37)+0.5*SUMPRODUCT('Navy plan'!B38:J38,'Navy plan'!K38:S38)</f>
        <v>1.6</v>
      </c>
      <c r="M37" s="49" t="n">
        <f aca="false">SUMPRODUCT(B37:J37,Levers!$C$192:$K$192)</f>
        <v>4060</v>
      </c>
      <c r="N37" s="49" t="n">
        <f aca="false">SUMPRODUCT(B37:J37,Levers!$C$195:$K$195)</f>
        <v>4060</v>
      </c>
      <c r="O37" s="49" t="n">
        <f aca="false">N37-M37</f>
        <v>0</v>
      </c>
      <c r="P37" s="56" t="n">
        <f aca="false">M37*sailor_pay*Economy!H37/1000000</f>
        <v>3.098592</v>
      </c>
      <c r="Q37" s="56" t="n">
        <f aca="false">SUMPRODUCT(B37:J37,'Navy plan'!K37:S37)*maint_rate</f>
        <v>1.2955</v>
      </c>
      <c r="R37" s="56" t="n">
        <f aca="false">SUMPRODUCT(B37:J37,Levers!$C$193:$K$193)*Economy!H37</f>
        <v>0.64448</v>
      </c>
      <c r="S37" s="56" t="n">
        <f aca="false">SUMPRODUCT(B37:J37,Levers!$C$193:$K$193,Levers!$C$194:$K$194)*(1/oil_fuel-1)*Economy!H37</f>
        <v>0</v>
      </c>
      <c r="T37" s="56" t="n">
        <f aca="false">S37+O37*sailor_pay*Economy!H37/1000000</f>
        <v>0</v>
      </c>
      <c r="U37" s="56" t="n">
        <f aca="false">(P37+Q37+R37)*navy_overhead</f>
        <v>0.7557858</v>
      </c>
      <c r="V37" s="56" t="n">
        <f aca="false">L37+P37+Q37+R37+U37</f>
        <v>7.3943578</v>
      </c>
      <c r="W37" s="72" t="n">
        <f aca="false">Japan!I37</f>
        <v>3.4</v>
      </c>
      <c r="X37" s="56" t="n">
        <f aca="false">IF($A37&gt;=1927,V37+W37,0)</f>
        <v>0</v>
      </c>
      <c r="Y37" s="56" t="n">
        <f aca="false">IF($A37&gt;=1927,pac_quota*X37,V37)</f>
        <v>7.3943578</v>
      </c>
      <c r="Z37" s="70" t="n">
        <f aca="false">SUMPRODUCT(B37:J37,Levers!$C$193:$K$193,Levers!$C$194:$K$194)/0.6</f>
        <v>0</v>
      </c>
      <c r="AA37" s="65" t="n">
        <f aca="false">H37</f>
        <v>0</v>
      </c>
      <c r="AB37" s="49" t="n">
        <f aca="false">AA37+'Navy plan'!T37</f>
        <v>0</v>
      </c>
      <c r="AC37" s="65" t="n">
        <f aca="false">'Navy plan'!U37</f>
        <v>0</v>
      </c>
      <c r="AD37" s="65" t="n">
        <f aca="false">'Navy plan'!V37</f>
        <v>0</v>
      </c>
      <c r="AE37" s="70" t="n">
        <f aca="false">IF(AC37&gt;0,AB37/AC37,0)</f>
        <v>0</v>
      </c>
    </row>
    <row r="38" customFormat="false" ht="14.25" hidden="false" customHeight="true" outlineLevel="0" collapsed="false">
      <c r="A38" s="61" t="n">
        <v>1878</v>
      </c>
      <c r="B38" s="49" t="n">
        <f aca="false">B37+'Navy plan'!B38-IF($A38-Levers!$C$191&gt;=1846,INDEX('Navy plan'!B$6:B$92,$A38-1845-Levers!$C$191),0)</f>
        <v>14</v>
      </c>
      <c r="C38" s="49" t="n">
        <f aca="false">C37+'Navy plan'!C38-IF($A38-Levers!$D$191&gt;=1846,INDEX('Navy plan'!C$6:C$92,$A38-1845-Levers!$D$191),0)</f>
        <v>11</v>
      </c>
      <c r="D38" s="49" t="n">
        <f aca="false">D37+'Navy plan'!D38-IF($A38-Levers!$E$191&gt;=1846,INDEX('Navy plan'!D$6:D$92,$A38-1845-Levers!$E$191),0)</f>
        <v>0</v>
      </c>
      <c r="E38" s="49" t="n">
        <f aca="false">E37+'Navy plan'!E38-IF($A38-Levers!$F$191&gt;=1846,INDEX('Navy plan'!E$6:E$92,$A38-1845-Levers!$F$191),0)</f>
        <v>0</v>
      </c>
      <c r="F38" s="49" t="n">
        <f aca="false">F37+'Navy plan'!F38-IF($A38-Levers!$G$191&gt;=1846,INDEX('Navy plan'!F$6:F$92,$A38-1845-Levers!$G$191),0)</f>
        <v>0</v>
      </c>
      <c r="G38" s="49" t="n">
        <f aca="false">G37+'Navy plan'!G38-IF($A38-Levers!$H$191&gt;=1846,INDEX('Navy plan'!G$6:G$92,$A38-1845-Levers!$H$191),0)</f>
        <v>0</v>
      </c>
      <c r="H38" s="49" t="n">
        <f aca="false">H37+'Navy plan'!H38-IF($A38-Levers!$I$191&gt;=1846,INDEX('Navy plan'!H$6:H$92,$A38-1845-Levers!$I$191),0)</f>
        <v>0</v>
      </c>
      <c r="I38" s="49" t="n">
        <f aca="false">I37+'Navy plan'!I38-IF($A38-Levers!$J$191&gt;=1846,INDEX('Navy plan'!I$6:I$92,$A38-1845-Levers!$J$191),0)</f>
        <v>0</v>
      </c>
      <c r="J38" s="49" t="n">
        <f aca="false">J37+'Navy plan'!J38-IF($A38-Levers!$K$191&gt;=1846,INDEX('Navy plan'!J$6:J$92,$A38-1845-Levers!$K$191),0)</f>
        <v>0</v>
      </c>
      <c r="K38" s="49" t="n">
        <f aca="false">SUM(B38:J38)</f>
        <v>25</v>
      </c>
      <c r="L38" s="56" t="n">
        <f aca="false">0.5*SUMPRODUCT('Navy plan'!B38:J38,'Navy plan'!K38:S38)+0.5*SUMPRODUCT('Navy plan'!B39:J39,'Navy plan'!K39:S39)</f>
        <v>1.6</v>
      </c>
      <c r="M38" s="49" t="n">
        <f aca="false">SUMPRODUCT(B38:J38,Levers!$C$192:$K$192)</f>
        <v>4430</v>
      </c>
      <c r="N38" s="49" t="n">
        <f aca="false">SUMPRODUCT(B38:J38,Levers!$C$195:$K$195)</f>
        <v>4430</v>
      </c>
      <c r="O38" s="49" t="n">
        <f aca="false">N38-M38</f>
        <v>0</v>
      </c>
      <c r="P38" s="56" t="n">
        <f aca="false">M38*sailor_pay*Economy!H38/1000000</f>
        <v>3.317184</v>
      </c>
      <c r="Q38" s="56" t="n">
        <f aca="false">SUMPRODUCT(B38:J38,'Navy plan'!K38:S38)*maint_rate</f>
        <v>1.424</v>
      </c>
      <c r="R38" s="56" t="n">
        <f aca="false">SUMPRODUCT(B38:J38,Levers!$C$193:$K$193)*Economy!H38</f>
        <v>0.69056</v>
      </c>
      <c r="S38" s="56" t="n">
        <f aca="false">SUMPRODUCT(B38:J38,Levers!$C$193:$K$193,Levers!$C$194:$K$194)*(1/oil_fuel-1)*Economy!H38</f>
        <v>0</v>
      </c>
      <c r="T38" s="56" t="n">
        <f aca="false">S38+O38*sailor_pay*Economy!H38/1000000</f>
        <v>0</v>
      </c>
      <c r="U38" s="56" t="n">
        <f aca="false">(P38+Q38+R38)*navy_overhead</f>
        <v>0.8147616</v>
      </c>
      <c r="V38" s="56" t="n">
        <f aca="false">L38+P38+Q38+R38+U38</f>
        <v>7.8465056</v>
      </c>
      <c r="W38" s="72" t="n">
        <f aca="false">Japan!I38</f>
        <v>3.6</v>
      </c>
      <c r="X38" s="56" t="n">
        <f aca="false">IF($A38&gt;=1927,V38+W38,0)</f>
        <v>0</v>
      </c>
      <c r="Y38" s="56" t="n">
        <f aca="false">IF($A38&gt;=1927,pac_quota*X38,V38)</f>
        <v>7.8465056</v>
      </c>
      <c r="Z38" s="70" t="n">
        <f aca="false">SUMPRODUCT(B38:J38,Levers!$C$193:$K$193,Levers!$C$194:$K$194)/0.6</f>
        <v>0</v>
      </c>
      <c r="AA38" s="65" t="n">
        <f aca="false">H38</f>
        <v>0</v>
      </c>
      <c r="AB38" s="49" t="n">
        <f aca="false">AA38+'Navy plan'!T38</f>
        <v>0</v>
      </c>
      <c r="AC38" s="65" t="n">
        <f aca="false">'Navy plan'!U38</f>
        <v>0</v>
      </c>
      <c r="AD38" s="65" t="n">
        <f aca="false">'Navy plan'!V38</f>
        <v>0</v>
      </c>
      <c r="AE38" s="70" t="n">
        <f aca="false">IF(AC38&gt;0,AB38/AC38,0)</f>
        <v>0</v>
      </c>
    </row>
    <row r="39" customFormat="false" ht="14.25" hidden="false" customHeight="true" outlineLevel="0" collapsed="false">
      <c r="A39" s="61" t="n">
        <v>1879</v>
      </c>
      <c r="B39" s="49" t="n">
        <f aca="false">B38+'Navy plan'!B39-IF($A39-Levers!$C$191&gt;=1846,INDEX('Navy plan'!B$6:B$92,$A39-1845-Levers!$C$191),0)</f>
        <v>14</v>
      </c>
      <c r="C39" s="49" t="n">
        <f aca="false">C38+'Navy plan'!C39-IF($A39-Levers!$D$191&gt;=1846,INDEX('Navy plan'!C$6:C$92,$A39-1845-Levers!$D$191),0)</f>
        <v>11</v>
      </c>
      <c r="D39" s="49" t="n">
        <f aca="false">D38+'Navy plan'!D39-IF($A39-Levers!$E$191&gt;=1846,INDEX('Navy plan'!D$6:D$92,$A39-1845-Levers!$E$191),0)</f>
        <v>0</v>
      </c>
      <c r="E39" s="49" t="n">
        <f aca="false">E38+'Navy plan'!E39-IF($A39-Levers!$F$191&gt;=1846,INDEX('Navy plan'!E$6:E$92,$A39-1845-Levers!$F$191),0)</f>
        <v>0</v>
      </c>
      <c r="F39" s="49" t="n">
        <f aca="false">F38+'Navy plan'!F39-IF($A39-Levers!$G$191&gt;=1846,INDEX('Navy plan'!F$6:F$92,$A39-1845-Levers!$G$191),0)</f>
        <v>0</v>
      </c>
      <c r="G39" s="49" t="n">
        <f aca="false">G38+'Navy plan'!G39-IF($A39-Levers!$H$191&gt;=1846,INDEX('Navy plan'!G$6:G$92,$A39-1845-Levers!$H$191),0)</f>
        <v>0</v>
      </c>
      <c r="H39" s="49" t="n">
        <f aca="false">H38+'Navy plan'!H39-IF($A39-Levers!$I$191&gt;=1846,INDEX('Navy plan'!H$6:H$92,$A39-1845-Levers!$I$191),0)</f>
        <v>0</v>
      </c>
      <c r="I39" s="49" t="n">
        <f aca="false">I38+'Navy plan'!I39-IF($A39-Levers!$J$191&gt;=1846,INDEX('Navy plan'!I$6:I$92,$A39-1845-Levers!$J$191),0)</f>
        <v>0</v>
      </c>
      <c r="J39" s="49" t="n">
        <f aca="false">J38+'Navy plan'!J39-IF($A39-Levers!$K$191&gt;=1846,INDEX('Navy plan'!J$6:J$92,$A39-1845-Levers!$K$191),0)</f>
        <v>0</v>
      </c>
      <c r="K39" s="49" t="n">
        <f aca="false">SUM(B39:J39)</f>
        <v>25</v>
      </c>
      <c r="L39" s="56" t="n">
        <f aca="false">0.5*SUMPRODUCT('Navy plan'!B39:J39,'Navy plan'!K39:S39)+0.5*SUMPRODUCT('Navy plan'!B40:J40,'Navy plan'!K40:S40)</f>
        <v>0</v>
      </c>
      <c r="M39" s="49" t="n">
        <f aca="false">SUMPRODUCT(B39:J39,Levers!$C$192:$K$192)</f>
        <v>4430</v>
      </c>
      <c r="N39" s="49" t="n">
        <f aca="false">SUMPRODUCT(B39:J39,Levers!$C$195:$K$195)</f>
        <v>4430</v>
      </c>
      <c r="O39" s="49" t="n">
        <f aca="false">N39-M39</f>
        <v>0</v>
      </c>
      <c r="P39" s="56" t="n">
        <f aca="false">M39*sailor_pay*Economy!H39/1000000</f>
        <v>3.253392</v>
      </c>
      <c r="Q39" s="56" t="n">
        <f aca="false">SUMPRODUCT(B39:J39,'Navy plan'!K39:S39)*maint_rate</f>
        <v>1.442</v>
      </c>
      <c r="R39" s="56" t="n">
        <f aca="false">SUMPRODUCT(B39:J39,Levers!$C$193:$K$193)*Economy!H39</f>
        <v>0.67728</v>
      </c>
      <c r="S39" s="56" t="n">
        <f aca="false">SUMPRODUCT(B39:J39,Levers!$C$193:$K$193,Levers!$C$194:$K$194)*(1/oil_fuel-1)*Economy!H39</f>
        <v>0</v>
      </c>
      <c r="T39" s="56" t="n">
        <f aca="false">S39+O39*sailor_pay*Economy!H39/1000000</f>
        <v>0</v>
      </c>
      <c r="U39" s="56" t="n">
        <f aca="false">(P39+Q39+R39)*navy_overhead</f>
        <v>0.8059008</v>
      </c>
      <c r="V39" s="56" t="n">
        <f aca="false">L39+P39+Q39+R39+U39</f>
        <v>6.1785728</v>
      </c>
      <c r="W39" s="72" t="n">
        <f aca="false">Japan!I39</f>
        <v>3.8</v>
      </c>
      <c r="X39" s="56" t="n">
        <f aca="false">IF($A39&gt;=1927,V39+W39,0)</f>
        <v>0</v>
      </c>
      <c r="Y39" s="56" t="n">
        <f aca="false">IF($A39&gt;=1927,pac_quota*X39,V39)</f>
        <v>6.1785728</v>
      </c>
      <c r="Z39" s="70" t="n">
        <f aca="false">SUMPRODUCT(B39:J39,Levers!$C$193:$K$193,Levers!$C$194:$K$194)/0.6</f>
        <v>0</v>
      </c>
      <c r="AA39" s="65" t="n">
        <f aca="false">H39</f>
        <v>0</v>
      </c>
      <c r="AB39" s="49" t="n">
        <f aca="false">AA39+'Navy plan'!T39</f>
        <v>0</v>
      </c>
      <c r="AC39" s="65" t="n">
        <f aca="false">'Navy plan'!U39</f>
        <v>0</v>
      </c>
      <c r="AD39" s="65" t="n">
        <f aca="false">'Navy plan'!V39</f>
        <v>0</v>
      </c>
      <c r="AE39" s="70" t="n">
        <f aca="false">IF(AC39&gt;0,AB39/AC39,0)</f>
        <v>0</v>
      </c>
    </row>
    <row r="40" customFormat="false" ht="14.25" hidden="false" customHeight="true" outlineLevel="0" collapsed="false">
      <c r="A40" s="61" t="n">
        <v>1880</v>
      </c>
      <c r="B40" s="49" t="n">
        <f aca="false">B39+'Navy plan'!B40-IF($A40-Levers!$C$191&gt;=1846,INDEX('Navy plan'!B$6:B$92,$A40-1845-Levers!$C$191),0)</f>
        <v>14</v>
      </c>
      <c r="C40" s="49" t="n">
        <f aca="false">C39+'Navy plan'!C40-IF($A40-Levers!$D$191&gt;=1846,INDEX('Navy plan'!C$6:C$92,$A40-1845-Levers!$D$191),0)</f>
        <v>11</v>
      </c>
      <c r="D40" s="49" t="n">
        <f aca="false">D39+'Navy plan'!D40-IF($A40-Levers!$E$191&gt;=1846,INDEX('Navy plan'!D$6:D$92,$A40-1845-Levers!$E$191),0)</f>
        <v>0</v>
      </c>
      <c r="E40" s="49" t="n">
        <f aca="false">E39+'Navy plan'!E40-IF($A40-Levers!$F$191&gt;=1846,INDEX('Navy plan'!E$6:E$92,$A40-1845-Levers!$F$191),0)</f>
        <v>0</v>
      </c>
      <c r="F40" s="49" t="n">
        <f aca="false">F39+'Navy plan'!F40-IF($A40-Levers!$G$191&gt;=1846,INDEX('Navy plan'!F$6:F$92,$A40-1845-Levers!$G$191),0)</f>
        <v>0</v>
      </c>
      <c r="G40" s="49" t="n">
        <f aca="false">G39+'Navy plan'!G40-IF($A40-Levers!$H$191&gt;=1846,INDEX('Navy plan'!G$6:G$92,$A40-1845-Levers!$H$191),0)</f>
        <v>0</v>
      </c>
      <c r="H40" s="49" t="n">
        <f aca="false">H39+'Navy plan'!H40-IF($A40-Levers!$I$191&gt;=1846,INDEX('Navy plan'!H$6:H$92,$A40-1845-Levers!$I$191),0)</f>
        <v>0</v>
      </c>
      <c r="I40" s="49" t="n">
        <f aca="false">I39+'Navy plan'!I40-IF($A40-Levers!$J$191&gt;=1846,INDEX('Navy plan'!I$6:I$92,$A40-1845-Levers!$J$191),0)</f>
        <v>0</v>
      </c>
      <c r="J40" s="49" t="n">
        <f aca="false">J39+'Navy plan'!J40-IF($A40-Levers!$K$191&gt;=1846,INDEX('Navy plan'!J$6:J$92,$A40-1845-Levers!$K$191),0)</f>
        <v>0</v>
      </c>
      <c r="K40" s="49" t="n">
        <f aca="false">SUM(B40:J40)</f>
        <v>25</v>
      </c>
      <c r="L40" s="56" t="n">
        <f aca="false">0.5*SUMPRODUCT('Navy plan'!B40:J40,'Navy plan'!K40:S40)+0.5*SUMPRODUCT('Navy plan'!B41:J41,'Navy plan'!K41:S41)</f>
        <v>1.65</v>
      </c>
      <c r="M40" s="49" t="n">
        <f aca="false">SUMPRODUCT(B40:J40,Levers!$C$192:$K$192)</f>
        <v>4430</v>
      </c>
      <c r="N40" s="49" t="n">
        <f aca="false">SUMPRODUCT(B40:J40,Levers!$C$195:$K$195)</f>
        <v>4430</v>
      </c>
      <c r="O40" s="49" t="n">
        <f aca="false">N40-M40</f>
        <v>0</v>
      </c>
      <c r="P40" s="56" t="n">
        <f aca="false">M40*sailor_pay*Economy!H40/1000000</f>
        <v>3.1896</v>
      </c>
      <c r="Q40" s="56" t="n">
        <f aca="false">SUMPRODUCT(B40:J40,'Navy plan'!K40:S40)*maint_rate</f>
        <v>1.46</v>
      </c>
      <c r="R40" s="56" t="n">
        <f aca="false">SUMPRODUCT(B40:J40,Levers!$C$193:$K$193)*Economy!H40</f>
        <v>0.664</v>
      </c>
      <c r="S40" s="56" t="n">
        <f aca="false">SUMPRODUCT(B40:J40,Levers!$C$193:$K$193,Levers!$C$194:$K$194)*(1/oil_fuel-1)*Economy!H40</f>
        <v>0</v>
      </c>
      <c r="T40" s="56" t="n">
        <f aca="false">S40+O40*sailor_pay*Economy!H40/1000000</f>
        <v>0</v>
      </c>
      <c r="U40" s="56" t="n">
        <f aca="false">(P40+Q40+R40)*navy_overhead</f>
        <v>0.79704</v>
      </c>
      <c r="V40" s="56" t="n">
        <f aca="false">L40+P40+Q40+R40+U40</f>
        <v>7.76064</v>
      </c>
      <c r="W40" s="72" t="n">
        <f aca="false">Japan!I40</f>
        <v>4</v>
      </c>
      <c r="X40" s="56" t="n">
        <f aca="false">IF($A40&gt;=1927,V40+W40,0)</f>
        <v>0</v>
      </c>
      <c r="Y40" s="56" t="n">
        <f aca="false">IF($A40&gt;=1927,pac_quota*X40,V40)</f>
        <v>7.76064</v>
      </c>
      <c r="Z40" s="70" t="n">
        <f aca="false">SUMPRODUCT(B40:J40,Levers!$C$193:$K$193,Levers!$C$194:$K$194)/0.6</f>
        <v>0</v>
      </c>
      <c r="AA40" s="65" t="n">
        <f aca="false">H40</f>
        <v>0</v>
      </c>
      <c r="AB40" s="49" t="n">
        <f aca="false">AA40+'Navy plan'!T40</f>
        <v>0</v>
      </c>
      <c r="AC40" s="65" t="n">
        <f aca="false">'Navy plan'!U40</f>
        <v>0</v>
      </c>
      <c r="AD40" s="65" t="n">
        <f aca="false">'Navy plan'!V40</f>
        <v>0</v>
      </c>
      <c r="AE40" s="70" t="n">
        <f aca="false">IF(AC40&gt;0,AB40/AC40,0)</f>
        <v>0</v>
      </c>
    </row>
    <row r="41" customFormat="false" ht="14.25" hidden="false" customHeight="true" outlineLevel="0" collapsed="false">
      <c r="A41" s="61" t="n">
        <v>1881</v>
      </c>
      <c r="B41" s="49" t="n">
        <f aca="false">B40+'Navy plan'!B41-IF($A41-Levers!$C$191&gt;=1846,INDEX('Navy plan'!B$6:B$92,$A41-1845-Levers!$C$191),0)</f>
        <v>15</v>
      </c>
      <c r="C41" s="49" t="n">
        <f aca="false">C40+'Navy plan'!C41-IF($A41-Levers!$D$191&gt;=1846,INDEX('Navy plan'!C$6:C$92,$A41-1845-Levers!$D$191),0)</f>
        <v>11</v>
      </c>
      <c r="D41" s="49" t="n">
        <f aca="false">D40+'Navy plan'!D41-IF($A41-Levers!$E$191&gt;=1846,INDEX('Navy plan'!D$6:D$92,$A41-1845-Levers!$E$191),0)</f>
        <v>0</v>
      </c>
      <c r="E41" s="49" t="n">
        <f aca="false">E40+'Navy plan'!E41-IF($A41-Levers!$F$191&gt;=1846,INDEX('Navy plan'!E$6:E$92,$A41-1845-Levers!$F$191),0)</f>
        <v>0</v>
      </c>
      <c r="F41" s="49" t="n">
        <f aca="false">F40+'Navy plan'!F41-IF($A41-Levers!$G$191&gt;=1846,INDEX('Navy plan'!F$6:F$92,$A41-1845-Levers!$G$191),0)</f>
        <v>0</v>
      </c>
      <c r="G41" s="49" t="n">
        <f aca="false">G40+'Navy plan'!G41-IF($A41-Levers!$H$191&gt;=1846,INDEX('Navy plan'!G$6:G$92,$A41-1845-Levers!$H$191),0)</f>
        <v>0</v>
      </c>
      <c r="H41" s="49" t="n">
        <f aca="false">H40+'Navy plan'!H41-IF($A41-Levers!$I$191&gt;=1846,INDEX('Navy plan'!H$6:H$92,$A41-1845-Levers!$I$191),0)</f>
        <v>0</v>
      </c>
      <c r="I41" s="49" t="n">
        <f aca="false">I40+'Navy plan'!I41-IF($A41-Levers!$J$191&gt;=1846,INDEX('Navy plan'!I$6:I$92,$A41-1845-Levers!$J$191),0)</f>
        <v>0</v>
      </c>
      <c r="J41" s="49" t="n">
        <f aca="false">J40+'Navy plan'!J41-IF($A41-Levers!$K$191&gt;=1846,INDEX('Navy plan'!J$6:J$92,$A41-1845-Levers!$K$191),0)</f>
        <v>0</v>
      </c>
      <c r="K41" s="49" t="n">
        <f aca="false">SUM(B41:J41)</f>
        <v>26</v>
      </c>
      <c r="L41" s="56" t="n">
        <f aca="false">0.5*SUMPRODUCT('Navy plan'!B41:J41,'Navy plan'!K41:S41)+0.5*SUMPRODUCT('Navy plan'!B42:J42,'Navy plan'!K42:S42)</f>
        <v>1.722</v>
      </c>
      <c r="M41" s="49" t="n">
        <f aca="false">SUMPRODUCT(B41:J41,Levers!$C$192:$K$192)</f>
        <v>4550</v>
      </c>
      <c r="N41" s="49" t="n">
        <f aca="false">SUMPRODUCT(B41:J41,Levers!$C$195:$K$195)</f>
        <v>4550</v>
      </c>
      <c r="O41" s="49" t="n">
        <f aca="false">N41-M41</f>
        <v>0</v>
      </c>
      <c r="P41" s="56" t="n">
        <f aca="false">M41*sailor_pay*Economy!H41/1000000</f>
        <v>3.22686</v>
      </c>
      <c r="Q41" s="56" t="n">
        <f aca="false">SUMPRODUCT(B41:J41,'Navy plan'!K41:S41)*maint_rate</f>
        <v>1.525</v>
      </c>
      <c r="R41" s="56" t="n">
        <f aca="false">SUMPRODUCT(B41:J41,Levers!$C$193:$K$193)*Economy!H41</f>
        <v>0.6698</v>
      </c>
      <c r="S41" s="56" t="n">
        <f aca="false">SUMPRODUCT(B41:J41,Levers!$C$193:$K$193,Levers!$C$194:$K$194)*(1/oil_fuel-1)*Economy!H41</f>
        <v>0</v>
      </c>
      <c r="T41" s="56" t="n">
        <f aca="false">S41+O41*sailor_pay*Economy!H41/1000000</f>
        <v>0</v>
      </c>
      <c r="U41" s="56" t="n">
        <f aca="false">(P41+Q41+R41)*navy_overhead</f>
        <v>0.813249</v>
      </c>
      <c r="V41" s="56" t="n">
        <f aca="false">L41+P41+Q41+R41+U41</f>
        <v>7.956909</v>
      </c>
      <c r="W41" s="72" t="n">
        <f aca="false">Japan!I41</f>
        <v>4.4</v>
      </c>
      <c r="X41" s="56" t="n">
        <f aca="false">IF($A41&gt;=1927,V41+W41,0)</f>
        <v>0</v>
      </c>
      <c r="Y41" s="56" t="n">
        <f aca="false">IF($A41&gt;=1927,pac_quota*X41,V41)</f>
        <v>7.956909</v>
      </c>
      <c r="Z41" s="70" t="n">
        <f aca="false">SUMPRODUCT(B41:J41,Levers!$C$193:$K$193,Levers!$C$194:$K$194)/0.6</f>
        <v>0</v>
      </c>
      <c r="AA41" s="65" t="n">
        <f aca="false">H41</f>
        <v>0</v>
      </c>
      <c r="AB41" s="49" t="n">
        <f aca="false">AA41+'Navy plan'!T41</f>
        <v>0</v>
      </c>
      <c r="AC41" s="65" t="n">
        <f aca="false">'Navy plan'!U41</f>
        <v>0</v>
      </c>
      <c r="AD41" s="65" t="n">
        <f aca="false">'Navy plan'!V41</f>
        <v>0</v>
      </c>
      <c r="AE41" s="70" t="n">
        <f aca="false">IF(AC41&gt;0,AB41/AC41,0)</f>
        <v>0</v>
      </c>
    </row>
    <row r="42" customFormat="false" ht="14.25" hidden="false" customHeight="true" outlineLevel="0" collapsed="false">
      <c r="A42" s="61" t="n">
        <v>1882</v>
      </c>
      <c r="B42" s="49" t="n">
        <f aca="false">B41+'Navy plan'!B42-IF($A42-Levers!$C$191&gt;=1846,INDEX('Navy plan'!B$6:B$92,$A42-1845-Levers!$C$191),0)</f>
        <v>15</v>
      </c>
      <c r="C42" s="49" t="n">
        <f aca="false">C41+'Navy plan'!C42-IF($A42-Levers!$D$191&gt;=1846,INDEX('Navy plan'!C$6:C$92,$A42-1845-Levers!$D$191),0)</f>
        <v>11</v>
      </c>
      <c r="D42" s="49" t="n">
        <f aca="false">D41+'Navy plan'!D42-IF($A42-Levers!$E$191&gt;=1846,INDEX('Navy plan'!D$6:D$92,$A42-1845-Levers!$E$191),0)</f>
        <v>2</v>
      </c>
      <c r="E42" s="49" t="n">
        <f aca="false">E41+'Navy plan'!E42-IF($A42-Levers!$F$191&gt;=1846,INDEX('Navy plan'!E$6:E$92,$A42-1845-Levers!$F$191),0)</f>
        <v>0</v>
      </c>
      <c r="F42" s="49" t="n">
        <f aca="false">F41+'Navy plan'!F42-IF($A42-Levers!$G$191&gt;=1846,INDEX('Navy plan'!F$6:F$92,$A42-1845-Levers!$G$191),0)</f>
        <v>0</v>
      </c>
      <c r="G42" s="49" t="n">
        <f aca="false">G41+'Navy plan'!G42-IF($A42-Levers!$H$191&gt;=1846,INDEX('Navy plan'!G$6:G$92,$A42-1845-Levers!$H$191),0)</f>
        <v>0</v>
      </c>
      <c r="H42" s="49" t="n">
        <f aca="false">H41+'Navy plan'!H42-IF($A42-Levers!$I$191&gt;=1846,INDEX('Navy plan'!H$6:H$92,$A42-1845-Levers!$I$191),0)</f>
        <v>0</v>
      </c>
      <c r="I42" s="49" t="n">
        <f aca="false">I41+'Navy plan'!I42-IF($A42-Levers!$J$191&gt;=1846,INDEX('Navy plan'!I$6:I$92,$A42-1845-Levers!$J$191),0)</f>
        <v>0</v>
      </c>
      <c r="J42" s="49" t="n">
        <f aca="false">J41+'Navy plan'!J42-IF($A42-Levers!$K$191&gt;=1846,INDEX('Navy plan'!J$6:J$92,$A42-1845-Levers!$K$191),0)</f>
        <v>0</v>
      </c>
      <c r="K42" s="49" t="n">
        <f aca="false">SUM(B42:J42)</f>
        <v>28</v>
      </c>
      <c r="L42" s="56" t="n">
        <f aca="false">0.5*SUMPRODUCT('Navy plan'!B42:J42,'Navy plan'!K42:S42)+0.5*SUMPRODUCT('Navy plan'!B43:J43,'Navy plan'!K43:S43)</f>
        <v>0.072</v>
      </c>
      <c r="M42" s="49" t="n">
        <f aca="false">SUMPRODUCT(B42:J42,Levers!$C$192:$K$192)</f>
        <v>4590</v>
      </c>
      <c r="N42" s="49" t="n">
        <f aca="false">SUMPRODUCT(B42:J42,Levers!$C$195:$K$195)</f>
        <v>4601.28205128205</v>
      </c>
      <c r="O42" s="49" t="n">
        <f aca="false">N42-M42</f>
        <v>11.2820512820517</v>
      </c>
      <c r="P42" s="56" t="n">
        <f aca="false">M42*sailor_pay*Economy!H42/1000000</f>
        <v>3.205656</v>
      </c>
      <c r="Q42" s="56" t="n">
        <f aca="false">SUMPRODUCT(B42:J42,'Navy plan'!K42:S42)*maint_rate</f>
        <v>1.5322</v>
      </c>
      <c r="R42" s="56" t="n">
        <f aca="false">SUMPRODUCT(B42:J42,Levers!$C$193:$K$193)*Economy!H42</f>
        <v>0.66736</v>
      </c>
      <c r="S42" s="56" t="n">
        <f aca="false">SUMPRODUCT(B42:J42,Levers!$C$193:$K$193,Levers!$C$194:$K$194)*(1/oil_fuel-1)*Economy!H42</f>
        <v>0.00332571428571429</v>
      </c>
      <c r="T42" s="56" t="n">
        <f aca="false">S42+O42*sailor_pay*Economy!H42/1000000</f>
        <v>0.0112050989010992</v>
      </c>
      <c r="U42" s="56" t="n">
        <f aca="false">(P42+Q42+R42)*navy_overhead</f>
        <v>0.8107824</v>
      </c>
      <c r="V42" s="56" t="n">
        <f aca="false">L42+P42+Q42+R42+U42</f>
        <v>6.2879984</v>
      </c>
      <c r="W42" s="72" t="n">
        <f aca="false">Japan!I42</f>
        <v>4.8</v>
      </c>
      <c r="X42" s="56" t="n">
        <f aca="false">IF($A42&gt;=1927,V42+W42,0)</f>
        <v>0</v>
      </c>
      <c r="Y42" s="56" t="n">
        <f aca="false">IF($A42&gt;=1927,pac_quota*X42,V42)</f>
        <v>6.2879984</v>
      </c>
      <c r="Z42" s="70" t="n">
        <f aca="false">SUMPRODUCT(B42:J42,Levers!$C$193:$K$193,Levers!$C$194:$K$194)/0.6</f>
        <v>0.0166666666666667</v>
      </c>
      <c r="AA42" s="65" t="n">
        <f aca="false">H42</f>
        <v>0</v>
      </c>
      <c r="AB42" s="49" t="n">
        <f aca="false">AA42+'Navy plan'!T42</f>
        <v>0</v>
      </c>
      <c r="AC42" s="65" t="n">
        <f aca="false">'Navy plan'!U42</f>
        <v>0</v>
      </c>
      <c r="AD42" s="65" t="n">
        <f aca="false">'Navy plan'!V42</f>
        <v>0</v>
      </c>
      <c r="AE42" s="70" t="n">
        <f aca="false">IF(AC42&gt;0,AB42/AC42,0)</f>
        <v>0</v>
      </c>
    </row>
    <row r="43" customFormat="false" ht="14.25" hidden="false" customHeight="true" outlineLevel="0" collapsed="false">
      <c r="A43" s="61" t="n">
        <v>1883</v>
      </c>
      <c r="B43" s="49" t="n">
        <f aca="false">B42+'Navy plan'!B43-IF($A43-Levers!$C$191&gt;=1846,INDEX('Navy plan'!B$6:B$92,$A43-1845-Levers!$C$191),0)</f>
        <v>15</v>
      </c>
      <c r="C43" s="49" t="n">
        <f aca="false">C42+'Navy plan'!C43-IF($A43-Levers!$D$191&gt;=1846,INDEX('Navy plan'!C$6:C$92,$A43-1845-Levers!$D$191),0)</f>
        <v>11</v>
      </c>
      <c r="D43" s="49" t="n">
        <f aca="false">D42+'Navy plan'!D43-IF($A43-Levers!$E$191&gt;=1846,INDEX('Navy plan'!D$6:D$92,$A43-1845-Levers!$E$191),0)</f>
        <v>2</v>
      </c>
      <c r="E43" s="49" t="n">
        <f aca="false">E42+'Navy plan'!E43-IF($A43-Levers!$F$191&gt;=1846,INDEX('Navy plan'!E$6:E$92,$A43-1845-Levers!$F$191),0)</f>
        <v>0</v>
      </c>
      <c r="F43" s="49" t="n">
        <f aca="false">F42+'Navy plan'!F43-IF($A43-Levers!$G$191&gt;=1846,INDEX('Navy plan'!F$6:F$92,$A43-1845-Levers!$G$191),0)</f>
        <v>0</v>
      </c>
      <c r="G43" s="49" t="n">
        <f aca="false">G42+'Navy plan'!G43-IF($A43-Levers!$H$191&gt;=1846,INDEX('Navy plan'!G$6:G$92,$A43-1845-Levers!$H$191),0)</f>
        <v>0</v>
      </c>
      <c r="H43" s="49" t="n">
        <f aca="false">H42+'Navy plan'!H43-IF($A43-Levers!$I$191&gt;=1846,INDEX('Navy plan'!H$6:H$92,$A43-1845-Levers!$I$191),0)</f>
        <v>0</v>
      </c>
      <c r="I43" s="49" t="n">
        <f aca="false">I42+'Navy plan'!I43-IF($A43-Levers!$J$191&gt;=1846,INDEX('Navy plan'!I$6:I$92,$A43-1845-Levers!$J$191),0)</f>
        <v>0</v>
      </c>
      <c r="J43" s="49" t="n">
        <f aca="false">J42+'Navy plan'!J43-IF($A43-Levers!$K$191&gt;=1846,INDEX('Navy plan'!J$6:J$92,$A43-1845-Levers!$K$191),0)</f>
        <v>0</v>
      </c>
      <c r="K43" s="49" t="n">
        <f aca="false">SUM(B43:J43)</f>
        <v>28</v>
      </c>
      <c r="L43" s="56" t="n">
        <f aca="false">0.5*SUMPRODUCT('Navy plan'!B43:J43,'Navy plan'!K43:S43)+0.5*SUMPRODUCT('Navy plan'!B44:J44,'Navy plan'!K44:S44)</f>
        <v>1.798</v>
      </c>
      <c r="M43" s="49" t="n">
        <f aca="false">SUMPRODUCT(B43:J43,Levers!$C$192:$K$192)</f>
        <v>4590</v>
      </c>
      <c r="N43" s="49" t="n">
        <f aca="false">SUMPRODUCT(B43:J43,Levers!$C$195:$K$195)</f>
        <v>4601.28205128205</v>
      </c>
      <c r="O43" s="49" t="n">
        <f aca="false">N43-M43</f>
        <v>11.2820512820517</v>
      </c>
      <c r="P43" s="56" t="n">
        <f aca="false">M43*sailor_pay*Economy!H43/1000000</f>
        <v>3.156084</v>
      </c>
      <c r="Q43" s="56" t="n">
        <f aca="false">SUMPRODUCT(B43:J43,'Navy plan'!K43:S43)*maint_rate</f>
        <v>1.5323</v>
      </c>
      <c r="R43" s="56" t="n">
        <f aca="false">SUMPRODUCT(B43:J43,Levers!$C$193:$K$193)*Economy!H43</f>
        <v>0.65704</v>
      </c>
      <c r="S43" s="56" t="n">
        <f aca="false">SUMPRODUCT(B43:J43,Levers!$C$193:$K$193,Levers!$C$194:$K$194)*(1/oil_fuel-1)*Economy!H43</f>
        <v>0.00327428571428571</v>
      </c>
      <c r="T43" s="56" t="n">
        <f aca="false">S43+O43*sailor_pay*Economy!H43/1000000</f>
        <v>0.0110318241758245</v>
      </c>
      <c r="U43" s="56" t="n">
        <f aca="false">(P43+Q43+R43)*navy_overhead</f>
        <v>0.8018136</v>
      </c>
      <c r="V43" s="56" t="n">
        <f aca="false">L43+P43+Q43+R43+U43</f>
        <v>7.9452376</v>
      </c>
      <c r="W43" s="72" t="n">
        <f aca="false">Japan!I43</f>
        <v>5.2</v>
      </c>
      <c r="X43" s="56" t="n">
        <f aca="false">IF($A43&gt;=1927,V43+W43,0)</f>
        <v>0</v>
      </c>
      <c r="Y43" s="56" t="n">
        <f aca="false">IF($A43&gt;=1927,pac_quota*X43,V43)</f>
        <v>7.9452376</v>
      </c>
      <c r="Z43" s="70" t="n">
        <f aca="false">SUMPRODUCT(B43:J43,Levers!$C$193:$K$193,Levers!$C$194:$K$194)/0.6</f>
        <v>0.0166666666666667</v>
      </c>
      <c r="AA43" s="65" t="n">
        <f aca="false">H43</f>
        <v>0</v>
      </c>
      <c r="AB43" s="49" t="n">
        <f aca="false">AA43+'Navy plan'!T43</f>
        <v>0</v>
      </c>
      <c r="AC43" s="65" t="n">
        <f aca="false">'Navy plan'!U43</f>
        <v>0</v>
      </c>
      <c r="AD43" s="65" t="n">
        <f aca="false">'Navy plan'!V43</f>
        <v>0</v>
      </c>
      <c r="AE43" s="70" t="n">
        <f aca="false">IF(AC43&gt;0,AB43/AC43,0)</f>
        <v>0</v>
      </c>
    </row>
    <row r="44" customFormat="false" ht="14.25" hidden="false" customHeight="true" outlineLevel="0" collapsed="false">
      <c r="A44" s="61" t="n">
        <v>1884</v>
      </c>
      <c r="B44" s="49" t="n">
        <f aca="false">B43+'Navy plan'!B44-IF($A44-Levers!$C$191&gt;=1846,INDEX('Navy plan'!B$6:B$92,$A44-1845-Levers!$C$191),0)</f>
        <v>16</v>
      </c>
      <c r="C44" s="49" t="n">
        <f aca="false">C43+'Navy plan'!C44-IF($A44-Levers!$D$191&gt;=1846,INDEX('Navy plan'!C$6:C$92,$A44-1845-Levers!$D$191),0)</f>
        <v>12</v>
      </c>
      <c r="D44" s="49" t="n">
        <f aca="false">D43+'Navy plan'!D44-IF($A44-Levers!$E$191&gt;=1846,INDEX('Navy plan'!D$6:D$92,$A44-1845-Levers!$E$191),0)</f>
        <v>6</v>
      </c>
      <c r="E44" s="49" t="n">
        <f aca="false">E43+'Navy plan'!E44-IF($A44-Levers!$F$191&gt;=1846,INDEX('Navy plan'!E$6:E$92,$A44-1845-Levers!$F$191),0)</f>
        <v>0</v>
      </c>
      <c r="F44" s="49" t="n">
        <f aca="false">F43+'Navy plan'!F44-IF($A44-Levers!$G$191&gt;=1846,INDEX('Navy plan'!F$6:F$92,$A44-1845-Levers!$G$191),0)</f>
        <v>0</v>
      </c>
      <c r="G44" s="49" t="n">
        <f aca="false">G43+'Navy plan'!G44-IF($A44-Levers!$H$191&gt;=1846,INDEX('Navy plan'!G$6:G$92,$A44-1845-Levers!$H$191),0)</f>
        <v>0</v>
      </c>
      <c r="H44" s="49" t="n">
        <f aca="false">H43+'Navy plan'!H44-IF($A44-Levers!$I$191&gt;=1846,INDEX('Navy plan'!H$6:H$92,$A44-1845-Levers!$I$191),0)</f>
        <v>0</v>
      </c>
      <c r="I44" s="49" t="n">
        <f aca="false">I43+'Navy plan'!I44-IF($A44-Levers!$J$191&gt;=1846,INDEX('Navy plan'!I$6:I$92,$A44-1845-Levers!$J$191),0)</f>
        <v>0</v>
      </c>
      <c r="J44" s="49" t="n">
        <f aca="false">J43+'Navy plan'!J44-IF($A44-Levers!$K$191&gt;=1846,INDEX('Navy plan'!J$6:J$92,$A44-1845-Levers!$K$191),0)</f>
        <v>0</v>
      </c>
      <c r="K44" s="49" t="n">
        <f aca="false">SUM(B44:J44)</f>
        <v>34</v>
      </c>
      <c r="L44" s="56" t="n">
        <f aca="false">0.5*SUMPRODUCT('Navy plan'!B44:J44,'Navy plan'!K44:S44)+0.5*SUMPRODUCT('Navy plan'!B45:J45,'Navy plan'!K45:S45)</f>
        <v>1.798</v>
      </c>
      <c r="M44" s="49" t="n">
        <f aca="false">SUMPRODUCT(B44:J44,Levers!$C$192:$K$192)</f>
        <v>5040</v>
      </c>
      <c r="N44" s="49" t="n">
        <f aca="false">SUMPRODUCT(B44:J44,Levers!$C$195:$K$195)</f>
        <v>5073.84615384615</v>
      </c>
      <c r="O44" s="49" t="n">
        <f aca="false">N44-M44</f>
        <v>33.8461538461543</v>
      </c>
      <c r="P44" s="56" t="n">
        <f aca="false">M44*sailor_pay*Economy!H44/1000000</f>
        <v>3.411072</v>
      </c>
      <c r="Q44" s="56" t="n">
        <f aca="false">SUMPRODUCT(B44:J44,'Navy plan'!K44:S44)*maint_rate</f>
        <v>1.6622</v>
      </c>
      <c r="R44" s="56" t="n">
        <f aca="false">SUMPRODUCT(B44:J44,Levers!$C$193:$K$193)*Economy!H44</f>
        <v>0.7144</v>
      </c>
      <c r="S44" s="56" t="n">
        <f aca="false">SUMPRODUCT(B44:J44,Levers!$C$193:$K$193,Levers!$C$194:$K$194)*(1/oil_fuel-1)*Economy!H44</f>
        <v>0.00966857142857143</v>
      </c>
      <c r="T44" s="56" t="n">
        <f aca="false">S44+O44*sailor_pay*Economy!H44/1000000</f>
        <v>0.0325756483516486</v>
      </c>
      <c r="U44" s="56" t="n">
        <f aca="false">(P44+Q44+R44)*navy_overhead</f>
        <v>0.8681508</v>
      </c>
      <c r="V44" s="56" t="n">
        <f aca="false">L44+P44+Q44+R44+U44</f>
        <v>8.4538228</v>
      </c>
      <c r="W44" s="72" t="n">
        <f aca="false">Japan!I44</f>
        <v>5.6</v>
      </c>
      <c r="X44" s="56" t="n">
        <f aca="false">IF($A44&gt;=1927,V44+W44,0)</f>
        <v>0</v>
      </c>
      <c r="Y44" s="56" t="n">
        <f aca="false">IF($A44&gt;=1927,pac_quota*X44,V44)</f>
        <v>8.4538228</v>
      </c>
      <c r="Z44" s="70" t="n">
        <f aca="false">SUMPRODUCT(B44:J44,Levers!$C$193:$K$193,Levers!$C$194:$K$194)/0.6</f>
        <v>0.05</v>
      </c>
      <c r="AA44" s="65" t="n">
        <f aca="false">H44</f>
        <v>0</v>
      </c>
      <c r="AB44" s="49" t="n">
        <f aca="false">AA44+'Navy plan'!T44</f>
        <v>0</v>
      </c>
      <c r="AC44" s="65" t="n">
        <f aca="false">'Navy plan'!U44</f>
        <v>0</v>
      </c>
      <c r="AD44" s="65" t="n">
        <f aca="false">'Navy plan'!V44</f>
        <v>0</v>
      </c>
      <c r="AE44" s="70" t="n">
        <f aca="false">IF(AC44&gt;0,AB44/AC44,0)</f>
        <v>0</v>
      </c>
    </row>
    <row r="45" customFormat="false" ht="14.25" hidden="false" customHeight="true" outlineLevel="0" collapsed="false">
      <c r="A45" s="61" t="n">
        <v>1885</v>
      </c>
      <c r="B45" s="49" t="n">
        <f aca="false">B44+'Navy plan'!B45-IF($A45-Levers!$C$191&gt;=1846,INDEX('Navy plan'!B$6:B$92,$A45-1845-Levers!$C$191),0)</f>
        <v>16</v>
      </c>
      <c r="C45" s="49" t="n">
        <f aca="false">C44+'Navy plan'!C45-IF($A45-Levers!$D$191&gt;=1846,INDEX('Navy plan'!C$6:C$92,$A45-1845-Levers!$D$191),0)</f>
        <v>12</v>
      </c>
      <c r="D45" s="49" t="n">
        <f aca="false">D44+'Navy plan'!D45-IF($A45-Levers!$E$191&gt;=1846,INDEX('Navy plan'!D$6:D$92,$A45-1845-Levers!$E$191),0)</f>
        <v>6</v>
      </c>
      <c r="E45" s="49" t="n">
        <f aca="false">E44+'Navy plan'!E45-IF($A45-Levers!$F$191&gt;=1846,INDEX('Navy plan'!E$6:E$92,$A45-1845-Levers!$F$191),0)</f>
        <v>0</v>
      </c>
      <c r="F45" s="49" t="n">
        <f aca="false">F44+'Navy plan'!F45-IF($A45-Levers!$G$191&gt;=1846,INDEX('Navy plan'!F$6:F$92,$A45-1845-Levers!$G$191),0)</f>
        <v>0</v>
      </c>
      <c r="G45" s="49" t="n">
        <f aca="false">G44+'Navy plan'!G45-IF($A45-Levers!$H$191&gt;=1846,INDEX('Navy plan'!G$6:G$92,$A45-1845-Levers!$H$191),0)</f>
        <v>0</v>
      </c>
      <c r="H45" s="49" t="n">
        <f aca="false">H44+'Navy plan'!H45-IF($A45-Levers!$I$191&gt;=1846,INDEX('Navy plan'!H$6:H$92,$A45-1845-Levers!$I$191),0)</f>
        <v>0</v>
      </c>
      <c r="I45" s="49" t="n">
        <f aca="false">I44+'Navy plan'!I45-IF($A45-Levers!$J$191&gt;=1846,INDEX('Navy plan'!I$6:I$92,$A45-1845-Levers!$J$191),0)</f>
        <v>0</v>
      </c>
      <c r="J45" s="49" t="n">
        <f aca="false">J44+'Navy plan'!J45-IF($A45-Levers!$K$191&gt;=1846,INDEX('Navy plan'!J$6:J$92,$A45-1845-Levers!$K$191),0)</f>
        <v>0</v>
      </c>
      <c r="K45" s="49" t="n">
        <f aca="false">SUM(B45:J45)</f>
        <v>34</v>
      </c>
      <c r="L45" s="56" t="n">
        <f aca="false">0.5*SUMPRODUCT('Navy plan'!B45:J45,'Navy plan'!K45:S45)+0.5*SUMPRODUCT('Navy plan'!B46:J46,'Navy plan'!K46:S46)</f>
        <v>0.228</v>
      </c>
      <c r="M45" s="49" t="n">
        <f aca="false">SUMPRODUCT(B45:J45,Levers!$C$192:$K$192)</f>
        <v>5040</v>
      </c>
      <c r="N45" s="49" t="n">
        <f aca="false">SUMPRODUCT(B45:J45,Levers!$C$195:$K$195)</f>
        <v>5073.84615384615</v>
      </c>
      <c r="O45" s="49" t="n">
        <f aca="false">N45-M45</f>
        <v>33.8461538461543</v>
      </c>
      <c r="P45" s="56" t="n">
        <f aca="false">M45*sailor_pay*Economy!H45/1000000</f>
        <v>3.35664</v>
      </c>
      <c r="Q45" s="56" t="n">
        <f aca="false">SUMPRODUCT(B45:J45,'Navy plan'!K45:S45)*maint_rate</f>
        <v>1.6625</v>
      </c>
      <c r="R45" s="56" t="n">
        <f aca="false">SUMPRODUCT(B45:J45,Levers!$C$193:$K$193)*Economy!H45</f>
        <v>0.703</v>
      </c>
      <c r="S45" s="56" t="n">
        <f aca="false">SUMPRODUCT(B45:J45,Levers!$C$193:$K$193,Levers!$C$194:$K$194)*(1/oil_fuel-1)*Economy!H45</f>
        <v>0.00951428571428572</v>
      </c>
      <c r="T45" s="56" t="n">
        <f aca="false">S45+O45*sailor_pay*Economy!H45/1000000</f>
        <v>0.0320558241758245</v>
      </c>
      <c r="U45" s="56" t="n">
        <f aca="false">(P45+Q45+R45)*navy_overhead</f>
        <v>0.858321</v>
      </c>
      <c r="V45" s="56" t="n">
        <f aca="false">L45+P45+Q45+R45+U45</f>
        <v>6.808461</v>
      </c>
      <c r="W45" s="72" t="n">
        <f aca="false">Japan!I45</f>
        <v>6</v>
      </c>
      <c r="X45" s="56" t="n">
        <f aca="false">IF($A45&gt;=1927,V45+W45,0)</f>
        <v>0</v>
      </c>
      <c r="Y45" s="56" t="n">
        <f aca="false">IF($A45&gt;=1927,pac_quota*X45,V45)</f>
        <v>6.808461</v>
      </c>
      <c r="Z45" s="70" t="n">
        <f aca="false">SUMPRODUCT(B45:J45,Levers!$C$193:$K$193,Levers!$C$194:$K$194)/0.6</f>
        <v>0.05</v>
      </c>
      <c r="AA45" s="65" t="n">
        <f aca="false">H45</f>
        <v>0</v>
      </c>
      <c r="AB45" s="49" t="n">
        <f aca="false">AA45+'Navy plan'!T45</f>
        <v>0</v>
      </c>
      <c r="AC45" s="65" t="n">
        <f aca="false">'Navy plan'!U45</f>
        <v>0</v>
      </c>
      <c r="AD45" s="65" t="n">
        <f aca="false">'Navy plan'!V45</f>
        <v>0</v>
      </c>
      <c r="AE45" s="70" t="n">
        <f aca="false">IF(AC45&gt;0,AB45/AC45,0)</f>
        <v>0</v>
      </c>
    </row>
    <row r="46" customFormat="false" ht="14.25" hidden="false" customHeight="true" outlineLevel="0" collapsed="false">
      <c r="A46" s="61" t="n">
        <v>1886</v>
      </c>
      <c r="B46" s="49" t="n">
        <f aca="false">B45+'Navy plan'!B46-IF($A46-Levers!$C$191&gt;=1846,INDEX('Navy plan'!B$6:B$92,$A46-1845-Levers!$C$191),0)</f>
        <v>16</v>
      </c>
      <c r="C46" s="49" t="n">
        <f aca="false">C45+'Navy plan'!C46-IF($A46-Levers!$D$191&gt;=1846,INDEX('Navy plan'!C$6:C$92,$A46-1845-Levers!$D$191),0)</f>
        <v>12</v>
      </c>
      <c r="D46" s="49" t="n">
        <f aca="false">D45+'Navy plan'!D46-IF($A46-Levers!$E$191&gt;=1846,INDEX('Navy plan'!D$6:D$92,$A46-1845-Levers!$E$191),0)</f>
        <v>12</v>
      </c>
      <c r="E46" s="49" t="n">
        <f aca="false">E45+'Navy plan'!E46-IF($A46-Levers!$F$191&gt;=1846,INDEX('Navy plan'!E$6:E$92,$A46-1845-Levers!$F$191),0)</f>
        <v>0</v>
      </c>
      <c r="F46" s="49" t="n">
        <f aca="false">F45+'Navy plan'!F46-IF($A46-Levers!$G$191&gt;=1846,INDEX('Navy plan'!F$6:F$92,$A46-1845-Levers!$G$191),0)</f>
        <v>0</v>
      </c>
      <c r="G46" s="49" t="n">
        <f aca="false">G45+'Navy plan'!G46-IF($A46-Levers!$H$191&gt;=1846,INDEX('Navy plan'!G$6:G$92,$A46-1845-Levers!$H$191),0)</f>
        <v>0</v>
      </c>
      <c r="H46" s="49" t="n">
        <f aca="false">H45+'Navy plan'!H46-IF($A46-Levers!$I$191&gt;=1846,INDEX('Navy plan'!H$6:H$92,$A46-1845-Levers!$I$191),0)</f>
        <v>0</v>
      </c>
      <c r="I46" s="49" t="n">
        <f aca="false">I45+'Navy plan'!I46-IF($A46-Levers!$J$191&gt;=1846,INDEX('Navy plan'!I$6:I$92,$A46-1845-Levers!$J$191),0)</f>
        <v>0</v>
      </c>
      <c r="J46" s="49" t="n">
        <f aca="false">J45+'Navy plan'!J46-IF($A46-Levers!$K$191&gt;=1846,INDEX('Navy plan'!J$6:J$92,$A46-1845-Levers!$K$191),0)</f>
        <v>0</v>
      </c>
      <c r="K46" s="49" t="n">
        <f aca="false">SUM(B46:J46)</f>
        <v>40</v>
      </c>
      <c r="L46" s="56" t="n">
        <f aca="false">0.5*SUMPRODUCT('Navy plan'!B46:J46,'Navy plan'!K46:S46)+0.5*SUMPRODUCT('Navy plan'!B47:J47,'Navy plan'!K47:S47)</f>
        <v>0.728</v>
      </c>
      <c r="M46" s="49" t="n">
        <f aca="false">SUMPRODUCT(B46:J46,Levers!$C$192:$K$192)</f>
        <v>5160</v>
      </c>
      <c r="N46" s="49" t="n">
        <f aca="false">SUMPRODUCT(B46:J46,Levers!$C$195:$K$195)</f>
        <v>5227.69230769231</v>
      </c>
      <c r="O46" s="49" t="n">
        <f aca="false">N46-M46</f>
        <v>67.6923076923076</v>
      </c>
      <c r="P46" s="56" t="n">
        <f aca="false">M46*sailor_pay*Economy!H46/1000000</f>
        <v>3.427272</v>
      </c>
      <c r="Q46" s="56" t="n">
        <f aca="false">SUMPRODUCT(B46:J46,'Navy plan'!K46:S46)*maint_rate</f>
        <v>1.6856</v>
      </c>
      <c r="R46" s="56" t="n">
        <f aca="false">SUMPRODUCT(B46:J46,Levers!$C$193:$K$193)*Economy!H46</f>
        <v>0.72324</v>
      </c>
      <c r="S46" s="56" t="n">
        <f aca="false">SUMPRODUCT(B46:J46,Levers!$C$193:$K$193,Levers!$C$194:$K$194)*(1/oil_fuel-1)*Economy!H46</f>
        <v>0.0189771428571429</v>
      </c>
      <c r="T46" s="56" t="n">
        <f aca="false">S46+O46*sailor_pay*Economy!H46/1000000</f>
        <v>0.0639383736263736</v>
      </c>
      <c r="U46" s="56" t="n">
        <f aca="false">(P46+Q46+R46)*navy_overhead</f>
        <v>0.8754168</v>
      </c>
      <c r="V46" s="56" t="n">
        <f aca="false">L46+P46+Q46+R46+U46</f>
        <v>7.4395288</v>
      </c>
      <c r="W46" s="72" t="n">
        <f aca="false">Japan!I46</f>
        <v>6.4</v>
      </c>
      <c r="X46" s="56" t="n">
        <f aca="false">IF($A46&gt;=1927,V46+W46,0)</f>
        <v>0</v>
      </c>
      <c r="Y46" s="56" t="n">
        <f aca="false">IF($A46&gt;=1927,pac_quota*X46,V46)</f>
        <v>7.4395288</v>
      </c>
      <c r="Z46" s="70" t="n">
        <f aca="false">SUMPRODUCT(B46:J46,Levers!$C$193:$K$193,Levers!$C$194:$K$194)/0.6</f>
        <v>0.1</v>
      </c>
      <c r="AA46" s="65" t="n">
        <f aca="false">H46</f>
        <v>0</v>
      </c>
      <c r="AB46" s="49" t="n">
        <f aca="false">AA46+'Navy plan'!T46</f>
        <v>0</v>
      </c>
      <c r="AC46" s="65" t="n">
        <f aca="false">'Navy plan'!U46</f>
        <v>0</v>
      </c>
      <c r="AD46" s="65" t="n">
        <f aca="false">'Navy plan'!V46</f>
        <v>0</v>
      </c>
      <c r="AE46" s="70" t="n">
        <f aca="false">IF(AC46&gt;0,AB46/AC46,0)</f>
        <v>0</v>
      </c>
    </row>
    <row r="47" customFormat="false" ht="14.25" hidden="false" customHeight="true" outlineLevel="0" collapsed="false">
      <c r="A47" s="61" t="n">
        <v>1887</v>
      </c>
      <c r="B47" s="49" t="n">
        <f aca="false">B46+'Navy plan'!B47-IF($A47-Levers!$C$191&gt;=1846,INDEX('Navy plan'!B$6:B$92,$A47-1845-Levers!$C$191),0)</f>
        <v>15</v>
      </c>
      <c r="C47" s="49" t="n">
        <f aca="false">C46+'Navy plan'!C47-IF($A47-Levers!$D$191&gt;=1846,INDEX('Navy plan'!C$6:C$92,$A47-1845-Levers!$D$191),0)</f>
        <v>13</v>
      </c>
      <c r="D47" s="49" t="n">
        <f aca="false">D46+'Navy plan'!D47-IF($A47-Levers!$E$191&gt;=1846,INDEX('Navy plan'!D$6:D$92,$A47-1845-Levers!$E$191),0)</f>
        <v>12</v>
      </c>
      <c r="E47" s="49" t="n">
        <f aca="false">E46+'Navy plan'!E47-IF($A47-Levers!$F$191&gt;=1846,INDEX('Navy plan'!E$6:E$92,$A47-1845-Levers!$F$191),0)</f>
        <v>0</v>
      </c>
      <c r="F47" s="49" t="n">
        <f aca="false">F46+'Navy plan'!F47-IF($A47-Levers!$G$191&gt;=1846,INDEX('Navy plan'!F$6:F$92,$A47-1845-Levers!$G$191),0)</f>
        <v>0</v>
      </c>
      <c r="G47" s="49" t="n">
        <f aca="false">G46+'Navy plan'!G47-IF($A47-Levers!$H$191&gt;=1846,INDEX('Navy plan'!G$6:G$92,$A47-1845-Levers!$H$191),0)</f>
        <v>0</v>
      </c>
      <c r="H47" s="49" t="n">
        <f aca="false">H46+'Navy plan'!H47-IF($A47-Levers!$I$191&gt;=1846,INDEX('Navy plan'!H$6:H$92,$A47-1845-Levers!$I$191),0)</f>
        <v>0</v>
      </c>
      <c r="I47" s="49" t="n">
        <f aca="false">I46+'Navy plan'!I47-IF($A47-Levers!$J$191&gt;=1846,INDEX('Navy plan'!I$6:I$92,$A47-1845-Levers!$J$191),0)</f>
        <v>0</v>
      </c>
      <c r="J47" s="49" t="n">
        <f aca="false">J46+'Navy plan'!J47-IF($A47-Levers!$K$191&gt;=1846,INDEX('Navy plan'!J$6:J$92,$A47-1845-Levers!$K$191),0)</f>
        <v>0</v>
      </c>
      <c r="K47" s="49" t="n">
        <f aca="false">SUM(B47:J47)</f>
        <v>40</v>
      </c>
      <c r="L47" s="56" t="n">
        <f aca="false">0.5*SUMPRODUCT('Navy plan'!B47:J47,'Navy plan'!K47:S47)+0.5*SUMPRODUCT('Navy plan'!B48:J48,'Navy plan'!K48:S48)</f>
        <v>0.734</v>
      </c>
      <c r="M47" s="49" t="n">
        <f aca="false">SUMPRODUCT(B47:J47,Levers!$C$192:$K$192)</f>
        <v>5290</v>
      </c>
      <c r="N47" s="49" t="n">
        <f aca="false">SUMPRODUCT(B47:J47,Levers!$C$195:$K$195)</f>
        <v>5357.69230769231</v>
      </c>
      <c r="O47" s="49" t="n">
        <f aca="false">N47-M47</f>
        <v>67.6923076923076</v>
      </c>
      <c r="P47" s="56" t="n">
        <f aca="false">M47*sailor_pay*Economy!H47/1000000</f>
        <v>3.504096</v>
      </c>
      <c r="Q47" s="56" t="n">
        <f aca="false">SUMPRODUCT(B47:J47,'Navy plan'!K47:S47)*maint_rate</f>
        <v>1.6712</v>
      </c>
      <c r="R47" s="56" t="n">
        <f aca="false">SUMPRODUCT(B47:J47,Levers!$C$193:$K$193)*Economy!H47</f>
        <v>0.74336</v>
      </c>
      <c r="S47" s="56" t="n">
        <f aca="false">SUMPRODUCT(B47:J47,Levers!$C$193:$K$193,Levers!$C$194:$K$194)*(1/oil_fuel-1)*Economy!H47</f>
        <v>0.0189257142857143</v>
      </c>
      <c r="T47" s="56" t="n">
        <f aca="false">S47+O47*sailor_pay*Economy!H47/1000000</f>
        <v>0.0637650989010989</v>
      </c>
      <c r="U47" s="56" t="n">
        <f aca="false">(P47+Q47+R47)*navy_overhead</f>
        <v>0.8877984</v>
      </c>
      <c r="V47" s="56" t="n">
        <f aca="false">L47+P47+Q47+R47+U47</f>
        <v>7.5404544</v>
      </c>
      <c r="W47" s="72" t="n">
        <f aca="false">Japan!I47</f>
        <v>6.8</v>
      </c>
      <c r="X47" s="56" t="n">
        <f aca="false">IF($A47&gt;=1927,V47+W47,0)</f>
        <v>0</v>
      </c>
      <c r="Y47" s="56" t="n">
        <f aca="false">IF($A47&gt;=1927,pac_quota*X47,V47)</f>
        <v>7.5404544</v>
      </c>
      <c r="Z47" s="70" t="n">
        <f aca="false">SUMPRODUCT(B47:J47,Levers!$C$193:$K$193,Levers!$C$194:$K$194)/0.6</f>
        <v>0.1</v>
      </c>
      <c r="AA47" s="65" t="n">
        <f aca="false">H47</f>
        <v>0</v>
      </c>
      <c r="AB47" s="49" t="n">
        <f aca="false">AA47+'Navy plan'!T47</f>
        <v>0</v>
      </c>
      <c r="AC47" s="65" t="n">
        <f aca="false">'Navy plan'!U47</f>
        <v>0</v>
      </c>
      <c r="AD47" s="65" t="n">
        <f aca="false">'Navy plan'!V47</f>
        <v>0</v>
      </c>
      <c r="AE47" s="70" t="n">
        <f aca="false">IF(AC47&gt;0,AB47/AC47,0)</f>
        <v>0</v>
      </c>
    </row>
    <row r="48" customFormat="false" ht="14.25" hidden="false" customHeight="true" outlineLevel="0" collapsed="false">
      <c r="A48" s="61" t="n">
        <v>1888</v>
      </c>
      <c r="B48" s="49" t="n">
        <f aca="false">B47+'Navy plan'!B48-IF($A48-Levers!$C$191&gt;=1846,INDEX('Navy plan'!B$6:B$92,$A48-1845-Levers!$C$191),0)</f>
        <v>13</v>
      </c>
      <c r="C48" s="49" t="n">
        <f aca="false">C47+'Navy plan'!C48-IF($A48-Levers!$D$191&gt;=1846,INDEX('Navy plan'!C$6:C$92,$A48-1845-Levers!$D$191),0)</f>
        <v>11</v>
      </c>
      <c r="D48" s="49" t="n">
        <f aca="false">D47+'Navy plan'!D48-IF($A48-Levers!$E$191&gt;=1846,INDEX('Navy plan'!D$6:D$92,$A48-1845-Levers!$E$191),0)</f>
        <v>18</v>
      </c>
      <c r="E48" s="49" t="n">
        <f aca="false">E47+'Navy plan'!E48-IF($A48-Levers!$F$191&gt;=1846,INDEX('Navy plan'!E$6:E$92,$A48-1845-Levers!$F$191),0)</f>
        <v>0</v>
      </c>
      <c r="F48" s="49" t="n">
        <f aca="false">F47+'Navy plan'!F48-IF($A48-Levers!$G$191&gt;=1846,INDEX('Navy plan'!F$6:F$92,$A48-1845-Levers!$G$191),0)</f>
        <v>0</v>
      </c>
      <c r="G48" s="49" t="n">
        <f aca="false">G47+'Navy plan'!G48-IF($A48-Levers!$H$191&gt;=1846,INDEX('Navy plan'!G$6:G$92,$A48-1845-Levers!$H$191),0)</f>
        <v>0</v>
      </c>
      <c r="H48" s="49" t="n">
        <f aca="false">H47+'Navy plan'!H48-IF($A48-Levers!$I$191&gt;=1846,INDEX('Navy plan'!H$6:H$92,$A48-1845-Levers!$I$191),0)</f>
        <v>0</v>
      </c>
      <c r="I48" s="49" t="n">
        <f aca="false">I47+'Navy plan'!I48-IF($A48-Levers!$J$191&gt;=1846,INDEX('Navy plan'!I$6:I$92,$A48-1845-Levers!$J$191),0)</f>
        <v>0</v>
      </c>
      <c r="J48" s="49" t="n">
        <f aca="false">J47+'Navy plan'!J48-IF($A48-Levers!$K$191&gt;=1846,INDEX('Navy plan'!J$6:J$92,$A48-1845-Levers!$K$191),0)</f>
        <v>0</v>
      </c>
      <c r="K48" s="49" t="n">
        <f aca="false">SUM(B48:J48)</f>
        <v>42</v>
      </c>
      <c r="L48" s="56" t="n">
        <f aca="false">0.5*SUMPRODUCT('Navy plan'!B48:J48,'Navy plan'!K48:S48)+0.5*SUMPRODUCT('Navy plan'!B49:J49,'Navy plan'!K49:S49)</f>
        <v>0.234</v>
      </c>
      <c r="M48" s="49" t="n">
        <f aca="false">SUMPRODUCT(B48:J48,Levers!$C$192:$K$192)</f>
        <v>4670</v>
      </c>
      <c r="N48" s="49" t="n">
        <f aca="false">SUMPRODUCT(B48:J48,Levers!$C$195:$K$195)</f>
        <v>4771.53846153846</v>
      </c>
      <c r="O48" s="49" t="n">
        <f aca="false">N48-M48</f>
        <v>101.538461538462</v>
      </c>
      <c r="P48" s="56" t="n">
        <f aca="false">M48*sailor_pay*Economy!H48/1000000</f>
        <v>3.085002</v>
      </c>
      <c r="Q48" s="56" t="n">
        <f aca="false">SUMPRODUCT(B48:J48,'Navy plan'!K48:S48)*maint_rate</f>
        <v>1.4652</v>
      </c>
      <c r="R48" s="56" t="n">
        <f aca="false">SUMPRODUCT(B48:J48,Levers!$C$193:$K$193)*Economy!H48</f>
        <v>0.6606</v>
      </c>
      <c r="S48" s="56" t="n">
        <f aca="false">SUMPRODUCT(B48:J48,Levers!$C$193:$K$193,Levers!$C$194:$K$194)*(1/oil_fuel-1)*Economy!H48</f>
        <v>0.0283114285714286</v>
      </c>
      <c r="T48" s="56" t="n">
        <f aca="false">S48+O48*sailor_pay*Economy!H48/1000000</f>
        <v>0.0953877362637365</v>
      </c>
      <c r="U48" s="56" t="n">
        <f aca="false">(P48+Q48+R48)*navy_overhead</f>
        <v>0.7816203</v>
      </c>
      <c r="V48" s="56" t="n">
        <f aca="false">L48+P48+Q48+R48+U48</f>
        <v>6.2264223</v>
      </c>
      <c r="W48" s="72" t="n">
        <f aca="false">Japan!I48</f>
        <v>7.2</v>
      </c>
      <c r="X48" s="56" t="n">
        <f aca="false">IF($A48&gt;=1927,V48+W48,0)</f>
        <v>0</v>
      </c>
      <c r="Y48" s="56" t="n">
        <f aca="false">IF($A48&gt;=1927,pac_quota*X48,V48)</f>
        <v>6.2264223</v>
      </c>
      <c r="Z48" s="70" t="n">
        <f aca="false">SUMPRODUCT(B48:J48,Levers!$C$193:$K$193,Levers!$C$194:$K$194)/0.6</f>
        <v>0.15</v>
      </c>
      <c r="AA48" s="65" t="n">
        <f aca="false">H48</f>
        <v>0</v>
      </c>
      <c r="AB48" s="49" t="n">
        <f aca="false">AA48+'Navy plan'!T48</f>
        <v>0</v>
      </c>
      <c r="AC48" s="65" t="n">
        <f aca="false">'Navy plan'!U48</f>
        <v>0</v>
      </c>
      <c r="AD48" s="65" t="n">
        <f aca="false">'Navy plan'!V48</f>
        <v>0</v>
      </c>
      <c r="AE48" s="70" t="n">
        <f aca="false">IF(AC48&gt;0,AB48/AC48,0)</f>
        <v>0</v>
      </c>
    </row>
    <row r="49" customFormat="false" ht="14.25" hidden="false" customHeight="true" outlineLevel="0" collapsed="false">
      <c r="A49" s="61" t="n">
        <v>1889</v>
      </c>
      <c r="B49" s="49" t="n">
        <f aca="false">B48+'Navy plan'!B49-IF($A49-Levers!$C$191&gt;=1846,INDEX('Navy plan'!B$6:B$92,$A49-1845-Levers!$C$191),0)</f>
        <v>11</v>
      </c>
      <c r="C49" s="49" t="n">
        <f aca="false">C48+'Navy plan'!C49-IF($A49-Levers!$D$191&gt;=1846,INDEX('Navy plan'!C$6:C$92,$A49-1845-Levers!$D$191),0)</f>
        <v>11</v>
      </c>
      <c r="D49" s="49" t="n">
        <f aca="false">D48+'Navy plan'!D49-IF($A49-Levers!$E$191&gt;=1846,INDEX('Navy plan'!D$6:D$92,$A49-1845-Levers!$E$191),0)</f>
        <v>18</v>
      </c>
      <c r="E49" s="49" t="n">
        <f aca="false">E48+'Navy plan'!E49-IF($A49-Levers!$F$191&gt;=1846,INDEX('Navy plan'!E$6:E$92,$A49-1845-Levers!$F$191),0)</f>
        <v>0</v>
      </c>
      <c r="F49" s="49" t="n">
        <f aca="false">F48+'Navy plan'!F49-IF($A49-Levers!$G$191&gt;=1846,INDEX('Navy plan'!F$6:F$92,$A49-1845-Levers!$G$191),0)</f>
        <v>0</v>
      </c>
      <c r="G49" s="49" t="n">
        <f aca="false">G48+'Navy plan'!G49-IF($A49-Levers!$H$191&gt;=1846,INDEX('Navy plan'!G$6:G$92,$A49-1845-Levers!$H$191),0)</f>
        <v>0</v>
      </c>
      <c r="H49" s="49" t="n">
        <f aca="false">H48+'Navy plan'!H49-IF($A49-Levers!$I$191&gt;=1846,INDEX('Navy plan'!H$6:H$92,$A49-1845-Levers!$I$191),0)</f>
        <v>0</v>
      </c>
      <c r="I49" s="49" t="n">
        <f aca="false">I48+'Navy plan'!I49-IF($A49-Levers!$J$191&gt;=1846,INDEX('Navy plan'!I$6:I$92,$A49-1845-Levers!$J$191),0)</f>
        <v>0</v>
      </c>
      <c r="J49" s="49" t="n">
        <f aca="false">J48+'Navy plan'!J49-IF($A49-Levers!$K$191&gt;=1846,INDEX('Navy plan'!J$6:J$92,$A49-1845-Levers!$K$191),0)</f>
        <v>0</v>
      </c>
      <c r="K49" s="49" t="n">
        <f aca="false">SUM(B49:J49)</f>
        <v>40</v>
      </c>
      <c r="L49" s="56" t="n">
        <f aca="false">0.5*SUMPRODUCT('Navy plan'!B49:J49,'Navy plan'!K49:S49)+0.5*SUMPRODUCT('Navy plan'!B50:J50,'Navy plan'!K50:S50)</f>
        <v>1.96</v>
      </c>
      <c r="M49" s="49" t="n">
        <f aca="false">SUMPRODUCT(B49:J49,Levers!$C$192:$K$192)</f>
        <v>4430</v>
      </c>
      <c r="N49" s="49" t="n">
        <f aca="false">SUMPRODUCT(B49:J49,Levers!$C$195:$K$195)</f>
        <v>4531.53846153846</v>
      </c>
      <c r="O49" s="49" t="n">
        <f aca="false">N49-M49</f>
        <v>101.538461538462</v>
      </c>
      <c r="P49" s="56" t="n">
        <f aca="false">M49*sailor_pay*Economy!H49/1000000</f>
        <v>2.918484</v>
      </c>
      <c r="Q49" s="56" t="n">
        <f aca="false">SUMPRODUCT(B49:J49,'Navy plan'!K49:S49)*maint_rate</f>
        <v>1.3361</v>
      </c>
      <c r="R49" s="56" t="n">
        <f aca="false">SUMPRODUCT(B49:J49,Levers!$C$193:$K$193)*Economy!H49</f>
        <v>0.62952</v>
      </c>
      <c r="S49" s="56" t="n">
        <f aca="false">SUMPRODUCT(B49:J49,Levers!$C$193:$K$193,Levers!$C$194:$K$194)*(1/oil_fuel-1)*Economy!H49</f>
        <v>0.0282342857142857</v>
      </c>
      <c r="T49" s="56" t="n">
        <f aca="false">S49+O49*sailor_pay*Economy!H49/1000000</f>
        <v>0.0951278241758244</v>
      </c>
      <c r="U49" s="56" t="n">
        <f aca="false">(P49+Q49+R49)*navy_overhead</f>
        <v>0.7326156</v>
      </c>
      <c r="V49" s="56" t="n">
        <f aca="false">L49+P49+Q49+R49+U49</f>
        <v>7.5767196</v>
      </c>
      <c r="W49" s="72" t="n">
        <f aca="false">Japan!I49</f>
        <v>7.6</v>
      </c>
      <c r="X49" s="56" t="n">
        <f aca="false">IF($A49&gt;=1927,V49+W49,0)</f>
        <v>0</v>
      </c>
      <c r="Y49" s="56" t="n">
        <f aca="false">IF($A49&gt;=1927,pac_quota*X49,V49)</f>
        <v>7.5767196</v>
      </c>
      <c r="Z49" s="70" t="n">
        <f aca="false">SUMPRODUCT(B49:J49,Levers!$C$193:$K$193,Levers!$C$194:$K$194)/0.6</f>
        <v>0.15</v>
      </c>
      <c r="AA49" s="65" t="n">
        <f aca="false">H49</f>
        <v>0</v>
      </c>
      <c r="AB49" s="49" t="n">
        <f aca="false">AA49+'Navy plan'!T49</f>
        <v>0</v>
      </c>
      <c r="AC49" s="65" t="n">
        <f aca="false">'Navy plan'!U49</f>
        <v>0</v>
      </c>
      <c r="AD49" s="65" t="n">
        <f aca="false">'Navy plan'!V49</f>
        <v>0</v>
      </c>
      <c r="AE49" s="70" t="n">
        <f aca="false">IF(AC49&gt;0,AB49/AC49,0)</f>
        <v>0</v>
      </c>
    </row>
    <row r="50" customFormat="false" ht="14.25" hidden="false" customHeight="true" outlineLevel="0" collapsed="false">
      <c r="A50" s="61" t="n">
        <v>1890</v>
      </c>
      <c r="B50" s="49" t="n">
        <f aca="false">B49+'Navy plan'!B50-IF($A50-Levers!$C$191&gt;=1846,INDEX('Navy plan'!B$6:B$92,$A50-1845-Levers!$C$191),0)</f>
        <v>10</v>
      </c>
      <c r="C50" s="49" t="n">
        <f aca="false">C49+'Navy plan'!C50-IF($A50-Levers!$D$191&gt;=1846,INDEX('Navy plan'!C$6:C$92,$A50-1845-Levers!$D$191),0)</f>
        <v>11</v>
      </c>
      <c r="D50" s="49" t="n">
        <f aca="false">D49+'Navy plan'!D50-IF($A50-Levers!$E$191&gt;=1846,INDEX('Navy plan'!D$6:D$92,$A50-1845-Levers!$E$191),0)</f>
        <v>22</v>
      </c>
      <c r="E50" s="49" t="n">
        <f aca="false">E49+'Navy plan'!E50-IF($A50-Levers!$F$191&gt;=1846,INDEX('Navy plan'!E$6:E$92,$A50-1845-Levers!$F$191),0)</f>
        <v>2</v>
      </c>
      <c r="F50" s="49" t="n">
        <f aca="false">F49+'Navy plan'!F50-IF($A50-Levers!$G$191&gt;=1846,INDEX('Navy plan'!F$6:F$92,$A50-1845-Levers!$G$191),0)</f>
        <v>0</v>
      </c>
      <c r="G50" s="49" t="n">
        <f aca="false">G49+'Navy plan'!G50-IF($A50-Levers!$H$191&gt;=1846,INDEX('Navy plan'!G$6:G$92,$A50-1845-Levers!$H$191),0)</f>
        <v>0</v>
      </c>
      <c r="H50" s="49" t="n">
        <f aca="false">H49+'Navy plan'!H50-IF($A50-Levers!$I$191&gt;=1846,INDEX('Navy plan'!H$6:H$92,$A50-1845-Levers!$I$191),0)</f>
        <v>0</v>
      </c>
      <c r="I50" s="49" t="n">
        <f aca="false">I49+'Navy plan'!I50-IF($A50-Levers!$J$191&gt;=1846,INDEX('Navy plan'!I$6:I$92,$A50-1845-Levers!$J$191),0)</f>
        <v>0</v>
      </c>
      <c r="J50" s="49" t="n">
        <f aca="false">J49+'Navy plan'!J50-IF($A50-Levers!$K$191&gt;=1846,INDEX('Navy plan'!J$6:J$92,$A50-1845-Levers!$K$191),0)</f>
        <v>0</v>
      </c>
      <c r="K50" s="49" t="n">
        <f aca="false">SUM(B50:J50)</f>
        <v>45</v>
      </c>
      <c r="L50" s="56" t="n">
        <f aca="false">0.5*SUMPRODUCT('Navy plan'!B50:J50,'Navy plan'!K50:S50)+0.5*SUMPRODUCT('Navy plan'!B51:J51,'Navy plan'!K51:S51)</f>
        <v>1.96</v>
      </c>
      <c r="M50" s="49" t="n">
        <f aca="false">SUMPRODUCT(B50:J50,Levers!$C$192:$K$192)</f>
        <v>4950</v>
      </c>
      <c r="N50" s="49" t="n">
        <f aca="false">SUMPRODUCT(B50:J50,Levers!$C$195:$K$195)</f>
        <v>5232.05128205128</v>
      </c>
      <c r="O50" s="49" t="n">
        <f aca="false">N50-M50</f>
        <v>282.051282051282</v>
      </c>
      <c r="P50" s="56" t="n">
        <f aca="false">M50*sailor_pay*Economy!H50/1000000</f>
        <v>3.25215</v>
      </c>
      <c r="Q50" s="56" t="n">
        <f aca="false">SUMPRODUCT(B50:J50,'Navy plan'!K50:S50)*maint_rate</f>
        <v>1.468</v>
      </c>
      <c r="R50" s="56" t="n">
        <f aca="false">SUMPRODUCT(B50:J50,Levers!$C$193:$K$193)*Economy!H50</f>
        <v>0.7008</v>
      </c>
      <c r="S50" s="56" t="n">
        <f aca="false">SUMPRODUCT(B50:J50,Levers!$C$193:$K$193,Levers!$C$194:$K$194)*(1/oil_fuel-1)*Economy!H50</f>
        <v>0.0657</v>
      </c>
      <c r="T50" s="56" t="n">
        <f aca="false">S50+O50*sailor_pay*Economy!H50/1000000</f>
        <v>0.251007692307692</v>
      </c>
      <c r="U50" s="56" t="n">
        <f aca="false">(P50+Q50+R50)*navy_overhead</f>
        <v>0.8131425</v>
      </c>
      <c r="V50" s="56" t="n">
        <f aca="false">L50+P50+Q50+R50+U50</f>
        <v>8.1940925</v>
      </c>
      <c r="W50" s="72" t="n">
        <f aca="false">Japan!I50</f>
        <v>8</v>
      </c>
      <c r="X50" s="56" t="n">
        <f aca="false">IF($A50&gt;=1927,V50+W50,0)</f>
        <v>0</v>
      </c>
      <c r="Y50" s="56" t="n">
        <f aca="false">IF($A50&gt;=1927,pac_quota*X50,V50)</f>
        <v>8.1940925</v>
      </c>
      <c r="Z50" s="70" t="n">
        <f aca="false">SUMPRODUCT(B50:J50,Levers!$C$193:$K$193,Levers!$C$194:$K$194)/0.6</f>
        <v>0.35</v>
      </c>
      <c r="AA50" s="65" t="n">
        <f aca="false">H50</f>
        <v>0</v>
      </c>
      <c r="AB50" s="49" t="n">
        <f aca="false">AA50+'Navy plan'!T50</f>
        <v>0</v>
      </c>
      <c r="AC50" s="65" t="n">
        <f aca="false">'Navy plan'!U50</f>
        <v>0</v>
      </c>
      <c r="AD50" s="65" t="n">
        <f aca="false">'Navy plan'!V50</f>
        <v>0</v>
      </c>
      <c r="AE50" s="70" t="n">
        <f aca="false">IF(AC50&gt;0,AB50/AC50,0)</f>
        <v>0</v>
      </c>
    </row>
    <row r="51" customFormat="false" ht="14.25" hidden="false" customHeight="true" outlineLevel="0" collapsed="false">
      <c r="A51" s="61" t="n">
        <v>1891</v>
      </c>
      <c r="B51" s="49" t="n">
        <f aca="false">B50+'Navy plan'!B51-IF($A51-Levers!$C$191&gt;=1846,INDEX('Navy plan'!B$6:B$92,$A51-1845-Levers!$C$191),0)</f>
        <v>10</v>
      </c>
      <c r="C51" s="49" t="n">
        <f aca="false">C50+'Navy plan'!C51-IF($A51-Levers!$D$191&gt;=1846,INDEX('Navy plan'!C$6:C$92,$A51-1845-Levers!$D$191),0)</f>
        <v>11</v>
      </c>
      <c r="D51" s="49" t="n">
        <f aca="false">D50+'Navy plan'!D51-IF($A51-Levers!$E$191&gt;=1846,INDEX('Navy plan'!D$6:D$92,$A51-1845-Levers!$E$191),0)</f>
        <v>22</v>
      </c>
      <c r="E51" s="49" t="n">
        <f aca="false">E50+'Navy plan'!E51-IF($A51-Levers!$F$191&gt;=1846,INDEX('Navy plan'!E$6:E$92,$A51-1845-Levers!$F$191),0)</f>
        <v>2</v>
      </c>
      <c r="F51" s="49" t="n">
        <f aca="false">F50+'Navy plan'!F51-IF($A51-Levers!$G$191&gt;=1846,INDEX('Navy plan'!F$6:F$92,$A51-1845-Levers!$G$191),0)</f>
        <v>0</v>
      </c>
      <c r="G51" s="49" t="n">
        <f aca="false">G50+'Navy plan'!G51-IF($A51-Levers!$H$191&gt;=1846,INDEX('Navy plan'!G$6:G$92,$A51-1845-Levers!$H$191),0)</f>
        <v>0</v>
      </c>
      <c r="H51" s="49" t="n">
        <f aca="false">H50+'Navy plan'!H51-IF($A51-Levers!$I$191&gt;=1846,INDEX('Navy plan'!H$6:H$92,$A51-1845-Levers!$I$191),0)</f>
        <v>0</v>
      </c>
      <c r="I51" s="49" t="n">
        <f aca="false">I50+'Navy plan'!I51-IF($A51-Levers!$J$191&gt;=1846,INDEX('Navy plan'!I$6:I$92,$A51-1845-Levers!$J$191),0)</f>
        <v>0</v>
      </c>
      <c r="J51" s="49" t="n">
        <f aca="false">J50+'Navy plan'!J51-IF($A51-Levers!$K$191&gt;=1846,INDEX('Navy plan'!J$6:J$92,$A51-1845-Levers!$K$191),0)</f>
        <v>0</v>
      </c>
      <c r="K51" s="49" t="n">
        <f aca="false">SUM(B51:J51)</f>
        <v>45</v>
      </c>
      <c r="L51" s="56" t="n">
        <f aca="false">0.5*SUMPRODUCT('Navy plan'!B51:J51,'Navy plan'!K51:S51)+0.5*SUMPRODUCT('Navy plan'!B52:J52,'Navy plan'!K52:S52)</f>
        <v>1.98</v>
      </c>
      <c r="M51" s="49" t="n">
        <f aca="false">SUMPRODUCT(B51:J51,Levers!$C$192:$K$192)</f>
        <v>4950</v>
      </c>
      <c r="N51" s="49" t="n">
        <f aca="false">SUMPRODUCT(B51:J51,Levers!$C$195:$K$195)</f>
        <v>5232.05128205128</v>
      </c>
      <c r="O51" s="49" t="n">
        <f aca="false">N51-M51</f>
        <v>282.051282051282</v>
      </c>
      <c r="P51" s="56" t="n">
        <f aca="false">M51*sailor_pay*Economy!H51/1000000</f>
        <v>3.2151735</v>
      </c>
      <c r="Q51" s="56" t="n">
        <f aca="false">SUMPRODUCT(B51:J51,'Navy plan'!K51:S51)*maint_rate</f>
        <v>1.469</v>
      </c>
      <c r="R51" s="56" t="n">
        <f aca="false">SUMPRODUCT(B51:J51,Levers!$C$193:$K$193)*Economy!H51</f>
        <v>0.692832</v>
      </c>
      <c r="S51" s="56" t="n">
        <f aca="false">SUMPRODUCT(B51:J51,Levers!$C$193:$K$193,Levers!$C$194:$K$194)*(1/oil_fuel-1)*Economy!H51</f>
        <v>0.064953</v>
      </c>
      <c r="T51" s="56" t="n">
        <f aca="false">S51+O51*sailor_pay*Economy!H51/1000000</f>
        <v>0.248153769230769</v>
      </c>
      <c r="U51" s="56" t="n">
        <f aca="false">(P51+Q51+R51)*navy_overhead</f>
        <v>0.806550825</v>
      </c>
      <c r="V51" s="56" t="n">
        <f aca="false">L51+P51+Q51+R51+U51</f>
        <v>8.163556325</v>
      </c>
      <c r="W51" s="72" t="n">
        <f aca="false">Japan!I51</f>
        <v>9</v>
      </c>
      <c r="X51" s="56" t="n">
        <f aca="false">IF($A51&gt;=1927,V51+W51,0)</f>
        <v>0</v>
      </c>
      <c r="Y51" s="56" t="n">
        <f aca="false">IF($A51&gt;=1927,pac_quota*X51,V51)</f>
        <v>8.163556325</v>
      </c>
      <c r="Z51" s="70" t="n">
        <f aca="false">SUMPRODUCT(B51:J51,Levers!$C$193:$K$193,Levers!$C$194:$K$194)/0.6</f>
        <v>0.35</v>
      </c>
      <c r="AA51" s="65" t="n">
        <f aca="false">H51</f>
        <v>0</v>
      </c>
      <c r="AB51" s="49" t="n">
        <f aca="false">AA51+'Navy plan'!T51</f>
        <v>0</v>
      </c>
      <c r="AC51" s="65" t="n">
        <f aca="false">'Navy plan'!U51</f>
        <v>0</v>
      </c>
      <c r="AD51" s="65" t="n">
        <f aca="false">'Navy plan'!V51</f>
        <v>0</v>
      </c>
      <c r="AE51" s="70" t="n">
        <f aca="false">IF(AC51&gt;0,AB51/AC51,0)</f>
        <v>0</v>
      </c>
    </row>
    <row r="52" customFormat="false" ht="14.25" hidden="false" customHeight="true" outlineLevel="0" collapsed="false">
      <c r="A52" s="61" t="n">
        <v>1892</v>
      </c>
      <c r="B52" s="49" t="n">
        <f aca="false">B51+'Navy plan'!B52-IF($A52-Levers!$C$191&gt;=1846,INDEX('Navy plan'!B$6:B$92,$A52-1845-Levers!$C$191),0)</f>
        <v>9</v>
      </c>
      <c r="C52" s="49" t="n">
        <f aca="false">C51+'Navy plan'!C52-IF($A52-Levers!$D$191&gt;=1846,INDEX('Navy plan'!C$6:C$92,$A52-1845-Levers!$D$191),0)</f>
        <v>9</v>
      </c>
      <c r="D52" s="49" t="n">
        <f aca="false">D51+'Navy plan'!D52-IF($A52-Levers!$E$191&gt;=1846,INDEX('Navy plan'!D$6:D$92,$A52-1845-Levers!$E$191),0)</f>
        <v>26</v>
      </c>
      <c r="E52" s="49" t="n">
        <f aca="false">E51+'Navy plan'!E52-IF($A52-Levers!$F$191&gt;=1846,INDEX('Navy plan'!E$6:E$92,$A52-1845-Levers!$F$191),0)</f>
        <v>4</v>
      </c>
      <c r="F52" s="49" t="n">
        <f aca="false">F51+'Navy plan'!F52-IF($A52-Levers!$G$191&gt;=1846,INDEX('Navy plan'!F$6:F$92,$A52-1845-Levers!$G$191),0)</f>
        <v>0</v>
      </c>
      <c r="G52" s="49" t="n">
        <f aca="false">G51+'Navy plan'!G52-IF($A52-Levers!$H$191&gt;=1846,INDEX('Navy plan'!G$6:G$92,$A52-1845-Levers!$H$191),0)</f>
        <v>0</v>
      </c>
      <c r="H52" s="49" t="n">
        <f aca="false">H51+'Navy plan'!H52-IF($A52-Levers!$I$191&gt;=1846,INDEX('Navy plan'!H$6:H$92,$A52-1845-Levers!$I$191),0)</f>
        <v>0</v>
      </c>
      <c r="I52" s="49" t="n">
        <f aca="false">I51+'Navy plan'!I52-IF($A52-Levers!$J$191&gt;=1846,INDEX('Navy plan'!I$6:I$92,$A52-1845-Levers!$J$191),0)</f>
        <v>0</v>
      </c>
      <c r="J52" s="49" t="n">
        <f aca="false">J51+'Navy plan'!J52-IF($A52-Levers!$K$191&gt;=1846,INDEX('Navy plan'!J$6:J$92,$A52-1845-Levers!$K$191),0)</f>
        <v>0</v>
      </c>
      <c r="K52" s="49" t="n">
        <f aca="false">SUM(B52:J52)</f>
        <v>48</v>
      </c>
      <c r="L52" s="56" t="n">
        <f aca="false">0.5*SUMPRODUCT('Navy plan'!B52:J52,'Navy plan'!K52:S52)+0.5*SUMPRODUCT('Navy plan'!B53:J53,'Navy plan'!K53:S53)</f>
        <v>1.98</v>
      </c>
      <c r="M52" s="49" t="n">
        <f aca="false">SUMPRODUCT(B52:J52,Levers!$C$192:$K$192)</f>
        <v>4970</v>
      </c>
      <c r="N52" s="49" t="n">
        <f aca="false">SUMPRODUCT(B52:J52,Levers!$C$195:$K$195)</f>
        <v>5432.5641025641</v>
      </c>
      <c r="O52" s="49" t="n">
        <f aca="false">N52-M52</f>
        <v>462.564102564103</v>
      </c>
      <c r="P52" s="56" t="n">
        <f aca="false">M52*sailor_pay*Economy!H52/1000000</f>
        <v>3.1905909</v>
      </c>
      <c r="Q52" s="56" t="n">
        <f aca="false">SUMPRODUCT(B52:J52,'Navy plan'!K52:S52)*maint_rate</f>
        <v>1.503</v>
      </c>
      <c r="R52" s="56" t="n">
        <f aca="false">SUMPRODUCT(B52:J52,Levers!$C$193:$K$193)*Economy!H52</f>
        <v>0.684768</v>
      </c>
      <c r="S52" s="56" t="n">
        <f aca="false">SUMPRODUCT(B52:J52,Levers!$C$193:$K$193,Levers!$C$194:$K$194)*(1/oil_fuel-1)*Economy!H52</f>
        <v>0.100881</v>
      </c>
      <c r="T52" s="56" t="n">
        <f aca="false">S52+O52*sailor_pay*Economy!H52/1000000</f>
        <v>0.397833276923077</v>
      </c>
      <c r="U52" s="56" t="n">
        <f aca="false">(P52+Q52+R52)*navy_overhead</f>
        <v>0.806753835</v>
      </c>
      <c r="V52" s="56" t="n">
        <f aca="false">L52+P52+Q52+R52+U52</f>
        <v>8.165112735</v>
      </c>
      <c r="W52" s="72" t="n">
        <f aca="false">Japan!I52</f>
        <v>10</v>
      </c>
      <c r="X52" s="56" t="n">
        <f aca="false">IF($A52&gt;=1927,V52+W52,0)</f>
        <v>0</v>
      </c>
      <c r="Y52" s="56" t="n">
        <f aca="false">IF($A52&gt;=1927,pac_quota*X52,V52)</f>
        <v>8.165112735</v>
      </c>
      <c r="Z52" s="70" t="n">
        <f aca="false">SUMPRODUCT(B52:J52,Levers!$C$193:$K$193,Levers!$C$194:$K$194)/0.6</f>
        <v>0.55</v>
      </c>
      <c r="AA52" s="65" t="n">
        <f aca="false">H52</f>
        <v>0</v>
      </c>
      <c r="AB52" s="49" t="n">
        <f aca="false">AA52+'Navy plan'!T52</f>
        <v>0</v>
      </c>
      <c r="AC52" s="65" t="n">
        <f aca="false">'Navy plan'!U52</f>
        <v>0</v>
      </c>
      <c r="AD52" s="65" t="n">
        <f aca="false">'Navy plan'!V52</f>
        <v>0</v>
      </c>
      <c r="AE52" s="70" t="n">
        <f aca="false">IF(AC52&gt;0,AB52/AC52,0)</f>
        <v>0</v>
      </c>
    </row>
    <row r="53" customFormat="false" ht="14.25" hidden="false" customHeight="true" outlineLevel="0" collapsed="false">
      <c r="A53" s="61" t="n">
        <v>1893</v>
      </c>
      <c r="B53" s="49" t="n">
        <f aca="false">B52+'Navy plan'!B53-IF($A53-Levers!$C$191&gt;=1846,INDEX('Navy plan'!B$6:B$92,$A53-1845-Levers!$C$191),0)</f>
        <v>9</v>
      </c>
      <c r="C53" s="49" t="n">
        <f aca="false">C52+'Navy plan'!C53-IF($A53-Levers!$D$191&gt;=1846,INDEX('Navy plan'!C$6:C$92,$A53-1845-Levers!$D$191),0)</f>
        <v>9</v>
      </c>
      <c r="D53" s="49" t="n">
        <f aca="false">D52+'Navy plan'!D53-IF($A53-Levers!$E$191&gt;=1846,INDEX('Navy plan'!D$6:D$92,$A53-1845-Levers!$E$191),0)</f>
        <v>26</v>
      </c>
      <c r="E53" s="49" t="n">
        <f aca="false">E52+'Navy plan'!E53-IF($A53-Levers!$F$191&gt;=1846,INDEX('Navy plan'!E$6:E$92,$A53-1845-Levers!$F$191),0)</f>
        <v>4</v>
      </c>
      <c r="F53" s="49" t="n">
        <f aca="false">F52+'Navy plan'!F53-IF($A53-Levers!$G$191&gt;=1846,INDEX('Navy plan'!F$6:F$92,$A53-1845-Levers!$G$191),0)</f>
        <v>0</v>
      </c>
      <c r="G53" s="49" t="n">
        <f aca="false">G52+'Navy plan'!G53-IF($A53-Levers!$H$191&gt;=1846,INDEX('Navy plan'!G$6:G$92,$A53-1845-Levers!$H$191),0)</f>
        <v>0</v>
      </c>
      <c r="H53" s="49" t="n">
        <f aca="false">H52+'Navy plan'!H53-IF($A53-Levers!$I$191&gt;=1846,INDEX('Navy plan'!H$6:H$92,$A53-1845-Levers!$I$191),0)</f>
        <v>0</v>
      </c>
      <c r="I53" s="49" t="n">
        <f aca="false">I52+'Navy plan'!I53-IF($A53-Levers!$J$191&gt;=1846,INDEX('Navy plan'!I$6:I$92,$A53-1845-Levers!$J$191),0)</f>
        <v>0</v>
      </c>
      <c r="J53" s="49" t="n">
        <f aca="false">J52+'Navy plan'!J53-IF($A53-Levers!$K$191&gt;=1846,INDEX('Navy plan'!J$6:J$92,$A53-1845-Levers!$K$191),0)</f>
        <v>0</v>
      </c>
      <c r="K53" s="49" t="n">
        <f aca="false">SUM(B53:J53)</f>
        <v>48</v>
      </c>
      <c r="L53" s="56" t="n">
        <f aca="false">0.5*SUMPRODUCT('Navy plan'!B53:J53,'Navy plan'!K53:S53)+0.5*SUMPRODUCT('Navy plan'!B54:J54,'Navy plan'!K54:S54)</f>
        <v>2.147</v>
      </c>
      <c r="M53" s="49" t="n">
        <f aca="false">SUMPRODUCT(B53:J53,Levers!$C$192:$K$192)</f>
        <v>4970</v>
      </c>
      <c r="N53" s="49" t="n">
        <f aca="false">SUMPRODUCT(B53:J53,Levers!$C$195:$K$195)</f>
        <v>5432.5641025641</v>
      </c>
      <c r="O53" s="49" t="n">
        <f aca="false">N53-M53</f>
        <v>462.564102564103</v>
      </c>
      <c r="P53" s="56" t="n">
        <f aca="false">M53*sailor_pay*Economy!H53/1000000</f>
        <v>3.153465</v>
      </c>
      <c r="Q53" s="56" t="n">
        <f aca="false">SUMPRODUCT(B53:J53,'Navy plan'!K53:S53)*maint_rate</f>
        <v>1.505</v>
      </c>
      <c r="R53" s="56" t="n">
        <f aca="false">SUMPRODUCT(B53:J53,Levers!$C$193:$K$193)*Economy!H53</f>
        <v>0.6768</v>
      </c>
      <c r="S53" s="56" t="n">
        <f aca="false">SUMPRODUCT(B53:J53,Levers!$C$193:$K$193,Levers!$C$194:$K$194)*(1/oil_fuel-1)*Economy!H53</f>
        <v>0.0997071428571429</v>
      </c>
      <c r="T53" s="56" t="n">
        <f aca="false">S53+O53*sailor_pay*Economy!H53/1000000</f>
        <v>0.393204065934066</v>
      </c>
      <c r="U53" s="56" t="n">
        <f aca="false">(P53+Q53+R53)*navy_overhead</f>
        <v>0.80028975</v>
      </c>
      <c r="V53" s="56" t="n">
        <f aca="false">L53+P53+Q53+R53+U53</f>
        <v>8.28255475</v>
      </c>
      <c r="W53" s="72" t="n">
        <f aca="false">Japan!I53</f>
        <v>11</v>
      </c>
      <c r="X53" s="56" t="n">
        <f aca="false">IF($A53&gt;=1927,V53+W53,0)</f>
        <v>0</v>
      </c>
      <c r="Y53" s="56" t="n">
        <f aca="false">IF($A53&gt;=1927,pac_quota*X53,V53)</f>
        <v>8.28255475</v>
      </c>
      <c r="Z53" s="70" t="n">
        <f aca="false">SUMPRODUCT(B53:J53,Levers!$C$193:$K$193,Levers!$C$194:$K$194)/0.6</f>
        <v>0.55</v>
      </c>
      <c r="AA53" s="65" t="n">
        <f aca="false">H53</f>
        <v>0</v>
      </c>
      <c r="AB53" s="49" t="n">
        <f aca="false">AA53+'Navy plan'!T53</f>
        <v>0</v>
      </c>
      <c r="AC53" s="65" t="n">
        <f aca="false">'Navy plan'!U53</f>
        <v>0</v>
      </c>
      <c r="AD53" s="65" t="n">
        <f aca="false">'Navy plan'!V53</f>
        <v>0</v>
      </c>
      <c r="AE53" s="70" t="n">
        <f aca="false">IF(AC53&gt;0,AB53/AC53,0)</f>
        <v>0</v>
      </c>
    </row>
    <row r="54" customFormat="false" ht="14.25" hidden="false" customHeight="true" outlineLevel="0" collapsed="false">
      <c r="A54" s="61" t="n">
        <v>1894</v>
      </c>
      <c r="B54" s="49" t="n">
        <f aca="false">B53+'Navy plan'!B54-IF($A54-Levers!$C$191&gt;=1846,INDEX('Navy plan'!B$6:B$92,$A54-1845-Levers!$C$191),0)</f>
        <v>7</v>
      </c>
      <c r="C54" s="49" t="n">
        <f aca="false">C53+'Navy plan'!C54-IF($A54-Levers!$D$191&gt;=1846,INDEX('Navy plan'!C$6:C$92,$A54-1845-Levers!$D$191),0)</f>
        <v>9</v>
      </c>
      <c r="D54" s="49" t="n">
        <f aca="false">D53+'Navy plan'!D54-IF($A54-Levers!$E$191&gt;=1846,INDEX('Navy plan'!D$6:D$92,$A54-1845-Levers!$E$191),0)</f>
        <v>26</v>
      </c>
      <c r="E54" s="49" t="n">
        <f aca="false">E53+'Navy plan'!E54-IF($A54-Levers!$F$191&gt;=1846,INDEX('Navy plan'!E$6:E$92,$A54-1845-Levers!$F$191),0)</f>
        <v>6</v>
      </c>
      <c r="F54" s="49" t="n">
        <f aca="false">F53+'Navy plan'!F54-IF($A54-Levers!$G$191&gt;=1846,INDEX('Navy plan'!F$6:F$92,$A54-1845-Levers!$G$191),0)</f>
        <v>2</v>
      </c>
      <c r="G54" s="49" t="n">
        <f aca="false">G53+'Navy plan'!G54-IF($A54-Levers!$H$191&gt;=1846,INDEX('Navy plan'!G$6:G$92,$A54-1845-Levers!$H$191),0)</f>
        <v>0</v>
      </c>
      <c r="H54" s="49" t="n">
        <f aca="false">H53+'Navy plan'!H54-IF($A54-Levers!$I$191&gt;=1846,INDEX('Navy plan'!H$6:H$92,$A54-1845-Levers!$I$191),0)</f>
        <v>0</v>
      </c>
      <c r="I54" s="49" t="n">
        <f aca="false">I53+'Navy plan'!I54-IF($A54-Levers!$J$191&gt;=1846,INDEX('Navy plan'!I$6:I$92,$A54-1845-Levers!$J$191),0)</f>
        <v>0</v>
      </c>
      <c r="J54" s="49" t="n">
        <f aca="false">J53+'Navy plan'!J54-IF($A54-Levers!$K$191&gt;=1846,INDEX('Navy plan'!J$6:J$92,$A54-1845-Levers!$K$191),0)</f>
        <v>0</v>
      </c>
      <c r="K54" s="49" t="n">
        <f aca="false">SUM(B54:J54)</f>
        <v>50</v>
      </c>
      <c r="L54" s="56" t="n">
        <f aca="false">0.5*SUMPRODUCT('Navy plan'!B54:J54,'Navy plan'!K54:S54)+0.5*SUMPRODUCT('Navy plan'!B55:J55,'Navy plan'!K55:S55)</f>
        <v>2.618</v>
      </c>
      <c r="M54" s="49" t="n">
        <f aca="false">SUMPRODUCT(B54:J54,Levers!$C$192:$K$192)</f>
        <v>5470</v>
      </c>
      <c r="N54" s="49" t="n">
        <f aca="false">SUMPRODUCT(B54:J54,Levers!$C$195:$K$195)</f>
        <v>6141.28205128205</v>
      </c>
      <c r="O54" s="49" t="n">
        <f aca="false">N54-M54</f>
        <v>671.282051282051</v>
      </c>
      <c r="P54" s="56" t="n">
        <f aca="false">M54*sailor_pay*Economy!H54/1000000</f>
        <v>3.4298541</v>
      </c>
      <c r="Q54" s="56" t="n">
        <f aca="false">SUMPRODUCT(B54:J54,'Navy plan'!K54:S54)*maint_rate</f>
        <v>1.5917</v>
      </c>
      <c r="R54" s="56" t="n">
        <f aca="false">SUMPRODUCT(B54:J54,Levers!$C$193:$K$193)*Economy!H54</f>
        <v>0.752436</v>
      </c>
      <c r="S54" s="56" t="n">
        <f aca="false">SUMPRODUCT(B54:J54,Levers!$C$193:$K$193,Levers!$C$194:$K$194)*(1/oil_fuel-1)*Economy!H54</f>
        <v>0.146307</v>
      </c>
      <c r="T54" s="56" t="n">
        <f aca="false">S54+O54*sailor_pay*Economy!H54/1000000</f>
        <v>0.567220984615384</v>
      </c>
      <c r="U54" s="56" t="n">
        <f aca="false">(P54+Q54+R54)*navy_overhead</f>
        <v>0.866098515</v>
      </c>
      <c r="V54" s="56" t="n">
        <f aca="false">L54+P54+Q54+R54+U54</f>
        <v>9.258088615</v>
      </c>
      <c r="W54" s="72" t="n">
        <f aca="false">Japan!I54</f>
        <v>12</v>
      </c>
      <c r="X54" s="56" t="n">
        <f aca="false">IF($A54&gt;=1927,V54+W54,0)</f>
        <v>0</v>
      </c>
      <c r="Y54" s="56" t="n">
        <f aca="false">IF($A54&gt;=1927,pac_quota*X54,V54)</f>
        <v>9.258088615</v>
      </c>
      <c r="Z54" s="70" t="n">
        <f aca="false">SUMPRODUCT(B54:J54,Levers!$C$193:$K$193,Levers!$C$194:$K$194)/0.6</f>
        <v>0.816666666666667</v>
      </c>
      <c r="AA54" s="65" t="n">
        <f aca="false">H54</f>
        <v>0</v>
      </c>
      <c r="AB54" s="49" t="n">
        <f aca="false">AA54+'Navy plan'!T54</f>
        <v>0</v>
      </c>
      <c r="AC54" s="65" t="n">
        <f aca="false">'Navy plan'!U54</f>
        <v>0</v>
      </c>
      <c r="AD54" s="65" t="n">
        <f aca="false">'Navy plan'!V54</f>
        <v>0</v>
      </c>
      <c r="AE54" s="70" t="n">
        <f aca="false">IF(AC54&gt;0,AB54/AC54,0)</f>
        <v>0</v>
      </c>
    </row>
    <row r="55" customFormat="false" ht="14.25" hidden="false" customHeight="true" outlineLevel="0" collapsed="false">
      <c r="A55" s="61" t="n">
        <v>1895</v>
      </c>
      <c r="B55" s="49" t="n">
        <f aca="false">B54+'Navy plan'!B55-IF($A55-Levers!$C$191&gt;=1846,INDEX('Navy plan'!B$6:B$92,$A55-1845-Levers!$C$191),0)</f>
        <v>5</v>
      </c>
      <c r="C55" s="49" t="n">
        <f aca="false">C54+'Navy plan'!C55-IF($A55-Levers!$D$191&gt;=1846,INDEX('Navy plan'!C$6:C$92,$A55-1845-Levers!$D$191),0)</f>
        <v>7</v>
      </c>
      <c r="D55" s="49" t="n">
        <f aca="false">D54+'Navy plan'!D55-IF($A55-Levers!$E$191&gt;=1846,INDEX('Navy plan'!D$6:D$92,$A55-1845-Levers!$E$191),0)</f>
        <v>26</v>
      </c>
      <c r="E55" s="49" t="n">
        <f aca="false">E54+'Navy plan'!E55-IF($A55-Levers!$F$191&gt;=1846,INDEX('Navy plan'!E$6:E$92,$A55-1845-Levers!$F$191),0)</f>
        <v>6</v>
      </c>
      <c r="F55" s="49" t="n">
        <f aca="false">F54+'Navy plan'!F55-IF($A55-Levers!$G$191&gt;=1846,INDEX('Navy plan'!F$6:F$92,$A55-1845-Levers!$G$191),0)</f>
        <v>5</v>
      </c>
      <c r="G55" s="49" t="n">
        <f aca="false">G54+'Navy plan'!G55-IF($A55-Levers!$H$191&gt;=1846,INDEX('Navy plan'!G$6:G$92,$A55-1845-Levers!$H$191),0)</f>
        <v>0</v>
      </c>
      <c r="H55" s="49" t="n">
        <f aca="false">H54+'Navy plan'!H55-IF($A55-Levers!$I$191&gt;=1846,INDEX('Navy plan'!H$6:H$92,$A55-1845-Levers!$I$191),0)</f>
        <v>0</v>
      </c>
      <c r="I55" s="49" t="n">
        <f aca="false">I54+'Navy plan'!I55-IF($A55-Levers!$J$191&gt;=1846,INDEX('Navy plan'!I$6:I$92,$A55-1845-Levers!$J$191),0)</f>
        <v>0</v>
      </c>
      <c r="J55" s="49" t="n">
        <f aca="false">J54+'Navy plan'!J55-IF($A55-Levers!$K$191&gt;=1846,INDEX('Navy plan'!J$6:J$92,$A55-1845-Levers!$K$191),0)</f>
        <v>0</v>
      </c>
      <c r="K55" s="49" t="n">
        <f aca="false">SUM(B55:J55)</f>
        <v>49</v>
      </c>
      <c r="L55" s="56" t="n">
        <f aca="false">0.5*SUMPRODUCT('Navy plan'!B55:J55,'Navy plan'!K55:S55)+0.5*SUMPRODUCT('Navy plan'!B56:J56,'Navy plan'!K56:S56)</f>
        <v>2.8125</v>
      </c>
      <c r="M55" s="49" t="n">
        <f aca="false">SUMPRODUCT(B55:J55,Levers!$C$192:$K$192)</f>
        <v>5000</v>
      </c>
      <c r="N55" s="49" t="n">
        <f aca="false">SUMPRODUCT(B55:J55,Levers!$C$195:$K$195)</f>
        <v>5747.4358974359</v>
      </c>
      <c r="O55" s="49" t="n">
        <f aca="false">N55-M55</f>
        <v>747.435897435898</v>
      </c>
      <c r="P55" s="56" t="n">
        <f aca="false">M55*sailor_pay*Economy!H55/1000000</f>
        <v>3.09735</v>
      </c>
      <c r="Q55" s="56" t="n">
        <f aca="false">SUMPRODUCT(B55:J55,'Navy plan'!K55:S55)*maint_rate</f>
        <v>1.4125</v>
      </c>
      <c r="R55" s="56" t="n">
        <f aca="false">SUMPRODUCT(B55:J55,Levers!$C$193:$K$193)*Economy!H55</f>
        <v>0.708949</v>
      </c>
      <c r="S55" s="56" t="n">
        <f aca="false">SUMPRODUCT(B55:J55,Levers!$C$193:$K$193,Levers!$C$194:$K$194)*(1/oil_fuel-1)*Economy!H55</f>
        <v>0.171091714285714</v>
      </c>
      <c r="T55" s="56" t="n">
        <f aca="false">S55+O55*sailor_pay*Economy!H55/1000000</f>
        <v>0.63410582967033</v>
      </c>
      <c r="U55" s="56" t="n">
        <f aca="false">(P55+Q55+R55)*navy_overhead</f>
        <v>0.78281985</v>
      </c>
      <c r="V55" s="56" t="n">
        <f aca="false">L55+P55+Q55+R55+U55</f>
        <v>8.81411885</v>
      </c>
      <c r="W55" s="72" t="n">
        <f aca="false">Japan!I55</f>
        <v>16.3</v>
      </c>
      <c r="X55" s="56" t="n">
        <f aca="false">IF($A55&gt;=1927,V55+W55,0)</f>
        <v>0</v>
      </c>
      <c r="Y55" s="56" t="n">
        <f aca="false">IF($A55&gt;=1927,pac_quota*X55,V55)</f>
        <v>8.81411885</v>
      </c>
      <c r="Z55" s="70" t="n">
        <f aca="false">SUMPRODUCT(B55:J55,Levers!$C$193:$K$193,Levers!$C$194:$K$194)/0.6</f>
        <v>0.966666666666667</v>
      </c>
      <c r="AA55" s="65" t="n">
        <f aca="false">H55</f>
        <v>0</v>
      </c>
      <c r="AB55" s="49" t="n">
        <f aca="false">AA55+'Navy plan'!T55</f>
        <v>0</v>
      </c>
      <c r="AC55" s="65" t="n">
        <f aca="false">'Navy plan'!U55</f>
        <v>0</v>
      </c>
      <c r="AD55" s="65" t="n">
        <f aca="false">'Navy plan'!V55</f>
        <v>0</v>
      </c>
      <c r="AE55" s="70" t="n">
        <f aca="false">IF(AC55&gt;0,AB55/AC55,0)</f>
        <v>0</v>
      </c>
    </row>
    <row r="56" customFormat="false" ht="14.25" hidden="false" customHeight="true" outlineLevel="0" collapsed="false">
      <c r="A56" s="61" t="n">
        <v>1896</v>
      </c>
      <c r="B56" s="49" t="n">
        <f aca="false">B55+'Navy plan'!B56-IF($A56-Levers!$C$191&gt;=1846,INDEX('Navy plan'!B$6:B$92,$A56-1845-Levers!$C$191),0)</f>
        <v>5</v>
      </c>
      <c r="C56" s="49" t="n">
        <f aca="false">C55+'Navy plan'!C56-IF($A56-Levers!$D$191&gt;=1846,INDEX('Navy plan'!C$6:C$92,$A56-1845-Levers!$D$191),0)</f>
        <v>7</v>
      </c>
      <c r="D56" s="49" t="n">
        <f aca="false">D55+'Navy plan'!D56-IF($A56-Levers!$E$191&gt;=1846,INDEX('Navy plan'!D$6:D$92,$A56-1845-Levers!$E$191),0)</f>
        <v>26</v>
      </c>
      <c r="E56" s="49" t="n">
        <f aca="false">E55+'Navy plan'!E56-IF($A56-Levers!$F$191&gt;=1846,INDEX('Navy plan'!E$6:E$92,$A56-1845-Levers!$F$191),0)</f>
        <v>8</v>
      </c>
      <c r="F56" s="49" t="n">
        <f aca="false">F55+'Navy plan'!F56-IF($A56-Levers!$G$191&gt;=1846,INDEX('Navy plan'!F$6:F$92,$A56-1845-Levers!$G$191),0)</f>
        <v>8</v>
      </c>
      <c r="G56" s="49" t="n">
        <f aca="false">G55+'Navy plan'!G56-IF($A56-Levers!$H$191&gt;=1846,INDEX('Navy plan'!G$6:G$92,$A56-1845-Levers!$H$191),0)</f>
        <v>0</v>
      </c>
      <c r="H56" s="49" t="n">
        <f aca="false">H55+'Navy plan'!H56-IF($A56-Levers!$I$191&gt;=1846,INDEX('Navy plan'!H$6:H$92,$A56-1845-Levers!$I$191),0)</f>
        <v>0</v>
      </c>
      <c r="I56" s="49" t="n">
        <f aca="false">I55+'Navy plan'!I56-IF($A56-Levers!$J$191&gt;=1846,INDEX('Navy plan'!I$6:I$92,$A56-1845-Levers!$J$191),0)</f>
        <v>0</v>
      </c>
      <c r="J56" s="49" t="n">
        <f aca="false">J55+'Navy plan'!J56-IF($A56-Levers!$K$191&gt;=1846,INDEX('Navy plan'!J$6:J$92,$A56-1845-Levers!$K$191),0)</f>
        <v>0</v>
      </c>
      <c r="K56" s="49" t="n">
        <f aca="false">SUM(B56:J56)</f>
        <v>54</v>
      </c>
      <c r="L56" s="56" t="n">
        <f aca="false">0.5*SUMPRODUCT('Navy plan'!B56:J56,'Navy plan'!K56:S56)+0.5*SUMPRODUCT('Navy plan'!B57:J57,'Navy plan'!K57:S57)</f>
        <v>2.835</v>
      </c>
      <c r="M56" s="49" t="n">
        <f aca="false">SUMPRODUCT(B56:J56,Levers!$C$192:$K$192)</f>
        <v>5830</v>
      </c>
      <c r="N56" s="49" t="n">
        <f aca="false">SUMPRODUCT(B56:J56,Levers!$C$195:$K$195)</f>
        <v>6811.53846153846</v>
      </c>
      <c r="O56" s="49" t="n">
        <f aca="false">N56-M56</f>
        <v>981.538461538461</v>
      </c>
      <c r="P56" s="56" t="n">
        <f aca="false">M56*sailor_pay*Economy!H56/1000000</f>
        <v>3.56796</v>
      </c>
      <c r="Q56" s="56" t="n">
        <f aca="false">SUMPRODUCT(B56:J56,'Navy plan'!K56:S56)*maint_rate</f>
        <v>1.6514</v>
      </c>
      <c r="R56" s="56" t="n">
        <f aca="false">SUMPRODUCT(B56:J56,Levers!$C$193:$K$193)*Economy!H56</f>
        <v>0.8296</v>
      </c>
      <c r="S56" s="56" t="n">
        <f aca="false">SUMPRODUCT(B56:J56,Levers!$C$193:$K$193,Levers!$C$194:$K$194)*(1/oil_fuel-1)*Economy!H56</f>
        <v>0.2244</v>
      </c>
      <c r="T56" s="56" t="n">
        <f aca="false">S56+O56*sailor_pay*Economy!H56/1000000</f>
        <v>0.825101538461538</v>
      </c>
      <c r="U56" s="56" t="n">
        <f aca="false">(P56+Q56+R56)*navy_overhead</f>
        <v>0.907344</v>
      </c>
      <c r="V56" s="56" t="n">
        <f aca="false">L56+P56+Q56+R56+U56</f>
        <v>9.791304</v>
      </c>
      <c r="W56" s="72" t="n">
        <f aca="false">Japan!I56</f>
        <v>20.7</v>
      </c>
      <c r="X56" s="56" t="n">
        <f aca="false">IF($A56&gt;=1927,V56+W56,0)</f>
        <v>0</v>
      </c>
      <c r="Y56" s="56" t="n">
        <f aca="false">IF($A56&gt;=1927,pac_quota*X56,V56)</f>
        <v>9.791304</v>
      </c>
      <c r="Z56" s="70" t="n">
        <f aca="false">SUMPRODUCT(B56:J56,Levers!$C$193:$K$193,Levers!$C$194:$K$194)/0.6</f>
        <v>1.28333333333333</v>
      </c>
      <c r="AA56" s="65" t="n">
        <f aca="false">H56</f>
        <v>0</v>
      </c>
      <c r="AB56" s="49" t="n">
        <f aca="false">AA56+'Navy plan'!T56</f>
        <v>0</v>
      </c>
      <c r="AC56" s="65" t="n">
        <f aca="false">'Navy plan'!U56</f>
        <v>0</v>
      </c>
      <c r="AD56" s="65" t="n">
        <f aca="false">'Navy plan'!V56</f>
        <v>0</v>
      </c>
      <c r="AE56" s="70" t="n">
        <f aca="false">IF(AC56&gt;0,AB56/AC56,0)</f>
        <v>0</v>
      </c>
    </row>
    <row r="57" customFormat="false" ht="14.25" hidden="false" customHeight="true" outlineLevel="0" collapsed="false">
      <c r="A57" s="61" t="n">
        <v>1897</v>
      </c>
      <c r="B57" s="49" t="n">
        <f aca="false">B56+'Navy plan'!B57-IF($A57-Levers!$C$191&gt;=1846,INDEX('Navy plan'!B$6:B$92,$A57-1845-Levers!$C$191),0)</f>
        <v>4</v>
      </c>
      <c r="C57" s="49" t="n">
        <f aca="false">C56+'Navy plan'!C57-IF($A57-Levers!$D$191&gt;=1846,INDEX('Navy plan'!C$6:C$92,$A57-1845-Levers!$D$191),0)</f>
        <v>7</v>
      </c>
      <c r="D57" s="49" t="n">
        <f aca="false">D56+'Navy plan'!D57-IF($A57-Levers!$E$191&gt;=1846,INDEX('Navy plan'!D$6:D$92,$A57-1845-Levers!$E$191),0)</f>
        <v>24</v>
      </c>
      <c r="E57" s="49" t="n">
        <f aca="false">E56+'Navy plan'!E57-IF($A57-Levers!$F$191&gt;=1846,INDEX('Navy plan'!E$6:E$92,$A57-1845-Levers!$F$191),0)</f>
        <v>8</v>
      </c>
      <c r="F57" s="49" t="n">
        <f aca="false">F56+'Navy plan'!F57-IF($A57-Levers!$G$191&gt;=1846,INDEX('Navy plan'!F$6:F$92,$A57-1845-Levers!$G$191),0)</f>
        <v>11</v>
      </c>
      <c r="G57" s="49" t="n">
        <f aca="false">G56+'Navy plan'!G57-IF($A57-Levers!$H$191&gt;=1846,INDEX('Navy plan'!G$6:G$92,$A57-1845-Levers!$H$191),0)</f>
        <v>0</v>
      </c>
      <c r="H57" s="49" t="n">
        <f aca="false">H56+'Navy plan'!H57-IF($A57-Levers!$I$191&gt;=1846,INDEX('Navy plan'!H$6:H$92,$A57-1845-Levers!$I$191),0)</f>
        <v>0</v>
      </c>
      <c r="I57" s="49" t="n">
        <f aca="false">I56+'Navy plan'!I57-IF($A57-Levers!$J$191&gt;=1846,INDEX('Navy plan'!I$6:I$92,$A57-1845-Levers!$J$191),0)</f>
        <v>0</v>
      </c>
      <c r="J57" s="49" t="n">
        <f aca="false">J56+'Navy plan'!J57-IF($A57-Levers!$K$191&gt;=1846,INDEX('Navy plan'!J$6:J$92,$A57-1845-Levers!$K$191),0)</f>
        <v>0</v>
      </c>
      <c r="K57" s="49" t="n">
        <f aca="false">SUM(B57:J57)</f>
        <v>54</v>
      </c>
      <c r="L57" s="56" t="n">
        <f aca="false">0.5*SUMPRODUCT('Navy plan'!B57:J57,'Navy plan'!K57:S57)+0.5*SUMPRODUCT('Navy plan'!B58:J58,'Navy plan'!K58:S58)</f>
        <v>3.7905</v>
      </c>
      <c r="M57" s="49" t="n">
        <f aca="false">SUMPRODUCT(B57:J57,Levers!$C$192:$K$192)</f>
        <v>5940</v>
      </c>
      <c r="N57" s="49" t="n">
        <f aca="false">SUMPRODUCT(B57:J57,Levers!$C$195:$K$195)</f>
        <v>6986.41025641026</v>
      </c>
      <c r="O57" s="49" t="n">
        <f aca="false">N57-M57</f>
        <v>1046.41025641026</v>
      </c>
      <c r="P57" s="56" t="n">
        <f aca="false">M57*sailor_pay*Economy!H57/1000000</f>
        <v>3.7422</v>
      </c>
      <c r="Q57" s="56" t="n">
        <f aca="false">SUMPRODUCT(B57:J57,'Navy plan'!K57:S57)*maint_rate</f>
        <v>1.63495</v>
      </c>
      <c r="R57" s="56" t="n">
        <f aca="false">SUMPRODUCT(B57:J57,Levers!$C$193:$K$193)*Economy!H57</f>
        <v>0.896</v>
      </c>
      <c r="S57" s="56" t="n">
        <f aca="false">SUMPRODUCT(B57:J57,Levers!$C$193:$K$193,Levers!$C$194:$K$194)*(1/oil_fuel-1)*Economy!H57</f>
        <v>0.255</v>
      </c>
      <c r="T57" s="56" t="n">
        <f aca="false">S57+O57*sailor_pay*Economy!H57/1000000</f>
        <v>0.914238461538461</v>
      </c>
      <c r="U57" s="56" t="n">
        <f aca="false">(P57+Q57+R57)*navy_overhead</f>
        <v>0.9409725</v>
      </c>
      <c r="V57" s="56" t="n">
        <f aca="false">L57+P57+Q57+R57+U57</f>
        <v>11.0046225</v>
      </c>
      <c r="W57" s="72" t="n">
        <f aca="false">Japan!I57</f>
        <v>25</v>
      </c>
      <c r="X57" s="56" t="n">
        <f aca="false">IF($A57&gt;=1927,V57+W57,0)</f>
        <v>0</v>
      </c>
      <c r="Y57" s="56" t="n">
        <f aca="false">IF($A57&gt;=1927,pac_quota*X57,V57)</f>
        <v>11.0046225</v>
      </c>
      <c r="Z57" s="70" t="n">
        <f aca="false">SUMPRODUCT(B57:J57,Levers!$C$193:$K$193,Levers!$C$194:$K$194)/0.6</f>
        <v>1.41666666666667</v>
      </c>
      <c r="AA57" s="65" t="n">
        <f aca="false">H57</f>
        <v>0</v>
      </c>
      <c r="AB57" s="49" t="n">
        <f aca="false">AA57+'Navy plan'!T57</f>
        <v>0</v>
      </c>
      <c r="AC57" s="65" t="n">
        <f aca="false">'Navy plan'!U57</f>
        <v>0</v>
      </c>
      <c r="AD57" s="65" t="n">
        <f aca="false">'Navy plan'!V57</f>
        <v>0</v>
      </c>
      <c r="AE57" s="70" t="n">
        <f aca="false">IF(AC57&gt;0,AB57/AC57,0)</f>
        <v>0</v>
      </c>
    </row>
    <row r="58" customFormat="false" ht="14.25" hidden="false" customHeight="true" outlineLevel="0" collapsed="false">
      <c r="A58" s="61" t="n">
        <v>1898</v>
      </c>
      <c r="B58" s="49" t="n">
        <f aca="false">B57+'Navy plan'!B58-IF($A58-Levers!$C$191&gt;=1846,INDEX('Navy plan'!B$6:B$92,$A58-1845-Levers!$C$191),0)</f>
        <v>4</v>
      </c>
      <c r="C58" s="49" t="n">
        <f aca="false">C57+'Navy plan'!C58-IF($A58-Levers!$D$191&gt;=1846,INDEX('Navy plan'!C$6:C$92,$A58-1845-Levers!$D$191),0)</f>
        <v>5</v>
      </c>
      <c r="D58" s="49" t="n">
        <f aca="false">D57+'Navy plan'!D58-IF($A58-Levers!$E$191&gt;=1846,INDEX('Navy plan'!D$6:D$92,$A58-1845-Levers!$E$191),0)</f>
        <v>24</v>
      </c>
      <c r="E58" s="49" t="n">
        <f aca="false">E57+'Navy plan'!E58-IF($A58-Levers!$F$191&gt;=1846,INDEX('Navy plan'!E$6:E$92,$A58-1845-Levers!$F$191),0)</f>
        <v>8</v>
      </c>
      <c r="F58" s="49" t="n">
        <f aca="false">F57+'Navy plan'!F58-IF($A58-Levers!$G$191&gt;=1846,INDEX('Navy plan'!F$6:F$92,$A58-1845-Levers!$G$191),0)</f>
        <v>15</v>
      </c>
      <c r="G58" s="49" t="n">
        <f aca="false">G57+'Navy plan'!G58-IF($A58-Levers!$H$191&gt;=1846,INDEX('Navy plan'!G$6:G$92,$A58-1845-Levers!$H$191),0)</f>
        <v>2</v>
      </c>
      <c r="H58" s="49" t="n">
        <f aca="false">H57+'Navy plan'!H58-IF($A58-Levers!$I$191&gt;=1846,INDEX('Navy plan'!H$6:H$92,$A58-1845-Levers!$I$191),0)</f>
        <v>0</v>
      </c>
      <c r="I58" s="49" t="n">
        <f aca="false">I57+'Navy plan'!I58-IF($A58-Levers!$J$191&gt;=1846,INDEX('Navy plan'!I$6:I$92,$A58-1845-Levers!$J$191),0)</f>
        <v>0</v>
      </c>
      <c r="J58" s="49" t="n">
        <f aca="false">J57+'Navy plan'!J58-IF($A58-Levers!$K$191&gt;=1846,INDEX('Navy plan'!J$6:J$92,$A58-1845-Levers!$K$191),0)</f>
        <v>0</v>
      </c>
      <c r="K58" s="49" t="n">
        <f aca="false">SUM(B58:J58)</f>
        <v>58</v>
      </c>
      <c r="L58" s="56" t="n">
        <f aca="false">0.5*SUMPRODUCT('Navy plan'!B58:J58,'Navy plan'!K58:S58)+0.5*SUMPRODUCT('Navy plan'!B59:J59,'Navy plan'!K59:S59)</f>
        <v>6.733</v>
      </c>
      <c r="M58" s="49" t="n">
        <f aca="false">SUMPRODUCT(B58:J58,Levers!$C$192:$K$192)</f>
        <v>6600</v>
      </c>
      <c r="N58" s="49" t="n">
        <f aca="false">SUMPRODUCT(B58:J58,Levers!$C$195:$K$195)</f>
        <v>7973.58974358974</v>
      </c>
      <c r="O58" s="49" t="n">
        <f aca="false">N58-M58</f>
        <v>1373.58974358974</v>
      </c>
      <c r="P58" s="56" t="n">
        <f aca="false">M58*sailor_pay*Economy!H58/1000000</f>
        <v>4.2768</v>
      </c>
      <c r="Q58" s="56" t="n">
        <f aca="false">SUMPRODUCT(B58:J58,'Navy plan'!K58:S58)*maint_rate</f>
        <v>1.8725</v>
      </c>
      <c r="R58" s="56" t="n">
        <f aca="false">SUMPRODUCT(B58:J58,Levers!$C$193:$K$193)*Economy!H58</f>
        <v>1.0512</v>
      </c>
      <c r="S58" s="56" t="n">
        <f aca="false">SUMPRODUCT(B58:J58,Levers!$C$193:$K$193,Levers!$C$194:$K$194)*(1/oil_fuel-1)*Economy!H58</f>
        <v>0.348685714285714</v>
      </c>
      <c r="T58" s="56" t="n">
        <f aca="false">S58+O58*sailor_pay*Economy!H58/1000000</f>
        <v>1.23877186813187</v>
      </c>
      <c r="U58" s="56" t="n">
        <f aca="false">(P58+Q58+R58)*navy_overhead</f>
        <v>1.080075</v>
      </c>
      <c r="V58" s="56" t="n">
        <f aca="false">L58+P58+Q58+R58+U58</f>
        <v>15.013575</v>
      </c>
      <c r="W58" s="72" t="n">
        <f aca="false">Japan!I58</f>
        <v>26.7</v>
      </c>
      <c r="X58" s="56" t="n">
        <f aca="false">IF($A58&gt;=1927,V58+W58,0)</f>
        <v>0</v>
      </c>
      <c r="Y58" s="56" t="n">
        <f aca="false">IF($A58&gt;=1927,pac_quota*X58,V58)</f>
        <v>15.013575</v>
      </c>
      <c r="Z58" s="70" t="n">
        <f aca="false">SUMPRODUCT(B58:J58,Levers!$C$193:$K$193,Levers!$C$194:$K$194)/0.6</f>
        <v>1.88333333333333</v>
      </c>
      <c r="AA58" s="65" t="n">
        <f aca="false">H58</f>
        <v>0</v>
      </c>
      <c r="AB58" s="49" t="n">
        <f aca="false">AA58+'Navy plan'!T58</f>
        <v>0</v>
      </c>
      <c r="AC58" s="65" t="n">
        <f aca="false">'Navy plan'!U58</f>
        <v>0</v>
      </c>
      <c r="AD58" s="65" t="n">
        <f aca="false">'Navy plan'!V58</f>
        <v>0</v>
      </c>
      <c r="AE58" s="70" t="n">
        <f aca="false">IF(AC58&gt;0,AB58/AC58,0)</f>
        <v>0</v>
      </c>
    </row>
    <row r="59" customFormat="false" ht="14.25" hidden="false" customHeight="true" outlineLevel="0" collapsed="false">
      <c r="A59" s="61" t="n">
        <v>1899</v>
      </c>
      <c r="B59" s="49" t="n">
        <f aca="false">B58+'Navy plan'!B59-IF($A59-Levers!$C$191&gt;=1846,INDEX('Navy plan'!B$6:B$92,$A59-1845-Levers!$C$191),0)</f>
        <v>4</v>
      </c>
      <c r="C59" s="49" t="n">
        <f aca="false">C58+'Navy plan'!C59-IF($A59-Levers!$D$191&gt;=1846,INDEX('Navy plan'!C$6:C$92,$A59-1845-Levers!$D$191),0)</f>
        <v>5</v>
      </c>
      <c r="D59" s="49" t="n">
        <f aca="false">D58+'Navy plan'!D59-IF($A59-Levers!$E$191&gt;=1846,INDEX('Navy plan'!D$6:D$92,$A59-1845-Levers!$E$191),0)</f>
        <v>20</v>
      </c>
      <c r="E59" s="49" t="n">
        <f aca="false">E58+'Navy plan'!E59-IF($A59-Levers!$F$191&gt;=1846,INDEX('Navy plan'!E$6:E$92,$A59-1845-Levers!$F$191),0)</f>
        <v>8</v>
      </c>
      <c r="F59" s="49" t="n">
        <f aca="false">F58+'Navy plan'!F59-IF($A59-Levers!$G$191&gt;=1846,INDEX('Navy plan'!F$6:F$92,$A59-1845-Levers!$G$191),0)</f>
        <v>19</v>
      </c>
      <c r="G59" s="49" t="n">
        <f aca="false">G58+'Navy plan'!G59-IF($A59-Levers!$H$191&gt;=1846,INDEX('Navy plan'!G$6:G$92,$A59-1845-Levers!$H$191),0)</f>
        <v>4</v>
      </c>
      <c r="H59" s="49" t="n">
        <f aca="false">H58+'Navy plan'!H59-IF($A59-Levers!$I$191&gt;=1846,INDEX('Navy plan'!H$6:H$92,$A59-1845-Levers!$I$191),0)</f>
        <v>0</v>
      </c>
      <c r="I59" s="49" t="n">
        <f aca="false">I58+'Navy plan'!I59-IF($A59-Levers!$J$191&gt;=1846,INDEX('Navy plan'!I$6:I$92,$A59-1845-Levers!$J$191),0)</f>
        <v>0</v>
      </c>
      <c r="J59" s="49" t="n">
        <f aca="false">J58+'Navy plan'!J59-IF($A59-Levers!$K$191&gt;=1846,INDEX('Navy plan'!J$6:J$92,$A59-1845-Levers!$K$191),0)</f>
        <v>0</v>
      </c>
      <c r="K59" s="49" t="n">
        <f aca="false">SUM(B59:J59)</f>
        <v>60</v>
      </c>
      <c r="L59" s="56" t="n">
        <f aca="false">0.5*SUMPRODUCT('Navy plan'!B59:J59,'Navy plan'!K59:S59)+0.5*SUMPRODUCT('Navy plan'!B60:J60,'Navy plan'!K60:S60)</f>
        <v>4.179</v>
      </c>
      <c r="M59" s="49" t="n">
        <f aca="false">SUMPRODUCT(B59:J59,Levers!$C$192:$K$192)</f>
        <v>7680</v>
      </c>
      <c r="N59" s="49" t="n">
        <f aca="false">SUMPRODUCT(B59:J59,Levers!$C$195:$K$195)</f>
        <v>9358.20512820513</v>
      </c>
      <c r="O59" s="49" t="n">
        <f aca="false">N59-M59</f>
        <v>1678.20512820513</v>
      </c>
      <c r="P59" s="56" t="n">
        <f aca="false">M59*sailor_pay*Economy!H59/1000000</f>
        <v>5.11488</v>
      </c>
      <c r="Q59" s="56" t="n">
        <f aca="false">SUMPRODUCT(B59:J59,'Navy plan'!K59:S59)*maint_rate</f>
        <v>2.22185</v>
      </c>
      <c r="R59" s="56" t="n">
        <f aca="false">SUMPRODUCT(B59:J59,Levers!$C$193:$K$193)*Economy!H59</f>
        <v>1.2728</v>
      </c>
      <c r="S59" s="56" t="n">
        <f aca="false">SUMPRODUCT(B59:J59,Levers!$C$193:$K$193,Levers!$C$194:$K$194)*(1/oil_fuel-1)*Economy!H59</f>
        <v>0.440828571428571</v>
      </c>
      <c r="T59" s="56" t="n">
        <f aca="false">S59+O59*sailor_pay*Economy!H59/1000000</f>
        <v>1.55851318681319</v>
      </c>
      <c r="U59" s="56" t="n">
        <f aca="false">(P59+Q59+R59)*navy_overhead</f>
        <v>1.2914295</v>
      </c>
      <c r="V59" s="56" t="n">
        <f aca="false">L59+P59+Q59+R59+U59</f>
        <v>14.0799595</v>
      </c>
      <c r="W59" s="72" t="n">
        <f aca="false">Japan!I59</f>
        <v>28.3</v>
      </c>
      <c r="X59" s="56" t="n">
        <f aca="false">IF($A59&gt;=1927,V59+W59,0)</f>
        <v>0</v>
      </c>
      <c r="Y59" s="56" t="n">
        <f aca="false">IF($A59&gt;=1927,pac_quota*X59,V59)</f>
        <v>14.0799595</v>
      </c>
      <c r="Z59" s="70" t="n">
        <f aca="false">SUMPRODUCT(B59:J59,Levers!$C$193:$K$193,Levers!$C$194:$K$194)/0.6</f>
        <v>2.31666666666667</v>
      </c>
      <c r="AA59" s="65" t="n">
        <f aca="false">H59</f>
        <v>0</v>
      </c>
      <c r="AB59" s="49" t="n">
        <f aca="false">AA59+'Navy plan'!T59</f>
        <v>0</v>
      </c>
      <c r="AC59" s="65" t="n">
        <f aca="false">'Navy plan'!U59</f>
        <v>0</v>
      </c>
      <c r="AD59" s="65" t="n">
        <f aca="false">'Navy plan'!V59</f>
        <v>0</v>
      </c>
      <c r="AE59" s="70" t="n">
        <f aca="false">IF(AC59&gt;0,AB59/AC59,0)</f>
        <v>0</v>
      </c>
    </row>
    <row r="60" customFormat="false" ht="14.25" hidden="false" customHeight="true" outlineLevel="0" collapsed="false">
      <c r="A60" s="61" t="n">
        <v>1900</v>
      </c>
      <c r="B60" s="49" t="n">
        <f aca="false">B59+'Navy plan'!B60-IF($A60-Levers!$C$191&gt;=1846,INDEX('Navy plan'!B$6:B$92,$A60-1845-Levers!$C$191),0)</f>
        <v>3</v>
      </c>
      <c r="C60" s="49" t="n">
        <f aca="false">C59+'Navy plan'!C60-IF($A60-Levers!$D$191&gt;=1846,INDEX('Navy plan'!C$6:C$92,$A60-1845-Levers!$D$191),0)</f>
        <v>5</v>
      </c>
      <c r="D60" s="49" t="n">
        <f aca="false">D59+'Navy plan'!D60-IF($A60-Levers!$E$191&gt;=1846,INDEX('Navy plan'!D$6:D$92,$A60-1845-Levers!$E$191),0)</f>
        <v>20</v>
      </c>
      <c r="E60" s="49" t="n">
        <f aca="false">E59+'Navy plan'!E60-IF($A60-Levers!$F$191&gt;=1846,INDEX('Navy plan'!E$6:E$92,$A60-1845-Levers!$F$191),0)</f>
        <v>8</v>
      </c>
      <c r="F60" s="49" t="n">
        <f aca="false">F59+'Navy plan'!F60-IF($A60-Levers!$G$191&gt;=1846,INDEX('Navy plan'!F$6:F$92,$A60-1845-Levers!$G$191),0)</f>
        <v>22</v>
      </c>
      <c r="G60" s="49" t="n">
        <f aca="false">G59+'Navy plan'!G60-IF($A60-Levers!$H$191&gt;=1846,INDEX('Navy plan'!G$6:G$92,$A60-1845-Levers!$H$191),0)</f>
        <v>4</v>
      </c>
      <c r="H60" s="49" t="n">
        <f aca="false">H59+'Navy plan'!H60-IF($A60-Levers!$I$191&gt;=1846,INDEX('Navy plan'!H$6:H$92,$A60-1845-Levers!$I$191),0)</f>
        <v>0</v>
      </c>
      <c r="I60" s="49" t="n">
        <f aca="false">I59+'Navy plan'!I60-IF($A60-Levers!$J$191&gt;=1846,INDEX('Navy plan'!I$6:I$92,$A60-1845-Levers!$J$191),0)</f>
        <v>2</v>
      </c>
      <c r="J60" s="49" t="n">
        <f aca="false">J59+'Navy plan'!J60-IF($A60-Levers!$K$191&gt;=1846,INDEX('Navy plan'!J$6:J$92,$A60-1845-Levers!$K$191),0)</f>
        <v>0</v>
      </c>
      <c r="K60" s="49" t="n">
        <f aca="false">SUM(B60:J60)</f>
        <v>64</v>
      </c>
      <c r="L60" s="56" t="n">
        <f aca="false">0.5*SUMPRODUCT('Navy plan'!B60:J60,'Navy plan'!K60:S60)+0.5*SUMPRODUCT('Navy plan'!B61:J61,'Navy plan'!K61:S61)</f>
        <v>4.298</v>
      </c>
      <c r="M60" s="49" t="n">
        <f aca="false">SUMPRODUCT(B60:J60,Levers!$C$192:$K$192)</f>
        <v>7890</v>
      </c>
      <c r="N60" s="49" t="n">
        <f aca="false">SUMPRODUCT(B60:J60,Levers!$C$195:$K$195)</f>
        <v>9661.28205128205</v>
      </c>
      <c r="O60" s="49" t="n">
        <f aca="false">N60-M60</f>
        <v>1771.28205128205</v>
      </c>
      <c r="P60" s="56" t="n">
        <f aca="false">M60*sailor_pay*Economy!H60/1000000</f>
        <v>5.39676</v>
      </c>
      <c r="Q60" s="56" t="n">
        <f aca="false">SUMPRODUCT(B60:J60,'Navy plan'!K60:S60)*maint_rate</f>
        <v>2.2668</v>
      </c>
      <c r="R60" s="56" t="n">
        <f aca="false">SUMPRODUCT(B60:J60,Levers!$C$193:$K$193)*Economy!H60</f>
        <v>1.3756</v>
      </c>
      <c r="S60" s="56" t="n">
        <f aca="false">SUMPRODUCT(B60:J60,Levers!$C$193:$K$193,Levers!$C$194:$K$194)*(1/oil_fuel-1)*Economy!H60</f>
        <v>0.488571428571429</v>
      </c>
      <c r="T60" s="56" t="n">
        <f aca="false">S60+O60*sailor_pay*Economy!H60/1000000</f>
        <v>1.70012835164835</v>
      </c>
      <c r="U60" s="56" t="n">
        <f aca="false">(P60+Q60+R60)*navy_overhead</f>
        <v>1.355874</v>
      </c>
      <c r="V60" s="56" t="n">
        <f aca="false">L60+P60+Q60+R60+U60</f>
        <v>14.693034</v>
      </c>
      <c r="W60" s="72" t="n">
        <f aca="false">Japan!I60</f>
        <v>30</v>
      </c>
      <c r="X60" s="56" t="n">
        <f aca="false">IF($A60&gt;=1927,V60+W60,0)</f>
        <v>0</v>
      </c>
      <c r="Y60" s="56" t="n">
        <f aca="false">IF($A60&gt;=1927,pac_quota*X60,V60)</f>
        <v>14.693034</v>
      </c>
      <c r="Z60" s="70" t="n">
        <f aca="false">SUMPRODUCT(B60:J60,Levers!$C$193:$K$193,Levers!$C$194:$K$194)/0.6</f>
        <v>2.5</v>
      </c>
      <c r="AA60" s="65" t="n">
        <f aca="false">H60</f>
        <v>0</v>
      </c>
      <c r="AB60" s="49" t="n">
        <f aca="false">AA60+'Navy plan'!T60</f>
        <v>0</v>
      </c>
      <c r="AC60" s="65" t="n">
        <f aca="false">'Navy plan'!U60</f>
        <v>0</v>
      </c>
      <c r="AD60" s="65" t="n">
        <f aca="false">'Navy plan'!V60</f>
        <v>0</v>
      </c>
      <c r="AE60" s="70" t="n">
        <f aca="false">IF(AC60&gt;0,AB60/AC60,0)</f>
        <v>0</v>
      </c>
    </row>
    <row r="61" customFormat="false" ht="14.25" hidden="false" customHeight="true" outlineLevel="0" collapsed="false">
      <c r="A61" s="61" t="n">
        <v>1901</v>
      </c>
      <c r="B61" s="49" t="n">
        <f aca="false">B60+'Navy plan'!B61-IF($A61-Levers!$C$191&gt;=1846,INDEX('Navy plan'!B$6:B$92,$A61-1845-Levers!$C$191),0)</f>
        <v>3</v>
      </c>
      <c r="C61" s="49" t="n">
        <f aca="false">C60+'Navy plan'!C61-IF($A61-Levers!$D$191&gt;=1846,INDEX('Navy plan'!C$6:C$92,$A61-1845-Levers!$D$191),0)</f>
        <v>3</v>
      </c>
      <c r="D61" s="49" t="n">
        <f aca="false">D60+'Navy plan'!D61-IF($A61-Levers!$E$191&gt;=1846,INDEX('Navy plan'!D$6:D$92,$A61-1845-Levers!$E$191),0)</f>
        <v>14</v>
      </c>
      <c r="E61" s="49" t="n">
        <f aca="false">E60+'Navy plan'!E61-IF($A61-Levers!$F$191&gt;=1846,INDEX('Navy plan'!E$6:E$92,$A61-1845-Levers!$F$191),0)</f>
        <v>8</v>
      </c>
      <c r="F61" s="49" t="n">
        <f aca="false">F60+'Navy plan'!F61-IF($A61-Levers!$G$191&gt;=1846,INDEX('Navy plan'!F$6:F$92,$A61-1845-Levers!$G$191),0)</f>
        <v>25</v>
      </c>
      <c r="G61" s="49" t="n">
        <f aca="false">G60+'Navy plan'!G61-IF($A61-Levers!$H$191&gt;=1846,INDEX('Navy plan'!G$6:G$92,$A61-1845-Levers!$H$191),0)</f>
        <v>6</v>
      </c>
      <c r="H61" s="49" t="n">
        <f aca="false">H60+'Navy plan'!H61-IF($A61-Levers!$I$191&gt;=1846,INDEX('Navy plan'!H$6:H$92,$A61-1845-Levers!$I$191),0)</f>
        <v>0</v>
      </c>
      <c r="I61" s="49" t="n">
        <f aca="false">I60+'Navy plan'!I61-IF($A61-Levers!$J$191&gt;=1846,INDEX('Navy plan'!I$6:I$92,$A61-1845-Levers!$J$191),0)</f>
        <v>2</v>
      </c>
      <c r="J61" s="49" t="n">
        <f aca="false">J60+'Navy plan'!J61-IF($A61-Levers!$K$191&gt;=1846,INDEX('Navy plan'!J$6:J$92,$A61-1845-Levers!$K$191),0)</f>
        <v>0</v>
      </c>
      <c r="K61" s="49" t="n">
        <f aca="false">SUM(B61:J61)</f>
        <v>61</v>
      </c>
      <c r="L61" s="56" t="n">
        <f aca="false">0.5*SUMPRODUCT('Navy plan'!B61:J61,'Navy plan'!K61:S61)+0.5*SUMPRODUCT('Navy plan'!B62:J62,'Navy plan'!K62:S62)</f>
        <v>4.395</v>
      </c>
      <c r="M61" s="49" t="n">
        <f aca="false">SUMPRODUCT(B61:J61,Levers!$C$192:$K$192)</f>
        <v>8340</v>
      </c>
      <c r="N61" s="49" t="n">
        <f aca="false">SUMPRODUCT(B61:J61,Levers!$C$195:$K$195)</f>
        <v>10379.2307692308</v>
      </c>
      <c r="O61" s="49" t="n">
        <f aca="false">N61-M61</f>
        <v>2039.23076923077</v>
      </c>
      <c r="P61" s="56" t="n">
        <f aca="false">M61*sailor_pay*Economy!H61/1000000</f>
        <v>5.794632</v>
      </c>
      <c r="Q61" s="56" t="n">
        <f aca="false">SUMPRODUCT(B61:J61,'Navy plan'!K61:S61)*maint_rate</f>
        <v>2.5623</v>
      </c>
      <c r="R61" s="56" t="n">
        <f aca="false">SUMPRODUCT(B61:J61,Levers!$C$193:$K$193)*Economy!H61</f>
        <v>1.48996</v>
      </c>
      <c r="S61" s="56" t="n">
        <f aca="false">SUMPRODUCT(B61:J61,Levers!$C$193:$K$193,Levers!$C$194:$K$194)*(1/oil_fuel-1)*Economy!H61</f>
        <v>0.569074285714286</v>
      </c>
      <c r="T61" s="56" t="n">
        <f aca="false">S61+O61*sailor_pay*Economy!H61/1000000</f>
        <v>1.98593182417582</v>
      </c>
      <c r="U61" s="56" t="n">
        <f aca="false">(P61+Q61+R61)*navy_overhead</f>
        <v>1.4770338</v>
      </c>
      <c r="V61" s="56" t="n">
        <f aca="false">L61+P61+Q61+R61+U61</f>
        <v>15.7189258</v>
      </c>
      <c r="W61" s="72" t="n">
        <f aca="false">Japan!I61</f>
        <v>31</v>
      </c>
      <c r="X61" s="56" t="n">
        <f aca="false">IF($A61&gt;=1927,V61+W61,0)</f>
        <v>0</v>
      </c>
      <c r="Y61" s="56" t="n">
        <f aca="false">IF($A61&gt;=1927,pac_quota*X61,V61)</f>
        <v>15.7189258</v>
      </c>
      <c r="Z61" s="70" t="n">
        <f aca="false">SUMPRODUCT(B61:J61,Levers!$C$193:$K$193,Levers!$C$194:$K$194)/0.6</f>
        <v>2.86666666666667</v>
      </c>
      <c r="AA61" s="65" t="n">
        <f aca="false">H61</f>
        <v>0</v>
      </c>
      <c r="AB61" s="49" t="n">
        <f aca="false">AA61+'Navy plan'!T61</f>
        <v>0</v>
      </c>
      <c r="AC61" s="65" t="n">
        <f aca="false">'Navy plan'!U61</f>
        <v>0</v>
      </c>
      <c r="AD61" s="65" t="n">
        <f aca="false">'Navy plan'!V61</f>
        <v>0</v>
      </c>
      <c r="AE61" s="70" t="n">
        <f aca="false">IF(AC61&gt;0,AB61/AC61,0)</f>
        <v>0</v>
      </c>
    </row>
    <row r="62" customFormat="false" ht="14.25" hidden="false" customHeight="true" outlineLevel="0" collapsed="false">
      <c r="A62" s="61" t="n">
        <v>1902</v>
      </c>
      <c r="B62" s="49" t="n">
        <f aca="false">B61+'Navy plan'!B62-IF($A62-Levers!$C$191&gt;=1846,INDEX('Navy plan'!B$6:B$92,$A62-1845-Levers!$C$191),0)</f>
        <v>3</v>
      </c>
      <c r="C62" s="49" t="n">
        <f aca="false">C61+'Navy plan'!C62-IF($A62-Levers!$D$191&gt;=1846,INDEX('Navy plan'!C$6:C$92,$A62-1845-Levers!$D$191),0)</f>
        <v>3</v>
      </c>
      <c r="D62" s="49" t="n">
        <f aca="false">D61+'Navy plan'!D62-IF($A62-Levers!$E$191&gt;=1846,INDEX('Navy plan'!D$6:D$92,$A62-1845-Levers!$E$191),0)</f>
        <v>14</v>
      </c>
      <c r="E62" s="49" t="n">
        <f aca="false">E61+'Navy plan'!E62-IF($A62-Levers!$F$191&gt;=1846,INDEX('Navy plan'!E$6:E$92,$A62-1845-Levers!$F$191),0)</f>
        <v>8</v>
      </c>
      <c r="F62" s="49" t="n">
        <f aca="false">F61+'Navy plan'!F62-IF($A62-Levers!$G$191&gt;=1846,INDEX('Navy plan'!F$6:F$92,$A62-1845-Levers!$G$191),0)</f>
        <v>28</v>
      </c>
      <c r="G62" s="49" t="n">
        <f aca="false">G61+'Navy plan'!G62-IF($A62-Levers!$H$191&gt;=1846,INDEX('Navy plan'!G$6:G$92,$A62-1845-Levers!$H$191),0)</f>
        <v>6</v>
      </c>
      <c r="H62" s="49" t="n">
        <f aca="false">H61+'Navy plan'!H62-IF($A62-Levers!$I$191&gt;=1846,INDEX('Navy plan'!H$6:H$92,$A62-1845-Levers!$I$191),0)</f>
        <v>0</v>
      </c>
      <c r="I62" s="49" t="n">
        <f aca="false">I61+'Navy plan'!I62-IF($A62-Levers!$J$191&gt;=1846,INDEX('Navy plan'!I$6:I$92,$A62-1845-Levers!$J$191),0)</f>
        <v>4</v>
      </c>
      <c r="J62" s="49" t="n">
        <f aca="false">J61+'Navy plan'!J62-IF($A62-Levers!$K$191&gt;=1846,INDEX('Navy plan'!J$6:J$92,$A62-1845-Levers!$K$191),0)</f>
        <v>0</v>
      </c>
      <c r="K62" s="49" t="n">
        <f aca="false">SUM(B62:J62)</f>
        <v>66</v>
      </c>
      <c r="L62" s="56" t="n">
        <f aca="false">0.5*SUMPRODUCT('Navy plan'!B62:J62,'Navy plan'!K62:S62)+0.5*SUMPRODUCT('Navy plan'!B63:J63,'Navy plan'!K63:S63)</f>
        <v>6.33</v>
      </c>
      <c r="M62" s="49" t="n">
        <f aca="false">SUMPRODUCT(B62:J62,Levers!$C$192:$K$192)</f>
        <v>8670</v>
      </c>
      <c r="N62" s="49" t="n">
        <f aca="false">SUMPRODUCT(B62:J62,Levers!$C$195:$K$195)</f>
        <v>10802.3076923077</v>
      </c>
      <c r="O62" s="49" t="n">
        <f aca="false">N62-M62</f>
        <v>2132.30769230769</v>
      </c>
      <c r="P62" s="56" t="n">
        <f aca="false">M62*sailor_pay*Economy!H62/1000000</f>
        <v>6.117552</v>
      </c>
      <c r="Q62" s="56" t="n">
        <f aca="false">SUMPRODUCT(B62:J62,'Navy plan'!K62:S62)*maint_rate</f>
        <v>2.7263</v>
      </c>
      <c r="R62" s="56" t="n">
        <f aca="false">SUMPRODUCT(B62:J62,Levers!$C$193:$K$193)*Economy!H62</f>
        <v>1.59936</v>
      </c>
      <c r="S62" s="56" t="n">
        <f aca="false">SUMPRODUCT(B62:J62,Levers!$C$193:$K$193,Levers!$C$194:$K$194)*(1/oil_fuel-1)*Economy!H62</f>
        <v>0.61488</v>
      </c>
      <c r="T62" s="56" t="n">
        <f aca="false">S62+O62*sailor_pay*Economy!H62/1000000</f>
        <v>2.11943630769231</v>
      </c>
      <c r="U62" s="56" t="n">
        <f aca="false">(P62+Q62+R62)*navy_overhead</f>
        <v>1.5664818</v>
      </c>
      <c r="V62" s="56" t="n">
        <f aca="false">L62+P62+Q62+R62+U62</f>
        <v>18.3396938</v>
      </c>
      <c r="W62" s="72" t="n">
        <f aca="false">Japan!I62</f>
        <v>32</v>
      </c>
      <c r="X62" s="56" t="n">
        <f aca="false">IF($A62&gt;=1927,V62+W62,0)</f>
        <v>0</v>
      </c>
      <c r="Y62" s="56" t="n">
        <f aca="false">IF($A62&gt;=1927,pac_quota*X62,V62)</f>
        <v>18.3396938</v>
      </c>
      <c r="Z62" s="70" t="n">
        <f aca="false">SUMPRODUCT(B62:J62,Levers!$C$193:$K$193,Levers!$C$194:$K$194)/0.6</f>
        <v>3.05</v>
      </c>
      <c r="AA62" s="65" t="n">
        <f aca="false">H62</f>
        <v>0</v>
      </c>
      <c r="AB62" s="49" t="n">
        <f aca="false">AA62+'Navy plan'!T62</f>
        <v>0</v>
      </c>
      <c r="AC62" s="65" t="n">
        <f aca="false">'Navy plan'!U62</f>
        <v>0</v>
      </c>
      <c r="AD62" s="65" t="n">
        <f aca="false">'Navy plan'!V62</f>
        <v>0</v>
      </c>
      <c r="AE62" s="70" t="n">
        <f aca="false">IF(AC62&gt;0,AB62/AC62,0)</f>
        <v>0</v>
      </c>
    </row>
    <row r="63" customFormat="false" ht="14.25" hidden="false" customHeight="true" outlineLevel="0" collapsed="false">
      <c r="A63" s="61" t="n">
        <v>1903</v>
      </c>
      <c r="B63" s="49" t="n">
        <f aca="false">B62+'Navy plan'!B63-IF($A63-Levers!$C$191&gt;=1846,INDEX('Navy plan'!B$6:B$92,$A63-1845-Levers!$C$191),0)</f>
        <v>2</v>
      </c>
      <c r="C63" s="49" t="n">
        <f aca="false">C62+'Navy plan'!C63-IF($A63-Levers!$D$191&gt;=1846,INDEX('Navy plan'!C$6:C$92,$A63-1845-Levers!$D$191),0)</f>
        <v>3</v>
      </c>
      <c r="D63" s="49" t="n">
        <f aca="false">D62+'Navy plan'!D63-IF($A63-Levers!$E$191&gt;=1846,INDEX('Navy plan'!D$6:D$92,$A63-1845-Levers!$E$191),0)</f>
        <v>8</v>
      </c>
      <c r="E63" s="49" t="n">
        <f aca="false">E62+'Navy plan'!E63-IF($A63-Levers!$F$191&gt;=1846,INDEX('Navy plan'!E$6:E$92,$A63-1845-Levers!$F$191),0)</f>
        <v>8</v>
      </c>
      <c r="F63" s="49" t="n">
        <f aca="false">F62+'Navy plan'!F63-IF($A63-Levers!$G$191&gt;=1846,INDEX('Navy plan'!F$6:F$92,$A63-1845-Levers!$G$191),0)</f>
        <v>31</v>
      </c>
      <c r="G63" s="49" t="n">
        <f aca="false">G62+'Navy plan'!G63-IF($A63-Levers!$H$191&gt;=1846,INDEX('Navy plan'!G$6:G$92,$A63-1845-Levers!$H$191),0)</f>
        <v>7</v>
      </c>
      <c r="H63" s="49" t="n">
        <f aca="false">H62+'Navy plan'!H63-IF($A63-Levers!$I$191&gt;=1846,INDEX('Navy plan'!H$6:H$92,$A63-1845-Levers!$I$191),0)</f>
        <v>1</v>
      </c>
      <c r="I63" s="49" t="n">
        <f aca="false">I62+'Navy plan'!I63-IF($A63-Levers!$J$191&gt;=1846,INDEX('Navy plan'!I$6:I$92,$A63-1845-Levers!$J$191),0)</f>
        <v>4</v>
      </c>
      <c r="J63" s="49" t="n">
        <f aca="false">J62+'Navy plan'!J63-IF($A63-Levers!$K$191&gt;=1846,INDEX('Navy plan'!J$6:J$92,$A63-1845-Levers!$K$191),0)</f>
        <v>0</v>
      </c>
      <c r="K63" s="49" t="n">
        <f aca="false">SUM(B63:J63)</f>
        <v>64</v>
      </c>
      <c r="L63" s="56" t="n">
        <f aca="false">0.5*SUMPRODUCT('Navy plan'!B63:J63,'Navy plan'!K63:S63)+0.5*SUMPRODUCT('Navy plan'!B64:J64,'Navy plan'!K64:S64)</f>
        <v>6.426</v>
      </c>
      <c r="M63" s="49" t="n">
        <f aca="false">SUMPRODUCT(B63:J63,Levers!$C$192:$K$192)</f>
        <v>10100</v>
      </c>
      <c r="N63" s="49" t="n">
        <f aca="false">SUMPRODUCT(B63:J63,Levers!$C$195:$K$195)</f>
        <v>12669.4871794872</v>
      </c>
      <c r="O63" s="49" t="n">
        <f aca="false">N63-M63</f>
        <v>2569.48717948718</v>
      </c>
      <c r="P63" s="56" t="n">
        <f aca="false">M63*sailor_pay*Economy!H63/1000000</f>
        <v>7.23564</v>
      </c>
      <c r="Q63" s="56" t="n">
        <f aca="false">SUMPRODUCT(B63:J63,'Navy plan'!K63:S63)*maint_rate</f>
        <v>3.2706</v>
      </c>
      <c r="R63" s="56" t="n">
        <f aca="false">SUMPRODUCT(B63:J63,Levers!$C$193:$K$193)*Economy!H63</f>
        <v>1.87856</v>
      </c>
      <c r="S63" s="56" t="n">
        <f aca="false">SUMPRODUCT(B63:J63,Levers!$C$193:$K$193,Levers!$C$194:$K$194)*(1/oil_fuel-1)*Economy!H63</f>
        <v>0.74028</v>
      </c>
      <c r="T63" s="56" t="n">
        <f aca="false">S63+O63*sailor_pay*Economy!H63/1000000</f>
        <v>2.58106061538462</v>
      </c>
      <c r="U63" s="56" t="n">
        <f aca="false">(P63+Q63+R63)*navy_overhead</f>
        <v>1.85772</v>
      </c>
      <c r="V63" s="56" t="n">
        <f aca="false">L63+P63+Q63+R63+U63</f>
        <v>20.66852</v>
      </c>
      <c r="W63" s="72" t="n">
        <f aca="false">Japan!I63</f>
        <v>33</v>
      </c>
      <c r="X63" s="56" t="n">
        <f aca="false">IF($A63&gt;=1927,V63+W63,0)</f>
        <v>0</v>
      </c>
      <c r="Y63" s="56" t="n">
        <f aca="false">IF($A63&gt;=1927,pac_quota*X63,V63)</f>
        <v>20.66852</v>
      </c>
      <c r="Z63" s="70" t="n">
        <f aca="false">SUMPRODUCT(B63:J63,Levers!$C$193:$K$193,Levers!$C$194:$K$194)/0.6</f>
        <v>3.61666666666667</v>
      </c>
      <c r="AA63" s="65" t="n">
        <f aca="false">H63</f>
        <v>1</v>
      </c>
      <c r="AB63" s="49" t="n">
        <f aca="false">AA63+'Navy plan'!T63</f>
        <v>1</v>
      </c>
      <c r="AC63" s="65" t="n">
        <f aca="false">'Navy plan'!U63</f>
        <v>0</v>
      </c>
      <c r="AD63" s="65" t="n">
        <f aca="false">'Navy plan'!V63</f>
        <v>0</v>
      </c>
      <c r="AE63" s="70" t="n">
        <f aca="false">IF(AC63&gt;0,AB63/AC63,0)</f>
        <v>0</v>
      </c>
    </row>
    <row r="64" customFormat="false" ht="14.25" hidden="false" customHeight="true" outlineLevel="0" collapsed="false">
      <c r="A64" s="61" t="n">
        <v>1904</v>
      </c>
      <c r="B64" s="49" t="n">
        <f aca="false">B63+'Navy plan'!B64-IF($A64-Levers!$C$191&gt;=1846,INDEX('Navy plan'!B$6:B$92,$A64-1845-Levers!$C$191),0)</f>
        <v>2</v>
      </c>
      <c r="C64" s="49" t="n">
        <f aca="false">C63+'Navy plan'!C64-IF($A64-Levers!$D$191&gt;=1846,INDEX('Navy plan'!C$6:C$92,$A64-1845-Levers!$D$191),0)</f>
        <v>1</v>
      </c>
      <c r="D64" s="49" t="n">
        <f aca="false">D63+'Navy plan'!D64-IF($A64-Levers!$E$191&gt;=1846,INDEX('Navy plan'!D$6:D$92,$A64-1845-Levers!$E$191),0)</f>
        <v>8</v>
      </c>
      <c r="E64" s="49" t="n">
        <f aca="false">E63+'Navy plan'!E64-IF($A64-Levers!$F$191&gt;=1846,INDEX('Navy plan'!E$6:E$92,$A64-1845-Levers!$F$191),0)</f>
        <v>8</v>
      </c>
      <c r="F64" s="49" t="n">
        <f aca="false">F63+'Navy plan'!F64-IF($A64-Levers!$G$191&gt;=1846,INDEX('Navy plan'!F$6:F$92,$A64-1845-Levers!$G$191),0)</f>
        <v>34</v>
      </c>
      <c r="G64" s="49" t="n">
        <f aca="false">G63+'Navy plan'!G64-IF($A64-Levers!$H$191&gt;=1846,INDEX('Navy plan'!G$6:G$92,$A64-1845-Levers!$H$191),0)</f>
        <v>7</v>
      </c>
      <c r="H64" s="49" t="n">
        <f aca="false">H63+'Navy plan'!H64-IF($A64-Levers!$I$191&gt;=1846,INDEX('Navy plan'!H$6:H$92,$A64-1845-Levers!$I$191),0)</f>
        <v>1</v>
      </c>
      <c r="I64" s="49" t="n">
        <f aca="false">I63+'Navy plan'!I64-IF($A64-Levers!$J$191&gt;=1846,INDEX('Navy plan'!I$6:I$92,$A64-1845-Levers!$J$191),0)</f>
        <v>6</v>
      </c>
      <c r="J64" s="49" t="n">
        <f aca="false">J63+'Navy plan'!J64-IF($A64-Levers!$K$191&gt;=1846,INDEX('Navy plan'!J$6:J$92,$A64-1845-Levers!$K$191),0)</f>
        <v>0</v>
      </c>
      <c r="K64" s="49" t="n">
        <f aca="false">SUM(B64:J64)</f>
        <v>67</v>
      </c>
      <c r="L64" s="56" t="n">
        <f aca="false">0.5*SUMPRODUCT('Navy plan'!B64:J64,'Navy plan'!K64:S64)+0.5*SUMPRODUCT('Navy plan'!B65:J65,'Navy plan'!K65:S65)</f>
        <v>7.111</v>
      </c>
      <c r="M64" s="49" t="n">
        <f aca="false">SUMPRODUCT(B64:J64,Levers!$C$192:$K$192)</f>
        <v>9930</v>
      </c>
      <c r="N64" s="49" t="n">
        <f aca="false">SUMPRODUCT(B64:J64,Levers!$C$195:$K$195)</f>
        <v>12592.5641025641</v>
      </c>
      <c r="O64" s="49" t="n">
        <f aca="false">N64-M64</f>
        <v>2662.5641025641</v>
      </c>
      <c r="P64" s="56" t="n">
        <f aca="false">M64*sailor_pay*Economy!H64/1000000</f>
        <v>7.221096</v>
      </c>
      <c r="Q64" s="56" t="n">
        <f aca="false">SUMPRODUCT(B64:J64,'Navy plan'!K64:S64)*maint_rate</f>
        <v>3.38315</v>
      </c>
      <c r="R64" s="56" t="n">
        <f aca="false">SUMPRODUCT(B64:J64,Levers!$C$193:$K$193)*Economy!H64</f>
        <v>1.91496</v>
      </c>
      <c r="S64" s="56" t="n">
        <f aca="false">SUMPRODUCT(B64:J64,Levers!$C$193:$K$193,Levers!$C$194:$K$194)*(1/oil_fuel-1)*Economy!H64</f>
        <v>0.789531428571429</v>
      </c>
      <c r="T64" s="56" t="n">
        <f aca="false">S64+O64*sailor_pay*Economy!H64/1000000</f>
        <v>2.72574804395604</v>
      </c>
      <c r="U64" s="56" t="n">
        <f aca="false">(P64+Q64+R64)*navy_overhead</f>
        <v>1.8778809</v>
      </c>
      <c r="V64" s="56" t="n">
        <f aca="false">L64+P64+Q64+R64+U64</f>
        <v>21.5080869</v>
      </c>
      <c r="W64" s="72" t="n">
        <f aca="false">Japan!I64</f>
        <v>34</v>
      </c>
      <c r="X64" s="56" t="n">
        <f aca="false">IF($A64&gt;=1927,V64+W64,0)</f>
        <v>0</v>
      </c>
      <c r="Y64" s="56" t="n">
        <f aca="false">IF($A64&gt;=1927,pac_quota*X64,V64)</f>
        <v>21.5080869</v>
      </c>
      <c r="Z64" s="70" t="n">
        <f aca="false">SUMPRODUCT(B64:J64,Levers!$C$193:$K$193,Levers!$C$194:$K$194)/0.6</f>
        <v>3.8</v>
      </c>
      <c r="AA64" s="65" t="n">
        <f aca="false">H64</f>
        <v>1</v>
      </c>
      <c r="AB64" s="49" t="n">
        <f aca="false">AA64+'Navy plan'!T64</f>
        <v>1</v>
      </c>
      <c r="AC64" s="65" t="n">
        <f aca="false">'Navy plan'!U64</f>
        <v>0</v>
      </c>
      <c r="AD64" s="65" t="n">
        <f aca="false">'Navy plan'!V64</f>
        <v>0</v>
      </c>
      <c r="AE64" s="70" t="n">
        <f aca="false">IF(AC64&gt;0,AB64/AC64,0)</f>
        <v>0</v>
      </c>
    </row>
    <row r="65" customFormat="false" ht="14.25" hidden="false" customHeight="true" outlineLevel="0" collapsed="false">
      <c r="A65" s="61" t="n">
        <v>1905</v>
      </c>
      <c r="B65" s="49" t="n">
        <f aca="false">B64+'Navy plan'!B65-IF($A65-Levers!$C$191&gt;=1846,INDEX('Navy plan'!B$6:B$92,$A65-1845-Levers!$C$191),0)</f>
        <v>2</v>
      </c>
      <c r="C65" s="49" t="n">
        <f aca="false">C64+'Navy plan'!C65-IF($A65-Levers!$D$191&gt;=1846,INDEX('Navy plan'!C$6:C$92,$A65-1845-Levers!$D$191),0)</f>
        <v>1</v>
      </c>
      <c r="D65" s="49" t="n">
        <f aca="false">D64+'Navy plan'!D65-IF($A65-Levers!$E$191&gt;=1846,INDEX('Navy plan'!D$6:D$92,$A65-1845-Levers!$E$191),0)</f>
        <v>4</v>
      </c>
      <c r="E65" s="49" t="n">
        <f aca="false">E64+'Navy plan'!E65-IF($A65-Levers!$F$191&gt;=1846,INDEX('Navy plan'!E$6:E$92,$A65-1845-Levers!$F$191),0)</f>
        <v>8</v>
      </c>
      <c r="F65" s="49" t="n">
        <f aca="false">F64+'Navy plan'!F65-IF($A65-Levers!$G$191&gt;=1846,INDEX('Navy plan'!F$6:F$92,$A65-1845-Levers!$G$191),0)</f>
        <v>37</v>
      </c>
      <c r="G65" s="49" t="n">
        <f aca="false">G64+'Navy plan'!G65-IF($A65-Levers!$H$191&gt;=1846,INDEX('Navy plan'!G$6:G$92,$A65-1845-Levers!$H$191),0)</f>
        <v>8</v>
      </c>
      <c r="H65" s="49" t="n">
        <f aca="false">H64+'Navy plan'!H65-IF($A65-Levers!$I$191&gt;=1846,INDEX('Navy plan'!H$6:H$92,$A65-1845-Levers!$I$191),0)</f>
        <v>2</v>
      </c>
      <c r="I65" s="49" t="n">
        <f aca="false">I64+'Navy plan'!I65-IF($A65-Levers!$J$191&gt;=1846,INDEX('Navy plan'!I$6:I$92,$A65-1845-Levers!$J$191),0)</f>
        <v>6</v>
      </c>
      <c r="J65" s="49" t="n">
        <f aca="false">J64+'Navy plan'!J65-IF($A65-Levers!$K$191&gt;=1846,INDEX('Navy plan'!J$6:J$92,$A65-1845-Levers!$K$191),0)</f>
        <v>0</v>
      </c>
      <c r="K65" s="49" t="n">
        <f aca="false">SUM(B65:J65)</f>
        <v>68</v>
      </c>
      <c r="L65" s="56" t="n">
        <f aca="false">0.5*SUMPRODUCT('Navy plan'!B65:J65,'Navy plan'!K65:S65)+0.5*SUMPRODUCT('Navy plan'!B66:J66,'Navy plan'!K66:S66)</f>
        <v>11.6455</v>
      </c>
      <c r="M65" s="49" t="n">
        <f aca="false">SUMPRODUCT(B65:J65,Levers!$C$192:$K$192)</f>
        <v>11520</v>
      </c>
      <c r="N65" s="49" t="n">
        <f aca="false">SUMPRODUCT(B65:J65,Levers!$C$195:$K$195)</f>
        <v>14631.0256410256</v>
      </c>
      <c r="O65" s="49" t="n">
        <f aca="false">N65-M65</f>
        <v>3111.02564102564</v>
      </c>
      <c r="P65" s="56" t="n">
        <f aca="false">M65*sailor_pay*Economy!H65/1000000</f>
        <v>8.50176</v>
      </c>
      <c r="Q65" s="56" t="n">
        <f aca="false">SUMPRODUCT(B65:J65,'Navy plan'!K65:S65)*maint_rate</f>
        <v>4.108</v>
      </c>
      <c r="R65" s="56" t="n">
        <f aca="false">SUMPRODUCT(B65:J65,Levers!$C$193:$K$193)*Economy!H65</f>
        <v>2.2304</v>
      </c>
      <c r="S65" s="56" t="n">
        <f aca="false">SUMPRODUCT(B65:J65,Levers!$C$193:$K$193,Levers!$C$194:$K$194)*(1/oil_fuel-1)*Economy!H65</f>
        <v>0.924257142857143</v>
      </c>
      <c r="T65" s="56" t="n">
        <f aca="false">S65+O65*sailor_pay*Economy!H65/1000000</f>
        <v>3.22019406593407</v>
      </c>
      <c r="U65" s="56" t="n">
        <f aca="false">(P65+Q65+R65)*navy_overhead</f>
        <v>2.226024</v>
      </c>
      <c r="V65" s="56" t="n">
        <f aca="false">L65+P65+Q65+R65+U65</f>
        <v>28.711684</v>
      </c>
      <c r="W65" s="72" t="n">
        <f aca="false">Japan!I65</f>
        <v>35</v>
      </c>
      <c r="X65" s="56" t="n">
        <f aca="false">IF($A65&gt;=1927,V65+W65,0)</f>
        <v>0</v>
      </c>
      <c r="Y65" s="56" t="n">
        <f aca="false">IF($A65&gt;=1927,pac_quota*X65,V65)</f>
        <v>28.711684</v>
      </c>
      <c r="Z65" s="70" t="n">
        <f aca="false">SUMPRODUCT(B65:J65,Levers!$C$193:$K$193,Levers!$C$194:$K$194)/0.6</f>
        <v>4.38333333333333</v>
      </c>
      <c r="AA65" s="65" t="n">
        <f aca="false">H65</f>
        <v>2</v>
      </c>
      <c r="AB65" s="49" t="n">
        <f aca="false">AA65+'Navy plan'!T65</f>
        <v>2</v>
      </c>
      <c r="AC65" s="65" t="n">
        <f aca="false">'Navy plan'!U65</f>
        <v>0</v>
      </c>
      <c r="AD65" s="65" t="n">
        <f aca="false">'Navy plan'!V65</f>
        <v>0</v>
      </c>
      <c r="AE65" s="70" t="n">
        <f aca="false">IF(AC65&gt;0,AB65/AC65,0)</f>
        <v>0</v>
      </c>
    </row>
    <row r="66" customFormat="false" ht="14.25" hidden="false" customHeight="true" outlineLevel="0" collapsed="false">
      <c r="A66" s="61" t="n">
        <v>1906</v>
      </c>
      <c r="B66" s="49" t="n">
        <f aca="false">B65+'Navy plan'!B66-IF($A66-Levers!$C$191&gt;=1846,INDEX('Navy plan'!B$6:B$92,$A66-1845-Levers!$C$191),0)</f>
        <v>1</v>
      </c>
      <c r="C66" s="49" t="n">
        <f aca="false">C65+'Navy plan'!C66-IF($A66-Levers!$D$191&gt;=1846,INDEX('Navy plan'!C$6:C$92,$A66-1845-Levers!$D$191),0)</f>
        <v>1</v>
      </c>
      <c r="D66" s="49" t="n">
        <f aca="false">D65+'Navy plan'!D66-IF($A66-Levers!$E$191&gt;=1846,INDEX('Navy plan'!D$6:D$92,$A66-1845-Levers!$E$191),0)</f>
        <v>4</v>
      </c>
      <c r="E66" s="49" t="n">
        <f aca="false">E65+'Navy plan'!E66-IF($A66-Levers!$F$191&gt;=1846,INDEX('Navy plan'!E$6:E$92,$A66-1845-Levers!$F$191),0)</f>
        <v>8</v>
      </c>
      <c r="F66" s="49" t="n">
        <f aca="false">F65+'Navy plan'!F66-IF($A66-Levers!$G$191&gt;=1846,INDEX('Navy plan'!F$6:F$92,$A66-1845-Levers!$G$191),0)</f>
        <v>41</v>
      </c>
      <c r="G66" s="49" t="n">
        <f aca="false">G65+'Navy plan'!G66-IF($A66-Levers!$H$191&gt;=1846,INDEX('Navy plan'!G$6:G$92,$A66-1845-Levers!$H$191),0)</f>
        <v>8</v>
      </c>
      <c r="H66" s="49" t="n">
        <f aca="false">H65+'Navy plan'!H66-IF($A66-Levers!$I$191&gt;=1846,INDEX('Navy plan'!H$6:H$92,$A66-1845-Levers!$I$191),0)</f>
        <v>3</v>
      </c>
      <c r="I66" s="49" t="n">
        <f aca="false">I65+'Navy plan'!I66-IF($A66-Levers!$J$191&gt;=1846,INDEX('Navy plan'!I$6:I$92,$A66-1845-Levers!$J$191),0)</f>
        <v>9</v>
      </c>
      <c r="J66" s="49" t="n">
        <f aca="false">J65+'Navy plan'!J66-IF($A66-Levers!$K$191&gt;=1846,INDEX('Navy plan'!J$6:J$92,$A66-1845-Levers!$K$191),0)</f>
        <v>0</v>
      </c>
      <c r="K66" s="49" t="n">
        <f aca="false">SUM(B66:J66)</f>
        <v>75</v>
      </c>
      <c r="L66" s="56" t="n">
        <f aca="false">0.5*SUMPRODUCT('Navy plan'!B66:J66,'Navy plan'!K66:S66)+0.5*SUMPRODUCT('Navy plan'!B67:J67,'Navy plan'!K67:S67)</f>
        <v>14.7805</v>
      </c>
      <c r="M66" s="49" t="n">
        <f aca="false">SUMPRODUCT(B66:J66,Levers!$C$192:$K$192)</f>
        <v>12850</v>
      </c>
      <c r="N66" s="49" t="n">
        <f aca="false">SUMPRODUCT(B66:J66,Levers!$C$195:$K$195)</f>
        <v>16370</v>
      </c>
      <c r="O66" s="49" t="n">
        <f aca="false">N66-M66</f>
        <v>3520</v>
      </c>
      <c r="P66" s="56" t="n">
        <f aca="false">M66*sailor_pay*Economy!H66/1000000</f>
        <v>9.76086</v>
      </c>
      <c r="Q66" s="56" t="n">
        <f aca="false">SUMPRODUCT(B66:J66,'Navy plan'!K66:S66)*maint_rate</f>
        <v>4.81025</v>
      </c>
      <c r="R66" s="56" t="n">
        <f aca="false">SUMPRODUCT(B66:J66,Levers!$C$193:$K$193)*Economy!H66</f>
        <v>2.5742</v>
      </c>
      <c r="S66" s="56" t="n">
        <f aca="false">SUMPRODUCT(B66:J66,Levers!$C$193:$K$193,Levers!$C$194:$K$194)*(1/oil_fuel-1)*Economy!H66</f>
        <v>1.07790857142857</v>
      </c>
      <c r="T66" s="56" t="n">
        <f aca="false">S66+O66*sailor_pay*Economy!H66/1000000</f>
        <v>3.75170057142857</v>
      </c>
      <c r="U66" s="56" t="n">
        <f aca="false">(P66+Q66+R66)*navy_overhead</f>
        <v>2.5717965</v>
      </c>
      <c r="V66" s="56" t="n">
        <f aca="false">L66+P66+Q66+R66+U66</f>
        <v>34.4976065</v>
      </c>
      <c r="W66" s="72" t="n">
        <f aca="false">Japan!I66</f>
        <v>37</v>
      </c>
      <c r="X66" s="56" t="n">
        <f aca="false">IF($A66&gt;=1927,V66+W66,0)</f>
        <v>0</v>
      </c>
      <c r="Y66" s="56" t="n">
        <f aca="false">IF($A66&gt;=1927,pac_quota*X66,V66)</f>
        <v>34.4976065</v>
      </c>
      <c r="Z66" s="70" t="n">
        <f aca="false">SUMPRODUCT(B66:J66,Levers!$C$193:$K$193,Levers!$C$194:$K$194)/0.6</f>
        <v>4.96666666666667</v>
      </c>
      <c r="AA66" s="65" t="n">
        <f aca="false">H66</f>
        <v>3</v>
      </c>
      <c r="AB66" s="49" t="n">
        <f aca="false">AA66+'Navy plan'!T66</f>
        <v>3</v>
      </c>
      <c r="AC66" s="65" t="n">
        <f aca="false">'Navy plan'!U66</f>
        <v>1</v>
      </c>
      <c r="AD66" s="65" t="n">
        <f aca="false">'Navy plan'!V66</f>
        <v>0</v>
      </c>
      <c r="AE66" s="70" t="n">
        <f aca="false">IF(AC66&gt;0,AB66/AC66,0)</f>
        <v>3</v>
      </c>
    </row>
    <row r="67" customFormat="false" ht="14.25" hidden="false" customHeight="true" outlineLevel="0" collapsed="false">
      <c r="A67" s="61" t="n">
        <v>1907</v>
      </c>
      <c r="B67" s="49" t="n">
        <f aca="false">B66+'Navy plan'!B67-IF($A67-Levers!$C$191&gt;=1846,INDEX('Navy plan'!B$6:B$92,$A67-1845-Levers!$C$191),0)</f>
        <v>1</v>
      </c>
      <c r="C67" s="49" t="n">
        <f aca="false">C66+'Navy plan'!C67-IF($A67-Levers!$D$191&gt;=1846,INDEX('Navy plan'!C$6:C$92,$A67-1845-Levers!$D$191),0)</f>
        <v>0</v>
      </c>
      <c r="D67" s="49" t="n">
        <f aca="false">D66+'Navy plan'!D67-IF($A67-Levers!$E$191&gt;=1846,INDEX('Navy plan'!D$6:D$92,$A67-1845-Levers!$E$191),0)</f>
        <v>0</v>
      </c>
      <c r="E67" s="49" t="n">
        <f aca="false">E66+'Navy plan'!E67-IF($A67-Levers!$F$191&gt;=1846,INDEX('Navy plan'!E$6:E$92,$A67-1845-Levers!$F$191),0)</f>
        <v>8</v>
      </c>
      <c r="F67" s="49" t="n">
        <f aca="false">F66+'Navy plan'!F67-IF($A67-Levers!$G$191&gt;=1846,INDEX('Navy plan'!F$6:F$92,$A67-1845-Levers!$G$191),0)</f>
        <v>45</v>
      </c>
      <c r="G67" s="49" t="n">
        <f aca="false">G66+'Navy plan'!G67-IF($A67-Levers!$H$191&gt;=1846,INDEX('Navy plan'!G$6:G$92,$A67-1845-Levers!$H$191),0)</f>
        <v>10</v>
      </c>
      <c r="H67" s="49" t="n">
        <f aca="false">H66+'Navy plan'!H67-IF($A67-Levers!$I$191&gt;=1846,INDEX('Navy plan'!H$6:H$92,$A67-1845-Levers!$I$191),0)</f>
        <v>4</v>
      </c>
      <c r="I67" s="49" t="n">
        <f aca="false">I66+'Navy plan'!I67-IF($A67-Levers!$J$191&gt;=1846,INDEX('Navy plan'!I$6:I$92,$A67-1845-Levers!$J$191),0)</f>
        <v>9</v>
      </c>
      <c r="J67" s="49" t="n">
        <f aca="false">J66+'Navy plan'!J67-IF($A67-Levers!$K$191&gt;=1846,INDEX('Navy plan'!J$6:J$92,$A67-1845-Levers!$K$191),0)</f>
        <v>0</v>
      </c>
      <c r="K67" s="49" t="n">
        <f aca="false">SUM(B67:J67)</f>
        <v>77</v>
      </c>
      <c r="L67" s="56" t="n">
        <f aca="false">0.5*SUMPRODUCT('Navy plan'!B67:J67,'Navy plan'!K67:S67)+0.5*SUMPRODUCT('Navy plan'!B68:J68,'Navy plan'!K68:S68)</f>
        <v>10.996</v>
      </c>
      <c r="M67" s="49" t="n">
        <f aca="false">SUMPRODUCT(B67:J67,Levers!$C$192:$K$192)</f>
        <v>14680</v>
      </c>
      <c r="N67" s="49" t="n">
        <f aca="false">SUMPRODUCT(B67:J67,Levers!$C$195:$K$195)</f>
        <v>18786.6666666667</v>
      </c>
      <c r="O67" s="49" t="n">
        <f aca="false">N67-M67</f>
        <v>4106.66666666666</v>
      </c>
      <c r="P67" s="56" t="n">
        <f aca="false">M67*sailor_pay*Economy!H67/1000000</f>
        <v>11.468016</v>
      </c>
      <c r="Q67" s="56" t="n">
        <f aca="false">SUMPRODUCT(B67:J67,'Navy plan'!K67:S67)*maint_rate</f>
        <v>5.96785</v>
      </c>
      <c r="R67" s="56" t="n">
        <f aca="false">SUMPRODUCT(B67:J67,Levers!$C$193:$K$193)*Economy!H67</f>
        <v>3.00328</v>
      </c>
      <c r="S67" s="56" t="n">
        <f aca="false">SUMPRODUCT(B67:J67,Levers!$C$193:$K$193,Levers!$C$194:$K$194)*(1/oil_fuel-1)*Economy!H67</f>
        <v>1.27968</v>
      </c>
      <c r="T67" s="56" t="n">
        <f aca="false">S67+O67*sailor_pay*Economy!H67/1000000</f>
        <v>4.487808</v>
      </c>
      <c r="U67" s="56" t="n">
        <f aca="false">(P67+Q67+R67)*navy_overhead</f>
        <v>3.0658719</v>
      </c>
      <c r="V67" s="56" t="n">
        <f aca="false">L67+P67+Q67+R67+U67</f>
        <v>34.5010179</v>
      </c>
      <c r="W67" s="72" t="n">
        <f aca="false">Japan!I67</f>
        <v>39</v>
      </c>
      <c r="X67" s="56" t="n">
        <f aca="false">IF($A67&gt;=1927,V67+W67,0)</f>
        <v>0</v>
      </c>
      <c r="Y67" s="56" t="n">
        <f aca="false">IF($A67&gt;=1927,pac_quota*X67,V67)</f>
        <v>34.5010179</v>
      </c>
      <c r="Z67" s="70" t="n">
        <f aca="false">SUMPRODUCT(B67:J67,Levers!$C$193:$K$193,Levers!$C$194:$K$194)/0.6</f>
        <v>5.73333333333333</v>
      </c>
      <c r="AA67" s="65" t="n">
        <f aca="false">H67</f>
        <v>4</v>
      </c>
      <c r="AB67" s="49" t="n">
        <f aca="false">AA67+'Navy plan'!T67</f>
        <v>4</v>
      </c>
      <c r="AC67" s="65" t="n">
        <f aca="false">'Navy plan'!U67</f>
        <v>3</v>
      </c>
      <c r="AD67" s="65" t="n">
        <f aca="false">'Navy plan'!V67</f>
        <v>0</v>
      </c>
      <c r="AE67" s="70" t="n">
        <f aca="false">IF(AC67&gt;0,AB67/AC67,0)</f>
        <v>1.33333333333333</v>
      </c>
    </row>
    <row r="68" customFormat="false" ht="14.25" hidden="false" customHeight="true" outlineLevel="0" collapsed="false">
      <c r="A68" s="61" t="n">
        <v>1908</v>
      </c>
      <c r="B68" s="49" t="n">
        <f aca="false">B67+'Navy plan'!B68-IF($A68-Levers!$C$191&gt;=1846,INDEX('Navy plan'!B$6:B$92,$A68-1845-Levers!$C$191),0)</f>
        <v>1</v>
      </c>
      <c r="C68" s="49" t="n">
        <f aca="false">C67+'Navy plan'!C68-IF($A68-Levers!$D$191&gt;=1846,INDEX('Navy plan'!C$6:C$92,$A68-1845-Levers!$D$191),0)</f>
        <v>0</v>
      </c>
      <c r="D68" s="49" t="n">
        <f aca="false">D67+'Navy plan'!D68-IF($A68-Levers!$E$191&gt;=1846,INDEX('Navy plan'!D$6:D$92,$A68-1845-Levers!$E$191),0)</f>
        <v>0</v>
      </c>
      <c r="E68" s="49" t="n">
        <f aca="false">E67+'Navy plan'!E68-IF($A68-Levers!$F$191&gt;=1846,INDEX('Navy plan'!E$6:E$92,$A68-1845-Levers!$F$191),0)</f>
        <v>8</v>
      </c>
      <c r="F68" s="49" t="n">
        <f aca="false">F67+'Navy plan'!F68-IF($A68-Levers!$G$191&gt;=1846,INDEX('Navy plan'!F$6:F$92,$A68-1845-Levers!$G$191),0)</f>
        <v>49</v>
      </c>
      <c r="G68" s="49" t="n">
        <f aca="false">G67+'Navy plan'!G68-IF($A68-Levers!$H$191&gt;=1846,INDEX('Navy plan'!G$6:G$92,$A68-1845-Levers!$H$191),0)</f>
        <v>10</v>
      </c>
      <c r="H68" s="49" t="n">
        <f aca="false">H67+'Navy plan'!H68-IF($A68-Levers!$I$191&gt;=1846,INDEX('Navy plan'!H$6:H$92,$A68-1845-Levers!$I$191),0)</f>
        <v>4</v>
      </c>
      <c r="I68" s="49" t="n">
        <f aca="false">I67+'Navy plan'!I68-IF($A68-Levers!$J$191&gt;=1846,INDEX('Navy plan'!I$6:I$92,$A68-1845-Levers!$J$191),0)</f>
        <v>12</v>
      </c>
      <c r="J68" s="49" t="n">
        <f aca="false">J67+'Navy plan'!J68-IF($A68-Levers!$K$191&gt;=1846,INDEX('Navy plan'!J$6:J$92,$A68-1845-Levers!$K$191),0)</f>
        <v>0</v>
      </c>
      <c r="K68" s="49" t="n">
        <f aca="false">SUM(B68:J68)</f>
        <v>84</v>
      </c>
      <c r="L68" s="56" t="n">
        <f aca="false">0.5*SUMPRODUCT('Navy plan'!B68:J68,'Navy plan'!K68:S68)+0.5*SUMPRODUCT('Navy plan'!B69:J69,'Navy plan'!K69:S69)</f>
        <v>12.281</v>
      </c>
      <c r="M68" s="49" t="n">
        <f aca="false">SUMPRODUCT(B68:J68,Levers!$C$192:$K$192)</f>
        <v>15130</v>
      </c>
      <c r="N68" s="49" t="n">
        <f aca="false">SUMPRODUCT(B68:J68,Levers!$C$195:$K$195)</f>
        <v>19363.5897435897</v>
      </c>
      <c r="O68" s="49" t="n">
        <f aca="false">N68-M68</f>
        <v>4233.58974358974</v>
      </c>
      <c r="P68" s="56" t="n">
        <f aca="false">M68*sailor_pay*Economy!H68/1000000</f>
        <v>12.146364</v>
      </c>
      <c r="Q68" s="56" t="n">
        <f aca="false">SUMPRODUCT(B68:J68,'Navy plan'!K68:S68)*maint_rate</f>
        <v>6.4941</v>
      </c>
      <c r="R68" s="56" t="n">
        <f aca="false">SUMPRODUCT(B68:J68,Levers!$C$193:$K$193)*Economy!H68</f>
        <v>3.22012</v>
      </c>
      <c r="S68" s="56" t="n">
        <f aca="false">SUMPRODUCT(B68:J68,Levers!$C$193:$K$193,Levers!$C$194:$K$194)*(1/oil_fuel-1)*Economy!H68</f>
        <v>1.37240571428571</v>
      </c>
      <c r="T68" s="56" t="n">
        <f aca="false">S68+O68*sailor_pay*Economy!H68/1000000</f>
        <v>4.77113156043956</v>
      </c>
      <c r="U68" s="56" t="n">
        <f aca="false">(P68+Q68+R68)*navy_overhead</f>
        <v>3.2790876</v>
      </c>
      <c r="V68" s="56" t="n">
        <f aca="false">L68+P68+Q68+R68+U68</f>
        <v>37.4206716</v>
      </c>
      <c r="W68" s="72" t="n">
        <f aca="false">Japan!I68</f>
        <v>41</v>
      </c>
      <c r="X68" s="56" t="n">
        <f aca="false">IF($A68&gt;=1927,V68+W68,0)</f>
        <v>0</v>
      </c>
      <c r="Y68" s="56" t="n">
        <f aca="false">IF($A68&gt;=1927,pac_quota*X68,V68)</f>
        <v>37.4206716</v>
      </c>
      <c r="Z68" s="70" t="n">
        <f aca="false">SUMPRODUCT(B68:J68,Levers!$C$193:$K$193,Levers!$C$194:$K$194)/0.6</f>
        <v>5.98333333333333</v>
      </c>
      <c r="AA68" s="65" t="n">
        <f aca="false">H68</f>
        <v>4</v>
      </c>
      <c r="AB68" s="49" t="n">
        <f aca="false">AA68+'Navy plan'!T68</f>
        <v>4</v>
      </c>
      <c r="AC68" s="65" t="n">
        <f aca="false">'Navy plan'!U68</f>
        <v>5</v>
      </c>
      <c r="AD68" s="65" t="n">
        <f aca="false">'Navy plan'!V68</f>
        <v>0</v>
      </c>
      <c r="AE68" s="70" t="n">
        <f aca="false">IF(AC68&gt;0,AB68/AC68,0)</f>
        <v>0.8</v>
      </c>
    </row>
    <row r="69" customFormat="false" ht="14.25" hidden="false" customHeight="true" outlineLevel="0" collapsed="false">
      <c r="A69" s="61" t="n">
        <v>1909</v>
      </c>
      <c r="B69" s="49" t="n">
        <f aca="false">B68+'Navy plan'!B69-IF($A69-Levers!$C$191&gt;=1846,INDEX('Navy plan'!B$6:B$92,$A69-1845-Levers!$C$191),0)</f>
        <v>0</v>
      </c>
      <c r="C69" s="49" t="n">
        <f aca="false">C68+'Navy plan'!C69-IF($A69-Levers!$D$191&gt;=1846,INDEX('Navy plan'!C$6:C$92,$A69-1845-Levers!$D$191),0)</f>
        <v>0</v>
      </c>
      <c r="D69" s="49" t="n">
        <f aca="false">D68+'Navy plan'!D69-IF($A69-Levers!$E$191&gt;=1846,INDEX('Navy plan'!D$6:D$92,$A69-1845-Levers!$E$191),0)</f>
        <v>0</v>
      </c>
      <c r="E69" s="49" t="n">
        <f aca="false">E68+'Navy plan'!E69-IF($A69-Levers!$F$191&gt;=1846,INDEX('Navy plan'!E$6:E$92,$A69-1845-Levers!$F$191),0)</f>
        <v>8</v>
      </c>
      <c r="F69" s="49" t="n">
        <f aca="false">F68+'Navy plan'!F69-IF($A69-Levers!$G$191&gt;=1846,INDEX('Navy plan'!F$6:F$92,$A69-1845-Levers!$G$191),0)</f>
        <v>53</v>
      </c>
      <c r="G69" s="49" t="n">
        <f aca="false">G68+'Navy plan'!G69-IF($A69-Levers!$H$191&gt;=1846,INDEX('Navy plan'!G$6:G$92,$A69-1845-Levers!$H$191),0)</f>
        <v>12</v>
      </c>
      <c r="H69" s="49" t="n">
        <f aca="false">H68+'Navy plan'!H69-IF($A69-Levers!$I$191&gt;=1846,INDEX('Navy plan'!H$6:H$92,$A69-1845-Levers!$I$191),0)</f>
        <v>5</v>
      </c>
      <c r="I69" s="49" t="n">
        <f aca="false">I68+'Navy plan'!I69-IF($A69-Levers!$J$191&gt;=1846,INDEX('Navy plan'!I$6:I$92,$A69-1845-Levers!$J$191),0)</f>
        <v>12</v>
      </c>
      <c r="J69" s="49" t="n">
        <f aca="false">J68+'Navy plan'!J69-IF($A69-Levers!$K$191&gt;=1846,INDEX('Navy plan'!J$6:J$92,$A69-1845-Levers!$K$191),0)</f>
        <v>0</v>
      </c>
      <c r="K69" s="49" t="n">
        <f aca="false">SUM(B69:J69)</f>
        <v>90</v>
      </c>
      <c r="L69" s="56" t="n">
        <f aca="false">0.5*SUMPRODUCT('Navy plan'!B69:J69,'Navy plan'!K69:S69)+0.5*SUMPRODUCT('Navy plan'!B70:J70,'Navy plan'!K70:S70)</f>
        <v>18.195</v>
      </c>
      <c r="M69" s="49" t="n">
        <f aca="false">SUMPRODUCT(B69:J69,Levers!$C$192:$K$192)</f>
        <v>17170</v>
      </c>
      <c r="N69" s="49" t="n">
        <f aca="false">SUMPRODUCT(B69:J69,Levers!$C$195:$K$195)</f>
        <v>22012.8205128205</v>
      </c>
      <c r="O69" s="49" t="n">
        <f aca="false">N69-M69</f>
        <v>4842.82051282051</v>
      </c>
      <c r="P69" s="56" t="n">
        <f aca="false">M69*sailor_pay*Economy!H69/1000000</f>
        <v>14.154948</v>
      </c>
      <c r="Q69" s="56" t="n">
        <f aca="false">SUMPRODUCT(B69:J69,'Navy plan'!K69:S69)*maint_rate</f>
        <v>7.8566</v>
      </c>
      <c r="R69" s="56" t="n">
        <f aca="false">SUMPRODUCT(B69:J69,Levers!$C$193:$K$193)*Economy!H69</f>
        <v>3.72812</v>
      </c>
      <c r="S69" s="56" t="n">
        <f aca="false">SUMPRODUCT(B69:J69,Levers!$C$193:$K$193,Levers!$C$194:$K$194)*(1/oil_fuel-1)*Economy!H69</f>
        <v>1.59776571428571</v>
      </c>
      <c r="T69" s="56" t="n">
        <f aca="false">S69+O69*sailor_pay*Economy!H69/1000000</f>
        <v>5.59018694505495</v>
      </c>
      <c r="U69" s="56" t="n">
        <f aca="false">(P69+Q69+R69)*navy_overhead</f>
        <v>3.8609502</v>
      </c>
      <c r="V69" s="56" t="n">
        <f aca="false">L69+P69+Q69+R69+U69</f>
        <v>47.7956182</v>
      </c>
      <c r="W69" s="72" t="n">
        <f aca="false">Japan!I69</f>
        <v>43</v>
      </c>
      <c r="X69" s="56" t="n">
        <f aca="false">IF($A69&gt;=1927,V69+W69,0)</f>
        <v>0</v>
      </c>
      <c r="Y69" s="56" t="n">
        <f aca="false">IF($A69&gt;=1927,pac_quota*X69,V69)</f>
        <v>47.7956182</v>
      </c>
      <c r="Z69" s="70" t="n">
        <f aca="false">SUMPRODUCT(B69:J69,Levers!$C$193:$K$193,Levers!$C$194:$K$194)/0.6</f>
        <v>6.78333333333333</v>
      </c>
      <c r="AA69" s="65" t="n">
        <f aca="false">H69</f>
        <v>5</v>
      </c>
      <c r="AB69" s="49" t="n">
        <f aca="false">AA69+'Navy plan'!T69</f>
        <v>5</v>
      </c>
      <c r="AC69" s="65" t="n">
        <f aca="false">'Navy plan'!U69</f>
        <v>8</v>
      </c>
      <c r="AD69" s="65" t="n">
        <f aca="false">'Navy plan'!V69</f>
        <v>0</v>
      </c>
      <c r="AE69" s="70" t="n">
        <f aca="false">IF(AC69&gt;0,AB69/AC69,0)</f>
        <v>0.625</v>
      </c>
    </row>
    <row r="70" customFormat="false" ht="14.25" hidden="false" customHeight="true" outlineLevel="0" collapsed="false">
      <c r="A70" s="61" t="n">
        <v>1910</v>
      </c>
      <c r="B70" s="49" t="n">
        <f aca="false">B69+'Navy plan'!B70-IF($A70-Levers!$C$191&gt;=1846,INDEX('Navy plan'!B$6:B$92,$A70-1845-Levers!$C$191),0)</f>
        <v>0</v>
      </c>
      <c r="C70" s="49" t="n">
        <f aca="false">C69+'Navy plan'!C70-IF($A70-Levers!$D$191&gt;=1846,INDEX('Navy plan'!C$6:C$92,$A70-1845-Levers!$D$191),0)</f>
        <v>0</v>
      </c>
      <c r="D70" s="49" t="n">
        <f aca="false">D69+'Navy plan'!D70-IF($A70-Levers!$E$191&gt;=1846,INDEX('Navy plan'!D$6:D$92,$A70-1845-Levers!$E$191),0)</f>
        <v>0</v>
      </c>
      <c r="E70" s="49" t="n">
        <f aca="false">E69+'Navy plan'!E70-IF($A70-Levers!$F$191&gt;=1846,INDEX('Navy plan'!E$6:E$92,$A70-1845-Levers!$F$191),0)</f>
        <v>8</v>
      </c>
      <c r="F70" s="49" t="n">
        <f aca="false">F69+'Navy plan'!F70-IF($A70-Levers!$G$191&gt;=1846,INDEX('Navy plan'!F$6:F$92,$A70-1845-Levers!$G$191),0)</f>
        <v>57</v>
      </c>
      <c r="G70" s="49" t="n">
        <f aca="false">G69+'Navy plan'!G70-IF($A70-Levers!$H$191&gt;=1846,INDEX('Navy plan'!G$6:G$92,$A70-1845-Levers!$H$191),0)</f>
        <v>12</v>
      </c>
      <c r="H70" s="49" t="n">
        <f aca="false">H69+'Navy plan'!H70-IF($A70-Levers!$I$191&gt;=1846,INDEX('Navy plan'!H$6:H$92,$A70-1845-Levers!$I$191),0)</f>
        <v>6</v>
      </c>
      <c r="I70" s="49" t="n">
        <f aca="false">I69+'Navy plan'!I70-IF($A70-Levers!$J$191&gt;=1846,INDEX('Navy plan'!I$6:I$92,$A70-1845-Levers!$J$191),0)</f>
        <v>16</v>
      </c>
      <c r="J70" s="49" t="n">
        <f aca="false">J69+'Navy plan'!J70-IF($A70-Levers!$K$191&gt;=1846,INDEX('Navy plan'!J$6:J$92,$A70-1845-Levers!$K$191),0)</f>
        <v>0</v>
      </c>
      <c r="K70" s="49" t="n">
        <f aca="false">SUM(B70:J70)</f>
        <v>99</v>
      </c>
      <c r="L70" s="56" t="n">
        <f aca="false">0.5*SUMPRODUCT('Navy plan'!B70:J70,'Navy plan'!K70:S70)+0.5*SUMPRODUCT('Navy plan'!B71:J71,'Navy plan'!K71:S71)</f>
        <v>19.659</v>
      </c>
      <c r="M70" s="49" t="n">
        <f aca="false">SUMPRODUCT(B70:J70,Levers!$C$192:$K$192)</f>
        <v>18650</v>
      </c>
      <c r="N70" s="49" t="n">
        <f aca="false">SUMPRODUCT(B70:J70,Levers!$C$195:$K$195)</f>
        <v>23910.2564102564</v>
      </c>
      <c r="O70" s="49" t="n">
        <f aca="false">N70-M70</f>
        <v>5260.25641025641</v>
      </c>
      <c r="P70" s="56" t="n">
        <f aca="false">M70*sailor_pay*Economy!H70/1000000</f>
        <v>15.7779</v>
      </c>
      <c r="Q70" s="56" t="n">
        <f aca="false">SUMPRODUCT(B70:J70,'Navy plan'!K70:S70)*maint_rate</f>
        <v>9.0493</v>
      </c>
      <c r="R70" s="56" t="n">
        <f aca="false">SUMPRODUCT(B70:J70,Levers!$C$193:$K$193)*Economy!H70</f>
        <v>4.1642</v>
      </c>
      <c r="S70" s="56" t="n">
        <f aca="false">SUMPRODUCT(B70:J70,Levers!$C$193:$K$193,Levers!$C$194:$K$194)*(1/oil_fuel-1)*Economy!H70</f>
        <v>1.78465714285714</v>
      </c>
      <c r="T70" s="56" t="n">
        <f aca="false">S70+O70*sailor_pay*Economy!H70/1000000</f>
        <v>6.23483406593407</v>
      </c>
      <c r="U70" s="56" t="n">
        <f aca="false">(P70+Q70+R70)*navy_overhead</f>
        <v>4.34871</v>
      </c>
      <c r="V70" s="56" t="n">
        <f aca="false">L70+P70+Q70+R70+U70</f>
        <v>52.99911</v>
      </c>
      <c r="W70" s="72" t="n">
        <f aca="false">Japan!I70</f>
        <v>45</v>
      </c>
      <c r="X70" s="56" t="n">
        <f aca="false">IF($A70&gt;=1927,V70+W70,0)</f>
        <v>0</v>
      </c>
      <c r="Y70" s="56" t="n">
        <f aca="false">IF($A70&gt;=1927,pac_quota*X70,V70)</f>
        <v>52.99911</v>
      </c>
      <c r="Z70" s="70" t="n">
        <f aca="false">SUMPRODUCT(B70:J70,Levers!$C$193:$K$193,Levers!$C$194:$K$194)/0.6</f>
        <v>7.38333333333333</v>
      </c>
      <c r="AA70" s="65" t="n">
        <f aca="false">H70</f>
        <v>6</v>
      </c>
      <c r="AB70" s="49" t="n">
        <f aca="false">AA70+'Navy plan'!T70</f>
        <v>8</v>
      </c>
      <c r="AC70" s="65" t="n">
        <f aca="false">'Navy plan'!U70</f>
        <v>10</v>
      </c>
      <c r="AD70" s="65" t="n">
        <f aca="false">'Navy plan'!V70</f>
        <v>4</v>
      </c>
      <c r="AE70" s="70" t="n">
        <f aca="false">IF(AC70&gt;0,AB70/AC70,0)</f>
        <v>0.8</v>
      </c>
    </row>
    <row r="71" customFormat="false" ht="14.25" hidden="false" customHeight="true" outlineLevel="0" collapsed="false">
      <c r="A71" s="61" t="n">
        <v>1911</v>
      </c>
      <c r="B71" s="49" t="n">
        <f aca="false">B70+'Navy plan'!B71-IF($A71-Levers!$C$191&gt;=1846,INDEX('Navy plan'!B$6:B$92,$A71-1845-Levers!$C$191),0)</f>
        <v>0</v>
      </c>
      <c r="C71" s="49" t="n">
        <f aca="false">C70+'Navy plan'!C71-IF($A71-Levers!$D$191&gt;=1846,INDEX('Navy plan'!C$6:C$92,$A71-1845-Levers!$D$191),0)</f>
        <v>0</v>
      </c>
      <c r="D71" s="49" t="n">
        <f aca="false">D70+'Navy plan'!D71-IF($A71-Levers!$E$191&gt;=1846,INDEX('Navy plan'!D$6:D$92,$A71-1845-Levers!$E$191),0)</f>
        <v>0</v>
      </c>
      <c r="E71" s="49" t="n">
        <f aca="false">E70+'Navy plan'!E71-IF($A71-Levers!$F$191&gt;=1846,INDEX('Navy plan'!E$6:E$92,$A71-1845-Levers!$F$191),0)</f>
        <v>8</v>
      </c>
      <c r="F71" s="49" t="n">
        <f aca="false">F70+'Navy plan'!F71-IF($A71-Levers!$G$191&gt;=1846,INDEX('Navy plan'!F$6:F$92,$A71-1845-Levers!$G$191),0)</f>
        <v>61</v>
      </c>
      <c r="G71" s="49" t="n">
        <f aca="false">G70+'Navy plan'!G71-IF($A71-Levers!$H$191&gt;=1846,INDEX('Navy plan'!G$6:G$92,$A71-1845-Levers!$H$191),0)</f>
        <v>14</v>
      </c>
      <c r="H71" s="49" t="n">
        <f aca="false">H70+'Navy plan'!H71-IF($A71-Levers!$I$191&gt;=1846,INDEX('Navy plan'!H$6:H$92,$A71-1845-Levers!$I$191),0)</f>
        <v>7</v>
      </c>
      <c r="I71" s="49" t="n">
        <f aca="false">I70+'Navy plan'!I71-IF($A71-Levers!$J$191&gt;=1846,INDEX('Navy plan'!I$6:I$92,$A71-1845-Levers!$J$191),0)</f>
        <v>16</v>
      </c>
      <c r="J71" s="49" t="n">
        <f aca="false">J70+'Navy plan'!J71-IF($A71-Levers!$K$191&gt;=1846,INDEX('Navy plan'!J$6:J$92,$A71-1845-Levers!$K$191),0)</f>
        <v>0</v>
      </c>
      <c r="K71" s="49" t="n">
        <f aca="false">SUM(B71:J71)</f>
        <v>106</v>
      </c>
      <c r="L71" s="56" t="n">
        <f aca="false">0.5*SUMPRODUCT('Navy plan'!B71:J71,'Navy plan'!K71:S71)+0.5*SUMPRODUCT('Navy plan'!B72:J72,'Navy plan'!K72:S72)</f>
        <v>21.383</v>
      </c>
      <c r="M71" s="49" t="n">
        <f aca="false">SUMPRODUCT(B71:J71,Levers!$C$192:$K$192)</f>
        <v>20810</v>
      </c>
      <c r="N71" s="49" t="n">
        <f aca="false">SUMPRODUCT(B71:J71,Levers!$C$195:$K$195)</f>
        <v>26679.4871794872</v>
      </c>
      <c r="O71" s="49" t="n">
        <f aca="false">N71-M71</f>
        <v>5869.48717948718</v>
      </c>
      <c r="P71" s="56" t="n">
        <f aca="false">M71*sailor_pay*Economy!H71/1000000</f>
        <v>17.97984</v>
      </c>
      <c r="Q71" s="56" t="n">
        <f aca="false">SUMPRODUCT(B71:J71,'Navy plan'!K71:S71)*maint_rate</f>
        <v>10.96475</v>
      </c>
      <c r="R71" s="56" t="n">
        <f aca="false">SUMPRODUCT(B71:J71,Levers!$C$193:$K$193)*Economy!H71</f>
        <v>4.7136</v>
      </c>
      <c r="S71" s="56" t="n">
        <f aca="false">SUMPRODUCT(B71:J71,Levers!$C$193:$K$193,Levers!$C$194:$K$194)*(1/oil_fuel-1)*Economy!H71</f>
        <v>2.02011428571429</v>
      </c>
      <c r="T71" s="56" t="n">
        <f aca="false">S71+O71*sailor_pay*Economy!H71/1000000</f>
        <v>7.09135120879121</v>
      </c>
      <c r="U71" s="56" t="n">
        <f aca="false">(P71+Q71+R71)*navy_overhead</f>
        <v>5.0487285</v>
      </c>
      <c r="V71" s="56" t="n">
        <f aca="false">L71+P71+Q71+R71+U71</f>
        <v>60.0899185</v>
      </c>
      <c r="W71" s="72" t="n">
        <f aca="false">Japan!I71</f>
        <v>46.7</v>
      </c>
      <c r="X71" s="56" t="n">
        <f aca="false">IF($A71&gt;=1927,V71+W71,0)</f>
        <v>0</v>
      </c>
      <c r="Y71" s="56" t="n">
        <f aca="false">IF($A71&gt;=1927,pac_quota*X71,V71)</f>
        <v>60.0899185</v>
      </c>
      <c r="Z71" s="70" t="n">
        <f aca="false">SUMPRODUCT(B71:J71,Levers!$C$193:$K$193,Levers!$C$194:$K$194)/0.6</f>
        <v>8.18333333333333</v>
      </c>
      <c r="AA71" s="65" t="n">
        <f aca="false">H71</f>
        <v>7</v>
      </c>
      <c r="AB71" s="49" t="n">
        <f aca="false">AA71+'Navy plan'!T71</f>
        <v>9</v>
      </c>
      <c r="AC71" s="65" t="n">
        <f aca="false">'Navy plan'!U71</f>
        <v>14</v>
      </c>
      <c r="AD71" s="65" t="n">
        <f aca="false">'Navy plan'!V71</f>
        <v>4</v>
      </c>
      <c r="AE71" s="70" t="n">
        <f aca="false">IF(AC71&gt;0,AB71/AC71,0)</f>
        <v>0.642857142857143</v>
      </c>
    </row>
    <row r="72" customFormat="false" ht="14.25" hidden="false" customHeight="true" outlineLevel="0" collapsed="false">
      <c r="A72" s="61" t="n">
        <v>1912</v>
      </c>
      <c r="B72" s="49" t="n">
        <f aca="false">B71+'Navy plan'!B72-IF($A72-Levers!$C$191&gt;=1846,INDEX('Navy plan'!B$6:B$92,$A72-1845-Levers!$C$191),0)</f>
        <v>0</v>
      </c>
      <c r="C72" s="49" t="n">
        <f aca="false">C71+'Navy plan'!C72-IF($A72-Levers!$D$191&gt;=1846,INDEX('Navy plan'!C$6:C$92,$A72-1845-Levers!$D$191),0)</f>
        <v>0</v>
      </c>
      <c r="D72" s="49" t="n">
        <f aca="false">D71+'Navy plan'!D72-IF($A72-Levers!$E$191&gt;=1846,INDEX('Navy plan'!D$6:D$92,$A72-1845-Levers!$E$191),0)</f>
        <v>0</v>
      </c>
      <c r="E72" s="49" t="n">
        <f aca="false">E71+'Navy plan'!E72-IF($A72-Levers!$F$191&gt;=1846,INDEX('Navy plan'!E$6:E$92,$A72-1845-Levers!$F$191),0)</f>
        <v>6</v>
      </c>
      <c r="F72" s="49" t="n">
        <f aca="false">F71+'Navy plan'!F72-IF($A72-Levers!$G$191&gt;=1846,INDEX('Navy plan'!F$6:F$92,$A72-1845-Levers!$G$191),0)</f>
        <v>63</v>
      </c>
      <c r="G72" s="49" t="n">
        <f aca="false">G71+'Navy plan'!G72-IF($A72-Levers!$H$191&gt;=1846,INDEX('Navy plan'!G$6:G$92,$A72-1845-Levers!$H$191),0)</f>
        <v>14</v>
      </c>
      <c r="H72" s="49" t="n">
        <f aca="false">H71+'Navy plan'!H72-IF($A72-Levers!$I$191&gt;=1846,INDEX('Navy plan'!H$6:H$92,$A72-1845-Levers!$I$191),0)</f>
        <v>8</v>
      </c>
      <c r="I72" s="49" t="n">
        <f aca="false">I71+'Navy plan'!I72-IF($A72-Levers!$J$191&gt;=1846,INDEX('Navy plan'!I$6:I$92,$A72-1845-Levers!$J$191),0)</f>
        <v>20</v>
      </c>
      <c r="J72" s="49" t="n">
        <f aca="false">J71+'Navy plan'!J72-IF($A72-Levers!$K$191&gt;=1846,INDEX('Navy plan'!J$6:J$92,$A72-1845-Levers!$K$191),0)</f>
        <v>0</v>
      </c>
      <c r="K72" s="49" t="n">
        <f aca="false">SUM(B72:J72)</f>
        <v>111</v>
      </c>
      <c r="L72" s="56" t="n">
        <f aca="false">0.5*SUMPRODUCT('Navy plan'!B72:J72,'Navy plan'!K72:S72)+0.5*SUMPRODUCT('Navy plan'!B73:J73,'Navy plan'!K73:S73)</f>
        <v>23.024</v>
      </c>
      <c r="M72" s="49" t="n">
        <f aca="false">SUMPRODUCT(B72:J72,Levers!$C$192:$K$192)</f>
        <v>21550</v>
      </c>
      <c r="N72" s="49" t="n">
        <f aca="false">SUMPRODUCT(B72:J72,Levers!$C$195:$K$195)</f>
        <v>27628.2051282051</v>
      </c>
      <c r="O72" s="49" t="n">
        <f aca="false">N72-M72</f>
        <v>6078.20512820513</v>
      </c>
      <c r="P72" s="56" t="n">
        <f aca="false">M72*sailor_pay*Economy!H72/1000000</f>
        <v>19.0071</v>
      </c>
      <c r="Q72" s="56" t="n">
        <f aca="false">SUMPRODUCT(B72:J72,'Navy plan'!K72:S72)*maint_rate</f>
        <v>12.37245</v>
      </c>
      <c r="R72" s="56" t="n">
        <f aca="false">SUMPRODUCT(B72:J72,Levers!$C$193:$K$193)*Economy!H72</f>
        <v>5.0078</v>
      </c>
      <c r="S72" s="56" t="n">
        <f aca="false">SUMPRODUCT(B72:J72,Levers!$C$193:$K$193,Levers!$C$194:$K$194)*(1/oil_fuel-1)*Economy!H72</f>
        <v>2.1462</v>
      </c>
      <c r="T72" s="56" t="n">
        <f aca="false">S72+O72*sailor_pay*Economy!H72/1000000</f>
        <v>7.50717692307692</v>
      </c>
      <c r="U72" s="56" t="n">
        <f aca="false">(P72+Q72+R72)*navy_overhead</f>
        <v>5.4581025</v>
      </c>
      <c r="V72" s="56" t="n">
        <f aca="false">L72+P72+Q72+R72+U72</f>
        <v>64.8694525</v>
      </c>
      <c r="W72" s="72" t="n">
        <f aca="false">Japan!I72</f>
        <v>48.3</v>
      </c>
      <c r="X72" s="56" t="n">
        <f aca="false">IF($A72&gt;=1927,V72+W72,0)</f>
        <v>0</v>
      </c>
      <c r="Y72" s="56" t="n">
        <f aca="false">IF($A72&gt;=1927,pac_quota*X72,V72)</f>
        <v>64.8694525</v>
      </c>
      <c r="Z72" s="70" t="n">
        <f aca="false">SUMPRODUCT(B72:J72,Levers!$C$193:$K$193,Levers!$C$194:$K$194)/0.6</f>
        <v>8.51666666666667</v>
      </c>
      <c r="AA72" s="65" t="n">
        <f aca="false">H72</f>
        <v>8</v>
      </c>
      <c r="AB72" s="49" t="n">
        <f aca="false">AA72+'Navy plan'!T72</f>
        <v>11</v>
      </c>
      <c r="AC72" s="65" t="n">
        <f aca="false">'Navy plan'!U72</f>
        <v>18</v>
      </c>
      <c r="AD72" s="65" t="n">
        <f aca="false">'Navy plan'!V72</f>
        <v>6</v>
      </c>
      <c r="AE72" s="70" t="n">
        <f aca="false">IF(AC72&gt;0,AB72/AC72,0)</f>
        <v>0.611111111111111</v>
      </c>
    </row>
    <row r="73" customFormat="false" ht="14.25" hidden="false" customHeight="true" outlineLevel="0" collapsed="false">
      <c r="A73" s="61" t="n">
        <v>1913</v>
      </c>
      <c r="B73" s="49" t="n">
        <f aca="false">B72+'Navy plan'!B73-IF($A73-Levers!$C$191&gt;=1846,INDEX('Navy plan'!B$6:B$92,$A73-1845-Levers!$C$191),0)</f>
        <v>0</v>
      </c>
      <c r="C73" s="49" t="n">
        <f aca="false">C72+'Navy plan'!C73-IF($A73-Levers!$D$191&gt;=1846,INDEX('Navy plan'!C$6:C$92,$A73-1845-Levers!$D$191),0)</f>
        <v>0</v>
      </c>
      <c r="D73" s="49" t="n">
        <f aca="false">D72+'Navy plan'!D73-IF($A73-Levers!$E$191&gt;=1846,INDEX('Navy plan'!D$6:D$92,$A73-1845-Levers!$E$191),0)</f>
        <v>0</v>
      </c>
      <c r="E73" s="49" t="n">
        <f aca="false">E72+'Navy plan'!E73-IF($A73-Levers!$F$191&gt;=1846,INDEX('Navy plan'!E$6:E$92,$A73-1845-Levers!$F$191),0)</f>
        <v>6</v>
      </c>
      <c r="F73" s="49" t="n">
        <f aca="false">F72+'Navy plan'!F73-IF($A73-Levers!$G$191&gt;=1846,INDEX('Navy plan'!F$6:F$92,$A73-1845-Levers!$G$191),0)</f>
        <v>64</v>
      </c>
      <c r="G73" s="49" t="n">
        <f aca="false">G72+'Navy plan'!G73-IF($A73-Levers!$H$191&gt;=1846,INDEX('Navy plan'!G$6:G$92,$A73-1845-Levers!$H$191),0)</f>
        <v>16</v>
      </c>
      <c r="H73" s="49" t="n">
        <f aca="false">H72+'Navy plan'!H73-IF($A73-Levers!$I$191&gt;=1846,INDEX('Navy plan'!H$6:H$92,$A73-1845-Levers!$I$191),0)</f>
        <v>9</v>
      </c>
      <c r="I73" s="49" t="n">
        <f aca="false">I72+'Navy plan'!I73-IF($A73-Levers!$J$191&gt;=1846,INDEX('Navy plan'!I$6:I$92,$A73-1845-Levers!$J$191),0)</f>
        <v>20</v>
      </c>
      <c r="J73" s="49" t="n">
        <f aca="false">J72+'Navy plan'!J73-IF($A73-Levers!$K$191&gt;=1846,INDEX('Navy plan'!J$6:J$92,$A73-1845-Levers!$K$191),0)</f>
        <v>0</v>
      </c>
      <c r="K73" s="49" t="n">
        <f aca="false">SUM(B73:J73)</f>
        <v>115</v>
      </c>
      <c r="L73" s="56" t="n">
        <f aca="false">0.5*SUMPRODUCT('Navy plan'!B73:J73,'Navy plan'!K73:S73)+0.5*SUMPRODUCT('Navy plan'!B74:J74,'Navy plan'!K74:S74)</f>
        <v>27.135</v>
      </c>
      <c r="M73" s="49" t="n">
        <f aca="false">SUMPRODUCT(B73:J73,Levers!$C$192:$K$192)</f>
        <v>23440</v>
      </c>
      <c r="N73" s="49" t="n">
        <f aca="false">SUMPRODUCT(B73:J73,Levers!$C$195:$K$195)</f>
        <v>30051.2820512821</v>
      </c>
      <c r="O73" s="49" t="n">
        <f aca="false">N73-M73</f>
        <v>6611.28205128205</v>
      </c>
      <c r="P73" s="56" t="n">
        <f aca="false">M73*sailor_pay*Economy!H73/1000000</f>
        <v>21.096</v>
      </c>
      <c r="Q73" s="56" t="n">
        <f aca="false">SUMPRODUCT(B73:J73,'Navy plan'!K73:S73)*maint_rate</f>
        <v>14.483</v>
      </c>
      <c r="R73" s="56" t="n">
        <f aca="false">SUMPRODUCT(B73:J73,Levers!$C$193:$K$193)*Economy!H73</f>
        <v>5.5</v>
      </c>
      <c r="S73" s="56" t="n">
        <f aca="false">SUMPRODUCT(B73:J73,Levers!$C$193:$K$193,Levers!$C$194:$K$194)*(1/oil_fuel-1)*Economy!H73</f>
        <v>2.35714285714286</v>
      </c>
      <c r="T73" s="56" t="n">
        <f aca="false">S73+O73*sailor_pay*Economy!H73/1000000</f>
        <v>8.3072967032967</v>
      </c>
      <c r="U73" s="56" t="n">
        <f aca="false">(P73+Q73+R73)*navy_overhead</f>
        <v>6.16185</v>
      </c>
      <c r="V73" s="56" t="n">
        <f aca="false">L73+P73+Q73+R73+U73</f>
        <v>74.37585</v>
      </c>
      <c r="W73" s="72" t="n">
        <f aca="false">Japan!I73</f>
        <v>50</v>
      </c>
      <c r="X73" s="56" t="n">
        <f aca="false">IF($A73&gt;=1927,V73+W73,0)</f>
        <v>0</v>
      </c>
      <c r="Y73" s="56" t="n">
        <f aca="false">IF($A73&gt;=1927,pac_quota*X73,V73)</f>
        <v>74.37585</v>
      </c>
      <c r="Z73" s="70" t="n">
        <f aca="false">SUMPRODUCT(B73:J73,Levers!$C$193:$K$193,Levers!$C$194:$K$194)/0.6</f>
        <v>9.16666666666667</v>
      </c>
      <c r="AA73" s="65" t="n">
        <f aca="false">H73</f>
        <v>9</v>
      </c>
      <c r="AB73" s="49" t="n">
        <f aca="false">AA73+'Navy plan'!T73</f>
        <v>13</v>
      </c>
      <c r="AC73" s="65" t="n">
        <f aca="false">'Navy plan'!U73</f>
        <v>22</v>
      </c>
      <c r="AD73" s="65" t="n">
        <f aca="false">'Navy plan'!V73</f>
        <v>6</v>
      </c>
      <c r="AE73" s="70" t="n">
        <f aca="false">IF(AC73&gt;0,AB73/AC73,0)</f>
        <v>0.590909090909091</v>
      </c>
    </row>
    <row r="74" customFormat="false" ht="14.25" hidden="false" customHeight="true" outlineLevel="0" collapsed="false">
      <c r="A74" s="61" t="n">
        <v>1914</v>
      </c>
      <c r="B74" s="49" t="n">
        <f aca="false">B73+'Navy plan'!B74-IF($A74-Levers!$C$191&gt;=1846,INDEX('Navy plan'!B$6:B$92,$A74-1845-Levers!$C$191),0)</f>
        <v>0</v>
      </c>
      <c r="C74" s="49" t="n">
        <f aca="false">C73+'Navy plan'!C74-IF($A74-Levers!$D$191&gt;=1846,INDEX('Navy plan'!C$6:C$92,$A74-1845-Levers!$D$191),0)</f>
        <v>0</v>
      </c>
      <c r="D74" s="49" t="n">
        <f aca="false">D73+'Navy plan'!D74-IF($A74-Levers!$E$191&gt;=1846,INDEX('Navy plan'!D$6:D$92,$A74-1845-Levers!$E$191),0)</f>
        <v>0</v>
      </c>
      <c r="E74" s="49" t="n">
        <f aca="false">E73+'Navy plan'!E74-IF($A74-Levers!$F$191&gt;=1846,INDEX('Navy plan'!E$6:E$92,$A74-1845-Levers!$F$191),0)</f>
        <v>4</v>
      </c>
      <c r="F74" s="49" t="n">
        <f aca="false">F73+'Navy plan'!F74-IF($A74-Levers!$G$191&gt;=1846,INDEX('Navy plan'!F$6:F$92,$A74-1845-Levers!$G$191),0)</f>
        <v>67</v>
      </c>
      <c r="G74" s="49" t="n">
        <f aca="false">G73+'Navy plan'!G74-IF($A74-Levers!$H$191&gt;=1846,INDEX('Navy plan'!G$6:G$92,$A74-1845-Levers!$H$191),0)</f>
        <v>16</v>
      </c>
      <c r="H74" s="49" t="n">
        <f aca="false">H73+'Navy plan'!H74-IF($A74-Levers!$I$191&gt;=1846,INDEX('Navy plan'!H$6:H$92,$A74-1845-Levers!$I$191),0)</f>
        <v>10</v>
      </c>
      <c r="I74" s="49" t="n">
        <f aca="false">I73+'Navy plan'!I74-IF($A74-Levers!$J$191&gt;=1846,INDEX('Navy plan'!I$6:I$92,$A74-1845-Levers!$J$191),0)</f>
        <v>26</v>
      </c>
      <c r="J74" s="49" t="n">
        <f aca="false">J73+'Navy plan'!J74-IF($A74-Levers!$K$191&gt;=1846,INDEX('Navy plan'!J$6:J$92,$A74-1845-Levers!$K$191),0)</f>
        <v>0</v>
      </c>
      <c r="K74" s="49" t="n">
        <f aca="false">SUM(B74:J74)</f>
        <v>123</v>
      </c>
      <c r="L74" s="56" t="n">
        <f aca="false">0.5*SUMPRODUCT('Navy plan'!B74:J74,'Navy plan'!K74:S74)+0.5*SUMPRODUCT('Navy plan'!B75:J75,'Navy plan'!K75:S75)</f>
        <v>38.544</v>
      </c>
      <c r="M74" s="49" t="n">
        <f aca="false">SUMPRODUCT(B74:J74,Levers!$C$192:$K$192)</f>
        <v>24330</v>
      </c>
      <c r="N74" s="49" t="n">
        <f aca="false">SUMPRODUCT(B74:J74,Levers!$C$195:$K$195)</f>
        <v>31192.3076923077</v>
      </c>
      <c r="O74" s="49" t="n">
        <f aca="false">N74-M74</f>
        <v>6862.30769230769</v>
      </c>
      <c r="P74" s="56" t="n">
        <f aca="false">M74*sailor_pay*Economy!H74/1000000</f>
        <v>22.11597</v>
      </c>
      <c r="Q74" s="56" t="n">
        <f aca="false">SUMPRODUCT(B74:J74,'Navy plan'!K74:S74)*maint_rate</f>
        <v>17.5214</v>
      </c>
      <c r="R74" s="56" t="n">
        <f aca="false">SUMPRODUCT(B74:J74,Levers!$C$193:$K$193)*Economy!H74</f>
        <v>5.8075</v>
      </c>
      <c r="S74" s="56" t="n">
        <f aca="false">SUMPRODUCT(B74:J74,Levers!$C$193:$K$193,Levers!$C$194:$K$194)*(1/oil_fuel-1)*Economy!H74</f>
        <v>2.48892857142857</v>
      </c>
      <c r="T74" s="56" t="n">
        <f aca="false">S74+O74*sailor_pay*Economy!H74/1000000</f>
        <v>8.72676626373626</v>
      </c>
      <c r="U74" s="56" t="n">
        <f aca="false">(P74+Q74+R74)*navy_overhead</f>
        <v>6.8167305</v>
      </c>
      <c r="V74" s="56" t="n">
        <f aca="false">L74+P74+Q74+R74+U74</f>
        <v>90.8056005</v>
      </c>
      <c r="W74" s="72" t="n">
        <f aca="false">Japan!I74</f>
        <v>55</v>
      </c>
      <c r="X74" s="56" t="n">
        <f aca="false">IF($A74&gt;=1927,V74+W74,0)</f>
        <v>0</v>
      </c>
      <c r="Y74" s="56" t="n">
        <f aca="false">IF($A74&gt;=1927,pac_quota*X74,V74)</f>
        <v>90.8056005</v>
      </c>
      <c r="Z74" s="70" t="n">
        <f aca="false">SUMPRODUCT(B74:J74,Levers!$C$193:$K$193,Levers!$C$194:$K$194)/0.6</f>
        <v>9.58333333333333</v>
      </c>
      <c r="AA74" s="65" t="n">
        <f aca="false">H74</f>
        <v>10</v>
      </c>
      <c r="AB74" s="49" t="n">
        <f aca="false">AA74+'Navy plan'!T74</f>
        <v>14</v>
      </c>
      <c r="AC74" s="65" t="n">
        <f aca="false">'Navy plan'!U74</f>
        <v>29</v>
      </c>
      <c r="AD74" s="65" t="n">
        <f aca="false">'Navy plan'!V74</f>
        <v>8</v>
      </c>
      <c r="AE74" s="70" t="n">
        <f aca="false">IF(AC74&gt;0,AB74/AC74,0)</f>
        <v>0.482758620689655</v>
      </c>
    </row>
    <row r="75" customFormat="false" ht="14.25" hidden="false" customHeight="true" outlineLevel="0" collapsed="false">
      <c r="A75" s="61" t="n">
        <v>1915</v>
      </c>
      <c r="B75" s="49" t="n">
        <f aca="false">B74+'Navy plan'!B75-IF($A75-Levers!$C$191&gt;=1846,INDEX('Navy plan'!B$6:B$92,$A75-1845-Levers!$C$191),0)</f>
        <v>0</v>
      </c>
      <c r="C75" s="49" t="n">
        <f aca="false">C74+'Navy plan'!C75-IF($A75-Levers!$D$191&gt;=1846,INDEX('Navy plan'!C$6:C$92,$A75-1845-Levers!$D$191),0)</f>
        <v>0</v>
      </c>
      <c r="D75" s="49" t="n">
        <f aca="false">D74+'Navy plan'!D75-IF($A75-Levers!$E$191&gt;=1846,INDEX('Navy plan'!D$6:D$92,$A75-1845-Levers!$E$191),0)</f>
        <v>0</v>
      </c>
      <c r="E75" s="49" t="n">
        <f aca="false">E74+'Navy plan'!E75-IF($A75-Levers!$F$191&gt;=1846,INDEX('Navy plan'!E$6:E$92,$A75-1845-Levers!$F$191),0)</f>
        <v>4</v>
      </c>
      <c r="F75" s="49" t="n">
        <f aca="false">F74+'Navy plan'!F75-IF($A75-Levers!$G$191&gt;=1846,INDEX('Navy plan'!F$6:F$92,$A75-1845-Levers!$G$191),0)</f>
        <v>74</v>
      </c>
      <c r="G75" s="49" t="n">
        <f aca="false">G74+'Navy plan'!G75-IF($A75-Levers!$H$191&gt;=1846,INDEX('Navy plan'!G$6:G$92,$A75-1845-Levers!$H$191),0)</f>
        <v>18</v>
      </c>
      <c r="H75" s="49" t="n">
        <f aca="false">H74+'Navy plan'!H75-IF($A75-Levers!$I$191&gt;=1846,INDEX('Navy plan'!H$6:H$92,$A75-1845-Levers!$I$191),0)</f>
        <v>11</v>
      </c>
      <c r="I75" s="49" t="n">
        <f aca="false">I74+'Navy plan'!I75-IF($A75-Levers!$J$191&gt;=1846,INDEX('Navy plan'!I$6:I$92,$A75-1845-Levers!$J$191),0)</f>
        <v>32</v>
      </c>
      <c r="J75" s="49" t="n">
        <f aca="false">J74+'Navy plan'!J75-IF($A75-Levers!$K$191&gt;=1846,INDEX('Navy plan'!J$6:J$92,$A75-1845-Levers!$K$191),0)</f>
        <v>0</v>
      </c>
      <c r="K75" s="49" t="n">
        <f aca="false">SUM(B75:J75)</f>
        <v>139</v>
      </c>
      <c r="L75" s="56" t="n">
        <f aca="false">0.5*SUMPRODUCT('Navy plan'!B75:J75,'Navy plan'!K75:S75)+0.5*SUMPRODUCT('Navy plan'!B76:J76,'Navy plan'!K76:S76)</f>
        <v>56.868</v>
      </c>
      <c r="M75" s="49" t="n">
        <f aca="false">SUMPRODUCT(B75:J75,Levers!$C$192:$K$192)</f>
        <v>26940</v>
      </c>
      <c r="N75" s="49" t="n">
        <f aca="false">SUMPRODUCT(B75:J75,Levers!$C$195:$K$195)</f>
        <v>34538.4615384615</v>
      </c>
      <c r="O75" s="49" t="n">
        <f aca="false">N75-M75</f>
        <v>7598.46153846154</v>
      </c>
      <c r="P75" s="56" t="n">
        <f aca="false">M75*sailor_pay*Economy!H75/1000000</f>
        <v>25.21584</v>
      </c>
      <c r="Q75" s="56" t="n">
        <f aca="false">SUMPRODUCT(B75:J75,'Navy plan'!K75:S75)*maint_rate</f>
        <v>21.9761</v>
      </c>
      <c r="R75" s="56" t="n">
        <f aca="false">SUMPRODUCT(B75:J75,Levers!$C$193:$K$193)*Economy!H75</f>
        <v>6.6352</v>
      </c>
      <c r="S75" s="56" t="n">
        <f aca="false">SUMPRODUCT(B75:J75,Levers!$C$193:$K$193,Levers!$C$194:$K$194)*(1/oil_fuel-1)*Economy!H75</f>
        <v>2.84365714285714</v>
      </c>
      <c r="T75" s="56" t="n">
        <f aca="false">S75+O75*sailor_pay*Economy!H75/1000000</f>
        <v>9.95581714285714</v>
      </c>
      <c r="U75" s="56" t="n">
        <f aca="false">(P75+Q75+R75)*navy_overhead</f>
        <v>8.074071</v>
      </c>
      <c r="V75" s="56" t="n">
        <f aca="false">L75+P75+Q75+R75+U75</f>
        <v>118.769211</v>
      </c>
      <c r="W75" s="72" t="n">
        <f aca="false">Japan!I75</f>
        <v>60</v>
      </c>
      <c r="X75" s="56" t="n">
        <f aca="false">IF($A75&gt;=1927,V75+W75,0)</f>
        <v>0</v>
      </c>
      <c r="Y75" s="56" t="n">
        <f aca="false">IF($A75&gt;=1927,pac_quota*X75,V75)</f>
        <v>118.769211</v>
      </c>
      <c r="Z75" s="70" t="n">
        <f aca="false">SUMPRODUCT(B75:J75,Levers!$C$193:$K$193,Levers!$C$194:$K$194)/0.6</f>
        <v>10.6333333333333</v>
      </c>
      <c r="AA75" s="65" t="n">
        <f aca="false">H75</f>
        <v>11</v>
      </c>
      <c r="AB75" s="49" t="n">
        <f aca="false">AA75+'Navy plan'!T75</f>
        <v>17</v>
      </c>
      <c r="AC75" s="65" t="n">
        <f aca="false">'Navy plan'!U75</f>
        <v>33</v>
      </c>
      <c r="AD75" s="65" t="n">
        <f aca="false">'Navy plan'!V75</f>
        <v>8</v>
      </c>
      <c r="AE75" s="70" t="n">
        <f aca="false">IF(AC75&gt;0,AB75/AC75,0)</f>
        <v>0.515151515151515</v>
      </c>
    </row>
    <row r="76" customFormat="false" ht="14.25" hidden="false" customHeight="true" outlineLevel="0" collapsed="false">
      <c r="A76" s="61" t="n">
        <v>1916</v>
      </c>
      <c r="B76" s="49" t="n">
        <f aca="false">B75+'Navy plan'!B76-IF($A76-Levers!$C$191&gt;=1846,INDEX('Navy plan'!B$6:B$92,$A76-1845-Levers!$C$191),0)</f>
        <v>0</v>
      </c>
      <c r="C76" s="49" t="n">
        <f aca="false">C75+'Navy plan'!C76-IF($A76-Levers!$D$191&gt;=1846,INDEX('Navy plan'!C$6:C$92,$A76-1845-Levers!$D$191),0)</f>
        <v>0</v>
      </c>
      <c r="D76" s="49" t="n">
        <f aca="false">D75+'Navy plan'!D76-IF($A76-Levers!$E$191&gt;=1846,INDEX('Navy plan'!D$6:D$92,$A76-1845-Levers!$E$191),0)</f>
        <v>0</v>
      </c>
      <c r="E76" s="49" t="n">
        <f aca="false">E75+'Navy plan'!E76-IF($A76-Levers!$F$191&gt;=1846,INDEX('Navy plan'!E$6:E$92,$A76-1845-Levers!$F$191),0)</f>
        <v>2</v>
      </c>
      <c r="F76" s="49" t="n">
        <f aca="false">F75+'Navy plan'!F76-IF($A76-Levers!$G$191&gt;=1846,INDEX('Navy plan'!F$6:F$92,$A76-1845-Levers!$G$191),0)</f>
        <v>80</v>
      </c>
      <c r="G76" s="49" t="n">
        <f aca="false">G75+'Navy plan'!G76-IF($A76-Levers!$H$191&gt;=1846,INDEX('Navy plan'!G$6:G$92,$A76-1845-Levers!$H$191),0)</f>
        <v>21</v>
      </c>
      <c r="H76" s="49" t="n">
        <f aca="false">H75+'Navy plan'!H76-IF($A76-Levers!$I$191&gt;=1846,INDEX('Navy plan'!H$6:H$92,$A76-1845-Levers!$I$191),0)</f>
        <v>12</v>
      </c>
      <c r="I76" s="49" t="n">
        <f aca="false">I75+'Navy plan'!I76-IF($A76-Levers!$J$191&gt;=1846,INDEX('Navy plan'!I$6:I$92,$A76-1845-Levers!$J$191),0)</f>
        <v>40</v>
      </c>
      <c r="J76" s="49" t="n">
        <f aca="false">J75+'Navy plan'!J76-IF($A76-Levers!$K$191&gt;=1846,INDEX('Navy plan'!J$6:J$92,$A76-1845-Levers!$K$191),0)</f>
        <v>0</v>
      </c>
      <c r="K76" s="49" t="n">
        <f aca="false">SUM(B76:J76)</f>
        <v>155</v>
      </c>
      <c r="L76" s="56" t="n">
        <f aca="false">0.5*SUMPRODUCT('Navy plan'!B76:J76,'Navy plan'!K76:S76)+0.5*SUMPRODUCT('Navy plan'!B77:J77,'Navy plan'!K77:S77)</f>
        <v>66.859</v>
      </c>
      <c r="M76" s="49" t="n">
        <f aca="false">SUMPRODUCT(B76:J76,Levers!$C$192:$K$192)</f>
        <v>29360</v>
      </c>
      <c r="N76" s="49" t="n">
        <f aca="false">SUMPRODUCT(B76:J76,Levers!$C$195:$K$195)</f>
        <v>37641.0256410256</v>
      </c>
      <c r="O76" s="49" t="n">
        <f aca="false">N76-M76</f>
        <v>8281.02564102564</v>
      </c>
      <c r="P76" s="56" t="n">
        <f aca="false">M76*sailor_pay*Economy!H76/1000000</f>
        <v>30.91608</v>
      </c>
      <c r="Q76" s="56" t="n">
        <f aca="false">SUMPRODUCT(B76:J76,'Navy plan'!K76:S76)*maint_rate</f>
        <v>27.024</v>
      </c>
      <c r="R76" s="56" t="n">
        <f aca="false">SUMPRODUCT(B76:J76,Levers!$C$193:$K$193)*Economy!H76</f>
        <v>8.1666</v>
      </c>
      <c r="S76" s="56" t="n">
        <f aca="false">SUMPRODUCT(B76:J76,Levers!$C$193:$K$193,Levers!$C$194:$K$194)*(1/oil_fuel-1)*Economy!H76</f>
        <v>3.49997142857143</v>
      </c>
      <c r="T76" s="56" t="n">
        <f aca="false">S76+O76*sailor_pay*Economy!H76/1000000</f>
        <v>12.2198914285714</v>
      </c>
      <c r="U76" s="56" t="n">
        <f aca="false">(P76+Q76+R76)*navy_overhead</f>
        <v>9.916002</v>
      </c>
      <c r="V76" s="56" t="n">
        <f aca="false">L76+P76+Q76+R76+U76</f>
        <v>142.881682</v>
      </c>
      <c r="W76" s="72" t="n">
        <f aca="false">Japan!I76</f>
        <v>65</v>
      </c>
      <c r="X76" s="56" t="n">
        <f aca="false">IF($A76&gt;=1927,V76+W76,0)</f>
        <v>0</v>
      </c>
      <c r="Y76" s="56" t="n">
        <f aca="false">IF($A76&gt;=1927,pac_quota*X76,V76)</f>
        <v>142.881682</v>
      </c>
      <c r="Z76" s="70" t="n">
        <f aca="false">SUMPRODUCT(B76:J76,Levers!$C$193:$K$193,Levers!$C$194:$K$194)/0.6</f>
        <v>11.6333333333333</v>
      </c>
      <c r="AA76" s="65" t="n">
        <f aca="false">H76</f>
        <v>12</v>
      </c>
      <c r="AB76" s="49" t="n">
        <f aca="false">AA76+'Navy plan'!T76</f>
        <v>18</v>
      </c>
      <c r="AC76" s="65" t="n">
        <f aca="false">'Navy plan'!U76</f>
        <v>37</v>
      </c>
      <c r="AD76" s="65" t="n">
        <f aca="false">'Navy plan'!V76</f>
        <v>10</v>
      </c>
      <c r="AE76" s="70" t="n">
        <f aca="false">IF(AC76&gt;0,AB76/AC76,0)</f>
        <v>0.486486486486487</v>
      </c>
    </row>
    <row r="77" customFormat="false" ht="14.25" hidden="false" customHeight="true" outlineLevel="0" collapsed="false">
      <c r="A77" s="61" t="n">
        <v>1917</v>
      </c>
      <c r="B77" s="49" t="n">
        <f aca="false">B76+'Navy plan'!B77-IF($A77-Levers!$C$191&gt;=1846,INDEX('Navy plan'!B$6:B$92,$A77-1845-Levers!$C$191),0)</f>
        <v>0</v>
      </c>
      <c r="C77" s="49" t="n">
        <f aca="false">C76+'Navy plan'!C77-IF($A77-Levers!$D$191&gt;=1846,INDEX('Navy plan'!C$6:C$92,$A77-1845-Levers!$D$191),0)</f>
        <v>0</v>
      </c>
      <c r="D77" s="49" t="n">
        <f aca="false">D76+'Navy plan'!D77-IF($A77-Levers!$E$191&gt;=1846,INDEX('Navy plan'!D$6:D$92,$A77-1845-Levers!$E$191),0)</f>
        <v>0</v>
      </c>
      <c r="E77" s="49" t="n">
        <f aca="false">E76+'Navy plan'!E77-IF($A77-Levers!$F$191&gt;=1846,INDEX('Navy plan'!E$6:E$92,$A77-1845-Levers!$F$191),0)</f>
        <v>2</v>
      </c>
      <c r="F77" s="49" t="n">
        <f aca="false">F76+'Navy plan'!F77-IF($A77-Levers!$G$191&gt;=1846,INDEX('Navy plan'!F$6:F$92,$A77-1845-Levers!$G$191),0)</f>
        <v>86</v>
      </c>
      <c r="G77" s="49" t="n">
        <f aca="false">G76+'Navy plan'!G77-IF($A77-Levers!$H$191&gt;=1846,INDEX('Navy plan'!G$6:G$92,$A77-1845-Levers!$H$191),0)</f>
        <v>24</v>
      </c>
      <c r="H77" s="49" t="n">
        <f aca="false">H76+'Navy plan'!H77-IF($A77-Levers!$I$191&gt;=1846,INDEX('Navy plan'!H$6:H$92,$A77-1845-Levers!$I$191),0)</f>
        <v>13</v>
      </c>
      <c r="I77" s="49" t="n">
        <f aca="false">I76+'Navy plan'!I77-IF($A77-Levers!$J$191&gt;=1846,INDEX('Navy plan'!I$6:I$92,$A77-1845-Levers!$J$191),0)</f>
        <v>46</v>
      </c>
      <c r="J77" s="49" t="n">
        <f aca="false">J76+'Navy plan'!J77-IF($A77-Levers!$K$191&gt;=1846,INDEX('Navy plan'!J$6:J$92,$A77-1845-Levers!$K$191),0)</f>
        <v>0</v>
      </c>
      <c r="K77" s="49" t="n">
        <f aca="false">SUM(B77:J77)</f>
        <v>171</v>
      </c>
      <c r="L77" s="56" t="n">
        <f aca="false">0.5*SUMPRODUCT('Navy plan'!B77:J77,'Navy plan'!K77:S77)+0.5*SUMPRODUCT('Navy plan'!B78:J78,'Navy plan'!K78:S78)</f>
        <v>66.4125</v>
      </c>
      <c r="M77" s="49" t="n">
        <f aca="false">SUMPRODUCT(B77:J77,Levers!$C$192:$K$192)</f>
        <v>32280</v>
      </c>
      <c r="N77" s="49" t="n">
        <f aca="false">SUMPRODUCT(B77:J77,Levers!$C$195:$K$195)</f>
        <v>41384.6153846154</v>
      </c>
      <c r="O77" s="49" t="n">
        <f aca="false">N77-M77</f>
        <v>9104.61538461538</v>
      </c>
      <c r="P77" s="56" t="n">
        <f aca="false">M77*sailor_pay*Economy!H77/1000000</f>
        <v>41.25384</v>
      </c>
      <c r="Q77" s="56" t="n">
        <f aca="false">SUMPRODUCT(B77:J77,'Navy plan'!K77:S77)*maint_rate</f>
        <v>32.84</v>
      </c>
      <c r="R77" s="56" t="n">
        <f aca="false">SUMPRODUCT(B77:J77,Levers!$C$193:$K$193)*Economy!H77</f>
        <v>10.8772</v>
      </c>
      <c r="S77" s="56" t="n">
        <f aca="false">SUMPRODUCT(B77:J77,Levers!$C$193:$K$193,Levers!$C$194:$K$194)*(1/oil_fuel-1)*Economy!H77</f>
        <v>4.66165714285714</v>
      </c>
      <c r="T77" s="56" t="n">
        <f aca="false">S77+O77*sailor_pay*Economy!H77/1000000</f>
        <v>16.2973556043956</v>
      </c>
      <c r="U77" s="56" t="n">
        <f aca="false">(P77+Q77+R77)*navy_overhead</f>
        <v>12.745656</v>
      </c>
      <c r="V77" s="56" t="n">
        <f aca="false">L77+P77+Q77+R77+U77</f>
        <v>164.129196</v>
      </c>
      <c r="W77" s="72" t="n">
        <f aca="false">Japan!I77</f>
        <v>77.5</v>
      </c>
      <c r="X77" s="56" t="n">
        <f aca="false">IF($A77&gt;=1927,V77+W77,0)</f>
        <v>0</v>
      </c>
      <c r="Y77" s="56" t="n">
        <f aca="false">IF($A77&gt;=1927,pac_quota*X77,V77)</f>
        <v>164.129196</v>
      </c>
      <c r="Z77" s="70" t="n">
        <f aca="false">SUMPRODUCT(B77:J77,Levers!$C$193:$K$193,Levers!$C$194:$K$194)/0.6</f>
        <v>12.7666666666667</v>
      </c>
      <c r="AA77" s="65" t="n">
        <f aca="false">H77</f>
        <v>13</v>
      </c>
      <c r="AB77" s="49" t="n">
        <f aca="false">AA77+'Navy plan'!T77</f>
        <v>21</v>
      </c>
      <c r="AC77" s="65" t="n">
        <f aca="false">'Navy plan'!U77</f>
        <v>40</v>
      </c>
      <c r="AD77" s="65" t="n">
        <f aca="false">'Navy plan'!V77</f>
        <v>10</v>
      </c>
      <c r="AE77" s="70" t="n">
        <f aca="false">IF(AC77&gt;0,AB77/AC77,0)</f>
        <v>0.525</v>
      </c>
    </row>
    <row r="78" customFormat="false" ht="14.25" hidden="false" customHeight="true" outlineLevel="0" collapsed="false">
      <c r="A78" s="61" t="n">
        <v>1918</v>
      </c>
      <c r="B78" s="49" t="n">
        <f aca="false">B77+'Navy plan'!B78-IF($A78-Levers!$C$191&gt;=1846,INDEX('Navy plan'!B$6:B$92,$A78-1845-Levers!$C$191),0)</f>
        <v>0</v>
      </c>
      <c r="C78" s="49" t="n">
        <f aca="false">C77+'Navy plan'!C78-IF($A78-Levers!$D$191&gt;=1846,INDEX('Navy plan'!C$6:C$92,$A78-1845-Levers!$D$191),0)</f>
        <v>0</v>
      </c>
      <c r="D78" s="49" t="n">
        <f aca="false">D77+'Navy plan'!D78-IF($A78-Levers!$E$191&gt;=1846,INDEX('Navy plan'!D$6:D$92,$A78-1845-Levers!$E$191),0)</f>
        <v>0</v>
      </c>
      <c r="E78" s="49" t="n">
        <f aca="false">E77+'Navy plan'!E78-IF($A78-Levers!$F$191&gt;=1846,INDEX('Navy plan'!E$6:E$92,$A78-1845-Levers!$F$191),0)</f>
        <v>0</v>
      </c>
      <c r="F78" s="49" t="n">
        <f aca="false">F77+'Navy plan'!F78-IF($A78-Levers!$G$191&gt;=1846,INDEX('Navy plan'!F$6:F$92,$A78-1845-Levers!$G$191),0)</f>
        <v>91</v>
      </c>
      <c r="G78" s="49" t="n">
        <f aca="false">G77+'Navy plan'!G78-IF($A78-Levers!$H$191&gt;=1846,INDEX('Navy plan'!G$6:G$92,$A78-1845-Levers!$H$191),0)</f>
        <v>26</v>
      </c>
      <c r="H78" s="49" t="n">
        <f aca="false">H77+'Navy plan'!H78-IF($A78-Levers!$I$191&gt;=1846,INDEX('Navy plan'!H$6:H$92,$A78-1845-Levers!$I$191),0)</f>
        <v>14</v>
      </c>
      <c r="I78" s="49" t="n">
        <f aca="false">I77+'Navy plan'!I78-IF($A78-Levers!$J$191&gt;=1846,INDEX('Navy plan'!I$6:I$92,$A78-1845-Levers!$J$191),0)</f>
        <v>52</v>
      </c>
      <c r="J78" s="49" t="n">
        <f aca="false">J77+'Navy plan'!J78-IF($A78-Levers!$K$191&gt;=1846,INDEX('Navy plan'!J$6:J$92,$A78-1845-Levers!$K$191),0)</f>
        <v>0</v>
      </c>
      <c r="K78" s="49" t="n">
        <f aca="false">SUM(B78:J78)</f>
        <v>183</v>
      </c>
      <c r="L78" s="56" t="n">
        <f aca="false">0.5*SUMPRODUCT('Navy plan'!B78:J78,'Navy plan'!K78:S78)+0.5*SUMPRODUCT('Navy plan'!B79:J79,'Navy plan'!K79:S79)</f>
        <v>33.1795</v>
      </c>
      <c r="M78" s="49" t="n">
        <f aca="false">SUMPRODUCT(B78:J78,Levers!$C$192:$K$192)</f>
        <v>34150</v>
      </c>
      <c r="N78" s="49" t="n">
        <f aca="false">SUMPRODUCT(B78:J78,Levers!$C$195:$K$195)</f>
        <v>43782.0512820513</v>
      </c>
      <c r="O78" s="49" t="n">
        <f aca="false">N78-M78</f>
        <v>9632.05128205128</v>
      </c>
      <c r="P78" s="56" t="n">
        <f aca="false">M78*sailor_pay*Economy!H78/1000000</f>
        <v>51.0201</v>
      </c>
      <c r="Q78" s="56" t="n">
        <f aca="false">SUMPRODUCT(B78:J78,'Navy plan'!K78:S78)*maint_rate</f>
        <v>39.13705</v>
      </c>
      <c r="R78" s="56" t="n">
        <f aca="false">SUMPRODUCT(B78:J78,Levers!$C$193:$K$193)*Economy!H78</f>
        <v>13.4958</v>
      </c>
      <c r="S78" s="56" t="n">
        <f aca="false">SUMPRODUCT(B78:J78,Levers!$C$193:$K$193,Levers!$C$194:$K$194)*(1/oil_fuel-1)*Economy!H78</f>
        <v>5.78391428571429</v>
      </c>
      <c r="T78" s="56" t="n">
        <f aca="false">S78+O78*sailor_pay*Economy!H78/1000000</f>
        <v>20.1741989010989</v>
      </c>
      <c r="U78" s="56" t="n">
        <f aca="false">(P78+Q78+R78)*navy_overhead</f>
        <v>15.5479425</v>
      </c>
      <c r="V78" s="56" t="n">
        <f aca="false">L78+P78+Q78+R78+U78</f>
        <v>152.3803925</v>
      </c>
      <c r="W78" s="72" t="n">
        <f aca="false">Japan!I78</f>
        <v>90</v>
      </c>
      <c r="X78" s="56" t="n">
        <f aca="false">IF($A78&gt;=1927,V78+W78,0)</f>
        <v>0</v>
      </c>
      <c r="Y78" s="56" t="n">
        <f aca="false">IF($A78&gt;=1927,pac_quota*X78,V78)</f>
        <v>152.3803925</v>
      </c>
      <c r="Z78" s="70" t="n">
        <f aca="false">SUMPRODUCT(B78:J78,Levers!$C$193:$K$193,Levers!$C$194:$K$194)/0.6</f>
        <v>13.55</v>
      </c>
      <c r="AA78" s="65" t="n">
        <f aca="false">H78</f>
        <v>14</v>
      </c>
      <c r="AB78" s="49" t="n">
        <f aca="false">AA78+'Navy plan'!T78</f>
        <v>22</v>
      </c>
      <c r="AC78" s="65" t="n">
        <f aca="false">'Navy plan'!U78</f>
        <v>42</v>
      </c>
      <c r="AD78" s="65" t="n">
        <f aca="false">'Navy plan'!V78</f>
        <v>12</v>
      </c>
      <c r="AE78" s="70" t="n">
        <f aca="false">IF(AC78&gt;0,AB78/AC78,0)</f>
        <v>0.523809523809524</v>
      </c>
    </row>
    <row r="79" customFormat="false" ht="14.25" hidden="false" customHeight="true" outlineLevel="0" collapsed="false">
      <c r="A79" s="61" t="n">
        <v>1919</v>
      </c>
      <c r="B79" s="49" t="n">
        <f aca="false">B78+'Navy plan'!B79-IF($A79-Levers!$C$191&gt;=1846,INDEX('Navy plan'!B$6:B$92,$A79-1845-Levers!$C$191),0)</f>
        <v>0</v>
      </c>
      <c r="C79" s="49" t="n">
        <f aca="false">C78+'Navy plan'!C79-IF($A79-Levers!$D$191&gt;=1846,INDEX('Navy plan'!C$6:C$92,$A79-1845-Levers!$D$191),0)</f>
        <v>0</v>
      </c>
      <c r="D79" s="49" t="n">
        <f aca="false">D78+'Navy plan'!D79-IF($A79-Levers!$E$191&gt;=1846,INDEX('Navy plan'!D$6:D$92,$A79-1845-Levers!$E$191),0)</f>
        <v>0</v>
      </c>
      <c r="E79" s="49" t="n">
        <f aca="false">E78+'Navy plan'!E79-IF($A79-Levers!$F$191&gt;=1846,INDEX('Navy plan'!E$6:E$92,$A79-1845-Levers!$F$191),0)</f>
        <v>0</v>
      </c>
      <c r="F79" s="49" t="n">
        <f aca="false">F78+'Navy plan'!F79-IF($A79-Levers!$G$191&gt;=1846,INDEX('Navy plan'!F$6:F$92,$A79-1845-Levers!$G$191),0)</f>
        <v>90</v>
      </c>
      <c r="G79" s="49" t="n">
        <f aca="false">G78+'Navy plan'!G79-IF($A79-Levers!$H$191&gt;=1846,INDEX('Navy plan'!G$6:G$92,$A79-1845-Levers!$H$191),0)</f>
        <v>26</v>
      </c>
      <c r="H79" s="49" t="n">
        <f aca="false">H78+'Navy plan'!H79-IF($A79-Levers!$I$191&gt;=1846,INDEX('Navy plan'!H$6:H$92,$A79-1845-Levers!$I$191),0)</f>
        <v>14</v>
      </c>
      <c r="I79" s="49" t="n">
        <f aca="false">I78+'Navy plan'!I79-IF($A79-Levers!$J$191&gt;=1846,INDEX('Navy plan'!I$6:I$92,$A79-1845-Levers!$J$191),0)</f>
        <v>50</v>
      </c>
      <c r="J79" s="49" t="n">
        <f aca="false">J78+'Navy plan'!J79-IF($A79-Levers!$K$191&gt;=1846,INDEX('Navy plan'!J$6:J$92,$A79-1845-Levers!$K$191),0)</f>
        <v>0</v>
      </c>
      <c r="K79" s="49" t="n">
        <f aca="false">SUM(B79:J79)</f>
        <v>180</v>
      </c>
      <c r="L79" s="56" t="n">
        <f aca="false">0.5*SUMPRODUCT('Navy plan'!B79:J79,'Navy plan'!K79:S79)+0.5*SUMPRODUCT('Navy plan'!B80:J80,'Navy plan'!K80:S80)</f>
        <v>6.179</v>
      </c>
      <c r="M79" s="49" t="n">
        <f aca="false">SUMPRODUCT(B79:J79,Levers!$C$192:$K$192)</f>
        <v>34000</v>
      </c>
      <c r="N79" s="49" t="n">
        <f aca="false">SUMPRODUCT(B79:J79,Levers!$C$195:$K$195)</f>
        <v>43589.7435897436</v>
      </c>
      <c r="O79" s="49" t="n">
        <f aca="false">N79-M79</f>
        <v>9589.74358974359</v>
      </c>
      <c r="P79" s="56" t="n">
        <f aca="false">M79*sailor_pay*Economy!H79/1000000</f>
        <v>55.998</v>
      </c>
      <c r="Q79" s="56" t="n">
        <f aca="false">SUMPRODUCT(B79:J79,'Navy plan'!K79:S79)*maint_rate</f>
        <v>42.1418</v>
      </c>
      <c r="R79" s="56" t="n">
        <f aca="false">SUMPRODUCT(B79:J79,Levers!$C$193:$K$193)*Economy!H79</f>
        <v>14.7864</v>
      </c>
      <c r="S79" s="56" t="n">
        <f aca="false">SUMPRODUCT(B79:J79,Levers!$C$193:$K$193,Levers!$C$194:$K$194)*(1/oil_fuel-1)*Economy!H79</f>
        <v>6.33702857142857</v>
      </c>
      <c r="T79" s="56" t="n">
        <f aca="false">S79+O79*sailor_pay*Economy!H79/1000000</f>
        <v>22.1313362637363</v>
      </c>
      <c r="U79" s="56" t="n">
        <f aca="false">(P79+Q79+R79)*navy_overhead</f>
        <v>16.93893</v>
      </c>
      <c r="V79" s="56" t="n">
        <f aca="false">L79+P79+Q79+R79+U79</f>
        <v>136.04413</v>
      </c>
      <c r="W79" s="72" t="n">
        <f aca="false">Japan!I79</f>
        <v>120</v>
      </c>
      <c r="X79" s="56" t="n">
        <f aca="false">IF($A79&gt;=1927,V79+W79,0)</f>
        <v>0</v>
      </c>
      <c r="Y79" s="56" t="n">
        <f aca="false">IF($A79&gt;=1927,pac_quota*X79,V79)</f>
        <v>136.04413</v>
      </c>
      <c r="Z79" s="70" t="n">
        <f aca="false">SUMPRODUCT(B79:J79,Levers!$C$193:$K$193,Levers!$C$194:$K$194)/0.6</f>
        <v>13.4666666666667</v>
      </c>
      <c r="AA79" s="65" t="n">
        <f aca="false">H79</f>
        <v>14</v>
      </c>
      <c r="AB79" s="49" t="n">
        <f aca="false">AA79+'Navy plan'!T79</f>
        <v>24</v>
      </c>
      <c r="AC79" s="65" t="n">
        <f aca="false">'Navy plan'!U79</f>
        <v>42</v>
      </c>
      <c r="AD79" s="65" t="n">
        <f aca="false">'Navy plan'!V79</f>
        <v>12</v>
      </c>
      <c r="AE79" s="70" t="n">
        <f aca="false">IF(AC79&gt;0,AB79/AC79,0)</f>
        <v>0.571428571428571</v>
      </c>
    </row>
    <row r="80" customFormat="false" ht="14.25" hidden="false" customHeight="true" outlineLevel="0" collapsed="false">
      <c r="A80" s="61" t="n">
        <v>1920</v>
      </c>
      <c r="B80" s="49" t="n">
        <f aca="false">B79+'Navy plan'!B80-IF($A80-Levers!$C$191&gt;=1846,INDEX('Navy plan'!B$6:B$92,$A80-1845-Levers!$C$191),0)</f>
        <v>0</v>
      </c>
      <c r="C80" s="49" t="n">
        <f aca="false">C79+'Navy plan'!C80-IF($A80-Levers!$D$191&gt;=1846,INDEX('Navy plan'!C$6:C$92,$A80-1845-Levers!$D$191),0)</f>
        <v>0</v>
      </c>
      <c r="D80" s="49" t="n">
        <f aca="false">D79+'Navy plan'!D80-IF($A80-Levers!$E$191&gt;=1846,INDEX('Navy plan'!D$6:D$92,$A80-1845-Levers!$E$191),0)</f>
        <v>0</v>
      </c>
      <c r="E80" s="49" t="n">
        <f aca="false">E79+'Navy plan'!E80-IF($A80-Levers!$F$191&gt;=1846,INDEX('Navy plan'!E$6:E$92,$A80-1845-Levers!$F$191),0)</f>
        <v>0</v>
      </c>
      <c r="F80" s="49" t="n">
        <f aca="false">F79+'Navy plan'!F80-IF($A80-Levers!$G$191&gt;=1846,INDEX('Navy plan'!F$6:F$92,$A80-1845-Levers!$G$191),0)</f>
        <v>90</v>
      </c>
      <c r="G80" s="49" t="n">
        <f aca="false">G79+'Navy plan'!G80-IF($A80-Levers!$H$191&gt;=1846,INDEX('Navy plan'!G$6:G$92,$A80-1845-Levers!$H$191),0)</f>
        <v>24</v>
      </c>
      <c r="H80" s="49" t="n">
        <f aca="false">H79+'Navy plan'!H80-IF($A80-Levers!$I$191&gt;=1846,INDEX('Navy plan'!H$6:H$92,$A80-1845-Levers!$I$191),0)</f>
        <v>14</v>
      </c>
      <c r="I80" s="49" t="n">
        <f aca="false">I79+'Navy plan'!I80-IF($A80-Levers!$J$191&gt;=1846,INDEX('Navy plan'!I$6:I$92,$A80-1845-Levers!$J$191),0)</f>
        <v>52</v>
      </c>
      <c r="J80" s="49" t="n">
        <f aca="false">J79+'Navy plan'!J80-IF($A80-Levers!$K$191&gt;=1846,INDEX('Navy plan'!J$6:J$92,$A80-1845-Levers!$K$191),0)</f>
        <v>0</v>
      </c>
      <c r="K80" s="49" t="n">
        <f aca="false">SUM(B80:J80)</f>
        <v>180</v>
      </c>
      <c r="L80" s="56" t="n">
        <f aca="false">0.5*SUMPRODUCT('Navy plan'!B80:J80,'Navy plan'!K80:S80)+0.5*SUMPRODUCT('Navy plan'!B81:J81,'Navy plan'!K81:S81)</f>
        <v>11.9665</v>
      </c>
      <c r="M80" s="49" t="n">
        <f aca="false">SUMPRODUCT(B80:J80,Levers!$C$192:$K$192)</f>
        <v>33260</v>
      </c>
      <c r="N80" s="49" t="n">
        <f aca="false">SUMPRODUCT(B80:J80,Levers!$C$195:$K$195)</f>
        <v>42641.0256410256</v>
      </c>
      <c r="O80" s="49" t="n">
        <f aca="false">N80-M80</f>
        <v>9381.02564102564</v>
      </c>
      <c r="P80" s="56" t="n">
        <f aca="false">M80*sailor_pay*Economy!H80/1000000</f>
        <v>61.3647</v>
      </c>
      <c r="Q80" s="56" t="n">
        <f aca="false">SUMPRODUCT(B80:J80,'Navy plan'!K80:S80)*maint_rate</f>
        <v>44.5544</v>
      </c>
      <c r="R80" s="56" t="n">
        <f aca="false">SUMPRODUCT(B80:J80,Levers!$C$193:$K$193)*Economy!H80</f>
        <v>16.277</v>
      </c>
      <c r="S80" s="56" t="n">
        <f aca="false">SUMPRODUCT(B80:J80,Levers!$C$193:$K$193,Levers!$C$194:$K$194)*(1/oil_fuel-1)*Economy!H80</f>
        <v>6.97585714285714</v>
      </c>
      <c r="T80" s="56" t="n">
        <f aca="false">S80+O80*sailor_pay*Economy!H80/1000000</f>
        <v>24.2838494505494</v>
      </c>
      <c r="U80" s="56" t="n">
        <f aca="false">(P80+Q80+R80)*navy_overhead</f>
        <v>18.329415</v>
      </c>
      <c r="V80" s="56" t="n">
        <f aca="false">L80+P80+Q80+R80+U80</f>
        <v>152.492015</v>
      </c>
      <c r="W80" s="72" t="n">
        <f aca="false">Japan!I80</f>
        <v>150</v>
      </c>
      <c r="X80" s="56" t="n">
        <f aca="false">IF($A80&gt;=1927,V80+W80,0)</f>
        <v>0</v>
      </c>
      <c r="Y80" s="56" t="n">
        <f aca="false">IF($A80&gt;=1927,pac_quota*X80,V80)</f>
        <v>152.492015</v>
      </c>
      <c r="Z80" s="70" t="n">
        <f aca="false">SUMPRODUCT(B80:J80,Levers!$C$193:$K$193,Levers!$C$194:$K$194)/0.6</f>
        <v>13.2333333333333</v>
      </c>
      <c r="AA80" s="65" t="n">
        <f aca="false">H80</f>
        <v>14</v>
      </c>
      <c r="AB80" s="49" t="n">
        <f aca="false">AA80+'Navy plan'!T80</f>
        <v>24</v>
      </c>
      <c r="AC80" s="65" t="n">
        <f aca="false">'Navy plan'!U80</f>
        <v>36</v>
      </c>
      <c r="AD80" s="65" t="n">
        <f aca="false">'Navy plan'!V80</f>
        <v>15</v>
      </c>
      <c r="AE80" s="70" t="n">
        <f aca="false">IF(AC80&gt;0,AB80/AC80,0)</f>
        <v>0.666666666666667</v>
      </c>
    </row>
    <row r="81" customFormat="false" ht="14.25" hidden="false" customHeight="true" outlineLevel="0" collapsed="false">
      <c r="A81" s="61" t="n">
        <v>1921</v>
      </c>
      <c r="B81" s="49" t="n">
        <f aca="false">B80+'Navy plan'!B81-IF($A81-Levers!$C$191&gt;=1846,INDEX('Navy plan'!B$6:B$92,$A81-1845-Levers!$C$191),0)</f>
        <v>0</v>
      </c>
      <c r="C81" s="49" t="n">
        <f aca="false">C80+'Navy plan'!C81-IF($A81-Levers!$D$191&gt;=1846,INDEX('Navy plan'!C$6:C$92,$A81-1845-Levers!$D$191),0)</f>
        <v>0</v>
      </c>
      <c r="D81" s="49" t="n">
        <f aca="false">D80+'Navy plan'!D81-IF($A81-Levers!$E$191&gt;=1846,INDEX('Navy plan'!D$6:D$92,$A81-1845-Levers!$E$191),0)</f>
        <v>0</v>
      </c>
      <c r="E81" s="49" t="n">
        <f aca="false">E80+'Navy plan'!E81-IF($A81-Levers!$F$191&gt;=1846,INDEX('Navy plan'!E$6:E$92,$A81-1845-Levers!$F$191),0)</f>
        <v>0</v>
      </c>
      <c r="F81" s="49" t="n">
        <f aca="false">F80+'Navy plan'!F81-IF($A81-Levers!$G$191&gt;=1846,INDEX('Navy plan'!F$6:F$92,$A81-1845-Levers!$G$191),0)</f>
        <v>90</v>
      </c>
      <c r="G81" s="49" t="n">
        <f aca="false">G80+'Navy plan'!G81-IF($A81-Levers!$H$191&gt;=1846,INDEX('Navy plan'!G$6:G$92,$A81-1845-Levers!$H$191),0)</f>
        <v>23</v>
      </c>
      <c r="H81" s="49" t="n">
        <f aca="false">H80+'Navy plan'!H81-IF($A81-Levers!$I$191&gt;=1846,INDEX('Navy plan'!H$6:H$92,$A81-1845-Levers!$I$191),0)</f>
        <v>14</v>
      </c>
      <c r="I81" s="49" t="n">
        <f aca="false">I80+'Navy plan'!I81-IF($A81-Levers!$J$191&gt;=1846,INDEX('Navy plan'!I$6:I$92,$A81-1845-Levers!$J$191),0)</f>
        <v>49</v>
      </c>
      <c r="J81" s="49" t="n">
        <f aca="false">J80+'Navy plan'!J81-IF($A81-Levers!$K$191&gt;=1846,INDEX('Navy plan'!J$6:J$92,$A81-1845-Levers!$K$191),0)</f>
        <v>0</v>
      </c>
      <c r="K81" s="49" t="n">
        <f aca="false">SUM(B81:J81)</f>
        <v>176</v>
      </c>
      <c r="L81" s="56" t="n">
        <f aca="false">0.5*SUMPRODUCT('Navy plan'!B81:J81,'Navy plan'!K81:S81)+0.5*SUMPRODUCT('Navy plan'!B82:J82,'Navy plan'!K82:S82)</f>
        <v>20.99</v>
      </c>
      <c r="M81" s="49" t="n">
        <f aca="false">SUMPRODUCT(B81:J81,Levers!$C$192:$K$192)</f>
        <v>32770</v>
      </c>
      <c r="N81" s="49" t="n">
        <f aca="false">SUMPRODUCT(B81:J81,Levers!$C$195:$K$195)</f>
        <v>42012.8205128205</v>
      </c>
      <c r="O81" s="49" t="n">
        <f aca="false">N81-M81</f>
        <v>9242.82051282052</v>
      </c>
      <c r="P81" s="56" t="n">
        <f aca="false">M81*sailor_pay*Economy!H81/1000000</f>
        <v>50.1381</v>
      </c>
      <c r="Q81" s="56" t="n">
        <f aca="false">SUMPRODUCT(B81:J81,'Navy plan'!K81:S81)*maint_rate</f>
        <v>43.69085</v>
      </c>
      <c r="R81" s="56" t="n">
        <f aca="false">SUMPRODUCT(B81:J81,Levers!$C$193:$K$193)*Economy!H81</f>
        <v>13.311</v>
      </c>
      <c r="S81" s="56" t="n">
        <f aca="false">SUMPRODUCT(B81:J81,Levers!$C$193:$K$193,Levers!$C$194:$K$194)*(1/oil_fuel-1)*Economy!H81</f>
        <v>5.70471428571429</v>
      </c>
      <c r="T81" s="56" t="n">
        <f aca="false">S81+O81*sailor_pay*Economy!H81/1000000</f>
        <v>19.8462296703297</v>
      </c>
      <c r="U81" s="56" t="n">
        <f aca="false">(P81+Q81+R81)*navy_overhead</f>
        <v>16.0709925</v>
      </c>
      <c r="V81" s="56" t="n">
        <f aca="false">L81+P81+Q81+R81+U81</f>
        <v>144.2009425</v>
      </c>
      <c r="W81" s="72" t="n">
        <f aca="false">Japan!I81</f>
        <v>160</v>
      </c>
      <c r="X81" s="56" t="n">
        <f aca="false">IF($A81&gt;=1927,V81+W81,0)</f>
        <v>0</v>
      </c>
      <c r="Y81" s="56" t="n">
        <f aca="false">IF($A81&gt;=1927,pac_quota*X81,V81)</f>
        <v>144.2009425</v>
      </c>
      <c r="Z81" s="70" t="n">
        <f aca="false">SUMPRODUCT(B81:J81,Levers!$C$193:$K$193,Levers!$C$194:$K$194)/0.6</f>
        <v>13.05</v>
      </c>
      <c r="AA81" s="65" t="n">
        <f aca="false">H81</f>
        <v>14</v>
      </c>
      <c r="AB81" s="49" t="n">
        <f aca="false">AA81+'Navy plan'!T81</f>
        <v>24</v>
      </c>
      <c r="AC81" s="65" t="n">
        <f aca="false">'Navy plan'!U81</f>
        <v>30</v>
      </c>
      <c r="AD81" s="65" t="n">
        <f aca="false">'Navy plan'!V81</f>
        <v>15</v>
      </c>
      <c r="AE81" s="70" t="n">
        <f aca="false">IF(AC81&gt;0,AB81/AC81,0)</f>
        <v>0.8</v>
      </c>
    </row>
    <row r="82" customFormat="false" ht="14.25" hidden="false" customHeight="true" outlineLevel="0" collapsed="false">
      <c r="A82" s="61" t="n">
        <v>1922</v>
      </c>
      <c r="B82" s="49" t="n">
        <f aca="false">B81+'Navy plan'!B82-IF($A82-Levers!$C$191&gt;=1846,INDEX('Navy plan'!B$6:B$92,$A82-1845-Levers!$C$191),0)</f>
        <v>0</v>
      </c>
      <c r="C82" s="49" t="n">
        <f aca="false">C81+'Navy plan'!C82-IF($A82-Levers!$D$191&gt;=1846,INDEX('Navy plan'!C$6:C$92,$A82-1845-Levers!$D$191),0)</f>
        <v>0</v>
      </c>
      <c r="D82" s="49" t="n">
        <f aca="false">D81+'Navy plan'!D82-IF($A82-Levers!$E$191&gt;=1846,INDEX('Navy plan'!D$6:D$92,$A82-1845-Levers!$E$191),0)</f>
        <v>0</v>
      </c>
      <c r="E82" s="49" t="n">
        <f aca="false">E81+'Navy plan'!E82-IF($A82-Levers!$F$191&gt;=1846,INDEX('Navy plan'!E$6:E$92,$A82-1845-Levers!$F$191),0)</f>
        <v>0</v>
      </c>
      <c r="F82" s="49" t="n">
        <f aca="false">F81+'Navy plan'!F82-IF($A82-Levers!$G$191&gt;=1846,INDEX('Navy plan'!F$6:F$92,$A82-1845-Levers!$G$191),0)</f>
        <v>90</v>
      </c>
      <c r="G82" s="49" t="n">
        <f aca="false">G81+'Navy plan'!G82-IF($A82-Levers!$H$191&gt;=1846,INDEX('Navy plan'!G$6:G$92,$A82-1845-Levers!$H$191),0)</f>
        <v>23</v>
      </c>
      <c r="H82" s="49" t="n">
        <f aca="false">H81+'Navy plan'!H82-IF($A82-Levers!$I$191&gt;=1846,INDEX('Navy plan'!H$6:H$92,$A82-1845-Levers!$I$191),0)</f>
        <v>14</v>
      </c>
      <c r="I82" s="49" t="n">
        <f aca="false">I81+'Navy plan'!I82-IF($A82-Levers!$J$191&gt;=1846,INDEX('Navy plan'!I$6:I$92,$A82-1845-Levers!$J$191),0)</f>
        <v>52</v>
      </c>
      <c r="J82" s="49" t="n">
        <f aca="false">J81+'Navy plan'!J82-IF($A82-Levers!$K$191&gt;=1846,INDEX('Navy plan'!J$6:J$92,$A82-1845-Levers!$K$191),0)</f>
        <v>1</v>
      </c>
      <c r="K82" s="49" t="n">
        <f aca="false">SUM(B82:J82)</f>
        <v>180</v>
      </c>
      <c r="L82" s="56" t="n">
        <f aca="false">0.5*SUMPRODUCT('Navy plan'!B82:J82,'Navy plan'!K82:S82)+0.5*SUMPRODUCT('Navy plan'!B83:J83,'Navy plan'!K83:S83)</f>
        <v>23.15</v>
      </c>
      <c r="M82" s="49" t="n">
        <f aca="false">SUMPRODUCT(B82:J82,Levers!$C$192:$K$192)</f>
        <v>34360</v>
      </c>
      <c r="N82" s="49" t="n">
        <f aca="false">SUMPRODUCT(B82:J82,Levers!$C$195:$K$195)</f>
        <v>44051.2820512821</v>
      </c>
      <c r="O82" s="49" t="n">
        <f aca="false">N82-M82</f>
        <v>9691.28205128205</v>
      </c>
      <c r="P82" s="56" t="n">
        <f aca="false">M82*sailor_pay*Economy!H82/1000000</f>
        <v>48.85992</v>
      </c>
      <c r="Q82" s="56" t="n">
        <f aca="false">SUMPRODUCT(B82:J82,'Navy plan'!K82:S82)*maint_rate</f>
        <v>44.53035</v>
      </c>
      <c r="R82" s="56" t="n">
        <f aca="false">SUMPRODUCT(B82:J82,Levers!$C$193:$K$193)*Economy!H82</f>
        <v>12.8138</v>
      </c>
      <c r="S82" s="56" t="n">
        <f aca="false">SUMPRODUCT(B82:J82,Levers!$C$193:$K$193,Levers!$C$194:$K$194)*(1/oil_fuel-1)*Economy!H82</f>
        <v>5.49162857142857</v>
      </c>
      <c r="T82" s="56" t="n">
        <f aca="false">S82+O82*sailor_pay*Economy!H82/1000000</f>
        <v>19.2726316483517</v>
      </c>
      <c r="U82" s="56" t="n">
        <f aca="false">(P82+Q82+R82)*navy_overhead</f>
        <v>15.9306105</v>
      </c>
      <c r="V82" s="56" t="n">
        <f aca="false">L82+P82+Q82+R82+U82</f>
        <v>145.2846805</v>
      </c>
      <c r="W82" s="72" t="n">
        <f aca="false">Japan!I82</f>
        <v>130</v>
      </c>
      <c r="X82" s="56" t="n">
        <f aca="false">IF($A82&gt;=1927,V82+W82,0)</f>
        <v>0</v>
      </c>
      <c r="Y82" s="56" t="n">
        <f aca="false">IF($A82&gt;=1927,pac_quota*X82,V82)</f>
        <v>145.2846805</v>
      </c>
      <c r="Z82" s="70" t="n">
        <f aca="false">SUMPRODUCT(B82:J82,Levers!$C$193:$K$193,Levers!$C$194:$K$194)/0.6</f>
        <v>13.5166666666667</v>
      </c>
      <c r="AA82" s="65" t="n">
        <f aca="false">H82</f>
        <v>14</v>
      </c>
      <c r="AB82" s="49" t="n">
        <f aca="false">AA82+'Navy plan'!T82</f>
        <v>24</v>
      </c>
      <c r="AC82" s="65" t="n">
        <f aca="false">'Navy plan'!U82</f>
        <v>24</v>
      </c>
      <c r="AD82" s="65" t="n">
        <f aca="false">'Navy plan'!V82</f>
        <v>16</v>
      </c>
      <c r="AE82" s="70" t="n">
        <f aca="false">IF(AC82&gt;0,AB82/AC82,0)</f>
        <v>1</v>
      </c>
    </row>
    <row r="83" customFormat="false" ht="14.25" hidden="false" customHeight="true" outlineLevel="0" collapsed="false">
      <c r="A83" s="61" t="n">
        <v>1923</v>
      </c>
      <c r="B83" s="49" t="n">
        <f aca="false">B82+'Navy plan'!B83-IF($A83-Levers!$C$191&gt;=1846,INDEX('Navy plan'!B$6:B$92,$A83-1845-Levers!$C$191),0)</f>
        <v>0</v>
      </c>
      <c r="C83" s="49" t="n">
        <f aca="false">C82+'Navy plan'!C83-IF($A83-Levers!$D$191&gt;=1846,INDEX('Navy plan'!C$6:C$92,$A83-1845-Levers!$D$191),0)</f>
        <v>0</v>
      </c>
      <c r="D83" s="49" t="n">
        <f aca="false">D82+'Navy plan'!D83-IF($A83-Levers!$E$191&gt;=1846,INDEX('Navy plan'!D$6:D$92,$A83-1845-Levers!$E$191),0)</f>
        <v>0</v>
      </c>
      <c r="E83" s="49" t="n">
        <f aca="false">E82+'Navy plan'!E83-IF($A83-Levers!$F$191&gt;=1846,INDEX('Navy plan'!E$6:E$92,$A83-1845-Levers!$F$191),0)</f>
        <v>0</v>
      </c>
      <c r="F83" s="49" t="n">
        <f aca="false">F82+'Navy plan'!F83-IF($A83-Levers!$G$191&gt;=1846,INDEX('Navy plan'!F$6:F$92,$A83-1845-Levers!$G$191),0)</f>
        <v>90</v>
      </c>
      <c r="G83" s="49" t="n">
        <f aca="false">G82+'Navy plan'!G83-IF($A83-Levers!$H$191&gt;=1846,INDEX('Navy plan'!G$6:G$92,$A83-1845-Levers!$H$191),0)</f>
        <v>22</v>
      </c>
      <c r="H83" s="49" t="n">
        <f aca="false">H82+'Navy plan'!H83-IF($A83-Levers!$I$191&gt;=1846,INDEX('Navy plan'!H$6:H$92,$A83-1845-Levers!$I$191),0)</f>
        <v>14</v>
      </c>
      <c r="I83" s="49" t="n">
        <f aca="false">I82+'Navy plan'!I83-IF($A83-Levers!$J$191&gt;=1846,INDEX('Navy plan'!I$6:I$92,$A83-1845-Levers!$J$191),0)</f>
        <v>52</v>
      </c>
      <c r="J83" s="49" t="n">
        <f aca="false">J82+'Navy plan'!J83-IF($A83-Levers!$K$191&gt;=1846,INDEX('Navy plan'!J$6:J$92,$A83-1845-Levers!$K$191),0)</f>
        <v>1</v>
      </c>
      <c r="K83" s="49" t="n">
        <f aca="false">SUM(B83:J83)</f>
        <v>179</v>
      </c>
      <c r="L83" s="56" t="n">
        <f aca="false">0.5*SUMPRODUCT('Navy plan'!B83:J83,'Navy plan'!K83:S83)+0.5*SUMPRODUCT('Navy plan'!B84:J84,'Navy plan'!K84:S84)</f>
        <v>14.7675</v>
      </c>
      <c r="M83" s="49" t="n">
        <f aca="false">SUMPRODUCT(B83:J83,Levers!$C$192:$K$192)</f>
        <v>33960</v>
      </c>
      <c r="N83" s="49" t="n">
        <f aca="false">SUMPRODUCT(B83:J83,Levers!$C$195:$K$195)</f>
        <v>43538.4615384615</v>
      </c>
      <c r="O83" s="49" t="n">
        <f aca="false">N83-M83</f>
        <v>9578.46153846154</v>
      </c>
      <c r="P83" s="56" t="n">
        <f aca="false">M83*sailor_pay*Economy!H83/1000000</f>
        <v>49.51368</v>
      </c>
      <c r="Q83" s="56" t="n">
        <f aca="false">SUMPRODUCT(B83:J83,'Navy plan'!K83:S83)*maint_rate</f>
        <v>43.9354</v>
      </c>
      <c r="R83" s="56" t="n">
        <f aca="false">SUMPRODUCT(B83:J83,Levers!$C$193:$K$193)*Economy!H83</f>
        <v>13.0086</v>
      </c>
      <c r="S83" s="56" t="n">
        <f aca="false">SUMPRODUCT(B83:J83,Levers!$C$193:$K$193,Levers!$C$194:$K$194)*(1/oil_fuel-1)*Economy!H83</f>
        <v>5.57511428571429</v>
      </c>
      <c r="T83" s="56" t="n">
        <f aca="false">S83+O83*sailor_pay*Economy!H83/1000000</f>
        <v>19.5405112087912</v>
      </c>
      <c r="U83" s="56" t="n">
        <f aca="false">(P83+Q83+R83)*navy_overhead</f>
        <v>15.968652</v>
      </c>
      <c r="V83" s="56" t="n">
        <f aca="false">L83+P83+Q83+R83+U83</f>
        <v>137.193832</v>
      </c>
      <c r="W83" s="72" t="n">
        <f aca="false">Japan!I83</f>
        <v>120</v>
      </c>
      <c r="X83" s="56" t="n">
        <f aca="false">IF($A83&gt;=1927,V83+W83,0)</f>
        <v>0</v>
      </c>
      <c r="Y83" s="56" t="n">
        <f aca="false">IF($A83&gt;=1927,pac_quota*X83,V83)</f>
        <v>137.193832</v>
      </c>
      <c r="Z83" s="70" t="n">
        <f aca="false">SUMPRODUCT(B83:J83,Levers!$C$193:$K$193,Levers!$C$194:$K$194)/0.6</f>
        <v>13.3833333333333</v>
      </c>
      <c r="AA83" s="65" t="n">
        <f aca="false">H83</f>
        <v>14</v>
      </c>
      <c r="AB83" s="49" t="n">
        <f aca="false">AA83+'Navy plan'!T83</f>
        <v>24</v>
      </c>
      <c r="AC83" s="65" t="n">
        <f aca="false">'Navy plan'!U83</f>
        <v>24</v>
      </c>
      <c r="AD83" s="65" t="n">
        <f aca="false">'Navy plan'!V83</f>
        <v>16</v>
      </c>
      <c r="AE83" s="70" t="n">
        <f aca="false">IF(AC83&gt;0,AB83/AC83,0)</f>
        <v>1</v>
      </c>
    </row>
    <row r="84" customFormat="false" ht="14.25" hidden="false" customHeight="true" outlineLevel="0" collapsed="false">
      <c r="A84" s="61" t="n">
        <v>1924</v>
      </c>
      <c r="B84" s="49" t="n">
        <f aca="false">B83+'Navy plan'!B84-IF($A84-Levers!$C$191&gt;=1846,INDEX('Navy plan'!B$6:B$92,$A84-1845-Levers!$C$191),0)</f>
        <v>0</v>
      </c>
      <c r="C84" s="49" t="n">
        <f aca="false">C83+'Navy plan'!C84-IF($A84-Levers!$D$191&gt;=1846,INDEX('Navy plan'!C$6:C$92,$A84-1845-Levers!$D$191),0)</f>
        <v>0</v>
      </c>
      <c r="D84" s="49" t="n">
        <f aca="false">D83+'Navy plan'!D84-IF($A84-Levers!$E$191&gt;=1846,INDEX('Navy plan'!D$6:D$92,$A84-1845-Levers!$E$191),0)</f>
        <v>0</v>
      </c>
      <c r="E84" s="49" t="n">
        <f aca="false">E83+'Navy plan'!E84-IF($A84-Levers!$F$191&gt;=1846,INDEX('Navy plan'!E$6:E$92,$A84-1845-Levers!$F$191),0)</f>
        <v>0</v>
      </c>
      <c r="F84" s="49" t="n">
        <f aca="false">F83+'Navy plan'!F84-IF($A84-Levers!$G$191&gt;=1846,INDEX('Navy plan'!F$6:F$92,$A84-1845-Levers!$G$191),0)</f>
        <v>89</v>
      </c>
      <c r="G84" s="49" t="n">
        <f aca="false">G83+'Navy plan'!G84-IF($A84-Levers!$H$191&gt;=1846,INDEX('Navy plan'!G$6:G$92,$A84-1845-Levers!$H$191),0)</f>
        <v>22</v>
      </c>
      <c r="H84" s="49" t="n">
        <f aca="false">H83+'Navy plan'!H84-IF($A84-Levers!$I$191&gt;=1846,INDEX('Navy plan'!H$6:H$92,$A84-1845-Levers!$I$191),0)</f>
        <v>14</v>
      </c>
      <c r="I84" s="49" t="n">
        <f aca="false">I83+'Navy plan'!I84-IF($A84-Levers!$J$191&gt;=1846,INDEX('Navy plan'!I$6:I$92,$A84-1845-Levers!$J$191),0)</f>
        <v>55</v>
      </c>
      <c r="J84" s="49" t="n">
        <f aca="false">J83+'Navy plan'!J84-IF($A84-Levers!$K$191&gt;=1846,INDEX('Navy plan'!J$6:J$92,$A84-1845-Levers!$K$191),0)</f>
        <v>1</v>
      </c>
      <c r="K84" s="49" t="n">
        <f aca="false">SUM(B84:J84)</f>
        <v>181</v>
      </c>
      <c r="L84" s="56" t="n">
        <f aca="false">0.5*SUMPRODUCT('Navy plan'!B84:J84,'Navy plan'!K84:S84)+0.5*SUMPRODUCT('Navy plan'!B85:J85,'Navy plan'!K85:S85)</f>
        <v>39.903</v>
      </c>
      <c r="M84" s="49" t="n">
        <f aca="false">SUMPRODUCT(B84:J84,Levers!$C$192:$K$192)</f>
        <v>33960</v>
      </c>
      <c r="N84" s="49" t="n">
        <f aca="false">SUMPRODUCT(B84:J84,Levers!$C$195:$K$195)</f>
        <v>43538.4615384615</v>
      </c>
      <c r="O84" s="49" t="n">
        <f aca="false">N84-M84</f>
        <v>9578.46153846154</v>
      </c>
      <c r="P84" s="56" t="n">
        <f aca="false">M84*sailor_pay*Economy!H84/1000000</f>
        <v>49.51368</v>
      </c>
      <c r="Q84" s="56" t="n">
        <f aca="false">SUMPRODUCT(B84:J84,'Navy plan'!K84:S84)*maint_rate</f>
        <v>43.9437</v>
      </c>
      <c r="R84" s="56" t="n">
        <f aca="false">SUMPRODUCT(B84:J84,Levers!$C$193:$K$193)*Economy!H84</f>
        <v>13.0086</v>
      </c>
      <c r="S84" s="56" t="n">
        <f aca="false">SUMPRODUCT(B84:J84,Levers!$C$193:$K$193,Levers!$C$194:$K$194)*(1/oil_fuel-1)*Economy!H84</f>
        <v>5.57511428571429</v>
      </c>
      <c r="T84" s="56" t="n">
        <f aca="false">S84+O84*sailor_pay*Economy!H84/1000000</f>
        <v>19.5405112087912</v>
      </c>
      <c r="U84" s="56" t="n">
        <f aca="false">(P84+Q84+R84)*navy_overhead</f>
        <v>15.969897</v>
      </c>
      <c r="V84" s="56" t="n">
        <f aca="false">L84+P84+Q84+R84+U84</f>
        <v>162.338877</v>
      </c>
      <c r="W84" s="72" t="n">
        <f aca="false">Japan!I84</f>
        <v>110</v>
      </c>
      <c r="X84" s="56" t="n">
        <f aca="false">IF($A84&gt;=1927,V84+W84,0)</f>
        <v>0</v>
      </c>
      <c r="Y84" s="56" t="n">
        <f aca="false">IF($A84&gt;=1927,pac_quota*X84,V84)</f>
        <v>162.338877</v>
      </c>
      <c r="Z84" s="70" t="n">
        <f aca="false">SUMPRODUCT(B84:J84,Levers!$C$193:$K$193,Levers!$C$194:$K$194)/0.6</f>
        <v>13.3833333333333</v>
      </c>
      <c r="AA84" s="65" t="n">
        <f aca="false">H84</f>
        <v>14</v>
      </c>
      <c r="AB84" s="49" t="n">
        <f aca="false">AA84+'Navy plan'!T84</f>
        <v>24</v>
      </c>
      <c r="AC84" s="65" t="n">
        <f aca="false">'Navy plan'!U84</f>
        <v>24</v>
      </c>
      <c r="AD84" s="65" t="n">
        <f aca="false">'Navy plan'!V84</f>
        <v>16</v>
      </c>
      <c r="AE84" s="70" t="n">
        <f aca="false">IF(AC84&gt;0,AB84/AC84,0)</f>
        <v>1</v>
      </c>
    </row>
    <row r="85" customFormat="false" ht="14.25" hidden="false" customHeight="true" outlineLevel="0" collapsed="false">
      <c r="A85" s="61" t="n">
        <v>1925</v>
      </c>
      <c r="B85" s="49" t="n">
        <f aca="false">B84+'Navy plan'!B85-IF($A85-Levers!$C$191&gt;=1846,INDEX('Navy plan'!B$6:B$92,$A85-1845-Levers!$C$191),0)</f>
        <v>0</v>
      </c>
      <c r="C85" s="49" t="n">
        <f aca="false">C84+'Navy plan'!C85-IF($A85-Levers!$D$191&gt;=1846,INDEX('Navy plan'!C$6:C$92,$A85-1845-Levers!$D$191),0)</f>
        <v>0</v>
      </c>
      <c r="D85" s="49" t="n">
        <f aca="false">D84+'Navy plan'!D85-IF($A85-Levers!$E$191&gt;=1846,INDEX('Navy plan'!D$6:D$92,$A85-1845-Levers!$E$191),0)</f>
        <v>0</v>
      </c>
      <c r="E85" s="49" t="n">
        <f aca="false">E84+'Navy plan'!E85-IF($A85-Levers!$F$191&gt;=1846,INDEX('Navy plan'!E$6:E$92,$A85-1845-Levers!$F$191),0)</f>
        <v>0</v>
      </c>
      <c r="F85" s="49" t="n">
        <f aca="false">F84+'Navy plan'!F85-IF($A85-Levers!$G$191&gt;=1846,INDEX('Navy plan'!F$6:F$92,$A85-1845-Levers!$G$191),0)</f>
        <v>88</v>
      </c>
      <c r="G85" s="49" t="n">
        <f aca="false">G84+'Navy plan'!G85-IF($A85-Levers!$H$191&gt;=1846,INDEX('Navy plan'!G$6:G$92,$A85-1845-Levers!$H$191),0)</f>
        <v>22</v>
      </c>
      <c r="H85" s="49" t="n">
        <f aca="false">H84+'Navy plan'!H85-IF($A85-Levers!$I$191&gt;=1846,INDEX('Navy plan'!H$6:H$92,$A85-1845-Levers!$I$191),0)</f>
        <v>14</v>
      </c>
      <c r="I85" s="49" t="n">
        <f aca="false">I84+'Navy plan'!I85-IF($A85-Levers!$J$191&gt;=1846,INDEX('Navy plan'!I$6:I$92,$A85-1845-Levers!$J$191),0)</f>
        <v>54</v>
      </c>
      <c r="J85" s="49" t="n">
        <f aca="false">J84+'Navy plan'!J85-IF($A85-Levers!$K$191&gt;=1846,INDEX('Navy plan'!J$6:J$92,$A85-1845-Levers!$K$191),0)</f>
        <v>2</v>
      </c>
      <c r="K85" s="49" t="n">
        <f aca="false">SUM(B85:J85)</f>
        <v>180</v>
      </c>
      <c r="L85" s="56" t="n">
        <f aca="false">0.5*SUMPRODUCT('Navy plan'!B85:J85,'Navy plan'!K85:S85)+0.5*SUMPRODUCT('Navy plan'!B86:J86,'Navy plan'!K86:S86)</f>
        <v>39.8355</v>
      </c>
      <c r="M85" s="49" t="n">
        <f aca="false">SUMPRODUCT(B85:J85,Levers!$C$192:$K$192)</f>
        <v>35340</v>
      </c>
      <c r="N85" s="49" t="n">
        <f aca="false">SUMPRODUCT(B85:J85,Levers!$C$195:$K$195)</f>
        <v>45307.6923076923</v>
      </c>
      <c r="O85" s="49" t="n">
        <f aca="false">N85-M85</f>
        <v>9967.69230769231</v>
      </c>
      <c r="P85" s="56" t="n">
        <f aca="false">M85*sailor_pay*Economy!H85/1000000</f>
        <v>52.4799</v>
      </c>
      <c r="Q85" s="56" t="n">
        <f aca="false">SUMPRODUCT(B85:J85,'Navy plan'!K85:S85)*maint_rate</f>
        <v>44.77</v>
      </c>
      <c r="R85" s="56" t="n">
        <f aca="false">SUMPRODUCT(B85:J85,Levers!$C$193:$K$193)*Economy!H85</f>
        <v>13.596</v>
      </c>
      <c r="S85" s="56" t="n">
        <f aca="false">SUMPRODUCT(B85:J85,Levers!$C$193:$K$193,Levers!$C$194:$K$194)*(1/oil_fuel-1)*Economy!H85</f>
        <v>5.82685714285714</v>
      </c>
      <c r="T85" s="56" t="n">
        <f aca="false">S85+O85*sailor_pay*Economy!H85/1000000</f>
        <v>20.6288802197802</v>
      </c>
      <c r="U85" s="56" t="n">
        <f aca="false">(P85+Q85+R85)*navy_overhead</f>
        <v>16.626885</v>
      </c>
      <c r="V85" s="56" t="n">
        <f aca="false">L85+P85+Q85+R85+U85</f>
        <v>167.308285</v>
      </c>
      <c r="W85" s="72" t="n">
        <f aca="false">Japan!I85</f>
        <v>112.5</v>
      </c>
      <c r="X85" s="56" t="n">
        <f aca="false">IF($A85&gt;=1927,V85+W85,0)</f>
        <v>0</v>
      </c>
      <c r="Y85" s="56" t="n">
        <f aca="false">IF($A85&gt;=1927,pac_quota*X85,V85)</f>
        <v>167.308285</v>
      </c>
      <c r="Z85" s="70" t="n">
        <f aca="false">SUMPRODUCT(B85:J85,Levers!$C$193:$K$193,Levers!$C$194:$K$194)/0.6</f>
        <v>13.7333333333333</v>
      </c>
      <c r="AA85" s="65" t="n">
        <f aca="false">H85</f>
        <v>14</v>
      </c>
      <c r="AB85" s="49" t="n">
        <f aca="false">AA85+'Navy plan'!T85</f>
        <v>24</v>
      </c>
      <c r="AC85" s="65" t="n">
        <f aca="false">'Navy plan'!U85</f>
        <v>24</v>
      </c>
      <c r="AD85" s="65" t="n">
        <f aca="false">'Navy plan'!V85</f>
        <v>18</v>
      </c>
      <c r="AE85" s="70" t="n">
        <f aca="false">IF(AC85&gt;0,AB85/AC85,0)</f>
        <v>1</v>
      </c>
    </row>
    <row r="86" customFormat="false" ht="14.25" hidden="false" customHeight="true" outlineLevel="0" collapsed="false">
      <c r="A86" s="61" t="n">
        <v>1926</v>
      </c>
      <c r="B86" s="49" t="n">
        <f aca="false">B85+'Navy plan'!B86-IF($A86-Levers!$C$191&gt;=1846,INDEX('Navy plan'!B$6:B$92,$A86-1845-Levers!$C$191),0)</f>
        <v>0</v>
      </c>
      <c r="C86" s="49" t="n">
        <f aca="false">C85+'Navy plan'!C86-IF($A86-Levers!$D$191&gt;=1846,INDEX('Navy plan'!C$6:C$92,$A86-1845-Levers!$D$191),0)</f>
        <v>0</v>
      </c>
      <c r="D86" s="49" t="n">
        <f aca="false">D85+'Navy plan'!D86-IF($A86-Levers!$E$191&gt;=1846,INDEX('Navy plan'!D$6:D$92,$A86-1845-Levers!$E$191),0)</f>
        <v>0</v>
      </c>
      <c r="E86" s="49" t="n">
        <f aca="false">E85+'Navy plan'!E86-IF($A86-Levers!$F$191&gt;=1846,INDEX('Navy plan'!E$6:E$92,$A86-1845-Levers!$F$191),0)</f>
        <v>0</v>
      </c>
      <c r="F86" s="49" t="n">
        <f aca="false">F85+'Navy plan'!F86-IF($A86-Levers!$G$191&gt;=1846,INDEX('Navy plan'!F$6:F$92,$A86-1845-Levers!$G$191),0)</f>
        <v>87</v>
      </c>
      <c r="G86" s="49" t="n">
        <f aca="false">G85+'Navy plan'!G86-IF($A86-Levers!$H$191&gt;=1846,INDEX('Navy plan'!G$6:G$92,$A86-1845-Levers!$H$191),0)</f>
        <v>22</v>
      </c>
      <c r="H86" s="49" t="n">
        <f aca="false">H85+'Navy plan'!H86-IF($A86-Levers!$I$191&gt;=1846,INDEX('Navy plan'!H$6:H$92,$A86-1845-Levers!$I$191),0)</f>
        <v>14</v>
      </c>
      <c r="I86" s="49" t="n">
        <f aca="false">I85+'Navy plan'!I86-IF($A86-Levers!$J$191&gt;=1846,INDEX('Navy plan'!I$6:I$92,$A86-1845-Levers!$J$191),0)</f>
        <v>57</v>
      </c>
      <c r="J86" s="49" t="n">
        <f aca="false">J85+'Navy plan'!J86-IF($A86-Levers!$K$191&gt;=1846,INDEX('Navy plan'!J$6:J$92,$A86-1845-Levers!$K$191),0)</f>
        <v>2</v>
      </c>
      <c r="K86" s="49" t="n">
        <f aca="false">SUM(B86:J86)</f>
        <v>182</v>
      </c>
      <c r="L86" s="56" t="n">
        <f aca="false">0.5*SUMPRODUCT('Navy plan'!B86:J86,'Navy plan'!K86:S86)+0.5*SUMPRODUCT('Navy plan'!B87:J87,'Navy plan'!K87:S87)</f>
        <v>28.135</v>
      </c>
      <c r="M86" s="49" t="n">
        <f aca="false">SUMPRODUCT(B86:J86,Levers!$C$192:$K$192)</f>
        <v>35340</v>
      </c>
      <c r="N86" s="49" t="n">
        <f aca="false">SUMPRODUCT(B86:J86,Levers!$C$195:$K$195)</f>
        <v>45307.6923076923</v>
      </c>
      <c r="O86" s="49" t="n">
        <f aca="false">N86-M86</f>
        <v>9967.69230769231</v>
      </c>
      <c r="P86" s="56" t="n">
        <f aca="false">M86*sailor_pay*Economy!H86/1000000</f>
        <v>51.52572</v>
      </c>
      <c r="Q86" s="56" t="n">
        <f aca="false">SUMPRODUCT(B86:J86,'Navy plan'!K86:S86)*maint_rate</f>
        <v>44.38135</v>
      </c>
      <c r="R86" s="56" t="n">
        <f aca="false">SUMPRODUCT(B86:J86,Levers!$C$193:$K$193)*Economy!H86</f>
        <v>13.3488</v>
      </c>
      <c r="S86" s="56" t="n">
        <f aca="false">SUMPRODUCT(B86:J86,Levers!$C$193:$K$193,Levers!$C$194:$K$194)*(1/oil_fuel-1)*Economy!H86</f>
        <v>5.72091428571429</v>
      </c>
      <c r="T86" s="56" t="n">
        <f aca="false">S86+O86*sailor_pay*Economy!H86/1000000</f>
        <v>20.2538096703297</v>
      </c>
      <c r="U86" s="56" t="n">
        <f aca="false">(P86+Q86+R86)*navy_overhead</f>
        <v>16.3883805</v>
      </c>
      <c r="V86" s="56" t="n">
        <f aca="false">L86+P86+Q86+R86+U86</f>
        <v>153.7792505</v>
      </c>
      <c r="W86" s="72" t="n">
        <f aca="false">Japan!I86</f>
        <v>115</v>
      </c>
      <c r="X86" s="56" t="n">
        <f aca="false">IF($A86&gt;=1927,V86+W86,0)</f>
        <v>0</v>
      </c>
      <c r="Y86" s="56" t="n">
        <f aca="false">IF($A86&gt;=1927,pac_quota*X86,V86)</f>
        <v>153.7792505</v>
      </c>
      <c r="Z86" s="70" t="n">
        <f aca="false">SUMPRODUCT(B86:J86,Levers!$C$193:$K$193,Levers!$C$194:$K$194)/0.6</f>
        <v>13.7333333333333</v>
      </c>
      <c r="AA86" s="65" t="n">
        <f aca="false">H86</f>
        <v>14</v>
      </c>
      <c r="AB86" s="49" t="n">
        <f aca="false">AA86+'Navy plan'!T86</f>
        <v>24</v>
      </c>
      <c r="AC86" s="65" t="n">
        <f aca="false">'Navy plan'!U86</f>
        <v>24</v>
      </c>
      <c r="AD86" s="65" t="n">
        <f aca="false">'Navy plan'!V86</f>
        <v>18</v>
      </c>
      <c r="AE86" s="70" t="n">
        <f aca="false">IF(AC86&gt;0,AB86/AC86,0)</f>
        <v>1</v>
      </c>
    </row>
    <row r="87" customFormat="false" ht="14.25" hidden="false" customHeight="true" outlineLevel="0" collapsed="false">
      <c r="A87" s="61" t="n">
        <v>1927</v>
      </c>
      <c r="B87" s="49" t="n">
        <f aca="false">B86+'Navy plan'!B87-IF($A87-Levers!$C$191&gt;=1846,INDEX('Navy plan'!B$6:B$92,$A87-1845-Levers!$C$191),0)</f>
        <v>0</v>
      </c>
      <c r="C87" s="49" t="n">
        <f aca="false">C86+'Navy plan'!C87-IF($A87-Levers!$D$191&gt;=1846,INDEX('Navy plan'!C$6:C$92,$A87-1845-Levers!$D$191),0)</f>
        <v>0</v>
      </c>
      <c r="D87" s="49" t="n">
        <f aca="false">D86+'Navy plan'!D87-IF($A87-Levers!$E$191&gt;=1846,INDEX('Navy plan'!D$6:D$92,$A87-1845-Levers!$E$191),0)</f>
        <v>0</v>
      </c>
      <c r="E87" s="49" t="n">
        <f aca="false">E86+'Navy plan'!E87-IF($A87-Levers!$F$191&gt;=1846,INDEX('Navy plan'!E$6:E$92,$A87-1845-Levers!$F$191),0)</f>
        <v>0</v>
      </c>
      <c r="F87" s="49" t="n">
        <f aca="false">F86+'Navy plan'!F87-IF($A87-Levers!$G$191&gt;=1846,INDEX('Navy plan'!F$6:F$92,$A87-1845-Levers!$G$191),0)</f>
        <v>86</v>
      </c>
      <c r="G87" s="49" t="n">
        <f aca="false">G86+'Navy plan'!G87-IF($A87-Levers!$H$191&gt;=1846,INDEX('Navy plan'!G$6:G$92,$A87-1845-Levers!$H$191),0)</f>
        <v>22</v>
      </c>
      <c r="H87" s="49" t="n">
        <f aca="false">H86+'Navy plan'!H87-IF($A87-Levers!$I$191&gt;=1846,INDEX('Navy plan'!H$6:H$92,$A87-1845-Levers!$I$191),0)</f>
        <v>14</v>
      </c>
      <c r="I87" s="49" t="n">
        <f aca="false">I86+'Navy plan'!I87-IF($A87-Levers!$J$191&gt;=1846,INDEX('Navy plan'!I$6:I$92,$A87-1845-Levers!$J$191),0)</f>
        <v>56</v>
      </c>
      <c r="J87" s="49" t="n">
        <f aca="false">J86+'Navy plan'!J87-IF($A87-Levers!$K$191&gt;=1846,INDEX('Navy plan'!J$6:J$92,$A87-1845-Levers!$K$191),0)</f>
        <v>2</v>
      </c>
      <c r="K87" s="49" t="n">
        <f aca="false">SUM(B87:J87)</f>
        <v>180</v>
      </c>
      <c r="L87" s="56" t="n">
        <f aca="false">0.5*SUMPRODUCT('Navy plan'!B87:J87,'Navy plan'!K87:S87)+0.5*SUMPRODUCT('Navy plan'!B88:J88,'Navy plan'!K88:S88)</f>
        <v>53.863</v>
      </c>
      <c r="M87" s="49" t="n">
        <f aca="false">SUMPRODUCT(B87:J87,Levers!$C$192:$K$192)</f>
        <v>35220</v>
      </c>
      <c r="N87" s="49" t="n">
        <f aca="false">SUMPRODUCT(B87:J87,Levers!$C$195:$K$195)</f>
        <v>45153.8461538462</v>
      </c>
      <c r="O87" s="49" t="n">
        <f aca="false">N87-M87</f>
        <v>9933.84615384616</v>
      </c>
      <c r="P87" s="56" t="n">
        <f aca="false">M87*sailor_pay*Economy!H87/1000000</f>
        <v>50.08284</v>
      </c>
      <c r="Q87" s="56" t="n">
        <f aca="false">SUMPRODUCT(B87:J87,'Navy plan'!K87:S87)*maint_rate</f>
        <v>43.6992</v>
      </c>
      <c r="R87" s="56" t="n">
        <f aca="false">SUMPRODUCT(B87:J87,Levers!$C$193:$K$193)*Economy!H87</f>
        <v>12.956</v>
      </c>
      <c r="S87" s="56" t="n">
        <f aca="false">SUMPRODUCT(B87:J87,Levers!$C$193:$K$193,Levers!$C$194:$K$194)*(1/oil_fuel-1)*Economy!H87</f>
        <v>5.55257142857143</v>
      </c>
      <c r="T87" s="56" t="n">
        <f aca="false">S87+O87*sailor_pay*Economy!H87/1000000</f>
        <v>19.6785006593407</v>
      </c>
      <c r="U87" s="56" t="n">
        <f aca="false">(P87+Q87+R87)*navy_overhead</f>
        <v>16.010706</v>
      </c>
      <c r="V87" s="56" t="n">
        <f aca="false">L87+P87+Q87+R87+U87</f>
        <v>176.611746</v>
      </c>
      <c r="W87" s="72" t="n">
        <f aca="false">Japan!I87</f>
        <v>120</v>
      </c>
      <c r="X87" s="56" t="n">
        <f aca="false">IF($A87&gt;=1927,V87+W87,0)</f>
        <v>296.611746</v>
      </c>
      <c r="Y87" s="56" t="n">
        <f aca="false">IF($A87&gt;=1927,pac_quota*X87,V87)</f>
        <v>192.7976349</v>
      </c>
      <c r="Z87" s="70" t="n">
        <f aca="false">SUMPRODUCT(B87:J87,Levers!$C$193:$K$193,Levers!$C$194:$K$194)/0.6</f>
        <v>13.6666666666667</v>
      </c>
      <c r="AA87" s="65" t="n">
        <f aca="false">H87</f>
        <v>14</v>
      </c>
      <c r="AB87" s="49" t="n">
        <f aca="false">AA87+'Navy plan'!T87</f>
        <v>24</v>
      </c>
      <c r="AC87" s="65" t="n">
        <f aca="false">'Navy plan'!U87</f>
        <v>24</v>
      </c>
      <c r="AD87" s="65" t="n">
        <f aca="false">'Navy plan'!V87</f>
        <v>19</v>
      </c>
      <c r="AE87" s="70" t="n">
        <f aca="false">IF(AC87&gt;0,AB87/AC87,0)</f>
        <v>1</v>
      </c>
    </row>
    <row r="88" customFormat="false" ht="14.25" hidden="false" customHeight="true" outlineLevel="0" collapsed="false">
      <c r="A88" s="61" t="n">
        <v>1928</v>
      </c>
      <c r="B88" s="49" t="n">
        <f aca="false">B87+'Navy plan'!B88-IF($A88-Levers!$C$191&gt;=1846,INDEX('Navy plan'!B$6:B$92,$A88-1845-Levers!$C$191),0)</f>
        <v>0</v>
      </c>
      <c r="C88" s="49" t="n">
        <f aca="false">C87+'Navy plan'!C88-IF($A88-Levers!$D$191&gt;=1846,INDEX('Navy plan'!C$6:C$92,$A88-1845-Levers!$D$191),0)</f>
        <v>0</v>
      </c>
      <c r="D88" s="49" t="n">
        <f aca="false">D87+'Navy plan'!D88-IF($A88-Levers!$E$191&gt;=1846,INDEX('Navy plan'!D$6:D$92,$A88-1845-Levers!$E$191),0)</f>
        <v>0</v>
      </c>
      <c r="E88" s="49" t="n">
        <f aca="false">E87+'Navy plan'!E88-IF($A88-Levers!$F$191&gt;=1846,INDEX('Navy plan'!E$6:E$92,$A88-1845-Levers!$F$191),0)</f>
        <v>0</v>
      </c>
      <c r="F88" s="49" t="n">
        <f aca="false">F87+'Navy plan'!F88-IF($A88-Levers!$G$191&gt;=1846,INDEX('Navy plan'!F$6:F$92,$A88-1845-Levers!$G$191),0)</f>
        <v>85</v>
      </c>
      <c r="G88" s="49" t="n">
        <f aca="false">G87+'Navy plan'!G88-IF($A88-Levers!$H$191&gt;=1846,INDEX('Navy plan'!G$6:G$92,$A88-1845-Levers!$H$191),0)</f>
        <v>22</v>
      </c>
      <c r="H88" s="49" t="n">
        <f aca="false">H87+'Navy plan'!H88-IF($A88-Levers!$I$191&gt;=1846,INDEX('Navy plan'!H$6:H$92,$A88-1845-Levers!$I$191),0)</f>
        <v>14</v>
      </c>
      <c r="I88" s="49" t="n">
        <f aca="false">I87+'Navy plan'!I88-IF($A88-Levers!$J$191&gt;=1846,INDEX('Navy plan'!I$6:I$92,$A88-1845-Levers!$J$191),0)</f>
        <v>59</v>
      </c>
      <c r="J88" s="49" t="n">
        <f aca="false">J87+'Navy plan'!J88-IF($A88-Levers!$K$191&gt;=1846,INDEX('Navy plan'!J$6:J$92,$A88-1845-Levers!$K$191),0)</f>
        <v>3</v>
      </c>
      <c r="K88" s="49" t="n">
        <f aca="false">SUM(B88:J88)</f>
        <v>183</v>
      </c>
      <c r="L88" s="56" t="n">
        <f aca="false">0.5*SUMPRODUCT('Navy plan'!B88:J88,'Navy plan'!K88:S88)+0.5*SUMPRODUCT('Navy plan'!B89:J89,'Navy plan'!K89:S89)</f>
        <v>53.1645</v>
      </c>
      <c r="M88" s="49" t="n">
        <f aca="false">SUMPRODUCT(B88:J88,Levers!$C$192:$K$192)</f>
        <v>36720</v>
      </c>
      <c r="N88" s="49" t="n">
        <f aca="false">SUMPRODUCT(B88:J88,Levers!$C$195:$K$195)</f>
        <v>47076.9230769231</v>
      </c>
      <c r="O88" s="49" t="n">
        <f aca="false">N88-M88</f>
        <v>10356.9230769231</v>
      </c>
      <c r="P88" s="56" t="n">
        <f aca="false">M88*sailor_pay*Economy!H88/1000000</f>
        <v>52.8768</v>
      </c>
      <c r="Q88" s="56" t="n">
        <f aca="false">SUMPRODUCT(B88:J88,'Navy plan'!K88:S88)*maint_rate</f>
        <v>44.56055</v>
      </c>
      <c r="R88" s="56" t="n">
        <f aca="false">SUMPRODUCT(B88:J88,Levers!$C$193:$K$193)*Economy!H88</f>
        <v>13.52</v>
      </c>
      <c r="S88" s="56" t="n">
        <f aca="false">SUMPRODUCT(B88:J88,Levers!$C$193:$K$193,Levers!$C$194:$K$194)*(1/oil_fuel-1)*Economy!H88</f>
        <v>5.79428571428571</v>
      </c>
      <c r="T88" s="56" t="n">
        <f aca="false">S88+O88*sailor_pay*Economy!H88/1000000</f>
        <v>20.7082549450549</v>
      </c>
      <c r="U88" s="56" t="n">
        <f aca="false">(P88+Q88+R88)*navy_overhead</f>
        <v>16.6436025</v>
      </c>
      <c r="V88" s="56" t="n">
        <f aca="false">L88+P88+Q88+R88+U88</f>
        <v>180.7654525</v>
      </c>
      <c r="W88" s="72" t="n">
        <f aca="false">Japan!I88</f>
        <v>120</v>
      </c>
      <c r="X88" s="56" t="n">
        <f aca="false">IF($A88&gt;=1927,V88+W88,0)</f>
        <v>300.7654525</v>
      </c>
      <c r="Y88" s="56" t="n">
        <f aca="false">IF($A88&gt;=1927,pac_quota*X88,V88)</f>
        <v>195.497544125</v>
      </c>
      <c r="Z88" s="70" t="n">
        <f aca="false">SUMPRODUCT(B88:J88,Levers!$C$193:$K$193,Levers!$C$194:$K$194)/0.6</f>
        <v>14.0833333333333</v>
      </c>
      <c r="AA88" s="65" t="n">
        <f aca="false">H88</f>
        <v>14</v>
      </c>
      <c r="AB88" s="49" t="n">
        <f aca="false">AA88+'Navy plan'!T88</f>
        <v>24</v>
      </c>
      <c r="AC88" s="65" t="n">
        <f aca="false">'Navy plan'!U88</f>
        <v>24</v>
      </c>
      <c r="AD88" s="65" t="n">
        <f aca="false">'Navy plan'!V88</f>
        <v>20</v>
      </c>
      <c r="AE88" s="70" t="n">
        <f aca="false">IF(AC88&gt;0,AB88/AC88,0)</f>
        <v>1</v>
      </c>
    </row>
    <row r="89" customFormat="false" ht="14.25" hidden="false" customHeight="true" outlineLevel="0" collapsed="false">
      <c r="A89" s="61" t="n">
        <v>1929</v>
      </c>
      <c r="B89" s="49" t="n">
        <f aca="false">B88+'Navy plan'!B89-IF($A89-Levers!$C$191&gt;=1846,INDEX('Navy plan'!B$6:B$92,$A89-1845-Levers!$C$191),0)</f>
        <v>0</v>
      </c>
      <c r="C89" s="49" t="n">
        <f aca="false">C88+'Navy plan'!C89-IF($A89-Levers!$D$191&gt;=1846,INDEX('Navy plan'!C$6:C$92,$A89-1845-Levers!$D$191),0)</f>
        <v>0</v>
      </c>
      <c r="D89" s="49" t="n">
        <f aca="false">D88+'Navy plan'!D89-IF($A89-Levers!$E$191&gt;=1846,INDEX('Navy plan'!D$6:D$92,$A89-1845-Levers!$E$191),0)</f>
        <v>0</v>
      </c>
      <c r="E89" s="49" t="n">
        <f aca="false">E88+'Navy plan'!E89-IF($A89-Levers!$F$191&gt;=1846,INDEX('Navy plan'!E$6:E$92,$A89-1845-Levers!$F$191),0)</f>
        <v>0</v>
      </c>
      <c r="F89" s="49" t="n">
        <f aca="false">F88+'Navy plan'!F89-IF($A89-Levers!$G$191&gt;=1846,INDEX('Navy plan'!F$6:F$92,$A89-1845-Levers!$G$191),0)</f>
        <v>84</v>
      </c>
      <c r="G89" s="49" t="n">
        <f aca="false">G88+'Navy plan'!G89-IF($A89-Levers!$H$191&gt;=1846,INDEX('Navy plan'!G$6:G$92,$A89-1845-Levers!$H$191),0)</f>
        <v>21</v>
      </c>
      <c r="H89" s="49" t="n">
        <f aca="false">H88+'Navy plan'!H89-IF($A89-Levers!$I$191&gt;=1846,INDEX('Navy plan'!H$6:H$92,$A89-1845-Levers!$I$191),0)</f>
        <v>14</v>
      </c>
      <c r="I89" s="49" t="n">
        <f aca="false">I88+'Navy plan'!I89-IF($A89-Levers!$J$191&gt;=1846,INDEX('Navy plan'!I$6:I$92,$A89-1845-Levers!$J$191),0)</f>
        <v>56</v>
      </c>
      <c r="J89" s="49" t="n">
        <f aca="false">J88+'Navy plan'!J89-IF($A89-Levers!$K$191&gt;=1846,INDEX('Navy plan'!J$6:J$92,$A89-1845-Levers!$K$191),0)</f>
        <v>3</v>
      </c>
      <c r="K89" s="49" t="n">
        <f aca="false">SUM(B89:J89)</f>
        <v>178</v>
      </c>
      <c r="L89" s="56" t="n">
        <f aca="false">0.5*SUMPRODUCT('Navy plan'!B89:J89,'Navy plan'!K89:S89)+0.5*SUMPRODUCT('Navy plan'!B90:J90,'Navy plan'!K90:S90)</f>
        <v>37.2945</v>
      </c>
      <c r="M89" s="49" t="n">
        <f aca="false">SUMPRODUCT(B89:J89,Levers!$C$192:$K$192)</f>
        <v>36140</v>
      </c>
      <c r="N89" s="49" t="n">
        <f aca="false">SUMPRODUCT(B89:J89,Levers!$C$195:$K$195)</f>
        <v>46333.3333333333</v>
      </c>
      <c r="O89" s="49" t="n">
        <f aca="false">N89-M89</f>
        <v>10193.3333333333</v>
      </c>
      <c r="P89" s="56" t="n">
        <f aca="false">M89*sailor_pay*Economy!H89/1000000</f>
        <v>52.0416</v>
      </c>
      <c r="Q89" s="56" t="n">
        <f aca="false">SUMPRODUCT(B89:J89,'Navy plan'!K89:S89)*maint_rate</f>
        <v>43.17225</v>
      </c>
      <c r="R89" s="56" t="n">
        <f aca="false">SUMPRODUCT(B89:J89,Levers!$C$193:$K$193)*Economy!H89</f>
        <v>13.296</v>
      </c>
      <c r="S89" s="56" t="n">
        <f aca="false">SUMPRODUCT(B89:J89,Levers!$C$193:$K$193,Levers!$C$194:$K$194)*(1/oil_fuel-1)*Economy!H89</f>
        <v>5.69828571428572</v>
      </c>
      <c r="T89" s="56" t="n">
        <f aca="false">S89+O89*sailor_pay*Economy!H89/1000000</f>
        <v>20.3766857142857</v>
      </c>
      <c r="U89" s="56" t="n">
        <f aca="false">(P89+Q89+R89)*navy_overhead</f>
        <v>16.2764775</v>
      </c>
      <c r="V89" s="56" t="n">
        <f aca="false">L89+P89+Q89+R89+U89</f>
        <v>162.0808275</v>
      </c>
      <c r="W89" s="72" t="n">
        <f aca="false">Japan!I89</f>
        <v>120</v>
      </c>
      <c r="X89" s="56" t="n">
        <f aca="false">IF($A89&gt;=1927,V89+W89,0)</f>
        <v>282.0808275</v>
      </c>
      <c r="Y89" s="56" t="n">
        <f aca="false">IF($A89&gt;=1927,pac_quota*X89,V89)</f>
        <v>183.352537875</v>
      </c>
      <c r="Z89" s="70" t="n">
        <f aca="false">SUMPRODUCT(B89:J89,Levers!$C$193:$K$193,Levers!$C$194:$K$194)/0.6</f>
        <v>13.85</v>
      </c>
      <c r="AA89" s="65" t="n">
        <f aca="false">H89</f>
        <v>14</v>
      </c>
      <c r="AB89" s="49" t="n">
        <f aca="false">AA89+'Navy plan'!T89</f>
        <v>24</v>
      </c>
      <c r="AC89" s="65" t="n">
        <f aca="false">'Navy plan'!U89</f>
        <v>24</v>
      </c>
      <c r="AD89" s="65" t="n">
        <f aca="false">'Navy plan'!V89</f>
        <v>21</v>
      </c>
      <c r="AE89" s="70" t="n">
        <f aca="false">IF(AC89&gt;0,AB89/AC89,0)</f>
        <v>1</v>
      </c>
    </row>
    <row r="90" customFormat="false" ht="14.25" hidden="false" customHeight="true" outlineLevel="0" collapsed="false">
      <c r="A90" s="61" t="n">
        <v>1930</v>
      </c>
      <c r="B90" s="49" t="n">
        <f aca="false">B89+'Navy plan'!B90-IF($A90-Levers!$C$191&gt;=1846,INDEX('Navy plan'!B$6:B$92,$A90-1845-Levers!$C$191),0)</f>
        <v>0</v>
      </c>
      <c r="C90" s="49" t="n">
        <f aca="false">C89+'Navy plan'!C90-IF($A90-Levers!$D$191&gt;=1846,INDEX('Navy plan'!C$6:C$92,$A90-1845-Levers!$D$191),0)</f>
        <v>0</v>
      </c>
      <c r="D90" s="49" t="n">
        <f aca="false">D89+'Navy plan'!D90-IF($A90-Levers!$E$191&gt;=1846,INDEX('Navy plan'!D$6:D$92,$A90-1845-Levers!$E$191),0)</f>
        <v>0</v>
      </c>
      <c r="E90" s="49" t="n">
        <f aca="false">E89+'Navy plan'!E90-IF($A90-Levers!$F$191&gt;=1846,INDEX('Navy plan'!E$6:E$92,$A90-1845-Levers!$F$191),0)</f>
        <v>0</v>
      </c>
      <c r="F90" s="49" t="n">
        <f aca="false">F89+'Navy plan'!F90-IF($A90-Levers!$G$191&gt;=1846,INDEX('Navy plan'!F$6:F$92,$A90-1845-Levers!$G$191),0)</f>
        <v>84</v>
      </c>
      <c r="G90" s="49" t="n">
        <f aca="false">G89+'Navy plan'!G90-IF($A90-Levers!$H$191&gt;=1846,INDEX('Navy plan'!G$6:G$92,$A90-1845-Levers!$H$191),0)</f>
        <v>23</v>
      </c>
      <c r="H90" s="49" t="n">
        <f aca="false">H89+'Navy plan'!H90-IF($A90-Levers!$I$191&gt;=1846,INDEX('Navy plan'!H$6:H$92,$A90-1845-Levers!$I$191),0)</f>
        <v>14</v>
      </c>
      <c r="I90" s="49" t="n">
        <f aca="false">I89+'Navy plan'!I90-IF($A90-Levers!$J$191&gt;=1846,INDEX('Navy plan'!I$6:I$92,$A90-1845-Levers!$J$191),0)</f>
        <v>51</v>
      </c>
      <c r="J90" s="49" t="n">
        <f aca="false">J89+'Navy plan'!J90-IF($A90-Levers!$K$191&gt;=1846,INDEX('Navy plan'!J$6:J$92,$A90-1845-Levers!$K$191),0)</f>
        <v>3</v>
      </c>
      <c r="K90" s="49" t="n">
        <f aca="false">SUM(B90:J90)</f>
        <v>175</v>
      </c>
      <c r="L90" s="56" t="n">
        <f aca="false">0.5*SUMPRODUCT('Navy plan'!B90:J90,'Navy plan'!K90:S90)+0.5*SUMPRODUCT('Navy plan'!B91:J91,'Navy plan'!K91:S91)</f>
        <v>45.337</v>
      </c>
      <c r="M90" s="49" t="n">
        <f aca="false">SUMPRODUCT(B90:J90,Levers!$C$192:$K$192)</f>
        <v>36790</v>
      </c>
      <c r="N90" s="49" t="n">
        <f aca="false">SUMPRODUCT(B90:J90,Levers!$C$195:$K$195)</f>
        <v>47166.6666666667</v>
      </c>
      <c r="O90" s="49" t="n">
        <f aca="false">N90-M90</f>
        <v>10376.6666666667</v>
      </c>
      <c r="P90" s="56" t="n">
        <f aca="false">M90*sailor_pay*Economy!H90/1000000</f>
        <v>51.586938</v>
      </c>
      <c r="Q90" s="56" t="n">
        <f aca="false">SUMPRODUCT(B90:J90,'Navy plan'!K90:S90)*maint_rate</f>
        <v>43.13215</v>
      </c>
      <c r="R90" s="56" t="n">
        <f aca="false">SUMPRODUCT(B90:J90,Levers!$C$193:$K$193)*Economy!H90</f>
        <v>13.11836</v>
      </c>
      <c r="S90" s="56" t="n">
        <f aca="false">SUMPRODUCT(B90:J90,Levers!$C$193:$K$193,Levers!$C$194:$K$194)*(1/oil_fuel-1)*Economy!H90</f>
        <v>5.62215428571429</v>
      </c>
      <c r="T90" s="56" t="n">
        <f aca="false">S90+O90*sailor_pay*Economy!H90/1000000</f>
        <v>20.1723162857143</v>
      </c>
      <c r="U90" s="56" t="n">
        <f aca="false">(P90+Q90+R90)*navy_overhead</f>
        <v>16.1756172</v>
      </c>
      <c r="V90" s="56" t="n">
        <f aca="false">L90+P90+Q90+R90+U90</f>
        <v>169.3500652</v>
      </c>
      <c r="W90" s="72" t="n">
        <f aca="false">Japan!I90</f>
        <v>120</v>
      </c>
      <c r="X90" s="56" t="n">
        <f aca="false">IF($A90&gt;=1927,V90+W90,0)</f>
        <v>289.3500652</v>
      </c>
      <c r="Y90" s="56" t="n">
        <f aca="false">IF($A90&gt;=1927,pac_quota*X90,V90)</f>
        <v>188.07754238</v>
      </c>
      <c r="Z90" s="70" t="n">
        <f aca="false">SUMPRODUCT(B90:J90,Levers!$C$193:$K$193,Levers!$C$194:$K$194)/0.6</f>
        <v>14.0333333333333</v>
      </c>
      <c r="AA90" s="65" t="n">
        <f aca="false">H90</f>
        <v>14</v>
      </c>
      <c r="AB90" s="49" t="n">
        <f aca="false">AA90+'Navy plan'!T90</f>
        <v>24</v>
      </c>
      <c r="AC90" s="65" t="n">
        <f aca="false">'Navy plan'!U90</f>
        <v>24</v>
      </c>
      <c r="AD90" s="65" t="n">
        <f aca="false">'Navy plan'!V90</f>
        <v>21</v>
      </c>
      <c r="AE90" s="70" t="n">
        <f aca="false">IF(AC90&gt;0,AB90/AC90,0)</f>
        <v>1</v>
      </c>
    </row>
    <row r="91" customFormat="false" ht="14.25" hidden="false" customHeight="true" outlineLevel="0" collapsed="false">
      <c r="A91" s="61" t="n">
        <v>1931</v>
      </c>
      <c r="B91" s="49" t="n">
        <f aca="false">B90+'Navy plan'!B91-IF($A91-Levers!$C$191&gt;=1846,INDEX('Navy plan'!B$6:B$92,$A91-1845-Levers!$C$191),0)</f>
        <v>0</v>
      </c>
      <c r="C91" s="49" t="n">
        <f aca="false">C90+'Navy plan'!C91-IF($A91-Levers!$D$191&gt;=1846,INDEX('Navy plan'!C$6:C$92,$A91-1845-Levers!$D$191),0)</f>
        <v>0</v>
      </c>
      <c r="D91" s="49" t="n">
        <f aca="false">D90+'Navy plan'!D91-IF($A91-Levers!$E$191&gt;=1846,INDEX('Navy plan'!D$6:D$92,$A91-1845-Levers!$E$191),0)</f>
        <v>0</v>
      </c>
      <c r="E91" s="49" t="n">
        <f aca="false">E90+'Navy plan'!E91-IF($A91-Levers!$F$191&gt;=1846,INDEX('Navy plan'!E$6:E$92,$A91-1845-Levers!$F$191),0)</f>
        <v>0</v>
      </c>
      <c r="F91" s="49" t="n">
        <f aca="false">F90+'Navy plan'!F91-IF($A91-Levers!$G$191&gt;=1846,INDEX('Navy plan'!F$6:F$92,$A91-1845-Levers!$G$191),0)</f>
        <v>84</v>
      </c>
      <c r="G91" s="49" t="n">
        <f aca="false">G90+'Navy plan'!G91-IF($A91-Levers!$H$191&gt;=1846,INDEX('Navy plan'!G$6:G$92,$A91-1845-Levers!$H$191),0)</f>
        <v>21</v>
      </c>
      <c r="H91" s="49" t="n">
        <f aca="false">H90+'Navy plan'!H91-IF($A91-Levers!$I$191&gt;=1846,INDEX('Navy plan'!H$6:H$92,$A91-1845-Levers!$I$191),0)</f>
        <v>14</v>
      </c>
      <c r="I91" s="49" t="n">
        <f aca="false">I90+'Navy plan'!I91-IF($A91-Levers!$J$191&gt;=1846,INDEX('Navy plan'!I$6:I$92,$A91-1845-Levers!$J$191),0)</f>
        <v>46</v>
      </c>
      <c r="J91" s="49" t="n">
        <f aca="false">J90+'Navy plan'!J91-IF($A91-Levers!$K$191&gt;=1846,INDEX('Navy plan'!J$6:J$92,$A91-1845-Levers!$K$191),0)</f>
        <v>4</v>
      </c>
      <c r="K91" s="49" t="n">
        <f aca="false">SUM(B91:J91)</f>
        <v>169</v>
      </c>
      <c r="L91" s="56" t="n">
        <f aca="false">0.5*SUMPRODUCT('Navy plan'!B91:J91,'Navy plan'!K91:S91)+0.5*SUMPRODUCT('Navy plan'!B92:J92,'Navy plan'!K92:S92)</f>
        <v>48.3935</v>
      </c>
      <c r="M91" s="49" t="n">
        <f aca="false">SUMPRODUCT(B91:J91,Levers!$C$192:$K$192)</f>
        <v>37340</v>
      </c>
      <c r="N91" s="49" t="n">
        <f aca="false">SUMPRODUCT(B91:J91,Levers!$C$195:$K$195)</f>
        <v>47871.7948717949</v>
      </c>
      <c r="O91" s="49" t="n">
        <f aca="false">N91-M91</f>
        <v>10531.7948717949</v>
      </c>
      <c r="P91" s="56" t="n">
        <f aca="false">M91*sailor_pay*Economy!H91/1000000</f>
        <v>49.131972</v>
      </c>
      <c r="Q91" s="56" t="n">
        <f aca="false">SUMPRODUCT(B91:J91,'Navy plan'!K91:S91)*maint_rate</f>
        <v>42.49445</v>
      </c>
      <c r="R91" s="56" t="n">
        <f aca="false">SUMPRODUCT(B91:J91,Levers!$C$193:$K$193)*Economy!H91</f>
        <v>12.36852</v>
      </c>
      <c r="S91" s="56" t="n">
        <f aca="false">SUMPRODUCT(B91:J91,Levers!$C$193:$K$193,Levers!$C$194:$K$194)*(1/oil_fuel-1)*Economy!H91</f>
        <v>5.30079428571429</v>
      </c>
      <c r="T91" s="56" t="n">
        <f aca="false">S91+O91*sailor_pay*Economy!H91/1000000</f>
        <v>19.158529978022</v>
      </c>
      <c r="U91" s="56" t="n">
        <f aca="false">(P91+Q91+R91)*navy_overhead</f>
        <v>15.5992413</v>
      </c>
      <c r="V91" s="56" t="n">
        <f aca="false">L91+P91+Q91+R91+U91</f>
        <v>167.9876833</v>
      </c>
      <c r="W91" s="72" t="n">
        <f aca="false">Japan!I91</f>
        <v>120</v>
      </c>
      <c r="X91" s="56" t="n">
        <f aca="false">IF($A91&gt;=1927,V91+W91,0)</f>
        <v>287.9876833</v>
      </c>
      <c r="Y91" s="56" t="n">
        <f aca="false">IF($A91&gt;=1927,pac_quota*X91,V91)</f>
        <v>187.191994145</v>
      </c>
      <c r="Z91" s="70" t="n">
        <f aca="false">SUMPRODUCT(B91:J91,Levers!$C$193:$K$193,Levers!$C$194:$K$194)/0.6</f>
        <v>14.1</v>
      </c>
      <c r="AA91" s="65" t="n">
        <f aca="false">H91</f>
        <v>14</v>
      </c>
      <c r="AB91" s="49" t="n">
        <f aca="false">AA91+'Navy plan'!T91</f>
        <v>24</v>
      </c>
      <c r="AC91" s="65" t="n">
        <f aca="false">'Navy plan'!U91</f>
        <v>24</v>
      </c>
      <c r="AD91" s="65" t="n">
        <f aca="false">'Navy plan'!V91</f>
        <v>21</v>
      </c>
      <c r="AE91" s="70" t="n">
        <f aca="false">IF(AC91&gt;0,AB91/AC91,0)</f>
        <v>1</v>
      </c>
    </row>
    <row r="92" customFormat="false" ht="14.25" hidden="false" customHeight="true" outlineLevel="0" collapsed="false">
      <c r="A92" s="61" t="n">
        <v>1932</v>
      </c>
      <c r="B92" s="49" t="n">
        <f aca="false">B91+'Navy plan'!B92-IF($A92-Levers!$C$191&gt;=1846,INDEX('Navy plan'!B$6:B$92,$A92-1845-Levers!$C$191),0)</f>
        <v>0</v>
      </c>
      <c r="C92" s="49" t="n">
        <f aca="false">C91+'Navy plan'!C92-IF($A92-Levers!$D$191&gt;=1846,INDEX('Navy plan'!C$6:C$92,$A92-1845-Levers!$D$191),0)</f>
        <v>0</v>
      </c>
      <c r="D92" s="49" t="n">
        <f aca="false">D91+'Navy plan'!D92-IF($A92-Levers!$E$191&gt;=1846,INDEX('Navy plan'!D$6:D$92,$A92-1845-Levers!$E$191),0)</f>
        <v>0</v>
      </c>
      <c r="E92" s="49" t="n">
        <f aca="false">E91+'Navy plan'!E92-IF($A92-Levers!$F$191&gt;=1846,INDEX('Navy plan'!E$6:E$92,$A92-1845-Levers!$F$191),0)</f>
        <v>0</v>
      </c>
      <c r="F92" s="49" t="n">
        <f aca="false">F91+'Navy plan'!F92-IF($A92-Levers!$G$191&gt;=1846,INDEX('Navy plan'!F$6:F$92,$A92-1845-Levers!$G$191),0)</f>
        <v>82</v>
      </c>
      <c r="G92" s="49" t="n">
        <f aca="false">G91+'Navy plan'!G92-IF($A92-Levers!$H$191&gt;=1846,INDEX('Navy plan'!G$6:G$92,$A92-1845-Levers!$H$191),0)</f>
        <v>21</v>
      </c>
      <c r="H92" s="49" t="n">
        <f aca="false">H91+'Navy plan'!H92-IF($A92-Levers!$I$191&gt;=1846,INDEX('Navy plan'!H$6:H$92,$A92-1845-Levers!$I$191),0)</f>
        <v>14</v>
      </c>
      <c r="I92" s="49" t="n">
        <f aca="false">I91+'Navy plan'!I92-IF($A92-Levers!$J$191&gt;=1846,INDEX('Navy plan'!I$6:I$92,$A92-1845-Levers!$J$191),0)</f>
        <v>41</v>
      </c>
      <c r="J92" s="49" t="n">
        <f aca="false">J91+'Navy plan'!J92-IF($A92-Levers!$K$191&gt;=1846,INDEX('Navy plan'!J$6:J$92,$A92-1845-Levers!$K$191),0)</f>
        <v>4</v>
      </c>
      <c r="K92" s="49" t="n">
        <f aca="false">SUM(B92:J92)</f>
        <v>162</v>
      </c>
      <c r="L92" s="56" t="n">
        <f aca="false">0.5*SUMPRODUCT('Navy plan'!B92:J92,'Navy plan'!K92:S92)+0.5*SUMPRODUCT('Navy plan'!B93:J93,'Navy plan'!K93:S93)</f>
        <v>17.8</v>
      </c>
      <c r="M92" s="49" t="n">
        <f aca="false">SUMPRODUCT(B92:J92,Levers!$C$192:$K$192)</f>
        <v>37010</v>
      </c>
      <c r="N92" s="49" t="n">
        <f aca="false">SUMPRODUCT(B92:J92,Levers!$C$195:$K$195)</f>
        <v>47448.7179487179</v>
      </c>
      <c r="O92" s="49" t="n">
        <f aca="false">N92-M92</f>
        <v>10438.7179487179</v>
      </c>
      <c r="P92" s="56" t="n">
        <f aca="false">M92*sailor_pay*Economy!H92/1000000</f>
        <v>45.699948</v>
      </c>
      <c r="Q92" s="56" t="n">
        <f aca="false">SUMPRODUCT(B92:J92,'Navy plan'!K92:S92)*maint_rate</f>
        <v>41.38</v>
      </c>
      <c r="R92" s="56" t="n">
        <f aca="false">SUMPRODUCT(B92:J92,Levers!$C$193:$K$193)*Economy!H92</f>
        <v>11.4562</v>
      </c>
      <c r="S92" s="56" t="n">
        <f aca="false">SUMPRODUCT(B92:J92,Levers!$C$193:$K$193,Levers!$C$194:$K$194)*(1/oil_fuel-1)*Economy!H92</f>
        <v>4.9098</v>
      </c>
      <c r="T92" s="56" t="n">
        <f aca="false">S92+O92*sailor_pay*Economy!H92/1000000</f>
        <v>17.7995289230769</v>
      </c>
      <c r="U92" s="56" t="n">
        <f aca="false">(P92+Q92+R92)*navy_overhead</f>
        <v>14.7804222</v>
      </c>
      <c r="V92" s="56" t="n">
        <f aca="false">L92+P92+Q92+R92+U92</f>
        <v>131.1165702</v>
      </c>
      <c r="W92" s="72" t="n">
        <f aca="false">Japan!I92</f>
        <v>120</v>
      </c>
      <c r="X92" s="56" t="n">
        <f aca="false">IF($A92&gt;=1927,V92+W92,0)</f>
        <v>251.1165702</v>
      </c>
      <c r="Y92" s="56" t="n">
        <f aca="false">IF($A92&gt;=1927,pac_quota*X92,V92)</f>
        <v>163.22577063</v>
      </c>
      <c r="Z92" s="70" t="n">
        <f aca="false">SUMPRODUCT(B92:J92,Levers!$C$193:$K$193,Levers!$C$194:$K$194)/0.6</f>
        <v>13.9166666666667</v>
      </c>
      <c r="AA92" s="65" t="n">
        <f aca="false">H92</f>
        <v>14</v>
      </c>
      <c r="AB92" s="49" t="n">
        <f aca="false">AA92+'Navy plan'!T92</f>
        <v>24</v>
      </c>
      <c r="AC92" s="65" t="n">
        <f aca="false">'Navy plan'!U92</f>
        <v>24</v>
      </c>
      <c r="AD92" s="65" t="n">
        <f aca="false">'Navy plan'!V92</f>
        <v>21</v>
      </c>
      <c r="AE92" s="70" t="n">
        <f aca="false">IF(AC92&gt;0,AB92/AC92,0)</f>
        <v>1</v>
      </c>
    </row>
  </sheetData>
  <mergeCells count="7">
    <mergeCell ref="B4:J4"/>
    <mergeCell ref="N4:O4"/>
    <mergeCell ref="P4:R4"/>
    <mergeCell ref="S4:T4"/>
    <mergeCell ref="U4:V4"/>
    <mergeCell ref="W4:Y4"/>
    <mergeCell ref="AA4:AE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P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29" min="2" style="1" width="12.44"/>
    <col collapsed="false" customWidth="true" hidden="false" outlineLevel="0" max="42" min="30" style="1" width="18"/>
  </cols>
  <sheetData>
    <row r="1" customFormat="false" ht="18" hidden="false" customHeight="true" outlineLevel="0" collapsed="false">
      <c r="A1" s="19" t="s">
        <v>41</v>
      </c>
    </row>
    <row r="2" customFormat="false" ht="14.25" hidden="false" customHeight="true" outlineLevel="0" collapsed="false">
      <c r="A2" s="3" t="s">
        <v>1785</v>
      </c>
      <c r="AD2" s="1" t="s">
        <v>1786</v>
      </c>
    </row>
    <row r="3" customFormat="false" ht="14.25" hidden="false" customHeight="true" outlineLevel="0" collapsed="false">
      <c r="A3" s="20" t="s">
        <v>1315</v>
      </c>
      <c r="AD3" s="1" t="str">
        <f aca="false">Levers!F4</f>
        <v>Story case</v>
      </c>
    </row>
    <row r="4" customFormat="false" ht="14.25" hidden="false" customHeight="true" outlineLevel="0" collapsed="false">
      <c r="B4" s="58" t="s">
        <v>65</v>
      </c>
      <c r="C4" s="58"/>
      <c r="D4" s="58"/>
      <c r="E4" s="58" t="s">
        <v>69</v>
      </c>
      <c r="F4" s="58"/>
      <c r="G4" s="58"/>
      <c r="H4" s="58"/>
      <c r="I4" s="58"/>
      <c r="J4" s="58"/>
      <c r="K4" s="58"/>
      <c r="L4" s="58"/>
      <c r="M4" s="58"/>
      <c r="N4" s="58"/>
      <c r="O4" s="58"/>
      <c r="P4" s="58"/>
      <c r="Q4" s="58"/>
      <c r="R4" s="58"/>
      <c r="S4" s="58" t="s">
        <v>1320</v>
      </c>
      <c r="T4" s="58"/>
      <c r="U4" s="58"/>
      <c r="V4" s="58"/>
      <c r="W4" s="58"/>
      <c r="X4" s="58" t="s">
        <v>1787</v>
      </c>
      <c r="Y4" s="58"/>
      <c r="Z4" s="58"/>
      <c r="AA4" s="58"/>
      <c r="AB4" s="58"/>
      <c r="AC4" s="58"/>
    </row>
    <row r="5" customFormat="false" ht="54" hidden="false" customHeight="true" outlineLevel="0" collapsed="false">
      <c r="A5" s="60" t="s">
        <v>103</v>
      </c>
      <c r="B5" s="7" t="s">
        <v>1788</v>
      </c>
      <c r="C5" s="7" t="s">
        <v>1789</v>
      </c>
      <c r="D5" s="7" t="s">
        <v>1790</v>
      </c>
      <c r="E5" s="7" t="s">
        <v>1791</v>
      </c>
      <c r="F5" s="7" t="s">
        <v>1792</v>
      </c>
      <c r="G5" s="7" t="s">
        <v>1793</v>
      </c>
      <c r="H5" s="7" t="s">
        <v>1794</v>
      </c>
      <c r="I5" s="7" t="s">
        <v>1795</v>
      </c>
      <c r="J5" s="7" t="s">
        <v>1796</v>
      </c>
      <c r="K5" s="7" t="s">
        <v>1797</v>
      </c>
      <c r="L5" s="7" t="s">
        <v>1798</v>
      </c>
      <c r="M5" s="7" t="s">
        <v>1799</v>
      </c>
      <c r="N5" s="7" t="s">
        <v>1800</v>
      </c>
      <c r="O5" s="7" t="s">
        <v>1801</v>
      </c>
      <c r="P5" s="7" t="s">
        <v>1802</v>
      </c>
      <c r="Q5" s="7" t="s">
        <v>1803</v>
      </c>
      <c r="R5" s="7" t="s">
        <v>1804</v>
      </c>
      <c r="S5" s="7" t="s">
        <v>1805</v>
      </c>
      <c r="T5" s="7" t="s">
        <v>1806</v>
      </c>
      <c r="U5" s="7" t="s">
        <v>1807</v>
      </c>
      <c r="V5" s="7" t="s">
        <v>1808</v>
      </c>
      <c r="W5" s="7" t="s">
        <v>1809</v>
      </c>
      <c r="X5" s="7" t="s">
        <v>1810</v>
      </c>
      <c r="Y5" s="7" t="s">
        <v>1811</v>
      </c>
      <c r="Z5" s="7" t="s">
        <v>1812</v>
      </c>
      <c r="AA5" s="7" t="s">
        <v>31</v>
      </c>
      <c r="AB5" s="7" t="s">
        <v>1813</v>
      </c>
      <c r="AC5" s="7" t="s">
        <v>1814</v>
      </c>
      <c r="AD5" s="90" t="s">
        <v>1815</v>
      </c>
      <c r="AE5" s="90" t="s">
        <v>1816</v>
      </c>
      <c r="AF5" s="90" t="s">
        <v>1817</v>
      </c>
      <c r="AG5" s="90" t="s">
        <v>1818</v>
      </c>
      <c r="AH5" s="90" t="s">
        <v>1819</v>
      </c>
      <c r="AI5" s="90" t="s">
        <v>1820</v>
      </c>
      <c r="AJ5" s="90" t="s">
        <v>1821</v>
      </c>
      <c r="AK5" s="90" t="s">
        <v>1822</v>
      </c>
      <c r="AL5" s="90" t="s">
        <v>1823</v>
      </c>
      <c r="AM5" s="90" t="s">
        <v>1824</v>
      </c>
      <c r="AN5" s="90" t="s">
        <v>1825</v>
      </c>
      <c r="AO5" s="90" t="s">
        <v>1826</v>
      </c>
      <c r="AP5" s="90" t="s">
        <v>1827</v>
      </c>
    </row>
    <row r="6" customFormat="false" ht="14.25" hidden="false" customHeight="true" outlineLevel="0" collapsed="false">
      <c r="A6" s="61" t="n">
        <v>1846</v>
      </c>
      <c r="B6" s="47" t="n">
        <v>0</v>
      </c>
      <c r="C6" s="91" t="n">
        <f aca="false">Partners!H6</f>
        <v>1</v>
      </c>
      <c r="D6" s="49" t="n">
        <f aca="false">Partners!I6</f>
        <v>0</v>
      </c>
      <c r="E6" s="62" t="n">
        <v>0</v>
      </c>
      <c r="F6" s="62" t="n">
        <v>0</v>
      </c>
      <c r="G6" s="56" t="n">
        <f aca="false">D6*E6</f>
        <v>0</v>
      </c>
      <c r="H6" s="56" t="n">
        <f aca="false">D6*F6</f>
        <v>0</v>
      </c>
      <c r="I6" s="55" t="n">
        <v>0</v>
      </c>
      <c r="J6" s="56" t="n">
        <f aca="false">IF($A6&gt;=1927,(1-pac_quota)*Navy!X6,I6)</f>
        <v>0</v>
      </c>
      <c r="K6" s="55" t="n">
        <v>0</v>
      </c>
      <c r="L6" s="56" t="n">
        <f aca="false">IF($A6&gt;=1923,siberia_front*(1-pac_quota),0)</f>
        <v>0</v>
      </c>
      <c r="M6" s="55" t="n">
        <v>0</v>
      </c>
      <c r="N6" s="56" t="n">
        <f aca="false">M6*C6</f>
        <v>0</v>
      </c>
      <c r="O6" s="56" t="n">
        <f aca="false">IF($A6&gt;=1927,10*(1-pac_quota),0)</f>
        <v>0</v>
      </c>
      <c r="P6" s="56" t="n">
        <f aca="false">0</f>
        <v>0</v>
      </c>
      <c r="Q6" s="56" t="n">
        <f aca="false">H6+J6+K6+L6+N6+O6+P6</f>
        <v>0</v>
      </c>
      <c r="R6" s="56" t="n">
        <f aca="false">Q6-G6</f>
        <v>0</v>
      </c>
      <c r="S6" s="55" t="n">
        <v>0</v>
      </c>
      <c r="T6" s="56" t="n">
        <f aca="false">S6*IF($A6&gt;=1923,C6,1)</f>
        <v>0</v>
      </c>
      <c r="U6" s="55" t="n">
        <v>0</v>
      </c>
      <c r="V6" s="55" t="n">
        <v>0</v>
      </c>
      <c r="W6" s="56" t="n">
        <f aca="false">0</f>
        <v>0</v>
      </c>
      <c r="X6" s="56" t="n">
        <f aca="false">0</f>
        <v>0</v>
      </c>
      <c r="Y6" s="56" t="n">
        <f aca="false">AG6+AF6-AH6</f>
        <v>0</v>
      </c>
      <c r="Z6" s="56" t="n">
        <f aca="false">X6+Y6</f>
        <v>0</v>
      </c>
      <c r="AA6" s="66" t="n">
        <f aca="false">IF(D6&gt;0,Z6/D6,0)</f>
        <v>0</v>
      </c>
      <c r="AB6" s="66" t="n">
        <f aca="false">IF(G6&gt;0,P6/G6,0)</f>
        <v>0</v>
      </c>
      <c r="AC6" s="66" t="n">
        <f aca="false">IF(T6+AF6&gt;0,T6/(T6+AF6),0)</f>
        <v>0</v>
      </c>
      <c r="AD6" s="92" t="n">
        <f aca="false">0</f>
        <v>0</v>
      </c>
      <c r="AE6" s="92" t="n">
        <f aca="false">AD6+G6+T6+U6+AP6-Q6-W6-AO6</f>
        <v>0</v>
      </c>
      <c r="AF6" s="92" t="n">
        <f aca="false">MAX(0,-AE6)</f>
        <v>-0</v>
      </c>
      <c r="AG6" s="92" t="n">
        <f aca="false">V6</f>
        <v>0</v>
      </c>
      <c r="AH6" s="92" t="n">
        <f aca="false">MIN(MAX(0,AE6),AG6)</f>
        <v>0</v>
      </c>
      <c r="AI6" s="92" t="n">
        <f aca="false">AE6+AF6-AH6</f>
        <v>0</v>
      </c>
      <c r="AJ6" s="92" t="n">
        <f aca="false">AI6</f>
        <v>0</v>
      </c>
      <c r="AK6" s="92" t="n">
        <f aca="false">0</f>
        <v>0</v>
      </c>
      <c r="AL6" s="92" t="n">
        <f aca="false">AJ6+AK6+AN6-Z6</f>
        <v>0</v>
      </c>
      <c r="AM6" s="92" t="n">
        <f aca="false">AJ6-(AD6+G6+T6+U6+AF6+AP6-Q6-W6-AH6-AO6)</f>
        <v>0</v>
      </c>
      <c r="AN6" s="92" t="n">
        <f aca="false">0</f>
        <v>0</v>
      </c>
      <c r="AO6" s="92" t="n">
        <f aca="false">0</f>
        <v>0</v>
      </c>
      <c r="AP6" s="92" t="n">
        <f aca="false">0</f>
        <v>0</v>
      </c>
    </row>
    <row r="7" customFormat="false" ht="14.25" hidden="false" customHeight="true" outlineLevel="0" collapsed="false">
      <c r="A7" s="61" t="n">
        <v>1847</v>
      </c>
      <c r="B7" s="47" t="n">
        <v>0</v>
      </c>
      <c r="C7" s="91" t="n">
        <f aca="false">Partners!H7</f>
        <v>1</v>
      </c>
      <c r="D7" s="49" t="n">
        <f aca="false">Partners!I7</f>
        <v>0</v>
      </c>
      <c r="E7" s="62" t="n">
        <v>0</v>
      </c>
      <c r="F7" s="62" t="n">
        <v>0</v>
      </c>
      <c r="G7" s="56" t="n">
        <f aca="false">D7*E7</f>
        <v>0</v>
      </c>
      <c r="H7" s="56" t="n">
        <f aca="false">D7*F7</f>
        <v>0</v>
      </c>
      <c r="I7" s="55" t="n">
        <v>0</v>
      </c>
      <c r="J7" s="56" t="n">
        <f aca="false">IF($A7&gt;=1927,(1-pac_quota)*Navy!X7,I7)</f>
        <v>0</v>
      </c>
      <c r="K7" s="55" t="n">
        <v>0</v>
      </c>
      <c r="L7" s="56" t="n">
        <f aca="false">IF($A7&gt;=1923,siberia_front*(1-pac_quota),0)</f>
        <v>0</v>
      </c>
      <c r="M7" s="55" t="n">
        <v>0</v>
      </c>
      <c r="N7" s="56" t="n">
        <f aca="false">M7*C7</f>
        <v>0</v>
      </c>
      <c r="O7" s="56" t="n">
        <f aca="false">IF($A7&gt;=1927,10*(1-pac_quota),0)</f>
        <v>0</v>
      </c>
      <c r="P7" s="56" t="n">
        <f aca="false">jp_coupon*(Z6-0)+0</f>
        <v>0</v>
      </c>
      <c r="Q7" s="56" t="n">
        <f aca="false">H7+J7+K7+L7+N7+O7+P7</f>
        <v>0</v>
      </c>
      <c r="R7" s="56" t="n">
        <f aca="false">Q7-G7</f>
        <v>0</v>
      </c>
      <c r="S7" s="55" t="n">
        <v>0</v>
      </c>
      <c r="T7" s="56" t="n">
        <f aca="false">S7*IF($A7&gt;=1923,C7,1)</f>
        <v>0</v>
      </c>
      <c r="U7" s="55" t="n">
        <v>0</v>
      </c>
      <c r="V7" s="55" t="n">
        <v>0</v>
      </c>
      <c r="W7" s="56" t="n">
        <f aca="false">(X6-0)*jp_foreign_repay+0</f>
        <v>0</v>
      </c>
      <c r="X7" s="56" t="n">
        <f aca="false">X6+T7-W7</f>
        <v>0</v>
      </c>
      <c r="Y7" s="56" t="n">
        <f aca="false">AG7+AF7-AH7</f>
        <v>0</v>
      </c>
      <c r="Z7" s="56" t="n">
        <f aca="false">X7+Y7</f>
        <v>0</v>
      </c>
      <c r="AA7" s="66" t="n">
        <f aca="false">IF(D7&gt;0,Z7/D7,0)</f>
        <v>0</v>
      </c>
      <c r="AB7" s="66" t="n">
        <f aca="false">IF(G7&gt;0,P7/G7,0)</f>
        <v>0</v>
      </c>
      <c r="AC7" s="66" t="n">
        <f aca="false">IF(T7+AF7&gt;0,T7/(T7+AF7),0)</f>
        <v>0</v>
      </c>
      <c r="AD7" s="92" t="n">
        <f aca="false">AJ6</f>
        <v>0</v>
      </c>
      <c r="AE7" s="92" t="n">
        <f aca="false">AD7+G7+T7+U7+AP7-Q7-W7-AO7</f>
        <v>0</v>
      </c>
      <c r="AF7" s="92" t="n">
        <f aca="false">MAX(0,-AE7)</f>
        <v>-0</v>
      </c>
      <c r="AG7" s="92" t="n">
        <f aca="false">Y6+V7</f>
        <v>0</v>
      </c>
      <c r="AH7" s="92" t="n">
        <f aca="false">MIN(MAX(0,AE7),AG7)</f>
        <v>0</v>
      </c>
      <c r="AI7" s="92" t="n">
        <f aca="false">AE7+AF7-AH7</f>
        <v>0</v>
      </c>
      <c r="AJ7" s="92" t="n">
        <f aca="false">AI7</f>
        <v>0</v>
      </c>
      <c r="AK7" s="92" t="n">
        <f aca="false">AK6</f>
        <v>0</v>
      </c>
      <c r="AL7" s="92" t="n">
        <f aca="false">AJ7+AK7+AN7-Z7</f>
        <v>0</v>
      </c>
      <c r="AM7" s="92" t="n">
        <f aca="false">AJ7-(AD7+G7+T7+U7+AF7+AP7-Q7-W7-AH7-AO7)</f>
        <v>0</v>
      </c>
      <c r="AN7" s="92" t="n">
        <f aca="false">0</f>
        <v>0</v>
      </c>
      <c r="AO7" s="92" t="n">
        <f aca="false">0</f>
        <v>0</v>
      </c>
      <c r="AP7" s="92" t="n">
        <f aca="false">0</f>
        <v>0</v>
      </c>
    </row>
    <row r="8" customFormat="false" ht="14.25" hidden="false" customHeight="true" outlineLevel="0" collapsed="false">
      <c r="A8" s="61" t="n">
        <v>1848</v>
      </c>
      <c r="B8" s="47" t="n">
        <v>0</v>
      </c>
      <c r="C8" s="91" t="n">
        <f aca="false">Partners!H8</f>
        <v>1</v>
      </c>
      <c r="D8" s="49" t="n">
        <f aca="false">Partners!I8</f>
        <v>0</v>
      </c>
      <c r="E8" s="62" t="n">
        <v>0</v>
      </c>
      <c r="F8" s="62" t="n">
        <v>0</v>
      </c>
      <c r="G8" s="56" t="n">
        <f aca="false">D8*E8</f>
        <v>0</v>
      </c>
      <c r="H8" s="56" t="n">
        <f aca="false">D8*F8</f>
        <v>0</v>
      </c>
      <c r="I8" s="55" t="n">
        <v>0</v>
      </c>
      <c r="J8" s="56" t="n">
        <f aca="false">IF($A8&gt;=1927,(1-pac_quota)*Navy!X8,I8)</f>
        <v>0</v>
      </c>
      <c r="K8" s="55" t="n">
        <v>0</v>
      </c>
      <c r="L8" s="56" t="n">
        <f aca="false">IF($A8&gt;=1923,siberia_front*(1-pac_quota),0)</f>
        <v>0</v>
      </c>
      <c r="M8" s="55" t="n">
        <v>0</v>
      </c>
      <c r="N8" s="56" t="n">
        <f aca="false">M8*C8</f>
        <v>0</v>
      </c>
      <c r="O8" s="56" t="n">
        <f aca="false">IF($A8&gt;=1927,10*(1-pac_quota),0)</f>
        <v>0</v>
      </c>
      <c r="P8" s="56" t="n">
        <f aca="false">jp_coupon*(Z7-0)+0</f>
        <v>0</v>
      </c>
      <c r="Q8" s="56" t="n">
        <f aca="false">H8+J8+K8+L8+N8+O8+P8</f>
        <v>0</v>
      </c>
      <c r="R8" s="56" t="n">
        <f aca="false">Q8-G8</f>
        <v>0</v>
      </c>
      <c r="S8" s="55" t="n">
        <v>0</v>
      </c>
      <c r="T8" s="56" t="n">
        <f aca="false">S8*IF($A8&gt;=1923,C8,1)</f>
        <v>0</v>
      </c>
      <c r="U8" s="55" t="n">
        <v>0</v>
      </c>
      <c r="V8" s="55" t="n">
        <v>0</v>
      </c>
      <c r="W8" s="56" t="n">
        <f aca="false">(X7-0)*jp_foreign_repay+0</f>
        <v>0</v>
      </c>
      <c r="X8" s="56" t="n">
        <f aca="false">X7+T8-W8</f>
        <v>0</v>
      </c>
      <c r="Y8" s="56" t="n">
        <f aca="false">AG8+AF8-AH8</f>
        <v>0</v>
      </c>
      <c r="Z8" s="56" t="n">
        <f aca="false">X8+Y8</f>
        <v>0</v>
      </c>
      <c r="AA8" s="66" t="n">
        <f aca="false">IF(D8&gt;0,Z8/D8,0)</f>
        <v>0</v>
      </c>
      <c r="AB8" s="66" t="n">
        <f aca="false">IF(G8&gt;0,P8/G8,0)</f>
        <v>0</v>
      </c>
      <c r="AC8" s="66" t="n">
        <f aca="false">IF(T8+AF8&gt;0,T8/(T8+AF8),0)</f>
        <v>0</v>
      </c>
      <c r="AD8" s="92" t="n">
        <f aca="false">AJ7</f>
        <v>0</v>
      </c>
      <c r="AE8" s="92" t="n">
        <f aca="false">AD8+G8+T8+U8+AP8-Q8-W8-AO8</f>
        <v>0</v>
      </c>
      <c r="AF8" s="92" t="n">
        <f aca="false">MAX(0,-AE8)</f>
        <v>-0</v>
      </c>
      <c r="AG8" s="92" t="n">
        <f aca="false">Y7+V8</f>
        <v>0</v>
      </c>
      <c r="AH8" s="92" t="n">
        <f aca="false">MIN(MAX(0,AE8),AG8)</f>
        <v>0</v>
      </c>
      <c r="AI8" s="92" t="n">
        <f aca="false">AE8+AF8-AH8</f>
        <v>0</v>
      </c>
      <c r="AJ8" s="92" t="n">
        <f aca="false">AI8</f>
        <v>0</v>
      </c>
      <c r="AK8" s="92" t="n">
        <f aca="false">AK7</f>
        <v>0</v>
      </c>
      <c r="AL8" s="92" t="n">
        <f aca="false">AJ8+AK8+AN8-Z8</f>
        <v>0</v>
      </c>
      <c r="AM8" s="92" t="n">
        <f aca="false">AJ8-(AD8+G8+T8+U8+AF8+AP8-Q8-W8-AH8-AO8)</f>
        <v>0</v>
      </c>
      <c r="AN8" s="92" t="n">
        <f aca="false">0</f>
        <v>0</v>
      </c>
      <c r="AO8" s="92" t="n">
        <f aca="false">0</f>
        <v>0</v>
      </c>
      <c r="AP8" s="92" t="n">
        <f aca="false">0</f>
        <v>0</v>
      </c>
    </row>
    <row r="9" customFormat="false" ht="14.25" hidden="false" customHeight="true" outlineLevel="0" collapsed="false">
      <c r="A9" s="61" t="n">
        <v>1849</v>
      </c>
      <c r="B9" s="47" t="n">
        <v>0</v>
      </c>
      <c r="C9" s="91" t="n">
        <f aca="false">Partners!H9</f>
        <v>1</v>
      </c>
      <c r="D9" s="49" t="n">
        <f aca="false">Partners!I9</f>
        <v>0</v>
      </c>
      <c r="E9" s="62" t="n">
        <v>0</v>
      </c>
      <c r="F9" s="62" t="n">
        <v>0</v>
      </c>
      <c r="G9" s="56" t="n">
        <f aca="false">D9*E9</f>
        <v>0</v>
      </c>
      <c r="H9" s="56" t="n">
        <f aca="false">D9*F9</f>
        <v>0</v>
      </c>
      <c r="I9" s="55" t="n">
        <v>0</v>
      </c>
      <c r="J9" s="56" t="n">
        <f aca="false">IF($A9&gt;=1927,(1-pac_quota)*Navy!X9,I9)</f>
        <v>0</v>
      </c>
      <c r="K9" s="55" t="n">
        <v>0</v>
      </c>
      <c r="L9" s="56" t="n">
        <f aca="false">IF($A9&gt;=1923,siberia_front*(1-pac_quota),0)</f>
        <v>0</v>
      </c>
      <c r="M9" s="55" t="n">
        <v>0</v>
      </c>
      <c r="N9" s="56" t="n">
        <f aca="false">M9*C9</f>
        <v>0</v>
      </c>
      <c r="O9" s="56" t="n">
        <f aca="false">IF($A9&gt;=1927,10*(1-pac_quota),0)</f>
        <v>0</v>
      </c>
      <c r="P9" s="56" t="n">
        <f aca="false">jp_coupon*(Z8-0)+0</f>
        <v>0</v>
      </c>
      <c r="Q9" s="56" t="n">
        <f aca="false">H9+J9+K9+L9+N9+O9+P9</f>
        <v>0</v>
      </c>
      <c r="R9" s="56" t="n">
        <f aca="false">Q9-G9</f>
        <v>0</v>
      </c>
      <c r="S9" s="55" t="n">
        <v>0</v>
      </c>
      <c r="T9" s="56" t="n">
        <f aca="false">S9*IF($A9&gt;=1923,C9,1)</f>
        <v>0</v>
      </c>
      <c r="U9" s="55" t="n">
        <v>0</v>
      </c>
      <c r="V9" s="55" t="n">
        <v>0</v>
      </c>
      <c r="W9" s="56" t="n">
        <f aca="false">(X8-0)*jp_foreign_repay+0</f>
        <v>0</v>
      </c>
      <c r="X9" s="56" t="n">
        <f aca="false">X8+T9-W9</f>
        <v>0</v>
      </c>
      <c r="Y9" s="56" t="n">
        <f aca="false">AG9+AF9-AH9</f>
        <v>0</v>
      </c>
      <c r="Z9" s="56" t="n">
        <f aca="false">X9+Y9</f>
        <v>0</v>
      </c>
      <c r="AA9" s="66" t="n">
        <f aca="false">IF(D9&gt;0,Z9/D9,0)</f>
        <v>0</v>
      </c>
      <c r="AB9" s="66" t="n">
        <f aca="false">IF(G9&gt;0,P9/G9,0)</f>
        <v>0</v>
      </c>
      <c r="AC9" s="66" t="n">
        <f aca="false">IF(T9+AF9&gt;0,T9/(T9+AF9),0)</f>
        <v>0</v>
      </c>
      <c r="AD9" s="92" t="n">
        <f aca="false">AJ8</f>
        <v>0</v>
      </c>
      <c r="AE9" s="92" t="n">
        <f aca="false">AD9+G9+T9+U9+AP9-Q9-W9-AO9</f>
        <v>0</v>
      </c>
      <c r="AF9" s="92" t="n">
        <f aca="false">MAX(0,-AE9)</f>
        <v>-0</v>
      </c>
      <c r="AG9" s="92" t="n">
        <f aca="false">Y8+V9</f>
        <v>0</v>
      </c>
      <c r="AH9" s="92" t="n">
        <f aca="false">MIN(MAX(0,AE9),AG9)</f>
        <v>0</v>
      </c>
      <c r="AI9" s="92" t="n">
        <f aca="false">AE9+AF9-AH9</f>
        <v>0</v>
      </c>
      <c r="AJ9" s="92" t="n">
        <f aca="false">AI9</f>
        <v>0</v>
      </c>
      <c r="AK9" s="92" t="n">
        <f aca="false">AK8</f>
        <v>0</v>
      </c>
      <c r="AL9" s="92" t="n">
        <f aca="false">AJ9+AK9+AN9-Z9</f>
        <v>0</v>
      </c>
      <c r="AM9" s="92" t="n">
        <f aca="false">AJ9-(AD9+G9+T9+U9+AF9+AP9-Q9-W9-AH9-AO9)</f>
        <v>0</v>
      </c>
      <c r="AN9" s="92" t="n">
        <f aca="false">0</f>
        <v>0</v>
      </c>
      <c r="AO9" s="92" t="n">
        <f aca="false">0</f>
        <v>0</v>
      </c>
      <c r="AP9" s="92" t="n">
        <f aca="false">0</f>
        <v>0</v>
      </c>
    </row>
    <row r="10" customFormat="false" ht="14.25" hidden="false" customHeight="true" outlineLevel="0" collapsed="false">
      <c r="A10" s="61" t="n">
        <v>1850</v>
      </c>
      <c r="B10" s="47" t="n">
        <v>0</v>
      </c>
      <c r="C10" s="91" t="n">
        <f aca="false">Partners!H10</f>
        <v>1</v>
      </c>
      <c r="D10" s="49" t="n">
        <f aca="false">Partners!I10</f>
        <v>0</v>
      </c>
      <c r="E10" s="62" t="n">
        <v>0</v>
      </c>
      <c r="F10" s="62" t="n">
        <v>0</v>
      </c>
      <c r="G10" s="56" t="n">
        <f aca="false">D10*E10</f>
        <v>0</v>
      </c>
      <c r="H10" s="56" t="n">
        <f aca="false">D10*F10</f>
        <v>0</v>
      </c>
      <c r="I10" s="55" t="n">
        <v>0</v>
      </c>
      <c r="J10" s="56" t="n">
        <f aca="false">IF($A10&gt;=1927,(1-pac_quota)*Navy!X10,I10)</f>
        <v>0</v>
      </c>
      <c r="K10" s="55" t="n">
        <v>0</v>
      </c>
      <c r="L10" s="56" t="n">
        <f aca="false">IF($A10&gt;=1923,siberia_front*(1-pac_quota),0)</f>
        <v>0</v>
      </c>
      <c r="M10" s="55" t="n">
        <v>0</v>
      </c>
      <c r="N10" s="56" t="n">
        <f aca="false">M10*C10</f>
        <v>0</v>
      </c>
      <c r="O10" s="56" t="n">
        <f aca="false">IF($A10&gt;=1927,10*(1-pac_quota),0)</f>
        <v>0</v>
      </c>
      <c r="P10" s="56" t="n">
        <f aca="false">jp_coupon*(Z9-0)+0</f>
        <v>0</v>
      </c>
      <c r="Q10" s="56" t="n">
        <f aca="false">H10+J10+K10+L10+N10+O10+P10</f>
        <v>0</v>
      </c>
      <c r="R10" s="56" t="n">
        <f aca="false">Q10-G10</f>
        <v>0</v>
      </c>
      <c r="S10" s="55" t="n">
        <v>0</v>
      </c>
      <c r="T10" s="56" t="n">
        <f aca="false">S10*IF($A10&gt;=1923,C10,1)</f>
        <v>0</v>
      </c>
      <c r="U10" s="55" t="n">
        <v>0</v>
      </c>
      <c r="V10" s="55" t="n">
        <v>0</v>
      </c>
      <c r="W10" s="56" t="n">
        <f aca="false">(X9-0)*jp_foreign_repay+0</f>
        <v>0</v>
      </c>
      <c r="X10" s="56" t="n">
        <f aca="false">X9+T10-W10</f>
        <v>0</v>
      </c>
      <c r="Y10" s="56" t="n">
        <f aca="false">AG10+AF10-AH10</f>
        <v>0</v>
      </c>
      <c r="Z10" s="56" t="n">
        <f aca="false">X10+Y10</f>
        <v>0</v>
      </c>
      <c r="AA10" s="66" t="n">
        <f aca="false">IF(D10&gt;0,Z10/D10,0)</f>
        <v>0</v>
      </c>
      <c r="AB10" s="66" t="n">
        <f aca="false">IF(G10&gt;0,P10/G10,0)</f>
        <v>0</v>
      </c>
      <c r="AC10" s="66" t="n">
        <f aca="false">IF(T10+AF10&gt;0,T10/(T10+AF10),0)</f>
        <v>0</v>
      </c>
      <c r="AD10" s="92" t="n">
        <f aca="false">AJ9</f>
        <v>0</v>
      </c>
      <c r="AE10" s="92" t="n">
        <f aca="false">AD10+G10+T10+U10+AP10-Q10-W10-AO10</f>
        <v>0</v>
      </c>
      <c r="AF10" s="92" t="n">
        <f aca="false">MAX(0,-AE10)</f>
        <v>-0</v>
      </c>
      <c r="AG10" s="92" t="n">
        <f aca="false">Y9+V10</f>
        <v>0</v>
      </c>
      <c r="AH10" s="92" t="n">
        <f aca="false">MIN(MAX(0,AE10),AG10)</f>
        <v>0</v>
      </c>
      <c r="AI10" s="92" t="n">
        <f aca="false">AE10+AF10-AH10</f>
        <v>0</v>
      </c>
      <c r="AJ10" s="92" t="n">
        <f aca="false">AI10</f>
        <v>0</v>
      </c>
      <c r="AK10" s="92" t="n">
        <f aca="false">AK9</f>
        <v>0</v>
      </c>
      <c r="AL10" s="92" t="n">
        <f aca="false">AJ10+AK10+AN10-Z10</f>
        <v>0</v>
      </c>
      <c r="AM10" s="92" t="n">
        <f aca="false">AJ10-(AD10+G10+T10+U10+AF10+AP10-Q10-W10-AH10-AO10)</f>
        <v>0</v>
      </c>
      <c r="AN10" s="92" t="n">
        <f aca="false">0</f>
        <v>0</v>
      </c>
      <c r="AO10" s="92" t="n">
        <f aca="false">0</f>
        <v>0</v>
      </c>
      <c r="AP10" s="92" t="n">
        <f aca="false">0</f>
        <v>0</v>
      </c>
    </row>
    <row r="11" customFormat="false" ht="14.25" hidden="false" customHeight="true" outlineLevel="0" collapsed="false">
      <c r="A11" s="61" t="n">
        <v>1851</v>
      </c>
      <c r="B11" s="47" t="n">
        <v>0</v>
      </c>
      <c r="C11" s="91" t="n">
        <f aca="false">Partners!H11</f>
        <v>1</v>
      </c>
      <c r="D11" s="49" t="n">
        <f aca="false">Partners!I11</f>
        <v>0</v>
      </c>
      <c r="E11" s="62" t="n">
        <v>0</v>
      </c>
      <c r="F11" s="62" t="n">
        <v>0</v>
      </c>
      <c r="G11" s="56" t="n">
        <f aca="false">D11*E11</f>
        <v>0</v>
      </c>
      <c r="H11" s="56" t="n">
        <f aca="false">D11*F11</f>
        <v>0</v>
      </c>
      <c r="I11" s="55" t="n">
        <v>0</v>
      </c>
      <c r="J11" s="56" t="n">
        <f aca="false">IF($A11&gt;=1927,(1-pac_quota)*Navy!X11,I11)</f>
        <v>0</v>
      </c>
      <c r="K11" s="55" t="n">
        <v>0</v>
      </c>
      <c r="L11" s="56" t="n">
        <f aca="false">IF($A11&gt;=1923,siberia_front*(1-pac_quota),0)</f>
        <v>0</v>
      </c>
      <c r="M11" s="55" t="n">
        <v>0</v>
      </c>
      <c r="N11" s="56" t="n">
        <f aca="false">M11*C11</f>
        <v>0</v>
      </c>
      <c r="O11" s="56" t="n">
        <f aca="false">IF($A11&gt;=1927,10*(1-pac_quota),0)</f>
        <v>0</v>
      </c>
      <c r="P11" s="56" t="n">
        <f aca="false">jp_coupon*(Z10-0)+0</f>
        <v>0</v>
      </c>
      <c r="Q11" s="56" t="n">
        <f aca="false">H11+J11+K11+L11+N11+O11+P11</f>
        <v>0</v>
      </c>
      <c r="R11" s="56" t="n">
        <f aca="false">Q11-G11</f>
        <v>0</v>
      </c>
      <c r="S11" s="55" t="n">
        <v>0</v>
      </c>
      <c r="T11" s="56" t="n">
        <f aca="false">S11*IF($A11&gt;=1923,C11,1)</f>
        <v>0</v>
      </c>
      <c r="U11" s="55" t="n">
        <v>0</v>
      </c>
      <c r="V11" s="55" t="n">
        <v>0</v>
      </c>
      <c r="W11" s="56" t="n">
        <f aca="false">(X10-0)*jp_foreign_repay+0</f>
        <v>0</v>
      </c>
      <c r="X11" s="56" t="n">
        <f aca="false">X10+T11-W11</f>
        <v>0</v>
      </c>
      <c r="Y11" s="56" t="n">
        <f aca="false">AG11+AF11-AH11</f>
        <v>0</v>
      </c>
      <c r="Z11" s="56" t="n">
        <f aca="false">X11+Y11</f>
        <v>0</v>
      </c>
      <c r="AA11" s="66" t="n">
        <f aca="false">IF(D11&gt;0,Z11/D11,0)</f>
        <v>0</v>
      </c>
      <c r="AB11" s="66" t="n">
        <f aca="false">IF(G11&gt;0,P11/G11,0)</f>
        <v>0</v>
      </c>
      <c r="AC11" s="66" t="n">
        <f aca="false">IF(T11+AF11&gt;0,T11/(T11+AF11),0)</f>
        <v>0</v>
      </c>
      <c r="AD11" s="92" t="n">
        <f aca="false">AJ10</f>
        <v>0</v>
      </c>
      <c r="AE11" s="92" t="n">
        <f aca="false">AD11+G11+T11+U11+AP11-Q11-W11-AO11</f>
        <v>0</v>
      </c>
      <c r="AF11" s="92" t="n">
        <f aca="false">MAX(0,-AE11)</f>
        <v>-0</v>
      </c>
      <c r="AG11" s="92" t="n">
        <f aca="false">Y10+V11</f>
        <v>0</v>
      </c>
      <c r="AH11" s="92" t="n">
        <f aca="false">MIN(MAX(0,AE11),AG11)</f>
        <v>0</v>
      </c>
      <c r="AI11" s="92" t="n">
        <f aca="false">AE11+AF11-AH11</f>
        <v>0</v>
      </c>
      <c r="AJ11" s="92" t="n">
        <f aca="false">AI11</f>
        <v>0</v>
      </c>
      <c r="AK11" s="92" t="n">
        <f aca="false">AK10</f>
        <v>0</v>
      </c>
      <c r="AL11" s="92" t="n">
        <f aca="false">AJ11+AK11+AN11-Z11</f>
        <v>0</v>
      </c>
      <c r="AM11" s="92" t="n">
        <f aca="false">AJ11-(AD11+G11+T11+U11+AF11+AP11-Q11-W11-AH11-AO11)</f>
        <v>0</v>
      </c>
      <c r="AN11" s="92" t="n">
        <f aca="false">0</f>
        <v>0</v>
      </c>
      <c r="AO11" s="92" t="n">
        <f aca="false">0</f>
        <v>0</v>
      </c>
      <c r="AP11" s="92" t="n">
        <f aca="false">0</f>
        <v>0</v>
      </c>
    </row>
    <row r="12" customFormat="false" ht="14.25" hidden="false" customHeight="true" outlineLevel="0" collapsed="false">
      <c r="A12" s="61" t="n">
        <v>1852</v>
      </c>
      <c r="B12" s="47" t="n">
        <v>0</v>
      </c>
      <c r="C12" s="91" t="n">
        <f aca="false">Partners!H12</f>
        <v>1</v>
      </c>
      <c r="D12" s="49" t="n">
        <f aca="false">Partners!I12</f>
        <v>0</v>
      </c>
      <c r="E12" s="62" t="n">
        <v>0</v>
      </c>
      <c r="F12" s="62" t="n">
        <v>0</v>
      </c>
      <c r="G12" s="56" t="n">
        <f aca="false">D12*E12</f>
        <v>0</v>
      </c>
      <c r="H12" s="56" t="n">
        <f aca="false">D12*F12</f>
        <v>0</v>
      </c>
      <c r="I12" s="55" t="n">
        <v>0</v>
      </c>
      <c r="J12" s="56" t="n">
        <f aca="false">IF($A12&gt;=1927,(1-pac_quota)*Navy!X12,I12)</f>
        <v>0</v>
      </c>
      <c r="K12" s="55" t="n">
        <v>0</v>
      </c>
      <c r="L12" s="56" t="n">
        <f aca="false">IF($A12&gt;=1923,siberia_front*(1-pac_quota),0)</f>
        <v>0</v>
      </c>
      <c r="M12" s="55" t="n">
        <v>0</v>
      </c>
      <c r="N12" s="56" t="n">
        <f aca="false">M12*C12</f>
        <v>0</v>
      </c>
      <c r="O12" s="56" t="n">
        <f aca="false">IF($A12&gt;=1927,10*(1-pac_quota),0)</f>
        <v>0</v>
      </c>
      <c r="P12" s="56" t="n">
        <f aca="false">jp_coupon*(Z11-0)+0</f>
        <v>0</v>
      </c>
      <c r="Q12" s="56" t="n">
        <f aca="false">H12+J12+K12+L12+N12+O12+P12</f>
        <v>0</v>
      </c>
      <c r="R12" s="56" t="n">
        <f aca="false">Q12-G12</f>
        <v>0</v>
      </c>
      <c r="S12" s="55" t="n">
        <v>0</v>
      </c>
      <c r="T12" s="56" t="n">
        <f aca="false">S12*IF($A12&gt;=1923,C12,1)</f>
        <v>0</v>
      </c>
      <c r="U12" s="55" t="n">
        <v>0</v>
      </c>
      <c r="V12" s="55" t="n">
        <v>0</v>
      </c>
      <c r="W12" s="56" t="n">
        <f aca="false">(X11-0)*jp_foreign_repay+0</f>
        <v>0</v>
      </c>
      <c r="X12" s="56" t="n">
        <f aca="false">X11+T12-W12</f>
        <v>0</v>
      </c>
      <c r="Y12" s="56" t="n">
        <f aca="false">AG12+AF12-AH12</f>
        <v>0</v>
      </c>
      <c r="Z12" s="56" t="n">
        <f aca="false">X12+Y12</f>
        <v>0</v>
      </c>
      <c r="AA12" s="66" t="n">
        <f aca="false">IF(D12&gt;0,Z12/D12,0)</f>
        <v>0</v>
      </c>
      <c r="AB12" s="66" t="n">
        <f aca="false">IF(G12&gt;0,P12/G12,0)</f>
        <v>0</v>
      </c>
      <c r="AC12" s="66" t="n">
        <f aca="false">IF(T12+AF12&gt;0,T12/(T12+AF12),0)</f>
        <v>0</v>
      </c>
      <c r="AD12" s="92" t="n">
        <f aca="false">AJ11</f>
        <v>0</v>
      </c>
      <c r="AE12" s="92" t="n">
        <f aca="false">AD12+G12+T12+U12+AP12-Q12-W12-AO12</f>
        <v>0</v>
      </c>
      <c r="AF12" s="92" t="n">
        <f aca="false">MAX(0,-AE12)</f>
        <v>-0</v>
      </c>
      <c r="AG12" s="92" t="n">
        <f aca="false">Y11+V12</f>
        <v>0</v>
      </c>
      <c r="AH12" s="92" t="n">
        <f aca="false">MIN(MAX(0,AE12),AG12)</f>
        <v>0</v>
      </c>
      <c r="AI12" s="92" t="n">
        <f aca="false">AE12+AF12-AH12</f>
        <v>0</v>
      </c>
      <c r="AJ12" s="92" t="n">
        <f aca="false">AI12</f>
        <v>0</v>
      </c>
      <c r="AK12" s="92" t="n">
        <f aca="false">AK11</f>
        <v>0</v>
      </c>
      <c r="AL12" s="92" t="n">
        <f aca="false">AJ12+AK12+AN12-Z12</f>
        <v>0</v>
      </c>
      <c r="AM12" s="92" t="n">
        <f aca="false">AJ12-(AD12+G12+T12+U12+AF12+AP12-Q12-W12-AH12-AO12)</f>
        <v>0</v>
      </c>
      <c r="AN12" s="92" t="n">
        <f aca="false">0</f>
        <v>0</v>
      </c>
      <c r="AO12" s="92" t="n">
        <f aca="false">0</f>
        <v>0</v>
      </c>
      <c r="AP12" s="92" t="n">
        <f aca="false">0</f>
        <v>0</v>
      </c>
    </row>
    <row r="13" customFormat="false" ht="14.25" hidden="false" customHeight="true" outlineLevel="0" collapsed="false">
      <c r="A13" s="61" t="n">
        <v>1853</v>
      </c>
      <c r="B13" s="47" t="n">
        <v>0</v>
      </c>
      <c r="C13" s="91" t="n">
        <f aca="false">Partners!H13</f>
        <v>1</v>
      </c>
      <c r="D13" s="49" t="n">
        <f aca="false">Partners!I13</f>
        <v>0</v>
      </c>
      <c r="E13" s="62" t="n">
        <v>0</v>
      </c>
      <c r="F13" s="62" t="n">
        <v>0</v>
      </c>
      <c r="G13" s="56" t="n">
        <f aca="false">D13*E13</f>
        <v>0</v>
      </c>
      <c r="H13" s="56" t="n">
        <f aca="false">D13*F13</f>
        <v>0</v>
      </c>
      <c r="I13" s="55" t="n">
        <v>0</v>
      </c>
      <c r="J13" s="56" t="n">
        <f aca="false">IF($A13&gt;=1927,(1-pac_quota)*Navy!X13,I13)</f>
        <v>0</v>
      </c>
      <c r="K13" s="55" t="n">
        <v>0</v>
      </c>
      <c r="L13" s="56" t="n">
        <f aca="false">IF($A13&gt;=1923,siberia_front*(1-pac_quota),0)</f>
        <v>0</v>
      </c>
      <c r="M13" s="55" t="n">
        <v>0</v>
      </c>
      <c r="N13" s="56" t="n">
        <f aca="false">M13*C13</f>
        <v>0</v>
      </c>
      <c r="O13" s="56" t="n">
        <f aca="false">IF($A13&gt;=1927,10*(1-pac_quota),0)</f>
        <v>0</v>
      </c>
      <c r="P13" s="56" t="n">
        <f aca="false">jp_coupon*(Z12-0)+0</f>
        <v>0</v>
      </c>
      <c r="Q13" s="56" t="n">
        <f aca="false">H13+J13+K13+L13+N13+O13+P13</f>
        <v>0</v>
      </c>
      <c r="R13" s="56" t="n">
        <f aca="false">Q13-G13</f>
        <v>0</v>
      </c>
      <c r="S13" s="55" t="n">
        <v>0</v>
      </c>
      <c r="T13" s="56" t="n">
        <f aca="false">S13*IF($A13&gt;=1923,C13,1)</f>
        <v>0</v>
      </c>
      <c r="U13" s="55" t="n">
        <v>0</v>
      </c>
      <c r="V13" s="55" t="n">
        <v>0</v>
      </c>
      <c r="W13" s="56" t="n">
        <f aca="false">(X12-0)*jp_foreign_repay+0</f>
        <v>0</v>
      </c>
      <c r="X13" s="56" t="n">
        <f aca="false">X12+T13-W13</f>
        <v>0</v>
      </c>
      <c r="Y13" s="56" t="n">
        <f aca="false">AG13+AF13-AH13</f>
        <v>0</v>
      </c>
      <c r="Z13" s="56" t="n">
        <f aca="false">X13+Y13</f>
        <v>0</v>
      </c>
      <c r="AA13" s="66" t="n">
        <f aca="false">IF(D13&gt;0,Z13/D13,0)</f>
        <v>0</v>
      </c>
      <c r="AB13" s="66" t="n">
        <f aca="false">IF(G13&gt;0,P13/G13,0)</f>
        <v>0</v>
      </c>
      <c r="AC13" s="66" t="n">
        <f aca="false">IF(T13+AF13&gt;0,T13/(T13+AF13),0)</f>
        <v>0</v>
      </c>
      <c r="AD13" s="92" t="n">
        <f aca="false">AJ12</f>
        <v>0</v>
      </c>
      <c r="AE13" s="92" t="n">
        <f aca="false">AD13+G13+T13+U13+AP13-Q13-W13-AO13</f>
        <v>0</v>
      </c>
      <c r="AF13" s="92" t="n">
        <f aca="false">MAX(0,-AE13)</f>
        <v>-0</v>
      </c>
      <c r="AG13" s="92" t="n">
        <f aca="false">Y12+V13</f>
        <v>0</v>
      </c>
      <c r="AH13" s="92" t="n">
        <f aca="false">MIN(MAX(0,AE13),AG13)</f>
        <v>0</v>
      </c>
      <c r="AI13" s="92" t="n">
        <f aca="false">AE13+AF13-AH13</f>
        <v>0</v>
      </c>
      <c r="AJ13" s="92" t="n">
        <f aca="false">AI13</f>
        <v>0</v>
      </c>
      <c r="AK13" s="92" t="n">
        <f aca="false">AK12</f>
        <v>0</v>
      </c>
      <c r="AL13" s="92" t="n">
        <f aca="false">AJ13+AK13+AN13-Z13</f>
        <v>0</v>
      </c>
      <c r="AM13" s="92" t="n">
        <f aca="false">AJ13-(AD13+G13+T13+U13+AF13+AP13-Q13-W13-AH13-AO13)</f>
        <v>0</v>
      </c>
      <c r="AN13" s="92" t="n">
        <f aca="false">0</f>
        <v>0</v>
      </c>
      <c r="AO13" s="92" t="n">
        <f aca="false">0</f>
        <v>0</v>
      </c>
      <c r="AP13" s="92" t="n">
        <f aca="false">0</f>
        <v>0</v>
      </c>
    </row>
    <row r="14" customFormat="false" ht="14.25" hidden="false" customHeight="true" outlineLevel="0" collapsed="false">
      <c r="A14" s="61" t="n">
        <v>1854</v>
      </c>
      <c r="B14" s="47" t="n">
        <v>0</v>
      </c>
      <c r="C14" s="91" t="n">
        <f aca="false">Partners!H14</f>
        <v>1</v>
      </c>
      <c r="D14" s="49" t="n">
        <f aca="false">Partners!I14</f>
        <v>0</v>
      </c>
      <c r="E14" s="62" t="n">
        <v>0</v>
      </c>
      <c r="F14" s="62" t="n">
        <v>0</v>
      </c>
      <c r="G14" s="56" t="n">
        <f aca="false">D14*E14</f>
        <v>0</v>
      </c>
      <c r="H14" s="56" t="n">
        <f aca="false">D14*F14</f>
        <v>0</v>
      </c>
      <c r="I14" s="55" t="n">
        <v>0</v>
      </c>
      <c r="J14" s="56" t="n">
        <f aca="false">IF($A14&gt;=1927,(1-pac_quota)*Navy!X14,I14)</f>
        <v>0</v>
      </c>
      <c r="K14" s="55" t="n">
        <v>0</v>
      </c>
      <c r="L14" s="56" t="n">
        <f aca="false">IF($A14&gt;=1923,siberia_front*(1-pac_quota),0)</f>
        <v>0</v>
      </c>
      <c r="M14" s="55" t="n">
        <v>0</v>
      </c>
      <c r="N14" s="56" t="n">
        <f aca="false">M14*C14</f>
        <v>0</v>
      </c>
      <c r="O14" s="56" t="n">
        <f aca="false">IF($A14&gt;=1927,10*(1-pac_quota),0)</f>
        <v>0</v>
      </c>
      <c r="P14" s="56" t="n">
        <f aca="false">jp_coupon*(Z13-0)+0</f>
        <v>0</v>
      </c>
      <c r="Q14" s="56" t="n">
        <f aca="false">H14+J14+K14+L14+N14+O14+P14</f>
        <v>0</v>
      </c>
      <c r="R14" s="56" t="n">
        <f aca="false">Q14-G14</f>
        <v>0</v>
      </c>
      <c r="S14" s="55" t="n">
        <v>0</v>
      </c>
      <c r="T14" s="56" t="n">
        <f aca="false">S14*IF($A14&gt;=1923,C14,1)</f>
        <v>0</v>
      </c>
      <c r="U14" s="55" t="n">
        <v>0</v>
      </c>
      <c r="V14" s="55" t="n">
        <v>0</v>
      </c>
      <c r="W14" s="56" t="n">
        <f aca="false">(X13-0)*jp_foreign_repay+0</f>
        <v>0</v>
      </c>
      <c r="X14" s="56" t="n">
        <f aca="false">X13+T14-W14</f>
        <v>0</v>
      </c>
      <c r="Y14" s="56" t="n">
        <f aca="false">AG14+AF14-AH14</f>
        <v>0</v>
      </c>
      <c r="Z14" s="56" t="n">
        <f aca="false">X14+Y14</f>
        <v>0</v>
      </c>
      <c r="AA14" s="66" t="n">
        <f aca="false">IF(D14&gt;0,Z14/D14,0)</f>
        <v>0</v>
      </c>
      <c r="AB14" s="66" t="n">
        <f aca="false">IF(G14&gt;0,P14/G14,0)</f>
        <v>0</v>
      </c>
      <c r="AC14" s="66" t="n">
        <f aca="false">IF(T14+AF14&gt;0,T14/(T14+AF14),0)</f>
        <v>0</v>
      </c>
      <c r="AD14" s="92" t="n">
        <f aca="false">AJ13</f>
        <v>0</v>
      </c>
      <c r="AE14" s="92" t="n">
        <f aca="false">AD14+G14+T14+U14+AP14-Q14-W14-AO14</f>
        <v>0</v>
      </c>
      <c r="AF14" s="92" t="n">
        <f aca="false">MAX(0,-AE14)</f>
        <v>-0</v>
      </c>
      <c r="AG14" s="92" t="n">
        <f aca="false">Y13+V14</f>
        <v>0</v>
      </c>
      <c r="AH14" s="92" t="n">
        <f aca="false">MIN(MAX(0,AE14),AG14)</f>
        <v>0</v>
      </c>
      <c r="AI14" s="92" t="n">
        <f aca="false">AE14+AF14-AH14</f>
        <v>0</v>
      </c>
      <c r="AJ14" s="92" t="n">
        <f aca="false">AI14</f>
        <v>0</v>
      </c>
      <c r="AK14" s="92" t="n">
        <f aca="false">AK13</f>
        <v>0</v>
      </c>
      <c r="AL14" s="92" t="n">
        <f aca="false">AJ14+AK14+AN14-Z14</f>
        <v>0</v>
      </c>
      <c r="AM14" s="92" t="n">
        <f aca="false">AJ14-(AD14+G14+T14+U14+AF14+AP14-Q14-W14-AH14-AO14)</f>
        <v>0</v>
      </c>
      <c r="AN14" s="92" t="n">
        <f aca="false">0</f>
        <v>0</v>
      </c>
      <c r="AO14" s="92" t="n">
        <f aca="false">0</f>
        <v>0</v>
      </c>
      <c r="AP14" s="92" t="n">
        <f aca="false">0</f>
        <v>0</v>
      </c>
    </row>
    <row r="15" customFormat="false" ht="14.25" hidden="false" customHeight="true" outlineLevel="0" collapsed="false">
      <c r="A15" s="61" t="n">
        <v>1855</v>
      </c>
      <c r="B15" s="47" t="n">
        <v>0</v>
      </c>
      <c r="C15" s="91" t="n">
        <f aca="false">Partners!H15</f>
        <v>1</v>
      </c>
      <c r="D15" s="49" t="n">
        <f aca="false">Partners!I15</f>
        <v>0</v>
      </c>
      <c r="E15" s="62" t="n">
        <v>0</v>
      </c>
      <c r="F15" s="62" t="n">
        <v>0</v>
      </c>
      <c r="G15" s="56" t="n">
        <f aca="false">D15*E15</f>
        <v>0</v>
      </c>
      <c r="H15" s="56" t="n">
        <f aca="false">D15*F15</f>
        <v>0</v>
      </c>
      <c r="I15" s="55" t="n">
        <v>0</v>
      </c>
      <c r="J15" s="56" t="n">
        <f aca="false">IF($A15&gt;=1927,(1-pac_quota)*Navy!X15,I15)</f>
        <v>0</v>
      </c>
      <c r="K15" s="55" t="n">
        <v>0</v>
      </c>
      <c r="L15" s="56" t="n">
        <f aca="false">IF($A15&gt;=1923,siberia_front*(1-pac_quota),0)</f>
        <v>0</v>
      </c>
      <c r="M15" s="55" t="n">
        <v>0</v>
      </c>
      <c r="N15" s="56" t="n">
        <f aca="false">M15*C15</f>
        <v>0</v>
      </c>
      <c r="O15" s="56" t="n">
        <f aca="false">IF($A15&gt;=1927,10*(1-pac_quota),0)</f>
        <v>0</v>
      </c>
      <c r="P15" s="56" t="n">
        <f aca="false">jp_coupon*(Z14-0)+0</f>
        <v>0</v>
      </c>
      <c r="Q15" s="56" t="n">
        <f aca="false">H15+J15+K15+L15+N15+O15+P15</f>
        <v>0</v>
      </c>
      <c r="R15" s="56" t="n">
        <f aca="false">Q15-G15</f>
        <v>0</v>
      </c>
      <c r="S15" s="55" t="n">
        <v>0</v>
      </c>
      <c r="T15" s="56" t="n">
        <f aca="false">S15*IF($A15&gt;=1923,C15,1)</f>
        <v>0</v>
      </c>
      <c r="U15" s="55" t="n">
        <v>0</v>
      </c>
      <c r="V15" s="55" t="n">
        <v>0</v>
      </c>
      <c r="W15" s="56" t="n">
        <f aca="false">(X14-0)*jp_foreign_repay+0</f>
        <v>0</v>
      </c>
      <c r="X15" s="56" t="n">
        <f aca="false">X14+T15-W15</f>
        <v>0</v>
      </c>
      <c r="Y15" s="56" t="n">
        <f aca="false">AG15+AF15-AH15</f>
        <v>0</v>
      </c>
      <c r="Z15" s="56" t="n">
        <f aca="false">X15+Y15</f>
        <v>0</v>
      </c>
      <c r="AA15" s="66" t="n">
        <f aca="false">IF(D15&gt;0,Z15/D15,0)</f>
        <v>0</v>
      </c>
      <c r="AB15" s="66" t="n">
        <f aca="false">IF(G15&gt;0,P15/G15,0)</f>
        <v>0</v>
      </c>
      <c r="AC15" s="66" t="n">
        <f aca="false">IF(T15+AF15&gt;0,T15/(T15+AF15),0)</f>
        <v>0</v>
      </c>
      <c r="AD15" s="92" t="n">
        <f aca="false">AJ14</f>
        <v>0</v>
      </c>
      <c r="AE15" s="92" t="n">
        <f aca="false">AD15+G15+T15+U15+AP15-Q15-W15-AO15</f>
        <v>0</v>
      </c>
      <c r="AF15" s="92" t="n">
        <f aca="false">MAX(0,-AE15)</f>
        <v>-0</v>
      </c>
      <c r="AG15" s="92" t="n">
        <f aca="false">Y14+V15</f>
        <v>0</v>
      </c>
      <c r="AH15" s="92" t="n">
        <f aca="false">MIN(MAX(0,AE15),AG15)</f>
        <v>0</v>
      </c>
      <c r="AI15" s="92" t="n">
        <f aca="false">AE15+AF15-AH15</f>
        <v>0</v>
      </c>
      <c r="AJ15" s="92" t="n">
        <f aca="false">AI15</f>
        <v>0</v>
      </c>
      <c r="AK15" s="92" t="n">
        <f aca="false">AK14</f>
        <v>0</v>
      </c>
      <c r="AL15" s="92" t="n">
        <f aca="false">AJ15+AK15+AN15-Z15</f>
        <v>0</v>
      </c>
      <c r="AM15" s="92" t="n">
        <f aca="false">AJ15-(AD15+G15+T15+U15+AF15+AP15-Q15-W15-AH15-AO15)</f>
        <v>0</v>
      </c>
      <c r="AN15" s="92" t="n">
        <f aca="false">0</f>
        <v>0</v>
      </c>
      <c r="AO15" s="92" t="n">
        <f aca="false">0</f>
        <v>0</v>
      </c>
      <c r="AP15" s="92" t="n">
        <f aca="false">0</f>
        <v>0</v>
      </c>
    </row>
    <row r="16" customFormat="false" ht="14.25" hidden="false" customHeight="true" outlineLevel="0" collapsed="false">
      <c r="A16" s="61" t="n">
        <v>1856</v>
      </c>
      <c r="B16" s="47" t="n">
        <v>0</v>
      </c>
      <c r="C16" s="91" t="n">
        <f aca="false">Partners!H16</f>
        <v>1</v>
      </c>
      <c r="D16" s="49" t="n">
        <f aca="false">Partners!I16</f>
        <v>0</v>
      </c>
      <c r="E16" s="62" t="n">
        <v>0</v>
      </c>
      <c r="F16" s="62" t="n">
        <v>0</v>
      </c>
      <c r="G16" s="56" t="n">
        <f aca="false">D16*E16</f>
        <v>0</v>
      </c>
      <c r="H16" s="56" t="n">
        <f aca="false">D16*F16</f>
        <v>0</v>
      </c>
      <c r="I16" s="55" t="n">
        <v>0</v>
      </c>
      <c r="J16" s="56" t="n">
        <f aca="false">IF($A16&gt;=1927,(1-pac_quota)*Navy!X16,I16)</f>
        <v>0</v>
      </c>
      <c r="K16" s="55" t="n">
        <v>0</v>
      </c>
      <c r="L16" s="56" t="n">
        <f aca="false">IF($A16&gt;=1923,siberia_front*(1-pac_quota),0)</f>
        <v>0</v>
      </c>
      <c r="M16" s="55" t="n">
        <v>0</v>
      </c>
      <c r="N16" s="56" t="n">
        <f aca="false">M16*C16</f>
        <v>0</v>
      </c>
      <c r="O16" s="56" t="n">
        <f aca="false">IF($A16&gt;=1927,10*(1-pac_quota),0)</f>
        <v>0</v>
      </c>
      <c r="P16" s="56" t="n">
        <f aca="false">jp_coupon*(Z15-0)+0</f>
        <v>0</v>
      </c>
      <c r="Q16" s="56" t="n">
        <f aca="false">H16+J16+K16+L16+N16+O16+P16</f>
        <v>0</v>
      </c>
      <c r="R16" s="56" t="n">
        <f aca="false">Q16-G16</f>
        <v>0</v>
      </c>
      <c r="S16" s="55" t="n">
        <v>0</v>
      </c>
      <c r="T16" s="56" t="n">
        <f aca="false">S16*IF($A16&gt;=1923,C16,1)</f>
        <v>0</v>
      </c>
      <c r="U16" s="55" t="n">
        <v>0</v>
      </c>
      <c r="V16" s="55" t="n">
        <v>0</v>
      </c>
      <c r="W16" s="56" t="n">
        <f aca="false">(X15-0)*jp_foreign_repay+0</f>
        <v>0</v>
      </c>
      <c r="X16" s="56" t="n">
        <f aca="false">X15+T16-W16</f>
        <v>0</v>
      </c>
      <c r="Y16" s="56" t="n">
        <f aca="false">AG16+AF16-AH16</f>
        <v>0</v>
      </c>
      <c r="Z16" s="56" t="n">
        <f aca="false">X16+Y16</f>
        <v>0</v>
      </c>
      <c r="AA16" s="66" t="n">
        <f aca="false">IF(D16&gt;0,Z16/D16,0)</f>
        <v>0</v>
      </c>
      <c r="AB16" s="66" t="n">
        <f aca="false">IF(G16&gt;0,P16/G16,0)</f>
        <v>0</v>
      </c>
      <c r="AC16" s="66" t="n">
        <f aca="false">IF(T16+AF16&gt;0,T16/(T16+AF16),0)</f>
        <v>0</v>
      </c>
      <c r="AD16" s="92" t="n">
        <f aca="false">AJ15</f>
        <v>0</v>
      </c>
      <c r="AE16" s="92" t="n">
        <f aca="false">AD16+G16+T16+U16+AP16-Q16-W16-AO16</f>
        <v>0</v>
      </c>
      <c r="AF16" s="92" t="n">
        <f aca="false">MAX(0,-AE16)</f>
        <v>-0</v>
      </c>
      <c r="AG16" s="92" t="n">
        <f aca="false">Y15+V16</f>
        <v>0</v>
      </c>
      <c r="AH16" s="92" t="n">
        <f aca="false">MIN(MAX(0,AE16),AG16)</f>
        <v>0</v>
      </c>
      <c r="AI16" s="92" t="n">
        <f aca="false">AE16+AF16-AH16</f>
        <v>0</v>
      </c>
      <c r="AJ16" s="92" t="n">
        <f aca="false">AI16</f>
        <v>0</v>
      </c>
      <c r="AK16" s="92" t="n">
        <f aca="false">AK15</f>
        <v>0</v>
      </c>
      <c r="AL16" s="92" t="n">
        <f aca="false">AJ16+AK16+AN16-Z16</f>
        <v>0</v>
      </c>
      <c r="AM16" s="92" t="n">
        <f aca="false">AJ16-(AD16+G16+T16+U16+AF16+AP16-Q16-W16-AH16-AO16)</f>
        <v>0</v>
      </c>
      <c r="AN16" s="92" t="n">
        <f aca="false">0</f>
        <v>0</v>
      </c>
      <c r="AO16" s="92" t="n">
        <f aca="false">0</f>
        <v>0</v>
      </c>
      <c r="AP16" s="92" t="n">
        <f aca="false">0</f>
        <v>0</v>
      </c>
    </row>
    <row r="17" customFormat="false" ht="14.25" hidden="false" customHeight="true" outlineLevel="0" collapsed="false">
      <c r="A17" s="61" t="n">
        <v>1857</v>
      </c>
      <c r="B17" s="47" t="n">
        <v>0</v>
      </c>
      <c r="C17" s="91" t="n">
        <f aca="false">Partners!H17</f>
        <v>1</v>
      </c>
      <c r="D17" s="49" t="n">
        <f aca="false">Partners!I17</f>
        <v>0</v>
      </c>
      <c r="E17" s="62" t="n">
        <v>0</v>
      </c>
      <c r="F17" s="62" t="n">
        <v>0</v>
      </c>
      <c r="G17" s="56" t="n">
        <f aca="false">D17*E17</f>
        <v>0</v>
      </c>
      <c r="H17" s="56" t="n">
        <f aca="false">D17*F17</f>
        <v>0</v>
      </c>
      <c r="I17" s="55" t="n">
        <v>0</v>
      </c>
      <c r="J17" s="56" t="n">
        <f aca="false">IF($A17&gt;=1927,(1-pac_quota)*Navy!X17,I17)</f>
        <v>0</v>
      </c>
      <c r="K17" s="55" t="n">
        <v>0</v>
      </c>
      <c r="L17" s="56" t="n">
        <f aca="false">IF($A17&gt;=1923,siberia_front*(1-pac_quota),0)</f>
        <v>0</v>
      </c>
      <c r="M17" s="55" t="n">
        <v>0</v>
      </c>
      <c r="N17" s="56" t="n">
        <f aca="false">M17*C17</f>
        <v>0</v>
      </c>
      <c r="O17" s="56" t="n">
        <f aca="false">IF($A17&gt;=1927,10*(1-pac_quota),0)</f>
        <v>0</v>
      </c>
      <c r="P17" s="56" t="n">
        <f aca="false">jp_coupon*(Z16-0)+0</f>
        <v>0</v>
      </c>
      <c r="Q17" s="56" t="n">
        <f aca="false">H17+J17+K17+L17+N17+O17+P17</f>
        <v>0</v>
      </c>
      <c r="R17" s="56" t="n">
        <f aca="false">Q17-G17</f>
        <v>0</v>
      </c>
      <c r="S17" s="55" t="n">
        <v>0</v>
      </c>
      <c r="T17" s="56" t="n">
        <f aca="false">S17*IF($A17&gt;=1923,C17,1)</f>
        <v>0</v>
      </c>
      <c r="U17" s="55" t="n">
        <v>0</v>
      </c>
      <c r="V17" s="55" t="n">
        <v>0</v>
      </c>
      <c r="W17" s="56" t="n">
        <f aca="false">(X16-0)*jp_foreign_repay+0</f>
        <v>0</v>
      </c>
      <c r="X17" s="56" t="n">
        <f aca="false">X16+T17-W17</f>
        <v>0</v>
      </c>
      <c r="Y17" s="56" t="n">
        <f aca="false">AG17+AF17-AH17</f>
        <v>0</v>
      </c>
      <c r="Z17" s="56" t="n">
        <f aca="false">X17+Y17</f>
        <v>0</v>
      </c>
      <c r="AA17" s="66" t="n">
        <f aca="false">IF(D17&gt;0,Z17/D17,0)</f>
        <v>0</v>
      </c>
      <c r="AB17" s="66" t="n">
        <f aca="false">IF(G17&gt;0,P17/G17,0)</f>
        <v>0</v>
      </c>
      <c r="AC17" s="66" t="n">
        <f aca="false">IF(T17+AF17&gt;0,T17/(T17+AF17),0)</f>
        <v>0</v>
      </c>
      <c r="AD17" s="92" t="n">
        <f aca="false">AJ16</f>
        <v>0</v>
      </c>
      <c r="AE17" s="92" t="n">
        <f aca="false">AD17+G17+T17+U17+AP17-Q17-W17-AO17</f>
        <v>0</v>
      </c>
      <c r="AF17" s="92" t="n">
        <f aca="false">MAX(0,-AE17)</f>
        <v>-0</v>
      </c>
      <c r="AG17" s="92" t="n">
        <f aca="false">Y16+V17</f>
        <v>0</v>
      </c>
      <c r="AH17" s="92" t="n">
        <f aca="false">MIN(MAX(0,AE17),AG17)</f>
        <v>0</v>
      </c>
      <c r="AI17" s="92" t="n">
        <f aca="false">AE17+AF17-AH17</f>
        <v>0</v>
      </c>
      <c r="AJ17" s="92" t="n">
        <f aca="false">AI17</f>
        <v>0</v>
      </c>
      <c r="AK17" s="92" t="n">
        <f aca="false">AK16</f>
        <v>0</v>
      </c>
      <c r="AL17" s="92" t="n">
        <f aca="false">AJ17+AK17+AN17-Z17</f>
        <v>0</v>
      </c>
      <c r="AM17" s="92" t="n">
        <f aca="false">AJ17-(AD17+G17+T17+U17+AF17+AP17-Q17-W17-AH17-AO17)</f>
        <v>0</v>
      </c>
      <c r="AN17" s="92" t="n">
        <f aca="false">0</f>
        <v>0</v>
      </c>
      <c r="AO17" s="92" t="n">
        <f aca="false">0</f>
        <v>0</v>
      </c>
      <c r="AP17" s="92" t="n">
        <f aca="false">0</f>
        <v>0</v>
      </c>
    </row>
    <row r="18" customFormat="false" ht="14.25" hidden="false" customHeight="true" outlineLevel="0" collapsed="false">
      <c r="A18" s="61" t="n">
        <v>1858</v>
      </c>
      <c r="B18" s="47" t="n">
        <v>0</v>
      </c>
      <c r="C18" s="91" t="n">
        <f aca="false">Partners!H18</f>
        <v>1</v>
      </c>
      <c r="D18" s="49" t="n">
        <f aca="false">Partners!I18</f>
        <v>0</v>
      </c>
      <c r="E18" s="62" t="n">
        <v>0</v>
      </c>
      <c r="F18" s="62" t="n">
        <v>0</v>
      </c>
      <c r="G18" s="56" t="n">
        <f aca="false">D18*E18</f>
        <v>0</v>
      </c>
      <c r="H18" s="56" t="n">
        <f aca="false">D18*F18</f>
        <v>0</v>
      </c>
      <c r="I18" s="55" t="n">
        <v>0</v>
      </c>
      <c r="J18" s="56" t="n">
        <f aca="false">IF($A18&gt;=1927,(1-pac_quota)*Navy!X18,I18)</f>
        <v>0</v>
      </c>
      <c r="K18" s="55" t="n">
        <v>0</v>
      </c>
      <c r="L18" s="56" t="n">
        <f aca="false">IF($A18&gt;=1923,siberia_front*(1-pac_quota),0)</f>
        <v>0</v>
      </c>
      <c r="M18" s="55" t="n">
        <v>0</v>
      </c>
      <c r="N18" s="56" t="n">
        <f aca="false">M18*C18</f>
        <v>0</v>
      </c>
      <c r="O18" s="56" t="n">
        <f aca="false">IF($A18&gt;=1927,10*(1-pac_quota),0)</f>
        <v>0</v>
      </c>
      <c r="P18" s="56" t="n">
        <f aca="false">jp_coupon*(Z17-0)+0</f>
        <v>0</v>
      </c>
      <c r="Q18" s="56" t="n">
        <f aca="false">H18+J18+K18+L18+N18+O18+P18</f>
        <v>0</v>
      </c>
      <c r="R18" s="56" t="n">
        <f aca="false">Q18-G18</f>
        <v>0</v>
      </c>
      <c r="S18" s="55" t="n">
        <v>0</v>
      </c>
      <c r="T18" s="56" t="n">
        <f aca="false">S18*IF($A18&gt;=1923,C18,1)</f>
        <v>0</v>
      </c>
      <c r="U18" s="55" t="n">
        <v>0</v>
      </c>
      <c r="V18" s="55" t="n">
        <v>0</v>
      </c>
      <c r="W18" s="56" t="n">
        <f aca="false">(X17-0)*jp_foreign_repay+0</f>
        <v>0</v>
      </c>
      <c r="X18" s="56" t="n">
        <f aca="false">X17+T18-W18</f>
        <v>0</v>
      </c>
      <c r="Y18" s="56" t="n">
        <f aca="false">AG18+AF18-AH18</f>
        <v>0</v>
      </c>
      <c r="Z18" s="56" t="n">
        <f aca="false">X18+Y18</f>
        <v>0</v>
      </c>
      <c r="AA18" s="66" t="n">
        <f aca="false">IF(D18&gt;0,Z18/D18,0)</f>
        <v>0</v>
      </c>
      <c r="AB18" s="66" t="n">
        <f aca="false">IF(G18&gt;0,P18/G18,0)</f>
        <v>0</v>
      </c>
      <c r="AC18" s="66" t="n">
        <f aca="false">IF(T18+AF18&gt;0,T18/(T18+AF18),0)</f>
        <v>0</v>
      </c>
      <c r="AD18" s="92" t="n">
        <f aca="false">AJ17</f>
        <v>0</v>
      </c>
      <c r="AE18" s="92" t="n">
        <f aca="false">AD18+G18+T18+U18+AP18-Q18-W18-AO18</f>
        <v>0</v>
      </c>
      <c r="AF18" s="92" t="n">
        <f aca="false">MAX(0,-AE18)</f>
        <v>-0</v>
      </c>
      <c r="AG18" s="92" t="n">
        <f aca="false">Y17+V18</f>
        <v>0</v>
      </c>
      <c r="AH18" s="92" t="n">
        <f aca="false">MIN(MAX(0,AE18),AG18)</f>
        <v>0</v>
      </c>
      <c r="AI18" s="92" t="n">
        <f aca="false">AE18+AF18-AH18</f>
        <v>0</v>
      </c>
      <c r="AJ18" s="92" t="n">
        <f aca="false">AI18</f>
        <v>0</v>
      </c>
      <c r="AK18" s="92" t="n">
        <f aca="false">AK17</f>
        <v>0</v>
      </c>
      <c r="AL18" s="92" t="n">
        <f aca="false">AJ18+AK18+AN18-Z18</f>
        <v>0</v>
      </c>
      <c r="AM18" s="92" t="n">
        <f aca="false">AJ18-(AD18+G18+T18+U18+AF18+AP18-Q18-W18-AH18-AO18)</f>
        <v>0</v>
      </c>
      <c r="AN18" s="92" t="n">
        <f aca="false">0</f>
        <v>0</v>
      </c>
      <c r="AO18" s="92" t="n">
        <f aca="false">0</f>
        <v>0</v>
      </c>
      <c r="AP18" s="92" t="n">
        <f aca="false">0</f>
        <v>0</v>
      </c>
    </row>
    <row r="19" customFormat="false" ht="14.25" hidden="false" customHeight="true" outlineLevel="0" collapsed="false">
      <c r="A19" s="61" t="n">
        <v>1859</v>
      </c>
      <c r="B19" s="47" t="n">
        <v>0</v>
      </c>
      <c r="C19" s="91" t="n">
        <f aca="false">Partners!H19</f>
        <v>1</v>
      </c>
      <c r="D19" s="49" t="n">
        <f aca="false">Partners!I19</f>
        <v>0</v>
      </c>
      <c r="E19" s="62" t="n">
        <v>0</v>
      </c>
      <c r="F19" s="62" t="n">
        <v>0</v>
      </c>
      <c r="G19" s="56" t="n">
        <f aca="false">D19*E19</f>
        <v>0</v>
      </c>
      <c r="H19" s="56" t="n">
        <f aca="false">D19*F19</f>
        <v>0</v>
      </c>
      <c r="I19" s="55" t="n">
        <v>0</v>
      </c>
      <c r="J19" s="56" t="n">
        <f aca="false">IF($A19&gt;=1927,(1-pac_quota)*Navy!X19,I19)</f>
        <v>0</v>
      </c>
      <c r="K19" s="55" t="n">
        <v>0</v>
      </c>
      <c r="L19" s="56" t="n">
        <f aca="false">IF($A19&gt;=1923,siberia_front*(1-pac_quota),0)</f>
        <v>0</v>
      </c>
      <c r="M19" s="55" t="n">
        <v>0</v>
      </c>
      <c r="N19" s="56" t="n">
        <f aca="false">M19*C19</f>
        <v>0</v>
      </c>
      <c r="O19" s="56" t="n">
        <f aca="false">IF($A19&gt;=1927,10*(1-pac_quota),0)</f>
        <v>0</v>
      </c>
      <c r="P19" s="56" t="n">
        <f aca="false">jp_coupon*(Z18-0)+0</f>
        <v>0</v>
      </c>
      <c r="Q19" s="56" t="n">
        <f aca="false">H19+J19+K19+L19+N19+O19+P19</f>
        <v>0</v>
      </c>
      <c r="R19" s="56" t="n">
        <f aca="false">Q19-G19</f>
        <v>0</v>
      </c>
      <c r="S19" s="55" t="n">
        <v>0</v>
      </c>
      <c r="T19" s="56" t="n">
        <f aca="false">S19*IF($A19&gt;=1923,C19,1)</f>
        <v>0</v>
      </c>
      <c r="U19" s="55" t="n">
        <v>0</v>
      </c>
      <c r="V19" s="55" t="n">
        <v>0</v>
      </c>
      <c r="W19" s="56" t="n">
        <f aca="false">(X18-0)*jp_foreign_repay+0</f>
        <v>0</v>
      </c>
      <c r="X19" s="56" t="n">
        <f aca="false">X18+T19-W19</f>
        <v>0</v>
      </c>
      <c r="Y19" s="56" t="n">
        <f aca="false">AG19+AF19-AH19</f>
        <v>0</v>
      </c>
      <c r="Z19" s="56" t="n">
        <f aca="false">X19+Y19</f>
        <v>0</v>
      </c>
      <c r="AA19" s="66" t="n">
        <f aca="false">IF(D19&gt;0,Z19/D19,0)</f>
        <v>0</v>
      </c>
      <c r="AB19" s="66" t="n">
        <f aca="false">IF(G19&gt;0,P19/G19,0)</f>
        <v>0</v>
      </c>
      <c r="AC19" s="66" t="n">
        <f aca="false">IF(T19+AF19&gt;0,T19/(T19+AF19),0)</f>
        <v>0</v>
      </c>
      <c r="AD19" s="92" t="n">
        <f aca="false">AJ18</f>
        <v>0</v>
      </c>
      <c r="AE19" s="92" t="n">
        <f aca="false">AD19+G19+T19+U19+AP19-Q19-W19-AO19</f>
        <v>0</v>
      </c>
      <c r="AF19" s="92" t="n">
        <f aca="false">MAX(0,-AE19)</f>
        <v>-0</v>
      </c>
      <c r="AG19" s="92" t="n">
        <f aca="false">Y18+V19</f>
        <v>0</v>
      </c>
      <c r="AH19" s="92" t="n">
        <f aca="false">MIN(MAX(0,AE19),AG19)</f>
        <v>0</v>
      </c>
      <c r="AI19" s="92" t="n">
        <f aca="false">AE19+AF19-AH19</f>
        <v>0</v>
      </c>
      <c r="AJ19" s="92" t="n">
        <f aca="false">AI19</f>
        <v>0</v>
      </c>
      <c r="AK19" s="92" t="n">
        <f aca="false">AK18</f>
        <v>0</v>
      </c>
      <c r="AL19" s="92" t="n">
        <f aca="false">AJ19+AK19+AN19-Z19</f>
        <v>0</v>
      </c>
      <c r="AM19" s="92" t="n">
        <f aca="false">AJ19-(AD19+G19+T19+U19+AF19+AP19-Q19-W19-AH19-AO19)</f>
        <v>0</v>
      </c>
      <c r="AN19" s="92" t="n">
        <f aca="false">0</f>
        <v>0</v>
      </c>
      <c r="AO19" s="92" t="n">
        <f aca="false">0</f>
        <v>0</v>
      </c>
      <c r="AP19" s="92" t="n">
        <f aca="false">0</f>
        <v>0</v>
      </c>
    </row>
    <row r="20" customFormat="false" ht="14.25" hidden="false" customHeight="true" outlineLevel="0" collapsed="false">
      <c r="A20" s="61" t="n">
        <v>1860</v>
      </c>
      <c r="B20" s="47" t="n">
        <v>0</v>
      </c>
      <c r="C20" s="91" t="n">
        <f aca="false">Partners!H20</f>
        <v>1</v>
      </c>
      <c r="D20" s="49" t="n">
        <f aca="false">Partners!I20</f>
        <v>0</v>
      </c>
      <c r="E20" s="62" t="n">
        <v>0</v>
      </c>
      <c r="F20" s="62" t="n">
        <v>0</v>
      </c>
      <c r="G20" s="56" t="n">
        <f aca="false">D20*E20</f>
        <v>0</v>
      </c>
      <c r="H20" s="56" t="n">
        <f aca="false">D20*F20</f>
        <v>0</v>
      </c>
      <c r="I20" s="55" t="n">
        <v>0</v>
      </c>
      <c r="J20" s="56" t="n">
        <f aca="false">IF($A20&gt;=1927,(1-pac_quota)*Navy!X20,I20)</f>
        <v>0</v>
      </c>
      <c r="K20" s="55" t="n">
        <v>0</v>
      </c>
      <c r="L20" s="56" t="n">
        <f aca="false">IF($A20&gt;=1923,siberia_front*(1-pac_quota),0)</f>
        <v>0</v>
      </c>
      <c r="M20" s="55" t="n">
        <v>0</v>
      </c>
      <c r="N20" s="56" t="n">
        <f aca="false">M20*C20</f>
        <v>0</v>
      </c>
      <c r="O20" s="56" t="n">
        <f aca="false">IF($A20&gt;=1927,10*(1-pac_quota),0)</f>
        <v>0</v>
      </c>
      <c r="P20" s="56" t="n">
        <f aca="false">jp_coupon*(Z19-0)+0</f>
        <v>0</v>
      </c>
      <c r="Q20" s="56" t="n">
        <f aca="false">H20+J20+K20+L20+N20+O20+P20</f>
        <v>0</v>
      </c>
      <c r="R20" s="56" t="n">
        <f aca="false">Q20-G20</f>
        <v>0</v>
      </c>
      <c r="S20" s="55" t="n">
        <v>0</v>
      </c>
      <c r="T20" s="56" t="n">
        <f aca="false">S20*IF($A20&gt;=1923,C20,1)</f>
        <v>0</v>
      </c>
      <c r="U20" s="55" t="n">
        <v>0</v>
      </c>
      <c r="V20" s="55" t="n">
        <v>0</v>
      </c>
      <c r="W20" s="56" t="n">
        <f aca="false">(X19-0)*jp_foreign_repay+0</f>
        <v>0</v>
      </c>
      <c r="X20" s="56" t="n">
        <f aca="false">X19+T20-W20</f>
        <v>0</v>
      </c>
      <c r="Y20" s="56" t="n">
        <f aca="false">AG20+AF20-AH20</f>
        <v>0</v>
      </c>
      <c r="Z20" s="56" t="n">
        <f aca="false">X20+Y20</f>
        <v>0</v>
      </c>
      <c r="AA20" s="66" t="n">
        <f aca="false">IF(D20&gt;0,Z20/D20,0)</f>
        <v>0</v>
      </c>
      <c r="AB20" s="66" t="n">
        <f aca="false">IF(G20&gt;0,P20/G20,0)</f>
        <v>0</v>
      </c>
      <c r="AC20" s="66" t="n">
        <f aca="false">IF(T20+AF20&gt;0,T20/(T20+AF20),0)</f>
        <v>0</v>
      </c>
      <c r="AD20" s="92" t="n">
        <f aca="false">AJ19</f>
        <v>0</v>
      </c>
      <c r="AE20" s="92" t="n">
        <f aca="false">AD20+G20+T20+U20+AP20-Q20-W20-AO20</f>
        <v>0</v>
      </c>
      <c r="AF20" s="92" t="n">
        <f aca="false">MAX(0,-AE20)</f>
        <v>-0</v>
      </c>
      <c r="AG20" s="92" t="n">
        <f aca="false">Y19+V20</f>
        <v>0</v>
      </c>
      <c r="AH20" s="92" t="n">
        <f aca="false">MIN(MAX(0,AE20),AG20)</f>
        <v>0</v>
      </c>
      <c r="AI20" s="92" t="n">
        <f aca="false">AE20+AF20-AH20</f>
        <v>0</v>
      </c>
      <c r="AJ20" s="92" t="n">
        <f aca="false">AI20</f>
        <v>0</v>
      </c>
      <c r="AK20" s="92" t="n">
        <f aca="false">AK19</f>
        <v>0</v>
      </c>
      <c r="AL20" s="92" t="n">
        <f aca="false">AJ20+AK20+AN20-Z20</f>
        <v>0</v>
      </c>
      <c r="AM20" s="92" t="n">
        <f aca="false">AJ20-(AD20+G20+T20+U20+AF20+AP20-Q20-W20-AH20-AO20)</f>
        <v>0</v>
      </c>
      <c r="AN20" s="92" t="n">
        <f aca="false">0</f>
        <v>0</v>
      </c>
      <c r="AO20" s="92" t="n">
        <f aca="false">0</f>
        <v>0</v>
      </c>
      <c r="AP20" s="92" t="n">
        <f aca="false">0</f>
        <v>0</v>
      </c>
    </row>
    <row r="21" customFormat="false" ht="14.25" hidden="false" customHeight="true" outlineLevel="0" collapsed="false">
      <c r="A21" s="64" t="n">
        <v>1861</v>
      </c>
      <c r="B21" s="47" t="n">
        <v>0</v>
      </c>
      <c r="C21" s="91" t="n">
        <f aca="false">Partners!H21</f>
        <v>1</v>
      </c>
      <c r="D21" s="49" t="n">
        <f aca="false">Partners!I21</f>
        <v>0</v>
      </c>
      <c r="E21" s="62" t="n">
        <v>0</v>
      </c>
      <c r="F21" s="62" t="n">
        <v>0</v>
      </c>
      <c r="G21" s="56" t="n">
        <f aca="false">D21*E21</f>
        <v>0</v>
      </c>
      <c r="H21" s="56" t="n">
        <f aca="false">D21*F21</f>
        <v>0</v>
      </c>
      <c r="I21" s="55" t="n">
        <v>0</v>
      </c>
      <c r="J21" s="56" t="n">
        <f aca="false">IF($A21&gt;=1927,(1-pac_quota)*Navy!X21,I21)</f>
        <v>0</v>
      </c>
      <c r="K21" s="55" t="n">
        <v>0</v>
      </c>
      <c r="L21" s="56" t="n">
        <f aca="false">IF($A21&gt;=1923,siberia_front*(1-pac_quota),0)</f>
        <v>0</v>
      </c>
      <c r="M21" s="55" t="n">
        <v>0</v>
      </c>
      <c r="N21" s="56" t="n">
        <f aca="false">M21*C21</f>
        <v>0</v>
      </c>
      <c r="O21" s="56" t="n">
        <f aca="false">IF($A21&gt;=1927,10*(1-pac_quota),0)</f>
        <v>0</v>
      </c>
      <c r="P21" s="56" t="n">
        <f aca="false">jp_coupon*(Z20-0)+0</f>
        <v>0</v>
      </c>
      <c r="Q21" s="56" t="n">
        <f aca="false">H21+J21+K21+L21+N21+O21+P21</f>
        <v>0</v>
      </c>
      <c r="R21" s="56" t="n">
        <f aca="false">Q21-G21</f>
        <v>0</v>
      </c>
      <c r="S21" s="55" t="n">
        <v>0</v>
      </c>
      <c r="T21" s="56" t="n">
        <f aca="false">S21*IF($A21&gt;=1923,C21,1)</f>
        <v>0</v>
      </c>
      <c r="U21" s="55" t="n">
        <v>0</v>
      </c>
      <c r="V21" s="55" t="n">
        <v>0</v>
      </c>
      <c r="W21" s="56" t="n">
        <f aca="false">(X20-0)*jp_foreign_repay+0</f>
        <v>0</v>
      </c>
      <c r="X21" s="56" t="n">
        <f aca="false">X20+T21-W21</f>
        <v>0</v>
      </c>
      <c r="Y21" s="56" t="n">
        <f aca="false">AG21+AF21-AH21</f>
        <v>0</v>
      </c>
      <c r="Z21" s="56" t="n">
        <f aca="false">X21+Y21</f>
        <v>0</v>
      </c>
      <c r="AA21" s="66" t="n">
        <f aca="false">IF(D21&gt;0,Z21/D21,0)</f>
        <v>0</v>
      </c>
      <c r="AB21" s="66" t="n">
        <f aca="false">IF(G21&gt;0,P21/G21,0)</f>
        <v>0</v>
      </c>
      <c r="AC21" s="66" t="n">
        <f aca="false">IF(T21+AF21&gt;0,T21/(T21+AF21),0)</f>
        <v>0</v>
      </c>
      <c r="AD21" s="92" t="n">
        <f aca="false">AJ20</f>
        <v>0</v>
      </c>
      <c r="AE21" s="92" t="n">
        <f aca="false">AD21+G21+T21+U21+AP21-Q21-W21-AO21</f>
        <v>0</v>
      </c>
      <c r="AF21" s="92" t="n">
        <f aca="false">MAX(0,-AE21)</f>
        <v>-0</v>
      </c>
      <c r="AG21" s="92" t="n">
        <f aca="false">Y20+V21</f>
        <v>0</v>
      </c>
      <c r="AH21" s="92" t="n">
        <f aca="false">MIN(MAX(0,AE21),AG21)</f>
        <v>0</v>
      </c>
      <c r="AI21" s="92" t="n">
        <f aca="false">AE21+AF21-AH21</f>
        <v>0</v>
      </c>
      <c r="AJ21" s="92" t="n">
        <f aca="false">AI21</f>
        <v>0</v>
      </c>
      <c r="AK21" s="92" t="n">
        <f aca="false">AK20</f>
        <v>0</v>
      </c>
      <c r="AL21" s="92" t="n">
        <f aca="false">AJ21+AK21+AN21-Z21</f>
        <v>0</v>
      </c>
      <c r="AM21" s="92" t="n">
        <f aca="false">AJ21-(AD21+G21+T21+U21+AF21+AP21-Q21-W21-AH21-AO21)</f>
        <v>0</v>
      </c>
      <c r="AN21" s="92" t="n">
        <f aca="false">0</f>
        <v>0</v>
      </c>
      <c r="AO21" s="92" t="n">
        <f aca="false">0</f>
        <v>0</v>
      </c>
      <c r="AP21" s="92" t="n">
        <f aca="false">0</f>
        <v>0</v>
      </c>
    </row>
    <row r="22" customFormat="false" ht="14.25" hidden="false" customHeight="true" outlineLevel="0" collapsed="false">
      <c r="A22" s="64" t="n">
        <v>1862</v>
      </c>
      <c r="B22" s="47" t="n">
        <v>0</v>
      </c>
      <c r="C22" s="91" t="n">
        <f aca="false">Partners!H22</f>
        <v>1</v>
      </c>
      <c r="D22" s="49" t="n">
        <f aca="false">Partners!I22</f>
        <v>0</v>
      </c>
      <c r="E22" s="62" t="n">
        <v>0</v>
      </c>
      <c r="F22" s="62" t="n">
        <v>0</v>
      </c>
      <c r="G22" s="56" t="n">
        <f aca="false">D22*E22</f>
        <v>0</v>
      </c>
      <c r="H22" s="56" t="n">
        <f aca="false">D22*F22</f>
        <v>0</v>
      </c>
      <c r="I22" s="55" t="n">
        <v>0</v>
      </c>
      <c r="J22" s="56" t="n">
        <f aca="false">IF($A22&gt;=1927,(1-pac_quota)*Navy!X22,I22)</f>
        <v>0</v>
      </c>
      <c r="K22" s="55" t="n">
        <v>0</v>
      </c>
      <c r="L22" s="56" t="n">
        <f aca="false">IF($A22&gt;=1923,siberia_front*(1-pac_quota),0)</f>
        <v>0</v>
      </c>
      <c r="M22" s="55" t="n">
        <v>0</v>
      </c>
      <c r="N22" s="56" t="n">
        <f aca="false">M22*C22</f>
        <v>0</v>
      </c>
      <c r="O22" s="56" t="n">
        <f aca="false">IF($A22&gt;=1927,10*(1-pac_quota),0)</f>
        <v>0</v>
      </c>
      <c r="P22" s="56" t="n">
        <f aca="false">jp_coupon*(Z21-0)+0</f>
        <v>0</v>
      </c>
      <c r="Q22" s="56" t="n">
        <f aca="false">H22+J22+K22+L22+N22+O22+P22</f>
        <v>0</v>
      </c>
      <c r="R22" s="56" t="n">
        <f aca="false">Q22-G22</f>
        <v>0</v>
      </c>
      <c r="S22" s="55" t="n">
        <v>0</v>
      </c>
      <c r="T22" s="56" t="n">
        <f aca="false">S22*IF($A22&gt;=1923,C22,1)</f>
        <v>0</v>
      </c>
      <c r="U22" s="55" t="n">
        <v>0</v>
      </c>
      <c r="V22" s="55" t="n">
        <v>0</v>
      </c>
      <c r="W22" s="56" t="n">
        <f aca="false">(X21-0)*jp_foreign_repay+0</f>
        <v>0</v>
      </c>
      <c r="X22" s="56" t="n">
        <f aca="false">X21+T22-W22</f>
        <v>0</v>
      </c>
      <c r="Y22" s="56" t="n">
        <f aca="false">AG22+AF22-AH22</f>
        <v>0</v>
      </c>
      <c r="Z22" s="56" t="n">
        <f aca="false">X22+Y22</f>
        <v>0</v>
      </c>
      <c r="AA22" s="66" t="n">
        <f aca="false">IF(D22&gt;0,Z22/D22,0)</f>
        <v>0</v>
      </c>
      <c r="AB22" s="66" t="n">
        <f aca="false">IF(G22&gt;0,P22/G22,0)</f>
        <v>0</v>
      </c>
      <c r="AC22" s="66" t="n">
        <f aca="false">IF(T22+AF22&gt;0,T22/(T22+AF22),0)</f>
        <v>0</v>
      </c>
      <c r="AD22" s="92" t="n">
        <f aca="false">AJ21</f>
        <v>0</v>
      </c>
      <c r="AE22" s="92" t="n">
        <f aca="false">AD22+G22+T22+U22+AP22-Q22-W22-AO22</f>
        <v>0</v>
      </c>
      <c r="AF22" s="92" t="n">
        <f aca="false">MAX(0,-AE22)</f>
        <v>-0</v>
      </c>
      <c r="AG22" s="92" t="n">
        <f aca="false">Y21+V22</f>
        <v>0</v>
      </c>
      <c r="AH22" s="92" t="n">
        <f aca="false">MIN(MAX(0,AE22),AG22)</f>
        <v>0</v>
      </c>
      <c r="AI22" s="92" t="n">
        <f aca="false">AE22+AF22-AH22</f>
        <v>0</v>
      </c>
      <c r="AJ22" s="92" t="n">
        <f aca="false">AI22</f>
        <v>0</v>
      </c>
      <c r="AK22" s="92" t="n">
        <f aca="false">AK21</f>
        <v>0</v>
      </c>
      <c r="AL22" s="92" t="n">
        <f aca="false">AJ22+AK22+AN22-Z22</f>
        <v>0</v>
      </c>
      <c r="AM22" s="92" t="n">
        <f aca="false">AJ22-(AD22+G22+T22+U22+AF22+AP22-Q22-W22-AH22-AO22)</f>
        <v>0</v>
      </c>
      <c r="AN22" s="92" t="n">
        <f aca="false">0</f>
        <v>0</v>
      </c>
      <c r="AO22" s="92" t="n">
        <f aca="false">0</f>
        <v>0</v>
      </c>
      <c r="AP22" s="92" t="n">
        <f aca="false">0</f>
        <v>0</v>
      </c>
    </row>
    <row r="23" customFormat="false" ht="14.25" hidden="false" customHeight="true" outlineLevel="0" collapsed="false">
      <c r="A23" s="64" t="n">
        <v>1863</v>
      </c>
      <c r="B23" s="47" t="n">
        <v>0</v>
      </c>
      <c r="C23" s="91" t="n">
        <f aca="false">Partners!H23</f>
        <v>1</v>
      </c>
      <c r="D23" s="49" t="n">
        <f aca="false">Partners!I23</f>
        <v>0</v>
      </c>
      <c r="E23" s="62" t="n">
        <v>0</v>
      </c>
      <c r="F23" s="62" t="n">
        <v>0</v>
      </c>
      <c r="G23" s="56" t="n">
        <f aca="false">D23*E23</f>
        <v>0</v>
      </c>
      <c r="H23" s="56" t="n">
        <f aca="false">D23*F23</f>
        <v>0</v>
      </c>
      <c r="I23" s="55" t="n">
        <v>0</v>
      </c>
      <c r="J23" s="56" t="n">
        <f aca="false">IF($A23&gt;=1927,(1-pac_quota)*Navy!X23,I23)</f>
        <v>0</v>
      </c>
      <c r="K23" s="55" t="n">
        <v>0</v>
      </c>
      <c r="L23" s="56" t="n">
        <f aca="false">IF($A23&gt;=1923,siberia_front*(1-pac_quota),0)</f>
        <v>0</v>
      </c>
      <c r="M23" s="55" t="n">
        <v>0</v>
      </c>
      <c r="N23" s="56" t="n">
        <f aca="false">M23*C23</f>
        <v>0</v>
      </c>
      <c r="O23" s="56" t="n">
        <f aca="false">IF($A23&gt;=1927,10*(1-pac_quota),0)</f>
        <v>0</v>
      </c>
      <c r="P23" s="56" t="n">
        <f aca="false">jp_coupon*(Z22-0)+0</f>
        <v>0</v>
      </c>
      <c r="Q23" s="56" t="n">
        <f aca="false">H23+J23+K23+L23+N23+O23+P23</f>
        <v>0</v>
      </c>
      <c r="R23" s="56" t="n">
        <f aca="false">Q23-G23</f>
        <v>0</v>
      </c>
      <c r="S23" s="55" t="n">
        <v>0</v>
      </c>
      <c r="T23" s="56" t="n">
        <f aca="false">S23*IF($A23&gt;=1923,C23,1)</f>
        <v>0</v>
      </c>
      <c r="U23" s="55" t="n">
        <v>0</v>
      </c>
      <c r="V23" s="55" t="n">
        <v>0</v>
      </c>
      <c r="W23" s="56" t="n">
        <f aca="false">(X22-0)*jp_foreign_repay+0</f>
        <v>0</v>
      </c>
      <c r="X23" s="56" t="n">
        <f aca="false">X22+T23-W23</f>
        <v>0</v>
      </c>
      <c r="Y23" s="56" t="n">
        <f aca="false">AG23+AF23-AH23</f>
        <v>0</v>
      </c>
      <c r="Z23" s="56" t="n">
        <f aca="false">X23+Y23</f>
        <v>0</v>
      </c>
      <c r="AA23" s="66" t="n">
        <f aca="false">IF(D23&gt;0,Z23/D23,0)</f>
        <v>0</v>
      </c>
      <c r="AB23" s="66" t="n">
        <f aca="false">IF(G23&gt;0,P23/G23,0)</f>
        <v>0</v>
      </c>
      <c r="AC23" s="66" t="n">
        <f aca="false">IF(T23+AF23&gt;0,T23/(T23+AF23),0)</f>
        <v>0</v>
      </c>
      <c r="AD23" s="92" t="n">
        <f aca="false">AJ22</f>
        <v>0</v>
      </c>
      <c r="AE23" s="92" t="n">
        <f aca="false">AD23+G23+T23+U23+AP23-Q23-W23-AO23</f>
        <v>0</v>
      </c>
      <c r="AF23" s="92" t="n">
        <f aca="false">MAX(0,-AE23)</f>
        <v>-0</v>
      </c>
      <c r="AG23" s="92" t="n">
        <f aca="false">Y22+V23</f>
        <v>0</v>
      </c>
      <c r="AH23" s="92" t="n">
        <f aca="false">MIN(MAX(0,AE23),AG23)</f>
        <v>0</v>
      </c>
      <c r="AI23" s="92" t="n">
        <f aca="false">AE23+AF23-AH23</f>
        <v>0</v>
      </c>
      <c r="AJ23" s="92" t="n">
        <f aca="false">AI23</f>
        <v>0</v>
      </c>
      <c r="AK23" s="92" t="n">
        <f aca="false">AK22</f>
        <v>0</v>
      </c>
      <c r="AL23" s="92" t="n">
        <f aca="false">AJ23+AK23+AN23-Z23</f>
        <v>0</v>
      </c>
      <c r="AM23" s="92" t="n">
        <f aca="false">AJ23-(AD23+G23+T23+U23+AF23+AP23-Q23-W23-AH23-AO23)</f>
        <v>0</v>
      </c>
      <c r="AN23" s="92" t="n">
        <f aca="false">0</f>
        <v>0</v>
      </c>
      <c r="AO23" s="92" t="n">
        <f aca="false">0</f>
        <v>0</v>
      </c>
      <c r="AP23" s="92" t="n">
        <f aca="false">0</f>
        <v>0</v>
      </c>
    </row>
    <row r="24" customFormat="false" ht="14.25" hidden="false" customHeight="true" outlineLevel="0" collapsed="false">
      <c r="A24" s="64" t="n">
        <v>1864</v>
      </c>
      <c r="B24" s="47" t="n">
        <v>0</v>
      </c>
      <c r="C24" s="91" t="n">
        <f aca="false">Partners!H24</f>
        <v>1</v>
      </c>
      <c r="D24" s="49" t="n">
        <f aca="false">Partners!I24</f>
        <v>0</v>
      </c>
      <c r="E24" s="62" t="n">
        <v>0</v>
      </c>
      <c r="F24" s="62" t="n">
        <v>0</v>
      </c>
      <c r="G24" s="56" t="n">
        <f aca="false">D24*E24</f>
        <v>0</v>
      </c>
      <c r="H24" s="56" t="n">
        <f aca="false">D24*F24</f>
        <v>0</v>
      </c>
      <c r="I24" s="55" t="n">
        <v>0</v>
      </c>
      <c r="J24" s="56" t="n">
        <f aca="false">IF($A24&gt;=1927,(1-pac_quota)*Navy!X24,I24)</f>
        <v>0</v>
      </c>
      <c r="K24" s="55" t="n">
        <v>0</v>
      </c>
      <c r="L24" s="56" t="n">
        <f aca="false">IF($A24&gt;=1923,siberia_front*(1-pac_quota),0)</f>
        <v>0</v>
      </c>
      <c r="M24" s="55" t="n">
        <v>0</v>
      </c>
      <c r="N24" s="56" t="n">
        <f aca="false">M24*C24</f>
        <v>0</v>
      </c>
      <c r="O24" s="56" t="n">
        <f aca="false">IF($A24&gt;=1927,10*(1-pac_quota),0)</f>
        <v>0</v>
      </c>
      <c r="P24" s="56" t="n">
        <f aca="false">jp_coupon*(Z23-0)+0</f>
        <v>0</v>
      </c>
      <c r="Q24" s="56" t="n">
        <f aca="false">H24+J24+K24+L24+N24+O24+P24</f>
        <v>0</v>
      </c>
      <c r="R24" s="56" t="n">
        <f aca="false">Q24-G24</f>
        <v>0</v>
      </c>
      <c r="S24" s="55" t="n">
        <v>0</v>
      </c>
      <c r="T24" s="56" t="n">
        <f aca="false">S24*IF($A24&gt;=1923,C24,1)</f>
        <v>0</v>
      </c>
      <c r="U24" s="55" t="n">
        <v>0</v>
      </c>
      <c r="V24" s="55" t="n">
        <v>0</v>
      </c>
      <c r="W24" s="56" t="n">
        <f aca="false">(X23-0)*jp_foreign_repay+0</f>
        <v>0</v>
      </c>
      <c r="X24" s="56" t="n">
        <f aca="false">X23+T24-W24</f>
        <v>0</v>
      </c>
      <c r="Y24" s="56" t="n">
        <f aca="false">AG24+AF24-AH24</f>
        <v>0</v>
      </c>
      <c r="Z24" s="56" t="n">
        <f aca="false">X24+Y24</f>
        <v>0</v>
      </c>
      <c r="AA24" s="66" t="n">
        <f aca="false">IF(D24&gt;0,Z24/D24,0)</f>
        <v>0</v>
      </c>
      <c r="AB24" s="66" t="n">
        <f aca="false">IF(G24&gt;0,P24/G24,0)</f>
        <v>0</v>
      </c>
      <c r="AC24" s="66" t="n">
        <f aca="false">IF(T24+AF24&gt;0,T24/(T24+AF24),0)</f>
        <v>0</v>
      </c>
      <c r="AD24" s="92" t="n">
        <f aca="false">AJ23</f>
        <v>0</v>
      </c>
      <c r="AE24" s="92" t="n">
        <f aca="false">AD24+G24+T24+U24+AP24-Q24-W24-AO24</f>
        <v>0</v>
      </c>
      <c r="AF24" s="92" t="n">
        <f aca="false">MAX(0,-AE24)</f>
        <v>-0</v>
      </c>
      <c r="AG24" s="92" t="n">
        <f aca="false">Y23+V24</f>
        <v>0</v>
      </c>
      <c r="AH24" s="92" t="n">
        <f aca="false">MIN(MAX(0,AE24),AG24)</f>
        <v>0</v>
      </c>
      <c r="AI24" s="92" t="n">
        <f aca="false">AE24+AF24-AH24</f>
        <v>0</v>
      </c>
      <c r="AJ24" s="92" t="n">
        <f aca="false">AI24</f>
        <v>0</v>
      </c>
      <c r="AK24" s="92" t="n">
        <f aca="false">AK23</f>
        <v>0</v>
      </c>
      <c r="AL24" s="92" t="n">
        <f aca="false">AJ24+AK24+AN24-Z24</f>
        <v>0</v>
      </c>
      <c r="AM24" s="92" t="n">
        <f aca="false">AJ24-(AD24+G24+T24+U24+AF24+AP24-Q24-W24-AH24-AO24)</f>
        <v>0</v>
      </c>
      <c r="AN24" s="92" t="n">
        <f aca="false">0</f>
        <v>0</v>
      </c>
      <c r="AO24" s="92" t="n">
        <f aca="false">0</f>
        <v>0</v>
      </c>
      <c r="AP24" s="92" t="n">
        <f aca="false">0</f>
        <v>0</v>
      </c>
    </row>
    <row r="25" customFormat="false" ht="14.25" hidden="false" customHeight="true" outlineLevel="0" collapsed="false">
      <c r="A25" s="64" t="n">
        <v>1865</v>
      </c>
      <c r="B25" s="47" t="n">
        <v>0</v>
      </c>
      <c r="C25" s="91" t="n">
        <f aca="false">Partners!H25</f>
        <v>1</v>
      </c>
      <c r="D25" s="49" t="n">
        <f aca="false">Partners!I25</f>
        <v>0</v>
      </c>
      <c r="E25" s="62" t="n">
        <v>0</v>
      </c>
      <c r="F25" s="62" t="n">
        <v>0</v>
      </c>
      <c r="G25" s="56" t="n">
        <f aca="false">D25*E25</f>
        <v>0</v>
      </c>
      <c r="H25" s="56" t="n">
        <f aca="false">D25*F25</f>
        <v>0</v>
      </c>
      <c r="I25" s="55" t="n">
        <v>0</v>
      </c>
      <c r="J25" s="56" t="n">
        <f aca="false">IF($A25&gt;=1927,(1-pac_quota)*Navy!X25,I25)</f>
        <v>0</v>
      </c>
      <c r="K25" s="55" t="n">
        <v>0</v>
      </c>
      <c r="L25" s="56" t="n">
        <f aca="false">IF($A25&gt;=1923,siberia_front*(1-pac_quota),0)</f>
        <v>0</v>
      </c>
      <c r="M25" s="55" t="n">
        <v>0</v>
      </c>
      <c r="N25" s="56" t="n">
        <f aca="false">M25*C25</f>
        <v>0</v>
      </c>
      <c r="O25" s="56" t="n">
        <f aca="false">IF($A25&gt;=1927,10*(1-pac_quota),0)</f>
        <v>0</v>
      </c>
      <c r="P25" s="56" t="n">
        <f aca="false">jp_coupon*(Z24-0)+0</f>
        <v>0</v>
      </c>
      <c r="Q25" s="56" t="n">
        <f aca="false">H25+J25+K25+L25+N25+O25+P25</f>
        <v>0</v>
      </c>
      <c r="R25" s="56" t="n">
        <f aca="false">Q25-G25</f>
        <v>0</v>
      </c>
      <c r="S25" s="55" t="n">
        <v>0</v>
      </c>
      <c r="T25" s="56" t="n">
        <f aca="false">S25*IF($A25&gt;=1923,C25,1)</f>
        <v>0</v>
      </c>
      <c r="U25" s="55" t="n">
        <v>0</v>
      </c>
      <c r="V25" s="55" t="n">
        <v>0</v>
      </c>
      <c r="W25" s="56" t="n">
        <f aca="false">(X24-0)*jp_foreign_repay+0</f>
        <v>0</v>
      </c>
      <c r="X25" s="56" t="n">
        <f aca="false">X24+T25-W25</f>
        <v>0</v>
      </c>
      <c r="Y25" s="56" t="n">
        <f aca="false">AG25+AF25-AH25</f>
        <v>0</v>
      </c>
      <c r="Z25" s="56" t="n">
        <f aca="false">X25+Y25</f>
        <v>0</v>
      </c>
      <c r="AA25" s="66" t="n">
        <f aca="false">IF(D25&gt;0,Z25/D25,0)</f>
        <v>0</v>
      </c>
      <c r="AB25" s="66" t="n">
        <f aca="false">IF(G25&gt;0,P25/G25,0)</f>
        <v>0</v>
      </c>
      <c r="AC25" s="66" t="n">
        <f aca="false">IF(T25+AF25&gt;0,T25/(T25+AF25),0)</f>
        <v>0</v>
      </c>
      <c r="AD25" s="92" t="n">
        <f aca="false">AJ24</f>
        <v>0</v>
      </c>
      <c r="AE25" s="92" t="n">
        <f aca="false">AD25+G25+T25+U25+AP25-Q25-W25-AO25</f>
        <v>0</v>
      </c>
      <c r="AF25" s="92" t="n">
        <f aca="false">MAX(0,-AE25)</f>
        <v>-0</v>
      </c>
      <c r="AG25" s="92" t="n">
        <f aca="false">Y24+V25</f>
        <v>0</v>
      </c>
      <c r="AH25" s="92" t="n">
        <f aca="false">MIN(MAX(0,AE25),AG25)</f>
        <v>0</v>
      </c>
      <c r="AI25" s="92" t="n">
        <f aca="false">AE25+AF25-AH25</f>
        <v>0</v>
      </c>
      <c r="AJ25" s="92" t="n">
        <f aca="false">AI25</f>
        <v>0</v>
      </c>
      <c r="AK25" s="92" t="n">
        <f aca="false">AK24</f>
        <v>0</v>
      </c>
      <c r="AL25" s="92" t="n">
        <f aca="false">AJ25+AK25+AN25-Z25</f>
        <v>0</v>
      </c>
      <c r="AM25" s="92" t="n">
        <f aca="false">AJ25-(AD25+G25+T25+U25+AF25+AP25-Q25-W25-AH25-AO25)</f>
        <v>0</v>
      </c>
      <c r="AN25" s="92" t="n">
        <f aca="false">0</f>
        <v>0</v>
      </c>
      <c r="AO25" s="92" t="n">
        <f aca="false">0</f>
        <v>0</v>
      </c>
      <c r="AP25" s="92" t="n">
        <f aca="false">0</f>
        <v>0</v>
      </c>
    </row>
    <row r="26" customFormat="false" ht="14.25" hidden="false" customHeight="true" outlineLevel="0" collapsed="false">
      <c r="A26" s="61" t="n">
        <v>1866</v>
      </c>
      <c r="B26" s="47" t="n">
        <v>0</v>
      </c>
      <c r="C26" s="91" t="n">
        <f aca="false">Partners!H26</f>
        <v>1</v>
      </c>
      <c r="D26" s="49" t="n">
        <f aca="false">Partners!I26</f>
        <v>0</v>
      </c>
      <c r="E26" s="62" t="n">
        <v>0</v>
      </c>
      <c r="F26" s="62" t="n">
        <v>0</v>
      </c>
      <c r="G26" s="56" t="n">
        <f aca="false">D26*E26</f>
        <v>0</v>
      </c>
      <c r="H26" s="56" t="n">
        <f aca="false">D26*F26</f>
        <v>0</v>
      </c>
      <c r="I26" s="55" t="n">
        <v>0</v>
      </c>
      <c r="J26" s="56" t="n">
        <f aca="false">IF($A26&gt;=1927,(1-pac_quota)*Navy!X26,I26)</f>
        <v>0</v>
      </c>
      <c r="K26" s="55" t="n">
        <v>0</v>
      </c>
      <c r="L26" s="56" t="n">
        <f aca="false">IF($A26&gt;=1923,siberia_front*(1-pac_quota),0)</f>
        <v>0</v>
      </c>
      <c r="M26" s="55" t="n">
        <v>0</v>
      </c>
      <c r="N26" s="56" t="n">
        <f aca="false">M26*C26</f>
        <v>0</v>
      </c>
      <c r="O26" s="56" t="n">
        <f aca="false">IF($A26&gt;=1927,10*(1-pac_quota),0)</f>
        <v>0</v>
      </c>
      <c r="P26" s="56" t="n">
        <f aca="false">jp_coupon*(Z25-0)+0</f>
        <v>0</v>
      </c>
      <c r="Q26" s="56" t="n">
        <f aca="false">H26+J26+K26+L26+N26+O26+P26</f>
        <v>0</v>
      </c>
      <c r="R26" s="56" t="n">
        <f aca="false">Q26-G26</f>
        <v>0</v>
      </c>
      <c r="S26" s="55" t="n">
        <v>0</v>
      </c>
      <c r="T26" s="56" t="n">
        <f aca="false">S26*IF($A26&gt;=1923,C26,1)</f>
        <v>0</v>
      </c>
      <c r="U26" s="55" t="n">
        <v>0</v>
      </c>
      <c r="V26" s="55" t="n">
        <v>0</v>
      </c>
      <c r="W26" s="56" t="n">
        <f aca="false">(X25-0)*jp_foreign_repay+0</f>
        <v>0</v>
      </c>
      <c r="X26" s="56" t="n">
        <f aca="false">X25+T26-W26</f>
        <v>0</v>
      </c>
      <c r="Y26" s="56" t="n">
        <f aca="false">AG26+AF26-AH26</f>
        <v>0</v>
      </c>
      <c r="Z26" s="56" t="n">
        <f aca="false">X26+Y26</f>
        <v>0</v>
      </c>
      <c r="AA26" s="66" t="n">
        <f aca="false">IF(D26&gt;0,Z26/D26,0)</f>
        <v>0</v>
      </c>
      <c r="AB26" s="66" t="n">
        <f aca="false">IF(G26&gt;0,P26/G26,0)</f>
        <v>0</v>
      </c>
      <c r="AC26" s="66" t="n">
        <f aca="false">IF(T26+AF26&gt;0,T26/(T26+AF26),0)</f>
        <v>0</v>
      </c>
      <c r="AD26" s="92" t="n">
        <f aca="false">AJ25</f>
        <v>0</v>
      </c>
      <c r="AE26" s="92" t="n">
        <f aca="false">AD26+G26+T26+U26+AP26-Q26-W26-AO26</f>
        <v>0</v>
      </c>
      <c r="AF26" s="92" t="n">
        <f aca="false">MAX(0,-AE26)</f>
        <v>-0</v>
      </c>
      <c r="AG26" s="92" t="n">
        <f aca="false">Y25+V26</f>
        <v>0</v>
      </c>
      <c r="AH26" s="92" t="n">
        <f aca="false">MIN(MAX(0,AE26),AG26)</f>
        <v>0</v>
      </c>
      <c r="AI26" s="92" t="n">
        <f aca="false">AE26+AF26-AH26</f>
        <v>0</v>
      </c>
      <c r="AJ26" s="92" t="n">
        <f aca="false">AI26</f>
        <v>0</v>
      </c>
      <c r="AK26" s="92" t="n">
        <f aca="false">AK25</f>
        <v>0</v>
      </c>
      <c r="AL26" s="92" t="n">
        <f aca="false">AJ26+AK26+AN26-Z26</f>
        <v>0</v>
      </c>
      <c r="AM26" s="92" t="n">
        <f aca="false">AJ26-(AD26+G26+T26+U26+AF26+AP26-Q26-W26-AH26-AO26)</f>
        <v>0</v>
      </c>
      <c r="AN26" s="92" t="n">
        <f aca="false">0</f>
        <v>0</v>
      </c>
      <c r="AO26" s="92" t="n">
        <f aca="false">0</f>
        <v>0</v>
      </c>
      <c r="AP26" s="92" t="n">
        <f aca="false">0</f>
        <v>0</v>
      </c>
    </row>
    <row r="27" customFormat="false" ht="14.25" hidden="false" customHeight="true" outlineLevel="0" collapsed="false">
      <c r="A27" s="61" t="n">
        <v>1867</v>
      </c>
      <c r="B27" s="47" t="n">
        <v>0</v>
      </c>
      <c r="C27" s="91" t="n">
        <f aca="false">Partners!H27</f>
        <v>1</v>
      </c>
      <c r="D27" s="49" t="n">
        <f aca="false">Partners!I27</f>
        <v>0</v>
      </c>
      <c r="E27" s="62" t="n">
        <v>0</v>
      </c>
      <c r="F27" s="62" t="n">
        <v>0</v>
      </c>
      <c r="G27" s="56" t="n">
        <f aca="false">D27*E27</f>
        <v>0</v>
      </c>
      <c r="H27" s="56" t="n">
        <f aca="false">D27*F27</f>
        <v>0</v>
      </c>
      <c r="I27" s="55" t="n">
        <v>0</v>
      </c>
      <c r="J27" s="56" t="n">
        <f aca="false">IF($A27&gt;=1927,(1-pac_quota)*Navy!X27,I27)</f>
        <v>0</v>
      </c>
      <c r="K27" s="55" t="n">
        <v>0</v>
      </c>
      <c r="L27" s="56" t="n">
        <f aca="false">IF($A27&gt;=1923,siberia_front*(1-pac_quota),0)</f>
        <v>0</v>
      </c>
      <c r="M27" s="55" t="n">
        <v>0</v>
      </c>
      <c r="N27" s="56" t="n">
        <f aca="false">M27*C27</f>
        <v>0</v>
      </c>
      <c r="O27" s="56" t="n">
        <f aca="false">IF($A27&gt;=1927,10*(1-pac_quota),0)</f>
        <v>0</v>
      </c>
      <c r="P27" s="56" t="n">
        <f aca="false">jp_coupon*(Z26-0)+0</f>
        <v>0</v>
      </c>
      <c r="Q27" s="56" t="n">
        <f aca="false">H27+J27+K27+L27+N27+O27+P27</f>
        <v>0</v>
      </c>
      <c r="R27" s="56" t="n">
        <f aca="false">Q27-G27</f>
        <v>0</v>
      </c>
      <c r="S27" s="55" t="n">
        <v>0</v>
      </c>
      <c r="T27" s="56" t="n">
        <f aca="false">S27*IF($A27&gt;=1923,C27,1)</f>
        <v>0</v>
      </c>
      <c r="U27" s="55" t="n">
        <v>0</v>
      </c>
      <c r="V27" s="55" t="n">
        <v>0</v>
      </c>
      <c r="W27" s="56" t="n">
        <f aca="false">(X26-0)*jp_foreign_repay+0</f>
        <v>0</v>
      </c>
      <c r="X27" s="56" t="n">
        <f aca="false">X26+T27-W27</f>
        <v>0</v>
      </c>
      <c r="Y27" s="56" t="n">
        <f aca="false">AG27+AF27-AH27</f>
        <v>0</v>
      </c>
      <c r="Z27" s="56" t="n">
        <f aca="false">X27+Y27</f>
        <v>0</v>
      </c>
      <c r="AA27" s="66" t="n">
        <f aca="false">IF(D27&gt;0,Z27/D27,0)</f>
        <v>0</v>
      </c>
      <c r="AB27" s="66" t="n">
        <f aca="false">IF(G27&gt;0,P27/G27,0)</f>
        <v>0</v>
      </c>
      <c r="AC27" s="66" t="n">
        <f aca="false">IF(T27+AF27&gt;0,T27/(T27+AF27),0)</f>
        <v>0</v>
      </c>
      <c r="AD27" s="92" t="n">
        <f aca="false">AJ26</f>
        <v>0</v>
      </c>
      <c r="AE27" s="92" t="n">
        <f aca="false">AD27+G27+T27+U27+AP27-Q27-W27-AO27</f>
        <v>0</v>
      </c>
      <c r="AF27" s="92" t="n">
        <f aca="false">MAX(0,-AE27)</f>
        <v>-0</v>
      </c>
      <c r="AG27" s="92" t="n">
        <f aca="false">Y26+V27</f>
        <v>0</v>
      </c>
      <c r="AH27" s="92" t="n">
        <f aca="false">MIN(MAX(0,AE27),AG27)</f>
        <v>0</v>
      </c>
      <c r="AI27" s="92" t="n">
        <f aca="false">AE27+AF27-AH27</f>
        <v>0</v>
      </c>
      <c r="AJ27" s="92" t="n">
        <f aca="false">AI27</f>
        <v>0</v>
      </c>
      <c r="AK27" s="92" t="n">
        <f aca="false">AK26</f>
        <v>0</v>
      </c>
      <c r="AL27" s="92" t="n">
        <f aca="false">AJ27+AK27+AN27-Z27</f>
        <v>0</v>
      </c>
      <c r="AM27" s="92" t="n">
        <f aca="false">AJ27-(AD27+G27+T27+U27+AF27+AP27-Q27-W27-AH27-AO27)</f>
        <v>0</v>
      </c>
      <c r="AN27" s="92" t="n">
        <f aca="false">0</f>
        <v>0</v>
      </c>
      <c r="AO27" s="92" t="n">
        <f aca="false">0</f>
        <v>0</v>
      </c>
      <c r="AP27" s="92" t="n">
        <f aca="false">0</f>
        <v>0</v>
      </c>
    </row>
    <row r="28" customFormat="false" ht="14.25" hidden="false" customHeight="true" outlineLevel="0" collapsed="false">
      <c r="A28" s="61" t="n">
        <v>1868</v>
      </c>
      <c r="B28" s="47" t="n">
        <v>450</v>
      </c>
      <c r="C28" s="91" t="n">
        <f aca="false">Partners!H28</f>
        <v>1</v>
      </c>
      <c r="D28" s="49" t="n">
        <f aca="false">Partners!I28</f>
        <v>450</v>
      </c>
      <c r="E28" s="62" t="n">
        <v>0.06</v>
      </c>
      <c r="F28" s="62" t="n">
        <v>0.06</v>
      </c>
      <c r="G28" s="56" t="n">
        <f aca="false">D28*E28</f>
        <v>27</v>
      </c>
      <c r="H28" s="56" t="n">
        <f aca="false">D28*F28</f>
        <v>27</v>
      </c>
      <c r="I28" s="55" t="n">
        <v>0</v>
      </c>
      <c r="J28" s="56" t="n">
        <f aca="false">IF($A28&gt;=1927,(1-pac_quota)*Navy!X28,I28)</f>
        <v>0</v>
      </c>
      <c r="K28" s="55" t="n">
        <v>0</v>
      </c>
      <c r="L28" s="56" t="n">
        <f aca="false">IF($A28&gt;=1923,siberia_front*(1-pac_quota),0)</f>
        <v>0</v>
      </c>
      <c r="M28" s="55" t="n">
        <v>0</v>
      </c>
      <c r="N28" s="56" t="n">
        <f aca="false">M28*C28</f>
        <v>0</v>
      </c>
      <c r="O28" s="56" t="n">
        <f aca="false">IF($A28&gt;=1927,10*(1-pac_quota),0)</f>
        <v>0</v>
      </c>
      <c r="P28" s="56" t="n">
        <f aca="false">jp_coupon*(Z27-0)+0</f>
        <v>0</v>
      </c>
      <c r="Q28" s="56" t="n">
        <f aca="false">H28+J28+K28+L28+N28+O28+P28</f>
        <v>27</v>
      </c>
      <c r="R28" s="56" t="n">
        <f aca="false">Q28-G28</f>
        <v>0</v>
      </c>
      <c r="S28" s="55" t="n">
        <v>0</v>
      </c>
      <c r="T28" s="56" t="n">
        <f aca="false">S28*IF($A28&gt;=1923,C28,1)</f>
        <v>0</v>
      </c>
      <c r="U28" s="55" t="n">
        <v>0</v>
      </c>
      <c r="V28" s="55" t="n">
        <v>0</v>
      </c>
      <c r="W28" s="56" t="n">
        <f aca="false">(X27-0)*jp_foreign_repay+0</f>
        <v>0</v>
      </c>
      <c r="X28" s="56" t="n">
        <f aca="false">X27+T28-W28</f>
        <v>0</v>
      </c>
      <c r="Y28" s="56" t="n">
        <f aca="false">AG28+AF28-AH28</f>
        <v>0</v>
      </c>
      <c r="Z28" s="56" t="n">
        <f aca="false">X28+Y28</f>
        <v>0</v>
      </c>
      <c r="AA28" s="66" t="n">
        <f aca="false">IF(D28&gt;0,Z28/D28,0)</f>
        <v>0</v>
      </c>
      <c r="AB28" s="66" t="n">
        <f aca="false">IF(G28&gt;0,P28/G28,0)</f>
        <v>0</v>
      </c>
      <c r="AC28" s="66" t="n">
        <f aca="false">IF(T28+AF28&gt;0,T28/(T28+AF28),0)</f>
        <v>0</v>
      </c>
      <c r="AD28" s="92" t="n">
        <f aca="false">AJ27</f>
        <v>0</v>
      </c>
      <c r="AE28" s="92" t="n">
        <f aca="false">AD28+G28+T28+U28+AP28-Q28-W28-AO28</f>
        <v>0</v>
      </c>
      <c r="AF28" s="92" t="n">
        <f aca="false">MAX(0,-AE28)</f>
        <v>-0</v>
      </c>
      <c r="AG28" s="92" t="n">
        <f aca="false">Y27+V28</f>
        <v>0</v>
      </c>
      <c r="AH28" s="92" t="n">
        <f aca="false">MIN(MAX(0,AE28),AG28)</f>
        <v>0</v>
      </c>
      <c r="AI28" s="92" t="n">
        <f aca="false">AE28+AF28-AH28</f>
        <v>0</v>
      </c>
      <c r="AJ28" s="92" t="n">
        <f aca="false">AI28</f>
        <v>0</v>
      </c>
      <c r="AK28" s="92" t="n">
        <f aca="false">AK27</f>
        <v>0</v>
      </c>
      <c r="AL28" s="92" t="n">
        <f aca="false">AJ28+AK28+AN28-Z28</f>
        <v>0</v>
      </c>
      <c r="AM28" s="92" t="n">
        <f aca="false">AJ28-(AD28+G28+T28+U28+AF28+AP28-Q28-W28-AH28-AO28)</f>
        <v>0</v>
      </c>
      <c r="AN28" s="92" t="n">
        <f aca="false">0</f>
        <v>0</v>
      </c>
      <c r="AO28" s="92" t="n">
        <f aca="false">0</f>
        <v>0</v>
      </c>
      <c r="AP28" s="92" t="n">
        <f aca="false">0</f>
        <v>0</v>
      </c>
    </row>
    <row r="29" customFormat="false" ht="14.25" hidden="false" customHeight="true" outlineLevel="0" collapsed="false">
      <c r="A29" s="61" t="n">
        <v>1869</v>
      </c>
      <c r="B29" s="47" t="n">
        <v>457</v>
      </c>
      <c r="C29" s="91" t="n">
        <f aca="false">Partners!H29</f>
        <v>1.00958399275728</v>
      </c>
      <c r="D29" s="49" t="n">
        <f aca="false">Partners!I29</f>
        <v>461.379884690078</v>
      </c>
      <c r="E29" s="62" t="n">
        <v>0.07</v>
      </c>
      <c r="F29" s="62" t="n">
        <v>0.066</v>
      </c>
      <c r="G29" s="56" t="n">
        <f aca="false">D29*E29</f>
        <v>32.2965919283055</v>
      </c>
      <c r="H29" s="56" t="n">
        <f aca="false">D29*F29</f>
        <v>30.4510723895452</v>
      </c>
      <c r="I29" s="55" t="n">
        <v>0</v>
      </c>
      <c r="J29" s="56" t="n">
        <f aca="false">IF($A29&gt;=1927,(1-pac_quota)*Navy!X29,I29)</f>
        <v>0</v>
      </c>
      <c r="K29" s="55" t="n">
        <v>0</v>
      </c>
      <c r="L29" s="56" t="n">
        <f aca="false">IF($A29&gt;=1923,siberia_front*(1-pac_quota),0)</f>
        <v>0</v>
      </c>
      <c r="M29" s="55" t="n">
        <v>0</v>
      </c>
      <c r="N29" s="56" t="n">
        <f aca="false">M29*C29</f>
        <v>0</v>
      </c>
      <c r="O29" s="56" t="n">
        <f aca="false">IF($A29&gt;=1927,10*(1-pac_quota),0)</f>
        <v>0</v>
      </c>
      <c r="P29" s="56" t="n">
        <f aca="false">jp_coupon*(Z28-0)+0</f>
        <v>0</v>
      </c>
      <c r="Q29" s="56" t="n">
        <f aca="false">H29+J29+K29+L29+N29+O29+P29</f>
        <v>30.4510723895452</v>
      </c>
      <c r="R29" s="56" t="n">
        <f aca="false">Q29-G29</f>
        <v>-1.84551953876032</v>
      </c>
      <c r="S29" s="55" t="n">
        <v>0</v>
      </c>
      <c r="T29" s="56" t="n">
        <f aca="false">S29*IF($A29&gt;=1923,C29,1)</f>
        <v>0</v>
      </c>
      <c r="U29" s="55" t="n">
        <v>0</v>
      </c>
      <c r="V29" s="55" t="n">
        <v>0</v>
      </c>
      <c r="W29" s="56" t="n">
        <f aca="false">(X28-0)*jp_foreign_repay+0</f>
        <v>0</v>
      </c>
      <c r="X29" s="56" t="n">
        <f aca="false">X28+T29-W29</f>
        <v>0</v>
      </c>
      <c r="Y29" s="56" t="n">
        <f aca="false">AG29+AF29-AH29</f>
        <v>0</v>
      </c>
      <c r="Z29" s="56" t="n">
        <f aca="false">X29+Y29</f>
        <v>0</v>
      </c>
      <c r="AA29" s="66" t="n">
        <f aca="false">IF(D29&gt;0,Z29/D29,0)</f>
        <v>0</v>
      </c>
      <c r="AB29" s="66" t="n">
        <f aca="false">IF(G29&gt;0,P29/G29,0)</f>
        <v>0</v>
      </c>
      <c r="AC29" s="66" t="n">
        <f aca="false">IF(T29+AF29&gt;0,T29/(T29+AF29),0)</f>
        <v>0</v>
      </c>
      <c r="AD29" s="92" t="n">
        <f aca="false">AJ28</f>
        <v>0</v>
      </c>
      <c r="AE29" s="92" t="n">
        <f aca="false">AD29+G29+T29+U29+AP29-Q29-W29-AO29</f>
        <v>1.84551953876032</v>
      </c>
      <c r="AF29" s="92" t="n">
        <f aca="false">MAX(0,-AE29)</f>
        <v>0</v>
      </c>
      <c r="AG29" s="92" t="n">
        <f aca="false">Y28+V29</f>
        <v>0</v>
      </c>
      <c r="AH29" s="92" t="n">
        <f aca="false">MIN(MAX(0,AE29),AG29)</f>
        <v>0</v>
      </c>
      <c r="AI29" s="92" t="n">
        <f aca="false">AE29+AF29-AH29</f>
        <v>1.84551953876032</v>
      </c>
      <c r="AJ29" s="92" t="n">
        <f aca="false">AI29</f>
        <v>1.84551953876032</v>
      </c>
      <c r="AK29" s="92" t="n">
        <f aca="false">AK28</f>
        <v>0</v>
      </c>
      <c r="AL29" s="92" t="n">
        <f aca="false">AJ29+AK29+AN29-Z29</f>
        <v>1.84551953876032</v>
      </c>
      <c r="AM29" s="92" t="n">
        <f aca="false">AJ29-(AD29+G29+T29+U29+AF29+AP29-Q29-W29-AH29-AO29)</f>
        <v>0</v>
      </c>
      <c r="AN29" s="92" t="n">
        <f aca="false">0</f>
        <v>0</v>
      </c>
      <c r="AO29" s="92" t="n">
        <f aca="false">0</f>
        <v>0</v>
      </c>
      <c r="AP29" s="92" t="n">
        <f aca="false">0</f>
        <v>0</v>
      </c>
    </row>
    <row r="30" customFormat="false" ht="14.25" hidden="false" customHeight="true" outlineLevel="0" collapsed="false">
      <c r="A30" s="64" t="n">
        <v>1870</v>
      </c>
      <c r="B30" s="47" t="n">
        <v>464</v>
      </c>
      <c r="C30" s="91" t="n">
        <f aca="false">Partners!H30</f>
        <v>1.01955843637584</v>
      </c>
      <c r="D30" s="49" t="n">
        <f aca="false">Partners!I30</f>
        <v>473.075114478388</v>
      </c>
      <c r="E30" s="62" t="n">
        <v>0.08</v>
      </c>
      <c r="F30" s="62" t="n">
        <v>0.072</v>
      </c>
      <c r="G30" s="56" t="n">
        <f aca="false">D30*E30</f>
        <v>37.846009158271</v>
      </c>
      <c r="H30" s="56" t="n">
        <f aca="false">D30*F30</f>
        <v>34.0614082424439</v>
      </c>
      <c r="I30" s="55" t="n">
        <v>2</v>
      </c>
      <c r="J30" s="56" t="n">
        <f aca="false">IF($A30&gt;=1927,(1-pac_quota)*Navy!X30,I30)</f>
        <v>2</v>
      </c>
      <c r="K30" s="55" t="n">
        <v>0</v>
      </c>
      <c r="L30" s="56" t="n">
        <f aca="false">IF($A30&gt;=1923,siberia_front*(1-pac_quota),0)</f>
        <v>0</v>
      </c>
      <c r="M30" s="55" t="n">
        <v>0</v>
      </c>
      <c r="N30" s="56" t="n">
        <f aca="false">M30*C30</f>
        <v>0</v>
      </c>
      <c r="O30" s="56" t="n">
        <f aca="false">IF($A30&gt;=1927,10*(1-pac_quota),0)</f>
        <v>0</v>
      </c>
      <c r="P30" s="56" t="n">
        <f aca="false">jp_coupon*(Z29-0)+0</f>
        <v>0</v>
      </c>
      <c r="Q30" s="56" t="n">
        <f aca="false">H30+J30+K30+L30+N30+O30+P30</f>
        <v>36.0614082424439</v>
      </c>
      <c r="R30" s="56" t="n">
        <f aca="false">Q30-G30</f>
        <v>-1.78460091582711</v>
      </c>
      <c r="S30" s="55" t="n">
        <v>5</v>
      </c>
      <c r="T30" s="56" t="n">
        <f aca="false">S30*IF($A30&gt;=1923,C30,1)</f>
        <v>5</v>
      </c>
      <c r="U30" s="55" t="n">
        <v>0</v>
      </c>
      <c r="V30" s="55" t="n">
        <v>0</v>
      </c>
      <c r="W30" s="56" t="n">
        <f aca="false">(X29-0)*jp_foreign_repay+0</f>
        <v>0</v>
      </c>
      <c r="X30" s="56" t="n">
        <f aca="false">X29+T30-W30</f>
        <v>5</v>
      </c>
      <c r="Y30" s="56" t="n">
        <f aca="false">AG30+AF30-AH30</f>
        <v>0</v>
      </c>
      <c r="Z30" s="56" t="n">
        <f aca="false">X30+Y30</f>
        <v>5</v>
      </c>
      <c r="AA30" s="66" t="n">
        <f aca="false">IF(D30&gt;0,Z30/D30,0)</f>
        <v>0.0105691460974712</v>
      </c>
      <c r="AB30" s="66" t="n">
        <f aca="false">IF(G30&gt;0,P30/G30,0)</f>
        <v>0</v>
      </c>
      <c r="AC30" s="66" t="n">
        <f aca="false">IF(T30+AF30&gt;0,T30/(T30+AF30),0)</f>
        <v>1</v>
      </c>
      <c r="AD30" s="92" t="n">
        <f aca="false">AJ29</f>
        <v>1.84551953876032</v>
      </c>
      <c r="AE30" s="92" t="n">
        <f aca="false">AD30+G30+T30+U30+AP30-Q30-W30-AO30</f>
        <v>8.63012045458742</v>
      </c>
      <c r="AF30" s="92" t="n">
        <f aca="false">MAX(0,-AE30)</f>
        <v>0</v>
      </c>
      <c r="AG30" s="92" t="n">
        <f aca="false">Y29+V30</f>
        <v>0</v>
      </c>
      <c r="AH30" s="92" t="n">
        <f aca="false">MIN(MAX(0,AE30),AG30)</f>
        <v>0</v>
      </c>
      <c r="AI30" s="92" t="n">
        <f aca="false">AE30+AF30-AH30</f>
        <v>8.63012045458742</v>
      </c>
      <c r="AJ30" s="92" t="n">
        <f aca="false">AI30</f>
        <v>8.63012045458742</v>
      </c>
      <c r="AK30" s="92" t="n">
        <f aca="false">AK29</f>
        <v>0</v>
      </c>
      <c r="AL30" s="92" t="n">
        <f aca="false">AJ30+AK30+AN30-Z30</f>
        <v>3.63012045458742</v>
      </c>
      <c r="AM30" s="92" t="n">
        <f aca="false">AJ30-(AD30+G30+T30+U30+AF30+AP30-Q30-W30-AH30-AO30)</f>
        <v>0</v>
      </c>
      <c r="AN30" s="92" t="n">
        <f aca="false">0</f>
        <v>0</v>
      </c>
      <c r="AO30" s="92" t="n">
        <f aca="false">0</f>
        <v>0</v>
      </c>
      <c r="AP30" s="92" t="n">
        <f aca="false">0</f>
        <v>0</v>
      </c>
    </row>
    <row r="31" customFormat="false" ht="14.25" hidden="false" customHeight="true" outlineLevel="0" collapsed="false">
      <c r="A31" s="64" t="n">
        <v>1871</v>
      </c>
      <c r="B31" s="47" t="n">
        <v>471</v>
      </c>
      <c r="C31" s="91" t="n">
        <f aca="false">Partners!H31</f>
        <v>1.02991314844852</v>
      </c>
      <c r="D31" s="49" t="n">
        <f aca="false">Partners!I31</f>
        <v>485.089092919254</v>
      </c>
      <c r="E31" s="62" t="n">
        <v>0.09</v>
      </c>
      <c r="F31" s="62" t="n">
        <v>0.078</v>
      </c>
      <c r="G31" s="56" t="n">
        <f aca="false">D31*E31</f>
        <v>43.6580183627329</v>
      </c>
      <c r="H31" s="56" t="n">
        <f aca="false">D31*F31</f>
        <v>37.8369492477018</v>
      </c>
      <c r="I31" s="55" t="n">
        <v>2.2</v>
      </c>
      <c r="J31" s="56" t="n">
        <f aca="false">IF($A31&gt;=1927,(1-pac_quota)*Navy!X31,I31)</f>
        <v>2.2</v>
      </c>
      <c r="K31" s="55" t="n">
        <v>0</v>
      </c>
      <c r="L31" s="56" t="n">
        <f aca="false">IF($A31&gt;=1923,siberia_front*(1-pac_quota),0)</f>
        <v>0</v>
      </c>
      <c r="M31" s="55" t="n">
        <v>0</v>
      </c>
      <c r="N31" s="56" t="n">
        <f aca="false">M31*C31</f>
        <v>0</v>
      </c>
      <c r="O31" s="56" t="n">
        <f aca="false">IF($A31&gt;=1927,10*(1-pac_quota),0)</f>
        <v>0</v>
      </c>
      <c r="P31" s="56" t="n">
        <f aca="false">jp_coupon*(Z30-0)+0</f>
        <v>0.25</v>
      </c>
      <c r="Q31" s="56" t="n">
        <f aca="false">H31+J31+K31+L31+N31+O31+P31</f>
        <v>40.2869492477018</v>
      </c>
      <c r="R31" s="56" t="n">
        <f aca="false">Q31-G31</f>
        <v>-3.37106911503105</v>
      </c>
      <c r="S31" s="55" t="n">
        <v>0</v>
      </c>
      <c r="T31" s="56" t="n">
        <f aca="false">S31*IF($A31&gt;=1923,C31,1)</f>
        <v>0</v>
      </c>
      <c r="U31" s="55" t="n">
        <v>0</v>
      </c>
      <c r="V31" s="55" t="n">
        <v>0</v>
      </c>
      <c r="W31" s="56" t="n">
        <f aca="false">(X30-0)*jp_foreign_repay+0</f>
        <v>0.15</v>
      </c>
      <c r="X31" s="56" t="n">
        <f aca="false">X30+T31-W31</f>
        <v>4.85</v>
      </c>
      <c r="Y31" s="56" t="n">
        <f aca="false">AG31+AF31-AH31</f>
        <v>0</v>
      </c>
      <c r="Z31" s="56" t="n">
        <f aca="false">X31+Y31</f>
        <v>4.85</v>
      </c>
      <c r="AA31" s="66" t="n">
        <f aca="false">IF(D31&gt;0,Z31/D31,0)</f>
        <v>0.00999816336997565</v>
      </c>
      <c r="AB31" s="66" t="n">
        <f aca="false">IF(G31&gt;0,P31/G31,0)</f>
        <v>0.00572632495416704</v>
      </c>
      <c r="AC31" s="66" t="n">
        <f aca="false">IF(T31+AF31&gt;0,T31/(T31+AF31),0)</f>
        <v>0</v>
      </c>
      <c r="AD31" s="92" t="n">
        <f aca="false">AJ30</f>
        <v>8.63012045458742</v>
      </c>
      <c r="AE31" s="92" t="n">
        <f aca="false">AD31+G31+T31+U31+AP31-Q31-W31-AO31</f>
        <v>11.8511895696185</v>
      </c>
      <c r="AF31" s="92" t="n">
        <f aca="false">MAX(0,-AE31)</f>
        <v>0</v>
      </c>
      <c r="AG31" s="92" t="n">
        <f aca="false">Y30+V31</f>
        <v>0</v>
      </c>
      <c r="AH31" s="92" t="n">
        <f aca="false">MIN(MAX(0,AE31),AG31)</f>
        <v>0</v>
      </c>
      <c r="AI31" s="92" t="n">
        <f aca="false">AE31+AF31-AH31</f>
        <v>11.8511895696185</v>
      </c>
      <c r="AJ31" s="92" t="n">
        <f aca="false">AI31</f>
        <v>11.8511895696185</v>
      </c>
      <c r="AK31" s="92" t="n">
        <f aca="false">AK30</f>
        <v>0</v>
      </c>
      <c r="AL31" s="92" t="n">
        <f aca="false">AJ31+AK31+AN31-Z31</f>
        <v>7.00118956961847</v>
      </c>
      <c r="AM31" s="92" t="n">
        <f aca="false">AJ31-(AD31+G31+T31+U31+AF31+AP31-Q31-W31-AH31-AO31)</f>
        <v>0</v>
      </c>
      <c r="AN31" s="92" t="n">
        <f aca="false">0</f>
        <v>0</v>
      </c>
      <c r="AO31" s="92" t="n">
        <f aca="false">0</f>
        <v>0</v>
      </c>
      <c r="AP31" s="92" t="n">
        <f aca="false">0</f>
        <v>0</v>
      </c>
    </row>
    <row r="32" customFormat="false" ht="14.25" hidden="false" customHeight="true" outlineLevel="0" collapsed="false">
      <c r="A32" s="61" t="n">
        <v>1872</v>
      </c>
      <c r="B32" s="47" t="n">
        <v>479</v>
      </c>
      <c r="C32" s="91" t="n">
        <f aca="false">Partners!H32</f>
        <v>1.04060158299131</v>
      </c>
      <c r="D32" s="49" t="n">
        <f aca="false">Partners!I32</f>
        <v>498.448158252837</v>
      </c>
      <c r="E32" s="62" t="n">
        <v>0.1</v>
      </c>
      <c r="F32" s="62" t="n">
        <v>0.084</v>
      </c>
      <c r="G32" s="56" t="n">
        <f aca="false">D32*E32</f>
        <v>49.8448158252837</v>
      </c>
      <c r="H32" s="56" t="n">
        <f aca="false">D32*F32</f>
        <v>41.8696452932383</v>
      </c>
      <c r="I32" s="55" t="n">
        <v>2.4</v>
      </c>
      <c r="J32" s="56" t="n">
        <f aca="false">IF($A32&gt;=1927,(1-pac_quota)*Navy!X32,I32)</f>
        <v>2.4</v>
      </c>
      <c r="K32" s="55" t="n">
        <v>0</v>
      </c>
      <c r="L32" s="56" t="n">
        <f aca="false">IF($A32&gt;=1923,siberia_front*(1-pac_quota),0)</f>
        <v>0</v>
      </c>
      <c r="M32" s="55" t="n">
        <v>0</v>
      </c>
      <c r="N32" s="56" t="n">
        <f aca="false">M32*C32</f>
        <v>0</v>
      </c>
      <c r="O32" s="56" t="n">
        <f aca="false">IF($A32&gt;=1927,10*(1-pac_quota),0)</f>
        <v>0</v>
      </c>
      <c r="P32" s="56" t="n">
        <f aca="false">jp_coupon*(Z31-0)+0</f>
        <v>0.2425</v>
      </c>
      <c r="Q32" s="56" t="n">
        <f aca="false">H32+J32+K32+L32+N32+O32+P32</f>
        <v>44.5121452932383</v>
      </c>
      <c r="R32" s="56" t="n">
        <f aca="false">Q32-G32</f>
        <v>-5.33267053204538</v>
      </c>
      <c r="S32" s="55" t="n">
        <v>0</v>
      </c>
      <c r="T32" s="56" t="n">
        <f aca="false">S32*IF($A32&gt;=1923,C32,1)</f>
        <v>0</v>
      </c>
      <c r="U32" s="55" t="n">
        <v>0</v>
      </c>
      <c r="V32" s="55" t="n">
        <v>0</v>
      </c>
      <c r="W32" s="56" t="n">
        <f aca="false">(X31-0)*jp_foreign_repay+0</f>
        <v>0.1455</v>
      </c>
      <c r="X32" s="56" t="n">
        <f aca="false">X31+T32-W32</f>
        <v>4.7045</v>
      </c>
      <c r="Y32" s="56" t="n">
        <f aca="false">AG32+AF32-AH32</f>
        <v>0</v>
      </c>
      <c r="Z32" s="56" t="n">
        <f aca="false">X32+Y32</f>
        <v>4.7045</v>
      </c>
      <c r="AA32" s="66" t="n">
        <f aca="false">IF(D32&gt;0,Z32/D32,0)</f>
        <v>0.00943829347567506</v>
      </c>
      <c r="AB32" s="66" t="n">
        <f aca="false">IF(G32&gt;0,P32/G32,0)</f>
        <v>0.00486509972972941</v>
      </c>
      <c r="AC32" s="66" t="n">
        <f aca="false">IF(T32+AF32&gt;0,T32/(T32+AF32),0)</f>
        <v>0</v>
      </c>
      <c r="AD32" s="92" t="n">
        <f aca="false">AJ31</f>
        <v>11.8511895696185</v>
      </c>
      <c r="AE32" s="92" t="n">
        <f aca="false">AD32+G32+T32+U32+AP32-Q32-W32-AO32</f>
        <v>17.0383601016639</v>
      </c>
      <c r="AF32" s="92" t="n">
        <f aca="false">MAX(0,-AE32)</f>
        <v>0</v>
      </c>
      <c r="AG32" s="92" t="n">
        <f aca="false">Y31+V32</f>
        <v>0</v>
      </c>
      <c r="AH32" s="92" t="n">
        <f aca="false">MIN(MAX(0,AE32),AG32)</f>
        <v>0</v>
      </c>
      <c r="AI32" s="92" t="n">
        <f aca="false">AE32+AF32-AH32</f>
        <v>17.0383601016639</v>
      </c>
      <c r="AJ32" s="92" t="n">
        <f aca="false">AI32</f>
        <v>17.0383601016639</v>
      </c>
      <c r="AK32" s="92" t="n">
        <f aca="false">AK31</f>
        <v>0</v>
      </c>
      <c r="AL32" s="92" t="n">
        <f aca="false">AJ32+AK32+AN32-Z32</f>
        <v>12.3338601016639</v>
      </c>
      <c r="AM32" s="92" t="n">
        <f aca="false">AJ32-(AD32+G32+T32+U32+AF32+AP32-Q32-W32-AH32-AO32)</f>
        <v>0</v>
      </c>
      <c r="AN32" s="92" t="n">
        <f aca="false">0</f>
        <v>0</v>
      </c>
      <c r="AO32" s="92" t="n">
        <f aca="false">0</f>
        <v>0</v>
      </c>
      <c r="AP32" s="92" t="n">
        <f aca="false">0</f>
        <v>0</v>
      </c>
    </row>
    <row r="33" customFormat="false" ht="14.25" hidden="false" customHeight="true" outlineLevel="0" collapsed="false">
      <c r="A33" s="61" t="n">
        <v>1873</v>
      </c>
      <c r="B33" s="47" t="n">
        <v>486</v>
      </c>
      <c r="C33" s="91" t="n">
        <f aca="false">Partners!H33</f>
        <v>1.05165317041376</v>
      </c>
      <c r="D33" s="49" t="n">
        <f aca="false">Partners!I33</f>
        <v>511.103440821086</v>
      </c>
      <c r="E33" s="62" t="n">
        <v>0.11</v>
      </c>
      <c r="F33" s="62" t="n">
        <v>0.09</v>
      </c>
      <c r="G33" s="56" t="n">
        <f aca="false">D33*E33</f>
        <v>56.2213784903194</v>
      </c>
      <c r="H33" s="56" t="n">
        <f aca="false">D33*F33</f>
        <v>45.9993096738977</v>
      </c>
      <c r="I33" s="55" t="n">
        <v>2.6</v>
      </c>
      <c r="J33" s="56" t="n">
        <f aca="false">IF($A33&gt;=1927,(1-pac_quota)*Navy!X33,I33)</f>
        <v>2.6</v>
      </c>
      <c r="K33" s="55" t="n">
        <v>0</v>
      </c>
      <c r="L33" s="56" t="n">
        <f aca="false">IF($A33&gt;=1923,siberia_front*(1-pac_quota),0)</f>
        <v>0</v>
      </c>
      <c r="M33" s="55" t="n">
        <v>0</v>
      </c>
      <c r="N33" s="56" t="n">
        <f aca="false">M33*C33</f>
        <v>0</v>
      </c>
      <c r="O33" s="56" t="n">
        <f aca="false">IF($A33&gt;=1927,10*(1-pac_quota),0)</f>
        <v>0</v>
      </c>
      <c r="P33" s="56" t="n">
        <f aca="false">jp_coupon*(Z32-0)+0</f>
        <v>0.235225</v>
      </c>
      <c r="Q33" s="56" t="n">
        <f aca="false">H33+J33+K33+L33+N33+O33+P33</f>
        <v>48.8345346738977</v>
      </c>
      <c r="R33" s="56" t="n">
        <f aca="false">Q33-G33</f>
        <v>-7.38684381642171</v>
      </c>
      <c r="S33" s="55" t="n">
        <v>0</v>
      </c>
      <c r="T33" s="56" t="n">
        <f aca="false">S33*IF($A33&gt;=1923,C33,1)</f>
        <v>0</v>
      </c>
      <c r="U33" s="55" t="n">
        <v>0</v>
      </c>
      <c r="V33" s="55" t="n">
        <v>0</v>
      </c>
      <c r="W33" s="56" t="n">
        <f aca="false">(X32-0)*jp_foreign_repay+0</f>
        <v>0.141135</v>
      </c>
      <c r="X33" s="56" t="n">
        <f aca="false">X32+T33-W33</f>
        <v>4.563365</v>
      </c>
      <c r="Y33" s="56" t="n">
        <f aca="false">AG33+AF33-AH33</f>
        <v>0</v>
      </c>
      <c r="Z33" s="56" t="n">
        <f aca="false">X33+Y33</f>
        <v>4.563365</v>
      </c>
      <c r="AA33" s="66" t="n">
        <f aca="false">IF(D33&gt;0,Z33/D33,0)</f>
        <v>0.00892845681623464</v>
      </c>
      <c r="AB33" s="66" t="n">
        <f aca="false">IF(G33&gt;0,P33/G33,0)</f>
        <v>0.00418390666177818</v>
      </c>
      <c r="AC33" s="66" t="n">
        <f aca="false">IF(T33+AF33&gt;0,T33/(T33+AF33),0)</f>
        <v>0</v>
      </c>
      <c r="AD33" s="92" t="n">
        <f aca="false">AJ32</f>
        <v>17.0383601016639</v>
      </c>
      <c r="AE33" s="92" t="n">
        <f aca="false">AD33+G33+T33+U33+AP33-Q33-W33-AO33</f>
        <v>24.2840689180856</v>
      </c>
      <c r="AF33" s="92" t="n">
        <f aca="false">MAX(0,-AE33)</f>
        <v>0</v>
      </c>
      <c r="AG33" s="92" t="n">
        <f aca="false">Y32+V33</f>
        <v>0</v>
      </c>
      <c r="AH33" s="92" t="n">
        <f aca="false">MIN(MAX(0,AE33),AG33)</f>
        <v>0</v>
      </c>
      <c r="AI33" s="92" t="n">
        <f aca="false">AE33+AF33-AH33</f>
        <v>24.2840689180856</v>
      </c>
      <c r="AJ33" s="92" t="n">
        <f aca="false">AI33</f>
        <v>24.2840689180856</v>
      </c>
      <c r="AK33" s="92" t="n">
        <f aca="false">AK32</f>
        <v>0</v>
      </c>
      <c r="AL33" s="92" t="n">
        <f aca="false">AJ33+AK33+AN33-Z33</f>
        <v>19.7207039180856</v>
      </c>
      <c r="AM33" s="92" t="n">
        <f aca="false">AJ33-(AD33+G33+T33+U33+AF33+AP33-Q33-W33-AH33-AO33)</f>
        <v>0</v>
      </c>
      <c r="AN33" s="92" t="n">
        <f aca="false">0</f>
        <v>0</v>
      </c>
      <c r="AO33" s="92" t="n">
        <f aca="false">0</f>
        <v>0</v>
      </c>
      <c r="AP33" s="92" t="n">
        <f aca="false">0</f>
        <v>0</v>
      </c>
    </row>
    <row r="34" customFormat="false" ht="14.25" hidden="false" customHeight="true" outlineLevel="0" collapsed="false">
      <c r="A34" s="61" t="n">
        <v>1874</v>
      </c>
      <c r="B34" s="47" t="n">
        <v>493</v>
      </c>
      <c r="C34" s="91" t="n">
        <f aca="false">Partners!H34</f>
        <v>1.06299251998965</v>
      </c>
      <c r="D34" s="49" t="n">
        <f aca="false">Partners!I34</f>
        <v>524.055312354895</v>
      </c>
      <c r="E34" s="62" t="n">
        <v>0.11</v>
      </c>
      <c r="F34" s="62" t="n">
        <v>0.09</v>
      </c>
      <c r="G34" s="56" t="n">
        <f aca="false">D34*E34</f>
        <v>57.6460843590385</v>
      </c>
      <c r="H34" s="56" t="n">
        <f aca="false">D34*F34</f>
        <v>47.1649781119406</v>
      </c>
      <c r="I34" s="55" t="n">
        <v>2.8</v>
      </c>
      <c r="J34" s="56" t="n">
        <f aca="false">IF($A34&gt;=1927,(1-pac_quota)*Navy!X34,I34)</f>
        <v>2.8</v>
      </c>
      <c r="K34" s="55" t="n">
        <v>0</v>
      </c>
      <c r="L34" s="56" t="n">
        <f aca="false">IF($A34&gt;=1923,siberia_front*(1-pac_quota),0)</f>
        <v>0</v>
      </c>
      <c r="M34" s="55" t="n">
        <v>0</v>
      </c>
      <c r="N34" s="56" t="n">
        <f aca="false">M34*C34</f>
        <v>0</v>
      </c>
      <c r="O34" s="56" t="n">
        <f aca="false">IF($A34&gt;=1927,10*(1-pac_quota),0)</f>
        <v>0</v>
      </c>
      <c r="P34" s="56" t="n">
        <f aca="false">jp_coupon*(Z33-0)+0</f>
        <v>0.22816825</v>
      </c>
      <c r="Q34" s="56" t="n">
        <f aca="false">H34+J34+K34+L34+N34+O34+P34</f>
        <v>50.1931463619406</v>
      </c>
      <c r="R34" s="56" t="n">
        <f aca="false">Q34-G34</f>
        <v>-7.45293799709791</v>
      </c>
      <c r="S34" s="55" t="n">
        <v>0</v>
      </c>
      <c r="T34" s="56" t="n">
        <f aca="false">S34*IF($A34&gt;=1923,C34,1)</f>
        <v>0</v>
      </c>
      <c r="U34" s="55" t="n">
        <v>0</v>
      </c>
      <c r="V34" s="55" t="n">
        <v>0</v>
      </c>
      <c r="W34" s="56" t="n">
        <f aca="false">(X33-0)*jp_foreign_repay+0</f>
        <v>0.13690095</v>
      </c>
      <c r="X34" s="56" t="n">
        <f aca="false">X33+T34-W34</f>
        <v>4.42646405</v>
      </c>
      <c r="Y34" s="56" t="n">
        <f aca="false">AG34+AF34-AH34</f>
        <v>0</v>
      </c>
      <c r="Z34" s="56" t="n">
        <f aca="false">X34+Y34</f>
        <v>4.42646405</v>
      </c>
      <c r="AA34" s="66" t="n">
        <f aca="false">IF(D34&gt;0,Z34/D34,0)</f>
        <v>0.00844655887583552</v>
      </c>
      <c r="AB34" s="66" t="n">
        <f aca="false">IF(G34&gt;0,P34/G34,0)</f>
        <v>0.00395808757068206</v>
      </c>
      <c r="AC34" s="66" t="n">
        <f aca="false">IF(T34+AF34&gt;0,T34/(T34+AF34),0)</f>
        <v>0</v>
      </c>
      <c r="AD34" s="92" t="n">
        <f aca="false">AJ33</f>
        <v>24.2840689180856</v>
      </c>
      <c r="AE34" s="92" t="n">
        <f aca="false">AD34+G34+T34+U34+AP34-Q34-W34-AO34</f>
        <v>31.6001059651835</v>
      </c>
      <c r="AF34" s="92" t="n">
        <f aca="false">MAX(0,-AE34)</f>
        <v>0</v>
      </c>
      <c r="AG34" s="92" t="n">
        <f aca="false">Y33+V34</f>
        <v>0</v>
      </c>
      <c r="AH34" s="92" t="n">
        <f aca="false">MIN(MAX(0,AE34),AG34)</f>
        <v>0</v>
      </c>
      <c r="AI34" s="92" t="n">
        <f aca="false">AE34+AF34-AH34</f>
        <v>31.6001059651835</v>
      </c>
      <c r="AJ34" s="92" t="n">
        <f aca="false">AI34</f>
        <v>31.6001059651835</v>
      </c>
      <c r="AK34" s="92" t="n">
        <f aca="false">AK33</f>
        <v>0</v>
      </c>
      <c r="AL34" s="92" t="n">
        <f aca="false">AJ34+AK34+AN34-Z34</f>
        <v>27.1736419151835</v>
      </c>
      <c r="AM34" s="92" t="n">
        <f aca="false">AJ34-(AD34+G34+T34+U34+AF34+AP34-Q34-W34-AH34-AO34)</f>
        <v>0</v>
      </c>
      <c r="AN34" s="92" t="n">
        <f aca="false">0</f>
        <v>0</v>
      </c>
      <c r="AO34" s="92" t="n">
        <f aca="false">0</f>
        <v>0</v>
      </c>
      <c r="AP34" s="92" t="n">
        <f aca="false">0</f>
        <v>0</v>
      </c>
    </row>
    <row r="35" customFormat="false" ht="14.25" hidden="false" customHeight="true" outlineLevel="0" collapsed="false">
      <c r="A35" s="61" t="n">
        <v>1875</v>
      </c>
      <c r="B35" s="47" t="n">
        <v>500</v>
      </c>
      <c r="C35" s="91" t="n">
        <f aca="false">Partners!H35</f>
        <v>1.0746411951784</v>
      </c>
      <c r="D35" s="49" t="n">
        <f aca="false">Partners!I35</f>
        <v>537.320597589202</v>
      </c>
      <c r="E35" s="62" t="n">
        <v>0.11</v>
      </c>
      <c r="F35" s="62" t="n">
        <v>0.09</v>
      </c>
      <c r="G35" s="56" t="n">
        <f aca="false">D35*E35</f>
        <v>59.1052657348122</v>
      </c>
      <c r="H35" s="56" t="n">
        <f aca="false">D35*F35</f>
        <v>48.3588537830281</v>
      </c>
      <c r="I35" s="55" t="n">
        <v>3</v>
      </c>
      <c r="J35" s="56" t="n">
        <f aca="false">IF($A35&gt;=1927,(1-pac_quota)*Navy!X35,I35)</f>
        <v>3</v>
      </c>
      <c r="K35" s="55" t="n">
        <v>0</v>
      </c>
      <c r="L35" s="56" t="n">
        <f aca="false">IF($A35&gt;=1923,siberia_front*(1-pac_quota),0)</f>
        <v>0</v>
      </c>
      <c r="M35" s="55" t="n">
        <v>0</v>
      </c>
      <c r="N35" s="56" t="n">
        <f aca="false">M35*C35</f>
        <v>0</v>
      </c>
      <c r="O35" s="56" t="n">
        <f aca="false">IF($A35&gt;=1927,10*(1-pac_quota),0)</f>
        <v>0</v>
      </c>
      <c r="P35" s="56" t="n">
        <f aca="false">jp_coupon*(Z34-0)+0</f>
        <v>0.2213232025</v>
      </c>
      <c r="Q35" s="56" t="n">
        <f aca="false">H35+J35+K35+L35+N35+O35+P35</f>
        <v>51.5801769855281</v>
      </c>
      <c r="R35" s="56" t="n">
        <f aca="false">Q35-G35</f>
        <v>-7.52508874928403</v>
      </c>
      <c r="S35" s="55" t="n">
        <v>0</v>
      </c>
      <c r="T35" s="56" t="n">
        <f aca="false">S35*IF($A35&gt;=1923,C35,1)</f>
        <v>0</v>
      </c>
      <c r="U35" s="55" t="n">
        <v>0</v>
      </c>
      <c r="V35" s="55" t="n">
        <v>0</v>
      </c>
      <c r="W35" s="56" t="n">
        <f aca="false">(X34-0)*jp_foreign_repay+0</f>
        <v>0.1327939215</v>
      </c>
      <c r="X35" s="56" t="n">
        <f aca="false">X34+T35-W35</f>
        <v>4.2936701285</v>
      </c>
      <c r="Y35" s="56" t="n">
        <f aca="false">AG35+AF35-AH35</f>
        <v>0</v>
      </c>
      <c r="Z35" s="56" t="n">
        <f aca="false">X35+Y35</f>
        <v>4.2936701285</v>
      </c>
      <c r="AA35" s="66" t="n">
        <f aca="false">IF(D35&gt;0,Z35/D35,0)</f>
        <v>0.00799089062984822</v>
      </c>
      <c r="AB35" s="66" t="n">
        <f aca="false">IF(G35&gt;0,P35/G35,0)</f>
        <v>0.00374455980780142</v>
      </c>
      <c r="AC35" s="66" t="n">
        <f aca="false">IF(T35+AF35&gt;0,T35/(T35+AF35),0)</f>
        <v>0</v>
      </c>
      <c r="AD35" s="92" t="n">
        <f aca="false">AJ34</f>
        <v>31.6001059651835</v>
      </c>
      <c r="AE35" s="92" t="n">
        <f aca="false">AD35+G35+T35+U35+AP35-Q35-W35-AO35</f>
        <v>38.9924007929675</v>
      </c>
      <c r="AF35" s="92" t="n">
        <f aca="false">MAX(0,-AE35)</f>
        <v>0</v>
      </c>
      <c r="AG35" s="92" t="n">
        <f aca="false">Y34+V35</f>
        <v>0</v>
      </c>
      <c r="AH35" s="92" t="n">
        <f aca="false">MIN(MAX(0,AE35),AG35)</f>
        <v>0</v>
      </c>
      <c r="AI35" s="92" t="n">
        <f aca="false">AE35+AF35-AH35</f>
        <v>38.9924007929675</v>
      </c>
      <c r="AJ35" s="92" t="n">
        <f aca="false">AI35</f>
        <v>38.9924007929675</v>
      </c>
      <c r="AK35" s="92" t="n">
        <f aca="false">AK34</f>
        <v>0</v>
      </c>
      <c r="AL35" s="92" t="n">
        <f aca="false">AJ35+AK35+AN35-Z35</f>
        <v>34.6987306644675</v>
      </c>
      <c r="AM35" s="92" t="n">
        <f aca="false">AJ35-(AD35+G35+T35+U35+AF35+AP35-Q35-W35-AH35-AO35)</f>
        <v>0</v>
      </c>
      <c r="AN35" s="92" t="n">
        <f aca="false">0</f>
        <v>0</v>
      </c>
      <c r="AO35" s="92" t="n">
        <f aca="false">0</f>
        <v>0</v>
      </c>
      <c r="AP35" s="92" t="n">
        <f aca="false">0</f>
        <v>0</v>
      </c>
    </row>
    <row r="36" customFormat="false" ht="14.25" hidden="false" customHeight="true" outlineLevel="0" collapsed="false">
      <c r="A36" s="61" t="n">
        <v>1876</v>
      </c>
      <c r="B36" s="47" t="n">
        <v>520</v>
      </c>
      <c r="C36" s="91" t="n">
        <f aca="false">Partners!H36</f>
        <v>1.08670889226731</v>
      </c>
      <c r="D36" s="49" t="n">
        <f aca="false">Partners!I36</f>
        <v>565.088623979003</v>
      </c>
      <c r="E36" s="62" t="n">
        <v>0.11</v>
      </c>
      <c r="F36" s="62" t="n">
        <v>0.09</v>
      </c>
      <c r="G36" s="56" t="n">
        <f aca="false">D36*E36</f>
        <v>62.1597486376903</v>
      </c>
      <c r="H36" s="56" t="n">
        <f aca="false">D36*F36</f>
        <v>50.8579761581102</v>
      </c>
      <c r="I36" s="55" t="n">
        <v>3.2</v>
      </c>
      <c r="J36" s="56" t="n">
        <f aca="false">IF($A36&gt;=1927,(1-pac_quota)*Navy!X36,I36)</f>
        <v>3.2</v>
      </c>
      <c r="K36" s="55" t="n">
        <v>0</v>
      </c>
      <c r="L36" s="56" t="n">
        <f aca="false">IF($A36&gt;=1923,siberia_front*(1-pac_quota),0)</f>
        <v>0</v>
      </c>
      <c r="M36" s="55" t="n">
        <v>0</v>
      </c>
      <c r="N36" s="56" t="n">
        <f aca="false">M36*C36</f>
        <v>0</v>
      </c>
      <c r="O36" s="56" t="n">
        <f aca="false">IF($A36&gt;=1927,10*(1-pac_quota),0)</f>
        <v>0</v>
      </c>
      <c r="P36" s="56" t="n">
        <f aca="false">jp_coupon*(Z35-0)+0</f>
        <v>0.214683506425</v>
      </c>
      <c r="Q36" s="56" t="n">
        <f aca="false">H36+J36+K36+L36+N36+O36+P36</f>
        <v>54.2726596645352</v>
      </c>
      <c r="R36" s="56" t="n">
        <f aca="false">Q36-G36</f>
        <v>-7.88708897315505</v>
      </c>
      <c r="S36" s="55" t="n">
        <v>0</v>
      </c>
      <c r="T36" s="56" t="n">
        <f aca="false">S36*IF($A36&gt;=1923,C36,1)</f>
        <v>0</v>
      </c>
      <c r="U36" s="55" t="n">
        <v>0</v>
      </c>
      <c r="V36" s="55" t="n">
        <v>170</v>
      </c>
      <c r="W36" s="56" t="n">
        <f aca="false">(X35-0)*jp_foreign_repay+0</f>
        <v>0.128810103855</v>
      </c>
      <c r="X36" s="56" t="n">
        <f aca="false">X35+T36-W36</f>
        <v>4.164860024645</v>
      </c>
      <c r="Y36" s="56" t="n">
        <f aca="false">AG36+AF36-AH36</f>
        <v>123.249320337732</v>
      </c>
      <c r="Z36" s="56" t="n">
        <f aca="false">X36+Y36</f>
        <v>127.414180362377</v>
      </c>
      <c r="AA36" s="66" t="n">
        <f aca="false">IF(D36&gt;0,Z36/D36,0)</f>
        <v>0.225476456179928</v>
      </c>
      <c r="AB36" s="66" t="n">
        <f aca="false">IF(G36&gt;0,P36/G36,0)</f>
        <v>0.00345373832954703</v>
      </c>
      <c r="AC36" s="66" t="n">
        <f aca="false">IF(T36+AF36&gt;0,T36/(T36+AF36),0)</f>
        <v>0</v>
      </c>
      <c r="AD36" s="92" t="n">
        <f aca="false">AJ35</f>
        <v>38.9924007929675</v>
      </c>
      <c r="AE36" s="92" t="n">
        <f aca="false">AD36+G36+T36+U36+AP36-Q36-W36-AO36</f>
        <v>46.7506796622675</v>
      </c>
      <c r="AF36" s="92" t="n">
        <f aca="false">MAX(0,-AE36)</f>
        <v>0</v>
      </c>
      <c r="AG36" s="92" t="n">
        <f aca="false">Y35+V36</f>
        <v>170</v>
      </c>
      <c r="AH36" s="92" t="n">
        <f aca="false">MIN(MAX(0,AE36),AG36)</f>
        <v>46.7506796622675</v>
      </c>
      <c r="AI36" s="92" t="n">
        <f aca="false">AE36+AF36-AH36</f>
        <v>0</v>
      </c>
      <c r="AJ36" s="92" t="n">
        <f aca="false">AI36</f>
        <v>0</v>
      </c>
      <c r="AK36" s="92" t="n">
        <f aca="false">AK35</f>
        <v>0</v>
      </c>
      <c r="AL36" s="92" t="n">
        <f aca="false">AJ36+AK36+AN36-Z36</f>
        <v>-127.414180362377</v>
      </c>
      <c r="AM36" s="92" t="n">
        <f aca="false">AJ36-(AD36+G36+T36+U36+AF36+AP36-Q36-W36-AH36-AO36)</f>
        <v>0</v>
      </c>
      <c r="AN36" s="92" t="n">
        <f aca="false">0</f>
        <v>0</v>
      </c>
      <c r="AO36" s="92" t="n">
        <f aca="false">0</f>
        <v>0</v>
      </c>
      <c r="AP36" s="92" t="n">
        <f aca="false">0</f>
        <v>0</v>
      </c>
    </row>
    <row r="37" customFormat="false" ht="14.25" hidden="false" customHeight="true" outlineLevel="0" collapsed="false">
      <c r="A37" s="61" t="n">
        <v>1877</v>
      </c>
      <c r="B37" s="47" t="n">
        <v>540</v>
      </c>
      <c r="C37" s="91" t="n">
        <f aca="false">Partners!H37</f>
        <v>1.09910381588607</v>
      </c>
      <c r="D37" s="49" t="n">
        <f aca="false">Partners!I37</f>
        <v>593.516060578479</v>
      </c>
      <c r="E37" s="62" t="n">
        <v>0.11</v>
      </c>
      <c r="F37" s="62" t="n">
        <v>0.09</v>
      </c>
      <c r="G37" s="56" t="n">
        <f aca="false">D37*E37</f>
        <v>65.2867666636327</v>
      </c>
      <c r="H37" s="56" t="n">
        <f aca="false">D37*F37</f>
        <v>53.4164454520631</v>
      </c>
      <c r="I37" s="55" t="n">
        <v>3.4</v>
      </c>
      <c r="J37" s="56" t="n">
        <f aca="false">IF($A37&gt;=1927,(1-pac_quota)*Navy!X37,I37)</f>
        <v>3.4</v>
      </c>
      <c r="K37" s="55" t="n">
        <v>0</v>
      </c>
      <c r="L37" s="56" t="n">
        <f aca="false">IF($A37&gt;=1923,siberia_front*(1-pac_quota),0)</f>
        <v>0</v>
      </c>
      <c r="M37" s="55" t="n">
        <v>0</v>
      </c>
      <c r="N37" s="56" t="n">
        <f aca="false">M37*C37</f>
        <v>0</v>
      </c>
      <c r="O37" s="56" t="n">
        <f aca="false">IF($A37&gt;=1927,10*(1-pac_quota),0)</f>
        <v>0</v>
      </c>
      <c r="P37" s="56" t="n">
        <f aca="false">jp_coupon*(Z36-0)+0</f>
        <v>6.37070901811887</v>
      </c>
      <c r="Q37" s="56" t="n">
        <f aca="false">H37+J37+K37+L37+N37+O37+P37</f>
        <v>63.187154470182</v>
      </c>
      <c r="R37" s="56" t="n">
        <f aca="false">Q37-G37</f>
        <v>-2.0996121934507</v>
      </c>
      <c r="S37" s="55" t="n">
        <v>0</v>
      </c>
      <c r="T37" s="56" t="n">
        <f aca="false">S37*IF($A37&gt;=1923,C37,1)</f>
        <v>0</v>
      </c>
      <c r="U37" s="55" t="n">
        <v>0</v>
      </c>
      <c r="V37" s="55" t="n">
        <v>0</v>
      </c>
      <c r="W37" s="56" t="n">
        <f aca="false">(X36-0)*jp_foreign_repay+0</f>
        <v>0.12494580073935</v>
      </c>
      <c r="X37" s="56" t="n">
        <f aca="false">X36+T37-W37</f>
        <v>4.03991422390565</v>
      </c>
      <c r="Y37" s="56" t="n">
        <f aca="false">AG37+AF37-AH37</f>
        <v>121.274653945021</v>
      </c>
      <c r="Z37" s="56" t="n">
        <f aca="false">X37+Y37</f>
        <v>125.314568168927</v>
      </c>
      <c r="AA37" s="66" t="n">
        <f aca="false">IF(D37&gt;0,Z37/D37,0)</f>
        <v>0.211139304380049</v>
      </c>
      <c r="AB37" s="66" t="n">
        <f aca="false">IF(G37&gt;0,P37/G37,0)</f>
        <v>0.0975804032529553</v>
      </c>
      <c r="AC37" s="66" t="n">
        <f aca="false">IF(T37+AF37&gt;0,T37/(T37+AF37),0)</f>
        <v>0</v>
      </c>
      <c r="AD37" s="92" t="n">
        <f aca="false">AJ36</f>
        <v>0</v>
      </c>
      <c r="AE37" s="92" t="n">
        <f aca="false">AD37+G37+T37+U37+AP37-Q37-W37-AO37</f>
        <v>1.97466639271135</v>
      </c>
      <c r="AF37" s="92" t="n">
        <f aca="false">MAX(0,-AE37)</f>
        <v>0</v>
      </c>
      <c r="AG37" s="92" t="n">
        <f aca="false">Y36+V37</f>
        <v>123.249320337732</v>
      </c>
      <c r="AH37" s="92" t="n">
        <f aca="false">MIN(MAX(0,AE37),AG37)</f>
        <v>1.97466639271135</v>
      </c>
      <c r="AI37" s="92" t="n">
        <f aca="false">AE37+AF37-AH37</f>
        <v>0</v>
      </c>
      <c r="AJ37" s="92" t="n">
        <f aca="false">AI37</f>
        <v>0</v>
      </c>
      <c r="AK37" s="92" t="n">
        <f aca="false">AK36</f>
        <v>0</v>
      </c>
      <c r="AL37" s="92" t="n">
        <f aca="false">AJ37+AK37+AN37-Z37</f>
        <v>-125.314568168927</v>
      </c>
      <c r="AM37" s="92" t="n">
        <f aca="false">AJ37-(AD37+G37+T37+U37+AF37+AP37-Q37-W37-AH37-AO37)</f>
        <v>0</v>
      </c>
      <c r="AN37" s="92" t="n">
        <f aca="false">0</f>
        <v>0</v>
      </c>
      <c r="AO37" s="92" t="n">
        <f aca="false">0</f>
        <v>0</v>
      </c>
      <c r="AP37" s="92" t="n">
        <f aca="false">0</f>
        <v>0</v>
      </c>
    </row>
    <row r="38" customFormat="false" ht="14.25" hidden="false" customHeight="true" outlineLevel="0" collapsed="false">
      <c r="A38" s="61" t="n">
        <v>1878</v>
      </c>
      <c r="B38" s="47" t="n">
        <v>560</v>
      </c>
      <c r="C38" s="91" t="n">
        <f aca="false">Partners!H38</f>
        <v>1.11167435139035</v>
      </c>
      <c r="D38" s="49" t="n">
        <f aca="false">Partners!I38</f>
        <v>622.537636778599</v>
      </c>
      <c r="E38" s="62" t="n">
        <v>0.11</v>
      </c>
      <c r="F38" s="62" t="n">
        <v>0.09</v>
      </c>
      <c r="G38" s="56" t="n">
        <f aca="false">D38*E38</f>
        <v>68.4791400456459</v>
      </c>
      <c r="H38" s="56" t="n">
        <f aca="false">D38*F38</f>
        <v>56.0283873100739</v>
      </c>
      <c r="I38" s="55" t="n">
        <v>3.6</v>
      </c>
      <c r="J38" s="56" t="n">
        <f aca="false">IF($A38&gt;=1927,(1-pac_quota)*Navy!X38,I38)</f>
        <v>3.6</v>
      </c>
      <c r="K38" s="55" t="n">
        <v>0</v>
      </c>
      <c r="L38" s="56" t="n">
        <f aca="false">IF($A38&gt;=1923,siberia_front*(1-pac_quota),0)</f>
        <v>0</v>
      </c>
      <c r="M38" s="55" t="n">
        <v>0</v>
      </c>
      <c r="N38" s="56" t="n">
        <f aca="false">M38*C38</f>
        <v>0</v>
      </c>
      <c r="O38" s="56" t="n">
        <f aca="false">IF($A38&gt;=1927,10*(1-pac_quota),0)</f>
        <v>0</v>
      </c>
      <c r="P38" s="56" t="n">
        <f aca="false">jp_coupon*(Z37-0)+0</f>
        <v>6.26572840844634</v>
      </c>
      <c r="Q38" s="56" t="n">
        <f aca="false">H38+J38+K38+L38+N38+O38+P38</f>
        <v>65.8941157185202</v>
      </c>
      <c r="R38" s="56" t="n">
        <f aca="false">Q38-G38</f>
        <v>-2.58502432712564</v>
      </c>
      <c r="S38" s="55" t="n">
        <v>0</v>
      </c>
      <c r="T38" s="56" t="n">
        <f aca="false">S38*IF($A38&gt;=1923,C38,1)</f>
        <v>0</v>
      </c>
      <c r="U38" s="55" t="n">
        <v>0</v>
      </c>
      <c r="V38" s="55" t="n">
        <v>0</v>
      </c>
      <c r="W38" s="56" t="n">
        <f aca="false">(X37-0)*jp_foreign_repay+0</f>
        <v>0.121197426717169</v>
      </c>
      <c r="X38" s="56" t="n">
        <f aca="false">X37+T38-W38</f>
        <v>3.91871679718848</v>
      </c>
      <c r="Y38" s="56" t="n">
        <f aca="false">AG38+AF38-AH38</f>
        <v>118.810827044613</v>
      </c>
      <c r="Z38" s="56" t="n">
        <f aca="false">X38+Y38</f>
        <v>122.729543841801</v>
      </c>
      <c r="AA38" s="66" t="n">
        <f aca="false">IF(D38&gt;0,Z38/D38,0)</f>
        <v>0.197143974261349</v>
      </c>
      <c r="AB38" s="66" t="n">
        <f aca="false">IF(G38&gt;0,P38/G38,0)</f>
        <v>0.0914983512390754</v>
      </c>
      <c r="AC38" s="66" t="n">
        <f aca="false">IF(T38+AF38&gt;0,T38/(T38+AF38),0)</f>
        <v>0</v>
      </c>
      <c r="AD38" s="92" t="n">
        <f aca="false">AJ37</f>
        <v>0</v>
      </c>
      <c r="AE38" s="92" t="n">
        <f aca="false">AD38+G38+T38+U38+AP38-Q38-W38-AO38</f>
        <v>2.46382690040847</v>
      </c>
      <c r="AF38" s="92" t="n">
        <f aca="false">MAX(0,-AE38)</f>
        <v>0</v>
      </c>
      <c r="AG38" s="92" t="n">
        <f aca="false">Y37+V38</f>
        <v>121.274653945021</v>
      </c>
      <c r="AH38" s="92" t="n">
        <f aca="false">MIN(MAX(0,AE38),AG38)</f>
        <v>2.46382690040847</v>
      </c>
      <c r="AI38" s="92" t="n">
        <f aca="false">AE38+AF38-AH38</f>
        <v>0</v>
      </c>
      <c r="AJ38" s="92" t="n">
        <f aca="false">AI38</f>
        <v>0</v>
      </c>
      <c r="AK38" s="92" t="n">
        <f aca="false">AK37</f>
        <v>0</v>
      </c>
      <c r="AL38" s="92" t="n">
        <f aca="false">AJ38+AK38+AN38-Z38</f>
        <v>-122.729543841801</v>
      </c>
      <c r="AM38" s="92" t="n">
        <f aca="false">AJ38-(AD38+G38+T38+U38+AF38+AP38-Q38-W38-AH38-AO38)</f>
        <v>0</v>
      </c>
      <c r="AN38" s="92" t="n">
        <f aca="false">0</f>
        <v>0</v>
      </c>
      <c r="AO38" s="92" t="n">
        <f aca="false">0</f>
        <v>0</v>
      </c>
      <c r="AP38" s="92" t="n">
        <f aca="false">0</f>
        <v>0</v>
      </c>
    </row>
    <row r="39" customFormat="false" ht="14.25" hidden="false" customHeight="true" outlineLevel="0" collapsed="false">
      <c r="A39" s="61" t="n">
        <v>1879</v>
      </c>
      <c r="B39" s="47" t="n">
        <v>580</v>
      </c>
      <c r="C39" s="91" t="n">
        <f aca="false">Partners!H39</f>
        <v>1.12456178526343</v>
      </c>
      <c r="D39" s="49" t="n">
        <f aca="false">Partners!I39</f>
        <v>652.245835452788</v>
      </c>
      <c r="E39" s="62" t="n">
        <v>0.11</v>
      </c>
      <c r="F39" s="62" t="n">
        <v>0.09</v>
      </c>
      <c r="G39" s="56" t="n">
        <f aca="false">D39*E39</f>
        <v>71.7470418998066</v>
      </c>
      <c r="H39" s="56" t="n">
        <f aca="false">D39*F39</f>
        <v>58.7021251907509</v>
      </c>
      <c r="I39" s="55" t="n">
        <v>3.8</v>
      </c>
      <c r="J39" s="56" t="n">
        <f aca="false">IF($A39&gt;=1927,(1-pac_quota)*Navy!X39,I39)</f>
        <v>3.8</v>
      </c>
      <c r="K39" s="55" t="n">
        <v>0</v>
      </c>
      <c r="L39" s="56" t="n">
        <f aca="false">IF($A39&gt;=1923,siberia_front*(1-pac_quota),0)</f>
        <v>0</v>
      </c>
      <c r="M39" s="55" t="n">
        <v>0</v>
      </c>
      <c r="N39" s="56" t="n">
        <f aca="false">M39*C39</f>
        <v>0</v>
      </c>
      <c r="O39" s="56" t="n">
        <f aca="false">IF($A39&gt;=1927,10*(1-pac_quota),0)</f>
        <v>0</v>
      </c>
      <c r="P39" s="56" t="n">
        <f aca="false">jp_coupon*(Z38-0)+0</f>
        <v>6.13647719209006</v>
      </c>
      <c r="Q39" s="56" t="n">
        <f aca="false">H39+J39+K39+L39+N39+O39+P39</f>
        <v>68.6386023828409</v>
      </c>
      <c r="R39" s="56" t="n">
        <f aca="false">Q39-G39</f>
        <v>-3.1084395169657</v>
      </c>
      <c r="S39" s="55" t="n">
        <v>0</v>
      </c>
      <c r="T39" s="56" t="n">
        <f aca="false">S39*IF($A39&gt;=1923,C39,1)</f>
        <v>0</v>
      </c>
      <c r="U39" s="55" t="n">
        <v>0</v>
      </c>
      <c r="V39" s="55" t="n">
        <v>0</v>
      </c>
      <c r="W39" s="56" t="n">
        <f aca="false">(X38-0)*jp_foreign_repay+0</f>
        <v>0.117561503915654</v>
      </c>
      <c r="X39" s="56" t="n">
        <f aca="false">X38+T39-W39</f>
        <v>3.80115529327283</v>
      </c>
      <c r="Y39" s="56" t="n">
        <f aca="false">AG39+AF39-AH39</f>
        <v>115.819949031563</v>
      </c>
      <c r="Z39" s="56" t="n">
        <f aca="false">X39+Y39</f>
        <v>119.621104324835</v>
      </c>
      <c r="AA39" s="66" t="n">
        <f aca="false">IF(D39&gt;0,Z39/D39,0)</f>
        <v>0.183398801223153</v>
      </c>
      <c r="AB39" s="66" t="n">
        <f aca="false">IF(G39&gt;0,P39/G39,0)</f>
        <v>0.0855293407170644</v>
      </c>
      <c r="AC39" s="66" t="n">
        <f aca="false">IF(T39+AF39&gt;0,T39/(T39+AF39),0)</f>
        <v>0</v>
      </c>
      <c r="AD39" s="92" t="n">
        <f aca="false">AJ38</f>
        <v>0</v>
      </c>
      <c r="AE39" s="92" t="n">
        <f aca="false">AD39+G39+T39+U39+AP39-Q39-W39-AO39</f>
        <v>2.99087801305005</v>
      </c>
      <c r="AF39" s="92" t="n">
        <f aca="false">MAX(0,-AE39)</f>
        <v>0</v>
      </c>
      <c r="AG39" s="92" t="n">
        <f aca="false">Y38+V39</f>
        <v>118.810827044613</v>
      </c>
      <c r="AH39" s="92" t="n">
        <f aca="false">MIN(MAX(0,AE39),AG39)</f>
        <v>2.99087801305005</v>
      </c>
      <c r="AI39" s="92" t="n">
        <f aca="false">AE39+AF39-AH39</f>
        <v>0</v>
      </c>
      <c r="AJ39" s="92" t="n">
        <f aca="false">AI39</f>
        <v>0</v>
      </c>
      <c r="AK39" s="92" t="n">
        <f aca="false">AK38</f>
        <v>0</v>
      </c>
      <c r="AL39" s="92" t="n">
        <f aca="false">AJ39+AK39+AN39-Z39</f>
        <v>-119.621104324835</v>
      </c>
      <c r="AM39" s="92" t="n">
        <f aca="false">AJ39-(AD39+G39+T39+U39+AF39+AP39-Q39-W39-AH39-AO39)</f>
        <v>0</v>
      </c>
      <c r="AN39" s="92" t="n">
        <f aca="false">0</f>
        <v>0</v>
      </c>
      <c r="AO39" s="92" t="n">
        <f aca="false">0</f>
        <v>0</v>
      </c>
      <c r="AP39" s="92" t="n">
        <f aca="false">0</f>
        <v>0</v>
      </c>
    </row>
    <row r="40" customFormat="false" ht="14.25" hidden="false" customHeight="true" outlineLevel="0" collapsed="false">
      <c r="A40" s="61" t="n">
        <v>1880</v>
      </c>
      <c r="B40" s="47" t="n">
        <v>600</v>
      </c>
      <c r="C40" s="91" t="n">
        <f aca="false">Partners!H40</f>
        <v>1.13765925997911</v>
      </c>
      <c r="D40" s="49" t="n">
        <f aca="false">Partners!I40</f>
        <v>682.595555987464</v>
      </c>
      <c r="E40" s="62" t="n">
        <v>0.11</v>
      </c>
      <c r="F40" s="62" t="n">
        <v>0.09</v>
      </c>
      <c r="G40" s="56" t="n">
        <f aca="false">D40*E40</f>
        <v>75.0855111586211</v>
      </c>
      <c r="H40" s="56" t="n">
        <f aca="false">D40*F40</f>
        <v>61.4336000388718</v>
      </c>
      <c r="I40" s="55" t="n">
        <v>4</v>
      </c>
      <c r="J40" s="56" t="n">
        <f aca="false">IF($A40&gt;=1927,(1-pac_quota)*Navy!X40,I40)</f>
        <v>4</v>
      </c>
      <c r="K40" s="55" t="n">
        <v>0</v>
      </c>
      <c r="L40" s="56" t="n">
        <f aca="false">IF($A40&gt;=1923,siberia_front*(1-pac_quota),0)</f>
        <v>0</v>
      </c>
      <c r="M40" s="55" t="n">
        <v>0</v>
      </c>
      <c r="N40" s="56" t="n">
        <f aca="false">M40*C40</f>
        <v>0</v>
      </c>
      <c r="O40" s="56" t="n">
        <f aca="false">IF($A40&gt;=1927,10*(1-pac_quota),0)</f>
        <v>0</v>
      </c>
      <c r="P40" s="56" t="n">
        <f aca="false">jp_coupon*(Z39-0)+0</f>
        <v>5.98105521624177</v>
      </c>
      <c r="Q40" s="56" t="n">
        <f aca="false">H40+J40+K40+L40+N40+O40+P40</f>
        <v>71.4146552551135</v>
      </c>
      <c r="R40" s="56" t="n">
        <f aca="false">Q40-G40</f>
        <v>-3.67085590350752</v>
      </c>
      <c r="S40" s="55" t="n">
        <v>0</v>
      </c>
      <c r="T40" s="56" t="n">
        <f aca="false">S40*IF($A40&gt;=1923,C40,1)</f>
        <v>0</v>
      </c>
      <c r="U40" s="55" t="n">
        <v>0</v>
      </c>
      <c r="V40" s="55" t="n">
        <v>0</v>
      </c>
      <c r="W40" s="56" t="n">
        <f aca="false">(X39-0)*jp_foreign_repay+0</f>
        <v>0.114034658798185</v>
      </c>
      <c r="X40" s="56" t="n">
        <f aca="false">X39+T40-W40</f>
        <v>3.68712063447464</v>
      </c>
      <c r="Y40" s="56" t="n">
        <f aca="false">AG40+AF40-AH40</f>
        <v>112.263127786853</v>
      </c>
      <c r="Z40" s="56" t="n">
        <f aca="false">X40+Y40</f>
        <v>115.950248421328</v>
      </c>
      <c r="AA40" s="66" t="n">
        <f aca="false">IF(D40&gt;0,Z40/D40,0)</f>
        <v>0.169866691050443</v>
      </c>
      <c r="AB40" s="66" t="n">
        <f aca="false">IF(G40&gt;0,P40/G40,0)</f>
        <v>0.0796565825277071</v>
      </c>
      <c r="AC40" s="66" t="n">
        <f aca="false">IF(T40+AF40&gt;0,T40/(T40+AF40),0)</f>
        <v>0</v>
      </c>
      <c r="AD40" s="92" t="n">
        <f aca="false">AJ39</f>
        <v>0</v>
      </c>
      <c r="AE40" s="92" t="n">
        <f aca="false">AD40+G40+T40+U40+AP40-Q40-W40-AO40</f>
        <v>3.55682124470933</v>
      </c>
      <c r="AF40" s="92" t="n">
        <f aca="false">MAX(0,-AE40)</f>
        <v>0</v>
      </c>
      <c r="AG40" s="92" t="n">
        <f aca="false">Y39+V40</f>
        <v>115.819949031563</v>
      </c>
      <c r="AH40" s="92" t="n">
        <f aca="false">MIN(MAX(0,AE40),AG40)</f>
        <v>3.55682124470933</v>
      </c>
      <c r="AI40" s="92" t="n">
        <f aca="false">AE40+AF40-AH40</f>
        <v>0</v>
      </c>
      <c r="AJ40" s="92" t="n">
        <f aca="false">AI40</f>
        <v>0</v>
      </c>
      <c r="AK40" s="92" t="n">
        <f aca="false">AK39</f>
        <v>0</v>
      </c>
      <c r="AL40" s="92" t="n">
        <f aca="false">AJ40+AK40+AN40-Z40</f>
        <v>-115.950248421328</v>
      </c>
      <c r="AM40" s="92" t="n">
        <f aca="false">AJ40-(AD40+G40+T40+U40+AF40+AP40-Q40-W40-AH40-AO40)</f>
        <v>0</v>
      </c>
      <c r="AN40" s="92" t="n">
        <f aca="false">0</f>
        <v>0</v>
      </c>
      <c r="AO40" s="92" t="n">
        <f aca="false">0</f>
        <v>0</v>
      </c>
      <c r="AP40" s="92" t="n">
        <f aca="false">0</f>
        <v>0</v>
      </c>
    </row>
    <row r="41" customFormat="false" ht="14.25" hidden="false" customHeight="true" outlineLevel="0" collapsed="false">
      <c r="A41" s="61" t="n">
        <v>1881</v>
      </c>
      <c r="B41" s="47" t="n">
        <v>610</v>
      </c>
      <c r="C41" s="91" t="n">
        <f aca="false">Partners!H41</f>
        <v>1.15141349448936</v>
      </c>
      <c r="D41" s="49" t="n">
        <f aca="false">Partners!I41</f>
        <v>702.362231638508</v>
      </c>
      <c r="E41" s="62" t="n">
        <v>0.109</v>
      </c>
      <c r="F41" s="62" t="n">
        <v>0.0895</v>
      </c>
      <c r="G41" s="56" t="n">
        <f aca="false">D41*E41</f>
        <v>76.5574832485973</v>
      </c>
      <c r="H41" s="56" t="n">
        <f aca="false">D41*F41</f>
        <v>62.8614197316464</v>
      </c>
      <c r="I41" s="55" t="n">
        <v>4.4</v>
      </c>
      <c r="J41" s="56" t="n">
        <f aca="false">IF($A41&gt;=1927,(1-pac_quota)*Navy!X41,I41)</f>
        <v>4.4</v>
      </c>
      <c r="K41" s="55" t="n">
        <v>0</v>
      </c>
      <c r="L41" s="56" t="n">
        <f aca="false">IF($A41&gt;=1923,siberia_front*(1-pac_quota),0)</f>
        <v>0</v>
      </c>
      <c r="M41" s="55" t="n">
        <v>0</v>
      </c>
      <c r="N41" s="56" t="n">
        <f aca="false">M41*C41</f>
        <v>0</v>
      </c>
      <c r="O41" s="56" t="n">
        <f aca="false">IF($A41&gt;=1927,10*(1-pac_quota),0)</f>
        <v>0</v>
      </c>
      <c r="P41" s="56" t="n">
        <f aca="false">jp_coupon*(Z40-0)+0</f>
        <v>5.7975124210664</v>
      </c>
      <c r="Q41" s="56" t="n">
        <f aca="false">H41+J41+K41+L41+N41+O41+P41</f>
        <v>73.0589321527128</v>
      </c>
      <c r="R41" s="56" t="n">
        <f aca="false">Q41-G41</f>
        <v>-3.49855109588451</v>
      </c>
      <c r="S41" s="55" t="n">
        <v>0</v>
      </c>
      <c r="T41" s="56" t="n">
        <f aca="false">S41*IF($A41&gt;=1923,C41,1)</f>
        <v>0</v>
      </c>
      <c r="U41" s="55" t="n">
        <v>0</v>
      </c>
      <c r="V41" s="55" t="n">
        <v>0</v>
      </c>
      <c r="W41" s="56" t="n">
        <f aca="false">(X40-0)*jp_foreign_repay+0</f>
        <v>0.110613619034239</v>
      </c>
      <c r="X41" s="56" t="n">
        <f aca="false">X40+T41-W41</f>
        <v>3.5765070154404</v>
      </c>
      <c r="Y41" s="56" t="n">
        <f aca="false">AG41+AF41-AH41</f>
        <v>108.875190310003</v>
      </c>
      <c r="Z41" s="56" t="n">
        <f aca="false">X41+Y41</f>
        <v>112.451697325443</v>
      </c>
      <c r="AA41" s="66" t="n">
        <f aca="false">IF(D41&gt;0,Z41/D41,0)</f>
        <v>0.160104988935852</v>
      </c>
      <c r="AB41" s="66" t="n">
        <f aca="false">IF(G41&gt;0,P41/G41,0)</f>
        <v>0.0757275732568262</v>
      </c>
      <c r="AC41" s="66" t="n">
        <f aca="false">IF(T41+AF41&gt;0,T41/(T41+AF41),0)</f>
        <v>0</v>
      </c>
      <c r="AD41" s="92" t="n">
        <f aca="false">AJ40</f>
        <v>0</v>
      </c>
      <c r="AE41" s="92" t="n">
        <f aca="false">AD41+G41+T41+U41+AP41-Q41-W41-AO41</f>
        <v>3.38793747685027</v>
      </c>
      <c r="AF41" s="92" t="n">
        <f aca="false">MAX(0,-AE41)</f>
        <v>0</v>
      </c>
      <c r="AG41" s="92" t="n">
        <f aca="false">Y40+V41</f>
        <v>112.263127786853</v>
      </c>
      <c r="AH41" s="92" t="n">
        <f aca="false">MIN(MAX(0,AE41),AG41)</f>
        <v>3.38793747685027</v>
      </c>
      <c r="AI41" s="92" t="n">
        <f aca="false">AE41+AF41-AH41</f>
        <v>0</v>
      </c>
      <c r="AJ41" s="92" t="n">
        <f aca="false">AI41</f>
        <v>0</v>
      </c>
      <c r="AK41" s="92" t="n">
        <f aca="false">AK40</f>
        <v>0</v>
      </c>
      <c r="AL41" s="92" t="n">
        <f aca="false">AJ41+AK41+AN41-Z41</f>
        <v>-112.451697325443</v>
      </c>
      <c r="AM41" s="92" t="n">
        <f aca="false">AJ41-(AD41+G41+T41+U41+AF41+AP41-Q41-W41-AH41-AO41)</f>
        <v>0</v>
      </c>
      <c r="AN41" s="92" t="n">
        <f aca="false">0</f>
        <v>0</v>
      </c>
      <c r="AO41" s="92" t="n">
        <f aca="false">0</f>
        <v>0</v>
      </c>
      <c r="AP41" s="92" t="n">
        <f aca="false">0</f>
        <v>0</v>
      </c>
    </row>
    <row r="42" customFormat="false" ht="14.25" hidden="false" customHeight="true" outlineLevel="0" collapsed="false">
      <c r="A42" s="61" t="n">
        <v>1882</v>
      </c>
      <c r="B42" s="47" t="n">
        <v>620</v>
      </c>
      <c r="C42" s="91" t="n">
        <f aca="false">Partners!H42</f>
        <v>1.16602295717727</v>
      </c>
      <c r="D42" s="49" t="n">
        <f aca="false">Partners!I42</f>
        <v>722.934233449905</v>
      </c>
      <c r="E42" s="62" t="n">
        <v>0.108</v>
      </c>
      <c r="F42" s="62" t="n">
        <v>0.089</v>
      </c>
      <c r="G42" s="56" t="n">
        <f aca="false">D42*E42</f>
        <v>78.0768972125898</v>
      </c>
      <c r="H42" s="56" t="n">
        <f aca="false">D42*F42</f>
        <v>64.3411467770416</v>
      </c>
      <c r="I42" s="55" t="n">
        <v>4.8</v>
      </c>
      <c r="J42" s="56" t="n">
        <f aca="false">IF($A42&gt;=1927,(1-pac_quota)*Navy!X42,I42)</f>
        <v>4.8</v>
      </c>
      <c r="K42" s="55" t="n">
        <v>0</v>
      </c>
      <c r="L42" s="56" t="n">
        <f aca="false">IF($A42&gt;=1923,siberia_front*(1-pac_quota),0)</f>
        <v>0</v>
      </c>
      <c r="M42" s="55" t="n">
        <v>0</v>
      </c>
      <c r="N42" s="56" t="n">
        <f aca="false">M42*C42</f>
        <v>0</v>
      </c>
      <c r="O42" s="56" t="n">
        <f aca="false">IF($A42&gt;=1927,10*(1-pac_quota),0)</f>
        <v>0</v>
      </c>
      <c r="P42" s="56" t="n">
        <f aca="false">jp_coupon*(Z41-0)+0</f>
        <v>5.62258486627217</v>
      </c>
      <c r="Q42" s="56" t="n">
        <f aca="false">H42+J42+K42+L42+N42+O42+P42</f>
        <v>74.7637316433137</v>
      </c>
      <c r="R42" s="56" t="n">
        <f aca="false">Q42-G42</f>
        <v>-3.31316556927604</v>
      </c>
      <c r="S42" s="55" t="n">
        <v>0</v>
      </c>
      <c r="T42" s="56" t="n">
        <f aca="false">S42*IF($A42&gt;=1923,C42,1)</f>
        <v>0</v>
      </c>
      <c r="U42" s="55" t="n">
        <v>0</v>
      </c>
      <c r="V42" s="55" t="n">
        <v>0</v>
      </c>
      <c r="W42" s="56" t="n">
        <f aca="false">(X41-0)*jp_foreign_repay+0</f>
        <v>0.107295210463212</v>
      </c>
      <c r="X42" s="56" t="n">
        <f aca="false">X41+T42-W42</f>
        <v>3.46921180497719</v>
      </c>
      <c r="Y42" s="56" t="n">
        <f aca="false">AG42+AF42-AH42</f>
        <v>105.66931995119</v>
      </c>
      <c r="Z42" s="56" t="n">
        <f aca="false">X42+Y42</f>
        <v>109.138531756167</v>
      </c>
      <c r="AA42" s="66" t="n">
        <f aca="false">IF(D42&gt;0,Z42/D42,0)</f>
        <v>0.150966058468899</v>
      </c>
      <c r="AB42" s="66" t="n">
        <f aca="false">IF(G42&gt;0,P42/G42,0)</f>
        <v>0.0720134260838114</v>
      </c>
      <c r="AC42" s="66" t="n">
        <f aca="false">IF(T42+AF42&gt;0,T42/(T42+AF42),0)</f>
        <v>0</v>
      </c>
      <c r="AD42" s="92" t="n">
        <f aca="false">AJ41</f>
        <v>0</v>
      </c>
      <c r="AE42" s="92" t="n">
        <f aca="false">AD42+G42+T42+U42+AP42-Q42-W42-AO42</f>
        <v>3.20587035881283</v>
      </c>
      <c r="AF42" s="92" t="n">
        <f aca="false">MAX(0,-AE42)</f>
        <v>0</v>
      </c>
      <c r="AG42" s="92" t="n">
        <f aca="false">Y41+V42</f>
        <v>108.875190310003</v>
      </c>
      <c r="AH42" s="92" t="n">
        <f aca="false">MIN(MAX(0,AE42),AG42)</f>
        <v>3.20587035881283</v>
      </c>
      <c r="AI42" s="92" t="n">
        <f aca="false">AE42+AF42-AH42</f>
        <v>0</v>
      </c>
      <c r="AJ42" s="92" t="n">
        <f aca="false">AI42</f>
        <v>0</v>
      </c>
      <c r="AK42" s="92" t="n">
        <f aca="false">AK41</f>
        <v>0</v>
      </c>
      <c r="AL42" s="92" t="n">
        <f aca="false">AJ42+AK42+AN42-Z42</f>
        <v>-109.138531756167</v>
      </c>
      <c r="AM42" s="92" t="n">
        <f aca="false">AJ42-(AD42+G42+T42+U42+AF42+AP42-Q42-W42-AH42-AO42)</f>
        <v>0</v>
      </c>
      <c r="AN42" s="92" t="n">
        <f aca="false">0</f>
        <v>0</v>
      </c>
      <c r="AO42" s="92" t="n">
        <f aca="false">0</f>
        <v>0</v>
      </c>
      <c r="AP42" s="92" t="n">
        <f aca="false">0</f>
        <v>0</v>
      </c>
    </row>
    <row r="43" customFormat="false" ht="14.25" hidden="false" customHeight="true" outlineLevel="0" collapsed="false">
      <c r="A43" s="61" t="n">
        <v>1883</v>
      </c>
      <c r="B43" s="47" t="n">
        <v>630</v>
      </c>
      <c r="C43" s="91" t="n">
        <f aca="false">Partners!H43</f>
        <v>1.18146564782997</v>
      </c>
      <c r="D43" s="49" t="n">
        <f aca="false">Partners!I43</f>
        <v>744.32335813288</v>
      </c>
      <c r="E43" s="62" t="n">
        <v>0.107</v>
      </c>
      <c r="F43" s="62" t="n">
        <v>0.0885</v>
      </c>
      <c r="G43" s="56" t="n">
        <f aca="false">D43*E43</f>
        <v>79.6425993202181</v>
      </c>
      <c r="H43" s="56" t="n">
        <f aca="false">D43*F43</f>
        <v>65.8726171947598</v>
      </c>
      <c r="I43" s="55" t="n">
        <v>5.2</v>
      </c>
      <c r="J43" s="56" t="n">
        <f aca="false">IF($A43&gt;=1927,(1-pac_quota)*Navy!X43,I43)</f>
        <v>5.2</v>
      </c>
      <c r="K43" s="55" t="n">
        <v>0</v>
      </c>
      <c r="L43" s="56" t="n">
        <f aca="false">IF($A43&gt;=1923,siberia_front*(1-pac_quota),0)</f>
        <v>0</v>
      </c>
      <c r="M43" s="55" t="n">
        <v>0</v>
      </c>
      <c r="N43" s="56" t="n">
        <f aca="false">M43*C43</f>
        <v>0</v>
      </c>
      <c r="O43" s="56" t="n">
        <f aca="false">IF($A43&gt;=1927,10*(1-pac_quota),0)</f>
        <v>0</v>
      </c>
      <c r="P43" s="56" t="n">
        <f aca="false">jp_coupon*(Z42-0)+0</f>
        <v>5.45692658780837</v>
      </c>
      <c r="Q43" s="56" t="n">
        <f aca="false">H43+J43+K43+L43+N43+O43+P43</f>
        <v>76.5295437825682</v>
      </c>
      <c r="R43" s="56" t="n">
        <f aca="false">Q43-G43</f>
        <v>-3.11305553764991</v>
      </c>
      <c r="S43" s="55" t="n">
        <v>0</v>
      </c>
      <c r="T43" s="56" t="n">
        <f aca="false">S43*IF($A43&gt;=1923,C43,1)</f>
        <v>0</v>
      </c>
      <c r="U43" s="55" t="n">
        <v>0</v>
      </c>
      <c r="V43" s="55" t="n">
        <v>0</v>
      </c>
      <c r="W43" s="56" t="n">
        <f aca="false">(X42-0)*jp_foreign_repay+0</f>
        <v>0.104076354149316</v>
      </c>
      <c r="X43" s="56" t="n">
        <f aca="false">X42+T43-W43</f>
        <v>3.36513545082787</v>
      </c>
      <c r="Y43" s="56" t="n">
        <f aca="false">AG43+AF43-AH43</f>
        <v>102.66034076769</v>
      </c>
      <c r="Z43" s="56" t="n">
        <f aca="false">X43+Y43</f>
        <v>106.025476218517</v>
      </c>
      <c r="AA43" s="66" t="n">
        <f aca="false">IF(D43&gt;0,Z43/D43,0)</f>
        <v>0.142445450703684</v>
      </c>
      <c r="AB43" s="66" t="n">
        <f aca="false">IF(G43&gt;0,P43/G43,0)</f>
        <v>0.0685176856906411</v>
      </c>
      <c r="AC43" s="66" t="n">
        <f aca="false">IF(T43+AF43&gt;0,T43/(T43+AF43),0)</f>
        <v>0</v>
      </c>
      <c r="AD43" s="92" t="n">
        <f aca="false">AJ42</f>
        <v>0</v>
      </c>
      <c r="AE43" s="92" t="n">
        <f aca="false">AD43+G43+T43+U43+AP43-Q43-W43-AO43</f>
        <v>3.0089791835006</v>
      </c>
      <c r="AF43" s="92" t="n">
        <f aca="false">MAX(0,-AE43)</f>
        <v>0</v>
      </c>
      <c r="AG43" s="92" t="n">
        <f aca="false">Y42+V43</f>
        <v>105.66931995119</v>
      </c>
      <c r="AH43" s="92" t="n">
        <f aca="false">MIN(MAX(0,AE43),AG43)</f>
        <v>3.0089791835006</v>
      </c>
      <c r="AI43" s="92" t="n">
        <f aca="false">AE43+AF43-AH43</f>
        <v>0</v>
      </c>
      <c r="AJ43" s="92" t="n">
        <f aca="false">AI43</f>
        <v>0</v>
      </c>
      <c r="AK43" s="92" t="n">
        <f aca="false">AK42</f>
        <v>0</v>
      </c>
      <c r="AL43" s="92" t="n">
        <f aca="false">AJ43+AK43+AN43-Z43</f>
        <v>-106.025476218517</v>
      </c>
      <c r="AM43" s="92" t="n">
        <f aca="false">AJ43-(AD43+G43+T43+U43+AF43+AP43-Q43-W43-AH43-AO43)</f>
        <v>0</v>
      </c>
      <c r="AN43" s="92" t="n">
        <f aca="false">0</f>
        <v>0</v>
      </c>
      <c r="AO43" s="92" t="n">
        <f aca="false">0</f>
        <v>0</v>
      </c>
      <c r="AP43" s="92" t="n">
        <f aca="false">0</f>
        <v>0</v>
      </c>
    </row>
    <row r="44" customFormat="false" ht="14.25" hidden="false" customHeight="true" outlineLevel="0" collapsed="false">
      <c r="A44" s="61" t="n">
        <v>1884</v>
      </c>
      <c r="B44" s="47" t="n">
        <v>640</v>
      </c>
      <c r="C44" s="91" t="n">
        <f aca="false">Partners!H44</f>
        <v>1.19778638256926</v>
      </c>
      <c r="D44" s="49" t="n">
        <f aca="false">Partners!I44</f>
        <v>766.583284844329</v>
      </c>
      <c r="E44" s="62" t="n">
        <v>0.106</v>
      </c>
      <c r="F44" s="62" t="n">
        <v>0.088</v>
      </c>
      <c r="G44" s="56" t="n">
        <f aca="false">D44*E44</f>
        <v>81.2578281934989</v>
      </c>
      <c r="H44" s="56" t="n">
        <f aca="false">D44*F44</f>
        <v>67.4593290663009</v>
      </c>
      <c r="I44" s="55" t="n">
        <v>5.6</v>
      </c>
      <c r="J44" s="56" t="n">
        <f aca="false">IF($A44&gt;=1927,(1-pac_quota)*Navy!X44,I44)</f>
        <v>5.6</v>
      </c>
      <c r="K44" s="55" t="n">
        <v>0</v>
      </c>
      <c r="L44" s="56" t="n">
        <f aca="false">IF($A44&gt;=1923,siberia_front*(1-pac_quota),0)</f>
        <v>0</v>
      </c>
      <c r="M44" s="55" t="n">
        <v>0</v>
      </c>
      <c r="N44" s="56" t="n">
        <f aca="false">M44*C44</f>
        <v>0</v>
      </c>
      <c r="O44" s="56" t="n">
        <f aca="false">IF($A44&gt;=1927,10*(1-pac_quota),0)</f>
        <v>0</v>
      </c>
      <c r="P44" s="56" t="n">
        <f aca="false">jp_coupon*(Z43-0)+0</f>
        <v>5.30127381092587</v>
      </c>
      <c r="Q44" s="56" t="n">
        <f aca="false">H44+J44+K44+L44+N44+O44+P44</f>
        <v>78.3606028772268</v>
      </c>
      <c r="R44" s="56" t="n">
        <f aca="false">Q44-G44</f>
        <v>-2.89722531627206</v>
      </c>
      <c r="S44" s="55" t="n">
        <v>0</v>
      </c>
      <c r="T44" s="56" t="n">
        <f aca="false">S44*IF($A44&gt;=1923,C44,1)</f>
        <v>0</v>
      </c>
      <c r="U44" s="55" t="n">
        <v>0</v>
      </c>
      <c r="V44" s="55" t="n">
        <v>0</v>
      </c>
      <c r="W44" s="56" t="n">
        <f aca="false">(X43-0)*jp_foreign_repay+0</f>
        <v>0.100954063524836</v>
      </c>
      <c r="X44" s="56" t="n">
        <f aca="false">X43+T44-W44</f>
        <v>3.26418138730304</v>
      </c>
      <c r="Y44" s="56" t="n">
        <f aca="false">AG44+AF44-AH44</f>
        <v>99.8640695149423</v>
      </c>
      <c r="Z44" s="56" t="n">
        <f aca="false">X44+Y44</f>
        <v>103.128250902245</v>
      </c>
      <c r="AA44" s="66" t="n">
        <f aca="false">IF(D44&gt;0,Z44/D44,0)</f>
        <v>0.134529741178987</v>
      </c>
      <c r="AB44" s="66" t="n">
        <f aca="false">IF(G44&gt;0,P44/G44,0)</f>
        <v>0.0652401612100926</v>
      </c>
      <c r="AC44" s="66" t="n">
        <f aca="false">IF(T44+AF44&gt;0,T44/(T44+AF44),0)</f>
        <v>0</v>
      </c>
      <c r="AD44" s="92" t="n">
        <f aca="false">AJ43</f>
        <v>0</v>
      </c>
      <c r="AE44" s="92" t="n">
        <f aca="false">AD44+G44+T44+U44+AP44-Q44-W44-AO44</f>
        <v>2.79627125274722</v>
      </c>
      <c r="AF44" s="92" t="n">
        <f aca="false">MAX(0,-AE44)</f>
        <v>0</v>
      </c>
      <c r="AG44" s="92" t="n">
        <f aca="false">Y43+V44</f>
        <v>102.66034076769</v>
      </c>
      <c r="AH44" s="92" t="n">
        <f aca="false">MIN(MAX(0,AE44),AG44)</f>
        <v>2.79627125274722</v>
      </c>
      <c r="AI44" s="92" t="n">
        <f aca="false">AE44+AF44-AH44</f>
        <v>0</v>
      </c>
      <c r="AJ44" s="92" t="n">
        <f aca="false">AI44</f>
        <v>0</v>
      </c>
      <c r="AK44" s="92" t="n">
        <f aca="false">AK43</f>
        <v>0</v>
      </c>
      <c r="AL44" s="92" t="n">
        <f aca="false">AJ44+AK44+AN44-Z44</f>
        <v>-103.128250902245</v>
      </c>
      <c r="AM44" s="92" t="n">
        <f aca="false">AJ44-(AD44+G44+T44+U44+AF44+AP44-Q44-W44-AH44-AO44)</f>
        <v>0</v>
      </c>
      <c r="AN44" s="92" t="n">
        <f aca="false">0</f>
        <v>0</v>
      </c>
      <c r="AO44" s="92" t="n">
        <f aca="false">0</f>
        <v>0</v>
      </c>
      <c r="AP44" s="92" t="n">
        <f aca="false">0</f>
        <v>0</v>
      </c>
    </row>
    <row r="45" customFormat="false" ht="14.25" hidden="false" customHeight="true" outlineLevel="0" collapsed="false">
      <c r="A45" s="61" t="n">
        <v>1885</v>
      </c>
      <c r="B45" s="47" t="n">
        <v>650</v>
      </c>
      <c r="C45" s="91" t="n">
        <f aca="false">Partners!H45</f>
        <v>1.21485115062345</v>
      </c>
      <c r="D45" s="49" t="n">
        <f aca="false">Partners!I45</f>
        <v>789.653247905243</v>
      </c>
      <c r="E45" s="62" t="n">
        <v>0.105</v>
      </c>
      <c r="F45" s="62" t="n">
        <v>0.0875</v>
      </c>
      <c r="G45" s="56" t="n">
        <f aca="false">D45*E45</f>
        <v>82.9135910300505</v>
      </c>
      <c r="H45" s="56" t="n">
        <f aca="false">D45*F45</f>
        <v>69.0946591917088</v>
      </c>
      <c r="I45" s="55" t="n">
        <v>6</v>
      </c>
      <c r="J45" s="56" t="n">
        <f aca="false">IF($A45&gt;=1927,(1-pac_quota)*Navy!X45,I45)</f>
        <v>6</v>
      </c>
      <c r="K45" s="55" t="n">
        <v>0</v>
      </c>
      <c r="L45" s="56" t="n">
        <f aca="false">IF($A45&gt;=1923,siberia_front*(1-pac_quota),0)</f>
        <v>0</v>
      </c>
      <c r="M45" s="55" t="n">
        <v>0</v>
      </c>
      <c r="N45" s="56" t="n">
        <f aca="false">M45*C45</f>
        <v>0</v>
      </c>
      <c r="O45" s="56" t="n">
        <f aca="false">IF($A45&gt;=1927,10*(1-pac_quota),0)</f>
        <v>0</v>
      </c>
      <c r="P45" s="56" t="n">
        <f aca="false">jp_coupon*(Z44-0)+0</f>
        <v>5.15641254511227</v>
      </c>
      <c r="Q45" s="56" t="n">
        <f aca="false">H45+J45+K45+L45+N45+O45+P45</f>
        <v>80.2510717368211</v>
      </c>
      <c r="R45" s="56" t="n">
        <f aca="false">Q45-G45</f>
        <v>-2.66251929322949</v>
      </c>
      <c r="S45" s="55" t="n">
        <v>0</v>
      </c>
      <c r="T45" s="56" t="n">
        <f aca="false">S45*IF($A45&gt;=1923,C45,1)</f>
        <v>0</v>
      </c>
      <c r="U45" s="55" t="n">
        <v>0</v>
      </c>
      <c r="V45" s="55" t="n">
        <v>0</v>
      </c>
      <c r="W45" s="56" t="n">
        <f aca="false">(X44-0)*jp_foreign_repay+0</f>
        <v>0.0979254416190911</v>
      </c>
      <c r="X45" s="56" t="n">
        <f aca="false">X44+T45-W45</f>
        <v>3.16625594568395</v>
      </c>
      <c r="Y45" s="56" t="n">
        <f aca="false">AG45+AF45-AH45</f>
        <v>97.299475663332</v>
      </c>
      <c r="Z45" s="56" t="n">
        <f aca="false">X45+Y45</f>
        <v>100.465731609016</v>
      </c>
      <c r="AA45" s="66" t="n">
        <f aca="false">IF(D45&gt;0,Z45/D45,0)</f>
        <v>0.127227655778694</v>
      </c>
      <c r="AB45" s="66" t="n">
        <f aca="false">IF(G45&gt;0,P45/G45,0)</f>
        <v>0.0621901968187992</v>
      </c>
      <c r="AC45" s="66" t="n">
        <f aca="false">IF(T45+AF45&gt;0,T45/(T45+AF45),0)</f>
        <v>0</v>
      </c>
      <c r="AD45" s="92" t="n">
        <f aca="false">AJ44</f>
        <v>0</v>
      </c>
      <c r="AE45" s="92" t="n">
        <f aca="false">AD45+G45+T45+U45+AP45-Q45-W45-AO45</f>
        <v>2.5645938516104</v>
      </c>
      <c r="AF45" s="92" t="n">
        <f aca="false">MAX(0,-AE45)</f>
        <v>0</v>
      </c>
      <c r="AG45" s="92" t="n">
        <f aca="false">Y44+V45</f>
        <v>99.8640695149423</v>
      </c>
      <c r="AH45" s="92" t="n">
        <f aca="false">MIN(MAX(0,AE45),AG45)</f>
        <v>2.5645938516104</v>
      </c>
      <c r="AI45" s="92" t="n">
        <f aca="false">AE45+AF45-AH45</f>
        <v>0</v>
      </c>
      <c r="AJ45" s="92" t="n">
        <f aca="false">AI45</f>
        <v>0</v>
      </c>
      <c r="AK45" s="92" t="n">
        <f aca="false">AK44</f>
        <v>0</v>
      </c>
      <c r="AL45" s="92" t="n">
        <f aca="false">AJ45+AK45+AN45-Z45</f>
        <v>-100.465731609016</v>
      </c>
      <c r="AM45" s="92" t="n">
        <f aca="false">AJ45-(AD45+G45+T45+U45+AF45+AP45-Q45-W45-AH45-AO45)</f>
        <v>0</v>
      </c>
      <c r="AN45" s="92" t="n">
        <f aca="false">0</f>
        <v>0</v>
      </c>
      <c r="AO45" s="92" t="n">
        <f aca="false">0</f>
        <v>0</v>
      </c>
      <c r="AP45" s="92" t="n">
        <f aca="false">0</f>
        <v>0</v>
      </c>
    </row>
    <row r="46" customFormat="false" ht="14.25" hidden="false" customHeight="true" outlineLevel="0" collapsed="false">
      <c r="A46" s="61" t="n">
        <v>1886</v>
      </c>
      <c r="B46" s="47" t="n">
        <v>680</v>
      </c>
      <c r="C46" s="91" t="n">
        <f aca="false">Partners!H46</f>
        <v>1.23283936954431</v>
      </c>
      <c r="D46" s="49" t="n">
        <f aca="false">Partners!I46</f>
        <v>838.330771290128</v>
      </c>
      <c r="E46" s="62" t="n">
        <v>0.104</v>
      </c>
      <c r="F46" s="62" t="n">
        <v>0.087</v>
      </c>
      <c r="G46" s="56" t="n">
        <f aca="false">D46*E46</f>
        <v>87.1864002141733</v>
      </c>
      <c r="H46" s="56" t="n">
        <f aca="false">D46*F46</f>
        <v>72.9347771022411</v>
      </c>
      <c r="I46" s="55" t="n">
        <v>6.4</v>
      </c>
      <c r="J46" s="56" t="n">
        <f aca="false">IF($A46&gt;=1927,(1-pac_quota)*Navy!X46,I46)</f>
        <v>6.4</v>
      </c>
      <c r="K46" s="55" t="n">
        <v>0</v>
      </c>
      <c r="L46" s="56" t="n">
        <f aca="false">IF($A46&gt;=1923,siberia_front*(1-pac_quota),0)</f>
        <v>0</v>
      </c>
      <c r="M46" s="55" t="n">
        <v>0</v>
      </c>
      <c r="N46" s="56" t="n">
        <f aca="false">M46*C46</f>
        <v>0</v>
      </c>
      <c r="O46" s="56" t="n">
        <f aca="false">IF($A46&gt;=1927,10*(1-pac_quota),0)</f>
        <v>0</v>
      </c>
      <c r="P46" s="56" t="n">
        <f aca="false">jp_coupon*(Z45-0)+0</f>
        <v>5.0232865804508</v>
      </c>
      <c r="Q46" s="56" t="n">
        <f aca="false">H46+J46+K46+L46+N46+O46+P46</f>
        <v>84.3580636826919</v>
      </c>
      <c r="R46" s="56" t="n">
        <f aca="false">Q46-G46</f>
        <v>-2.82833653148136</v>
      </c>
      <c r="S46" s="55" t="n">
        <v>0</v>
      </c>
      <c r="T46" s="56" t="n">
        <f aca="false">S46*IF($A46&gt;=1923,C46,1)</f>
        <v>0</v>
      </c>
      <c r="U46" s="55" t="n">
        <v>0</v>
      </c>
      <c r="V46" s="55" t="n">
        <v>0</v>
      </c>
      <c r="W46" s="56" t="n">
        <f aca="false">(X45-0)*jp_foreign_repay+0</f>
        <v>0.0949876783705184</v>
      </c>
      <c r="X46" s="56" t="n">
        <f aca="false">X45+T46-W46</f>
        <v>3.07126826731343</v>
      </c>
      <c r="Y46" s="56" t="n">
        <f aca="false">AG46+AF46-AH46</f>
        <v>94.5661268102211</v>
      </c>
      <c r="Z46" s="56" t="n">
        <f aca="false">X46+Y46</f>
        <v>97.6373950775345</v>
      </c>
      <c r="AA46" s="66" t="n">
        <f aca="false">IF(D46&gt;0,Z46/D46,0)</f>
        <v>0.116466433562111</v>
      </c>
      <c r="AB46" s="66" t="n">
        <f aca="false">IF(G46&gt;0,P46/G46,0)</f>
        <v>0.0576154832417797</v>
      </c>
      <c r="AC46" s="66" t="n">
        <f aca="false">IF(T46+AF46&gt;0,T46/(T46+AF46),0)</f>
        <v>0</v>
      </c>
      <c r="AD46" s="92" t="n">
        <f aca="false">AJ45</f>
        <v>0</v>
      </c>
      <c r="AE46" s="92" t="n">
        <f aca="false">AD46+G46+T46+U46+AP46-Q46-W46-AO46</f>
        <v>2.73334885311084</v>
      </c>
      <c r="AF46" s="92" t="n">
        <f aca="false">MAX(0,-AE46)</f>
        <v>0</v>
      </c>
      <c r="AG46" s="92" t="n">
        <f aca="false">Y45+V46</f>
        <v>97.299475663332</v>
      </c>
      <c r="AH46" s="92" t="n">
        <f aca="false">MIN(MAX(0,AE46),AG46)</f>
        <v>2.73334885311084</v>
      </c>
      <c r="AI46" s="92" t="n">
        <f aca="false">AE46+AF46-AH46</f>
        <v>0</v>
      </c>
      <c r="AJ46" s="92" t="n">
        <f aca="false">AI46</f>
        <v>0</v>
      </c>
      <c r="AK46" s="92" t="n">
        <f aca="false">AK45</f>
        <v>0</v>
      </c>
      <c r="AL46" s="92" t="n">
        <f aca="false">AJ46+AK46+AN46-Z46</f>
        <v>-97.6373950775345</v>
      </c>
      <c r="AM46" s="92" t="n">
        <f aca="false">AJ46-(AD46+G46+T46+U46+AF46+AP46-Q46-W46-AH46-AO46)</f>
        <v>0</v>
      </c>
      <c r="AN46" s="92" t="n">
        <f aca="false">0</f>
        <v>0</v>
      </c>
      <c r="AO46" s="92" t="n">
        <f aca="false">0</f>
        <v>0</v>
      </c>
      <c r="AP46" s="92" t="n">
        <f aca="false">0</f>
        <v>0</v>
      </c>
    </row>
    <row r="47" customFormat="false" ht="14.25" hidden="false" customHeight="true" outlineLevel="0" collapsed="false">
      <c r="A47" s="61" t="n">
        <v>1887</v>
      </c>
      <c r="B47" s="47" t="n">
        <v>710</v>
      </c>
      <c r="C47" s="91" t="n">
        <f aca="false">Partners!H47</f>
        <v>1.25175841177814</v>
      </c>
      <c r="D47" s="49" t="n">
        <f aca="false">Partners!I47</f>
        <v>888.748472362482</v>
      </c>
      <c r="E47" s="62" t="n">
        <v>0.103</v>
      </c>
      <c r="F47" s="62" t="n">
        <v>0.0865</v>
      </c>
      <c r="G47" s="56" t="n">
        <f aca="false">D47*E47</f>
        <v>91.5410926533357</v>
      </c>
      <c r="H47" s="56" t="n">
        <f aca="false">D47*F47</f>
        <v>76.8767428593547</v>
      </c>
      <c r="I47" s="55" t="n">
        <v>6.8</v>
      </c>
      <c r="J47" s="56" t="n">
        <f aca="false">IF($A47&gt;=1927,(1-pac_quota)*Navy!X47,I47)</f>
        <v>6.8</v>
      </c>
      <c r="K47" s="55" t="n">
        <v>0</v>
      </c>
      <c r="L47" s="56" t="n">
        <f aca="false">IF($A47&gt;=1923,siberia_front*(1-pac_quota),0)</f>
        <v>0</v>
      </c>
      <c r="M47" s="55" t="n">
        <v>0</v>
      </c>
      <c r="N47" s="56" t="n">
        <f aca="false">M47*C47</f>
        <v>0</v>
      </c>
      <c r="O47" s="56" t="n">
        <f aca="false">IF($A47&gt;=1927,10*(1-pac_quota),0)</f>
        <v>0</v>
      </c>
      <c r="P47" s="56" t="n">
        <f aca="false">jp_coupon*(Z46-0)+0</f>
        <v>4.88186975387673</v>
      </c>
      <c r="Q47" s="56" t="n">
        <f aca="false">H47+J47+K47+L47+N47+O47+P47</f>
        <v>88.5586126132314</v>
      </c>
      <c r="R47" s="56" t="n">
        <f aca="false">Q47-G47</f>
        <v>-2.98248004010422</v>
      </c>
      <c r="S47" s="55" t="n">
        <v>0</v>
      </c>
      <c r="T47" s="56" t="n">
        <f aca="false">S47*IF($A47&gt;=1923,C47,1)</f>
        <v>0</v>
      </c>
      <c r="U47" s="55" t="n">
        <v>0</v>
      </c>
      <c r="V47" s="55" t="n">
        <v>0</v>
      </c>
      <c r="W47" s="56" t="n">
        <f aca="false">(X46-0)*jp_foreign_repay+0</f>
        <v>0.0921380480194028</v>
      </c>
      <c r="X47" s="56" t="n">
        <f aca="false">X46+T47-W47</f>
        <v>2.97913021929402</v>
      </c>
      <c r="Y47" s="56" t="n">
        <f aca="false">AG47+AF47-AH47</f>
        <v>91.6757848181363</v>
      </c>
      <c r="Z47" s="56" t="n">
        <f aca="false">X47+Y47</f>
        <v>94.6549150374303</v>
      </c>
      <c r="AA47" s="66" t="n">
        <f aca="false">IF(D47&gt;0,Z47/D47,0)</f>
        <v>0.106503603641441</v>
      </c>
      <c r="AB47" s="66" t="n">
        <f aca="false">IF(G47&gt;0,P47/G47,0)</f>
        <v>0.0533298173790024</v>
      </c>
      <c r="AC47" s="66" t="n">
        <f aca="false">IF(T47+AF47&gt;0,T47/(T47+AF47),0)</f>
        <v>0</v>
      </c>
      <c r="AD47" s="92" t="n">
        <f aca="false">AJ46</f>
        <v>0</v>
      </c>
      <c r="AE47" s="92" t="n">
        <f aca="false">AD47+G47+T47+U47+AP47-Q47-W47-AO47</f>
        <v>2.89034199208482</v>
      </c>
      <c r="AF47" s="92" t="n">
        <f aca="false">MAX(0,-AE47)</f>
        <v>0</v>
      </c>
      <c r="AG47" s="92" t="n">
        <f aca="false">Y46+V47</f>
        <v>94.5661268102211</v>
      </c>
      <c r="AH47" s="92" t="n">
        <f aca="false">MIN(MAX(0,AE47),AG47)</f>
        <v>2.89034199208482</v>
      </c>
      <c r="AI47" s="92" t="n">
        <f aca="false">AE47+AF47-AH47</f>
        <v>0</v>
      </c>
      <c r="AJ47" s="92" t="n">
        <f aca="false">AI47</f>
        <v>0</v>
      </c>
      <c r="AK47" s="92" t="n">
        <f aca="false">AK46</f>
        <v>0</v>
      </c>
      <c r="AL47" s="92" t="n">
        <f aca="false">AJ47+AK47+AN47-Z47</f>
        <v>-94.6549150374303</v>
      </c>
      <c r="AM47" s="92" t="n">
        <f aca="false">AJ47-(AD47+G47+T47+U47+AF47+AP47-Q47-W47-AH47-AO47)</f>
        <v>0</v>
      </c>
      <c r="AN47" s="92" t="n">
        <f aca="false">0</f>
        <v>0</v>
      </c>
      <c r="AO47" s="92" t="n">
        <f aca="false">0</f>
        <v>0</v>
      </c>
      <c r="AP47" s="92" t="n">
        <f aca="false">0</f>
        <v>0</v>
      </c>
    </row>
    <row r="48" customFormat="false" ht="14.25" hidden="false" customHeight="true" outlineLevel="0" collapsed="false">
      <c r="A48" s="61" t="n">
        <v>1888</v>
      </c>
      <c r="B48" s="47" t="n">
        <v>740</v>
      </c>
      <c r="C48" s="91" t="n">
        <f aca="false">Partners!H48</f>
        <v>1.27119624247566</v>
      </c>
      <c r="D48" s="49" t="n">
        <f aca="false">Partners!I48</f>
        <v>940.685219431989</v>
      </c>
      <c r="E48" s="62" t="n">
        <v>0.102</v>
      </c>
      <c r="F48" s="62" t="n">
        <v>0.086</v>
      </c>
      <c r="G48" s="56" t="n">
        <f aca="false">D48*E48</f>
        <v>95.9498923820629</v>
      </c>
      <c r="H48" s="56" t="n">
        <f aca="false">D48*F48</f>
        <v>80.8989288711511</v>
      </c>
      <c r="I48" s="55" t="n">
        <v>7.2</v>
      </c>
      <c r="J48" s="56" t="n">
        <f aca="false">IF($A48&gt;=1927,(1-pac_quota)*Navy!X48,I48)</f>
        <v>7.2</v>
      </c>
      <c r="K48" s="55" t="n">
        <v>0</v>
      </c>
      <c r="L48" s="56" t="n">
        <f aca="false">IF($A48&gt;=1923,siberia_front*(1-pac_quota),0)</f>
        <v>0</v>
      </c>
      <c r="M48" s="55" t="n">
        <v>0</v>
      </c>
      <c r="N48" s="56" t="n">
        <f aca="false">M48*C48</f>
        <v>0</v>
      </c>
      <c r="O48" s="56" t="n">
        <f aca="false">IF($A48&gt;=1927,10*(1-pac_quota),0)</f>
        <v>0</v>
      </c>
      <c r="P48" s="56" t="n">
        <f aca="false">jp_coupon*(Z47-0)+0</f>
        <v>4.73274575187152</v>
      </c>
      <c r="Q48" s="56" t="n">
        <f aca="false">H48+J48+K48+L48+N48+O48+P48</f>
        <v>92.8316746230226</v>
      </c>
      <c r="R48" s="56" t="n">
        <f aca="false">Q48-G48</f>
        <v>-3.11821775904031</v>
      </c>
      <c r="S48" s="55" t="n">
        <v>0</v>
      </c>
      <c r="T48" s="56" t="n">
        <f aca="false">S48*IF($A48&gt;=1923,C48,1)</f>
        <v>0</v>
      </c>
      <c r="U48" s="55" t="n">
        <v>0</v>
      </c>
      <c r="V48" s="55" t="n">
        <v>0</v>
      </c>
      <c r="W48" s="56" t="n">
        <f aca="false">(X47-0)*jp_foreign_repay+0</f>
        <v>0.0893739065788207</v>
      </c>
      <c r="X48" s="56" t="n">
        <f aca="false">X47+T48-W48</f>
        <v>2.8897563127152</v>
      </c>
      <c r="Y48" s="56" t="n">
        <f aca="false">AG48+AF48-AH48</f>
        <v>88.6469409656748</v>
      </c>
      <c r="Z48" s="56" t="n">
        <f aca="false">X48+Y48</f>
        <v>91.53669727839</v>
      </c>
      <c r="AA48" s="66" t="n">
        <f aca="false">IF(D48&gt;0,Z48/D48,0)</f>
        <v>0.0973085314699239</v>
      </c>
      <c r="AB48" s="66" t="n">
        <f aca="false">IF(G48&gt;0,P48/G48,0)</f>
        <v>0.04932518040798</v>
      </c>
      <c r="AC48" s="66" t="n">
        <f aca="false">IF(T48+AF48&gt;0,T48/(T48+AF48),0)</f>
        <v>0</v>
      </c>
      <c r="AD48" s="92" t="n">
        <f aca="false">AJ47</f>
        <v>0</v>
      </c>
      <c r="AE48" s="92" t="n">
        <f aca="false">AD48+G48+T48+U48+AP48-Q48-W48-AO48</f>
        <v>3.02884385246149</v>
      </c>
      <c r="AF48" s="92" t="n">
        <f aca="false">MAX(0,-AE48)</f>
        <v>0</v>
      </c>
      <c r="AG48" s="92" t="n">
        <f aca="false">Y47+V48</f>
        <v>91.6757848181363</v>
      </c>
      <c r="AH48" s="92" t="n">
        <f aca="false">MIN(MAX(0,AE48),AG48)</f>
        <v>3.02884385246149</v>
      </c>
      <c r="AI48" s="92" t="n">
        <f aca="false">AE48+AF48-AH48</f>
        <v>0</v>
      </c>
      <c r="AJ48" s="92" t="n">
        <f aca="false">AI48</f>
        <v>0</v>
      </c>
      <c r="AK48" s="92" t="n">
        <f aca="false">AK47</f>
        <v>0</v>
      </c>
      <c r="AL48" s="92" t="n">
        <f aca="false">AJ48+AK48+AN48-Z48</f>
        <v>-91.53669727839</v>
      </c>
      <c r="AM48" s="92" t="n">
        <f aca="false">AJ48-(AD48+G48+T48+U48+AF48+AP48-Q48-W48-AH48-AO48)</f>
        <v>0</v>
      </c>
      <c r="AN48" s="92" t="n">
        <f aca="false">0</f>
        <v>0</v>
      </c>
      <c r="AO48" s="92" t="n">
        <f aca="false">0</f>
        <v>0</v>
      </c>
      <c r="AP48" s="92" t="n">
        <f aca="false">0</f>
        <v>0</v>
      </c>
    </row>
    <row r="49" customFormat="false" ht="14.25" hidden="false" customHeight="true" outlineLevel="0" collapsed="false">
      <c r="A49" s="61" t="n">
        <v>1889</v>
      </c>
      <c r="B49" s="47" t="n">
        <v>770</v>
      </c>
      <c r="C49" s="91" t="n">
        <f aca="false">Partners!H49</f>
        <v>1.29123916157201</v>
      </c>
      <c r="D49" s="49" t="n">
        <f aca="false">Partners!I49</f>
        <v>994.254154410447</v>
      </c>
      <c r="E49" s="62" t="n">
        <v>0.101</v>
      </c>
      <c r="F49" s="62" t="n">
        <v>0.0855</v>
      </c>
      <c r="G49" s="56" t="n">
        <f aca="false">D49*E49</f>
        <v>100.419669595455</v>
      </c>
      <c r="H49" s="56" t="n">
        <f aca="false">D49*F49</f>
        <v>85.0087302020932</v>
      </c>
      <c r="I49" s="55" t="n">
        <v>7.6</v>
      </c>
      <c r="J49" s="56" t="n">
        <f aca="false">IF($A49&gt;=1927,(1-pac_quota)*Navy!X49,I49)</f>
        <v>7.6</v>
      </c>
      <c r="K49" s="55" t="n">
        <v>0</v>
      </c>
      <c r="L49" s="56" t="n">
        <f aca="false">IF($A49&gt;=1923,siberia_front*(1-pac_quota),0)</f>
        <v>0</v>
      </c>
      <c r="M49" s="55" t="n">
        <v>0</v>
      </c>
      <c r="N49" s="56" t="n">
        <f aca="false">M49*C49</f>
        <v>0</v>
      </c>
      <c r="O49" s="56" t="n">
        <f aca="false">IF($A49&gt;=1927,10*(1-pac_quota),0)</f>
        <v>0</v>
      </c>
      <c r="P49" s="56" t="n">
        <f aca="false">jp_coupon*(Z48-0)+0</f>
        <v>4.5768348639195</v>
      </c>
      <c r="Q49" s="56" t="n">
        <f aca="false">H49+J49+K49+L49+N49+O49+P49</f>
        <v>97.1855650660127</v>
      </c>
      <c r="R49" s="56" t="n">
        <f aca="false">Q49-G49</f>
        <v>-3.23410452944243</v>
      </c>
      <c r="S49" s="55" t="n">
        <v>0</v>
      </c>
      <c r="T49" s="56" t="n">
        <f aca="false">S49*IF($A49&gt;=1923,C49,1)</f>
        <v>0</v>
      </c>
      <c r="U49" s="55" t="n">
        <v>0</v>
      </c>
      <c r="V49" s="55" t="n">
        <v>0</v>
      </c>
      <c r="W49" s="56" t="n">
        <f aca="false">(X48-0)*jp_foreign_repay+0</f>
        <v>0.0866926893814561</v>
      </c>
      <c r="X49" s="56" t="n">
        <f aca="false">X48+T49-W49</f>
        <v>2.80306362333375</v>
      </c>
      <c r="Y49" s="56" t="n">
        <f aca="false">AG49+AF49-AH49</f>
        <v>85.4995291256138</v>
      </c>
      <c r="Z49" s="56" t="n">
        <f aca="false">X49+Y49</f>
        <v>88.3025927489476</v>
      </c>
      <c r="AA49" s="66" t="n">
        <f aca="false">IF(D49&gt;0,Z49/D49,0)</f>
        <v>0.0888128979469113</v>
      </c>
      <c r="AB49" s="66" t="n">
        <f aca="false">IF(G49&gt;0,P49/G49,0)</f>
        <v>0.0455770755107786</v>
      </c>
      <c r="AC49" s="66" t="n">
        <f aca="false">IF(T49+AF49&gt;0,T49/(T49+AF49),0)</f>
        <v>0</v>
      </c>
      <c r="AD49" s="92" t="n">
        <f aca="false">AJ48</f>
        <v>0</v>
      </c>
      <c r="AE49" s="92" t="n">
        <f aca="false">AD49+G49+T49+U49+AP49-Q49-W49-AO49</f>
        <v>3.14741184006098</v>
      </c>
      <c r="AF49" s="92" t="n">
        <f aca="false">MAX(0,-AE49)</f>
        <v>0</v>
      </c>
      <c r="AG49" s="92" t="n">
        <f aca="false">Y48+V49</f>
        <v>88.6469409656748</v>
      </c>
      <c r="AH49" s="92" t="n">
        <f aca="false">MIN(MAX(0,AE49),AG49)</f>
        <v>3.14741184006098</v>
      </c>
      <c r="AI49" s="92" t="n">
        <f aca="false">AE49+AF49-AH49</f>
        <v>0</v>
      </c>
      <c r="AJ49" s="92" t="n">
        <f aca="false">AI49</f>
        <v>0</v>
      </c>
      <c r="AK49" s="92" t="n">
        <f aca="false">AK48</f>
        <v>0</v>
      </c>
      <c r="AL49" s="92" t="n">
        <f aca="false">AJ49+AK49+AN49-Z49</f>
        <v>-88.3025927489476</v>
      </c>
      <c r="AM49" s="92" t="n">
        <f aca="false">AJ49-(AD49+G49+T49+U49+AF49+AP49-Q49-W49-AH49-AO49)</f>
        <v>0</v>
      </c>
      <c r="AN49" s="92" t="n">
        <f aca="false">0</f>
        <v>0</v>
      </c>
      <c r="AO49" s="92" t="n">
        <f aca="false">0</f>
        <v>0</v>
      </c>
      <c r="AP49" s="92" t="n">
        <f aca="false">0</f>
        <v>0</v>
      </c>
    </row>
    <row r="50" customFormat="false" ht="14.25" hidden="false" customHeight="true" outlineLevel="0" collapsed="false">
      <c r="A50" s="61" t="n">
        <v>1890</v>
      </c>
      <c r="B50" s="47" t="n">
        <v>800</v>
      </c>
      <c r="C50" s="91" t="n">
        <f aca="false">Partners!H50</f>
        <v>1.31189730107971</v>
      </c>
      <c r="D50" s="49" t="n">
        <f aca="false">Partners!I50</f>
        <v>1049.51784086377</v>
      </c>
      <c r="E50" s="62" t="n">
        <v>0.1</v>
      </c>
      <c r="F50" s="62" t="n">
        <v>0.085</v>
      </c>
      <c r="G50" s="56" t="n">
        <f aca="false">D50*E50</f>
        <v>104.951784086377</v>
      </c>
      <c r="H50" s="56" t="n">
        <f aca="false">D50*F50</f>
        <v>89.2090164734201</v>
      </c>
      <c r="I50" s="55" t="n">
        <v>8</v>
      </c>
      <c r="J50" s="56" t="n">
        <f aca="false">IF($A50&gt;=1927,(1-pac_quota)*Navy!X50,I50)</f>
        <v>8</v>
      </c>
      <c r="K50" s="55" t="n">
        <v>0</v>
      </c>
      <c r="L50" s="56" t="n">
        <f aca="false">IF($A50&gt;=1923,siberia_front*(1-pac_quota),0)</f>
        <v>0</v>
      </c>
      <c r="M50" s="55" t="n">
        <v>0</v>
      </c>
      <c r="N50" s="56" t="n">
        <f aca="false">M50*C50</f>
        <v>0</v>
      </c>
      <c r="O50" s="56" t="n">
        <f aca="false">IF($A50&gt;=1927,10*(1-pac_quota),0)</f>
        <v>0</v>
      </c>
      <c r="P50" s="56" t="n">
        <f aca="false">jp_coupon*(Z49-0)+0</f>
        <v>4.41512963744738</v>
      </c>
      <c r="Q50" s="56" t="n">
        <f aca="false">H50+J50+K50+L50+N50+O50+P50</f>
        <v>101.624146110867</v>
      </c>
      <c r="R50" s="56" t="n">
        <f aca="false">Q50-G50</f>
        <v>-3.32763797550911</v>
      </c>
      <c r="S50" s="55" t="n">
        <v>0</v>
      </c>
      <c r="T50" s="56" t="n">
        <f aca="false">S50*IF($A50&gt;=1923,C50,1)</f>
        <v>0</v>
      </c>
      <c r="U50" s="55" t="n">
        <v>0</v>
      </c>
      <c r="V50" s="55" t="n">
        <v>0</v>
      </c>
      <c r="W50" s="56" t="n">
        <f aca="false">(X49-0)*jp_foreign_repay+0</f>
        <v>0.0840919087000124</v>
      </c>
      <c r="X50" s="56" t="n">
        <f aca="false">X49+T50-W50</f>
        <v>2.71897171463374</v>
      </c>
      <c r="Y50" s="56" t="n">
        <f aca="false">AG50+AF50-AH50</f>
        <v>82.2559830588047</v>
      </c>
      <c r="Z50" s="56" t="n">
        <f aca="false">X50+Y50</f>
        <v>84.9749547734385</v>
      </c>
      <c r="AA50" s="66" t="n">
        <f aca="false">IF(D50&gt;0,Z50/D50,0)</f>
        <v>0.0809657077420457</v>
      </c>
      <c r="AB50" s="66" t="n">
        <f aca="false">IF(G50&gt;0,P50/G50,0)</f>
        <v>0.0420681713596567</v>
      </c>
      <c r="AC50" s="66" t="n">
        <f aca="false">IF(T50+AF50&gt;0,T50/(T50+AF50),0)</f>
        <v>0</v>
      </c>
      <c r="AD50" s="92" t="n">
        <f aca="false">AJ49</f>
        <v>0</v>
      </c>
      <c r="AE50" s="92" t="n">
        <f aca="false">AD50+G50+T50+U50+AP50-Q50-W50-AO50</f>
        <v>3.24354606680909</v>
      </c>
      <c r="AF50" s="92" t="n">
        <f aca="false">MAX(0,-AE50)</f>
        <v>0</v>
      </c>
      <c r="AG50" s="92" t="n">
        <f aca="false">Y49+V50</f>
        <v>85.4995291256138</v>
      </c>
      <c r="AH50" s="92" t="n">
        <f aca="false">MIN(MAX(0,AE50),AG50)</f>
        <v>3.24354606680909</v>
      </c>
      <c r="AI50" s="92" t="n">
        <f aca="false">AE50+AF50-AH50</f>
        <v>0</v>
      </c>
      <c r="AJ50" s="92" t="n">
        <f aca="false">AI50</f>
        <v>0</v>
      </c>
      <c r="AK50" s="92" t="n">
        <f aca="false">AK49</f>
        <v>0</v>
      </c>
      <c r="AL50" s="92" t="n">
        <f aca="false">AJ50+AK50+AN50-Z50</f>
        <v>-84.9749547734385</v>
      </c>
      <c r="AM50" s="92" t="n">
        <f aca="false">AJ50-(AD50+G50+T50+U50+AF50+AP50-Q50-W50-AH50-AO50)</f>
        <v>0</v>
      </c>
      <c r="AN50" s="92" t="n">
        <f aca="false">0</f>
        <v>0</v>
      </c>
      <c r="AO50" s="92" t="n">
        <f aca="false">0</f>
        <v>0</v>
      </c>
      <c r="AP50" s="92" t="n">
        <f aca="false">0</f>
        <v>0</v>
      </c>
    </row>
    <row r="51" customFormat="false" ht="14.25" hidden="false" customHeight="true" outlineLevel="0" collapsed="false">
      <c r="A51" s="61" t="n">
        <v>1891</v>
      </c>
      <c r="B51" s="47" t="n">
        <v>804</v>
      </c>
      <c r="C51" s="91" t="n">
        <f aca="false">Partners!H51</f>
        <v>1.33316840661786</v>
      </c>
      <c r="D51" s="49" t="n">
        <f aca="false">Partners!I51</f>
        <v>1071.86739892076</v>
      </c>
      <c r="E51" s="62" t="n">
        <v>0.101</v>
      </c>
      <c r="F51" s="62" t="n">
        <v>0.085</v>
      </c>
      <c r="G51" s="56" t="n">
        <f aca="false">D51*E51</f>
        <v>108.258607290997</v>
      </c>
      <c r="H51" s="56" t="n">
        <f aca="false">D51*F51</f>
        <v>91.1087289082649</v>
      </c>
      <c r="I51" s="55" t="n">
        <v>9</v>
      </c>
      <c r="J51" s="56" t="n">
        <f aca="false">IF($A51&gt;=1927,(1-pac_quota)*Navy!X51,I51)</f>
        <v>9</v>
      </c>
      <c r="K51" s="55" t="n">
        <v>0</v>
      </c>
      <c r="L51" s="56" t="n">
        <f aca="false">IF($A51&gt;=1923,siberia_front*(1-pac_quota),0)</f>
        <v>0</v>
      </c>
      <c r="M51" s="55" t="n">
        <v>0</v>
      </c>
      <c r="N51" s="56" t="n">
        <f aca="false">M51*C51</f>
        <v>0</v>
      </c>
      <c r="O51" s="56" t="n">
        <f aca="false">IF($A51&gt;=1927,10*(1-pac_quota),0)</f>
        <v>0</v>
      </c>
      <c r="P51" s="56" t="n">
        <f aca="false">jp_coupon*(Z50-0)+0</f>
        <v>4.24874773867192</v>
      </c>
      <c r="Q51" s="56" t="n">
        <f aca="false">H51+J51+K51+L51+N51+O51+P51</f>
        <v>104.357476646937</v>
      </c>
      <c r="R51" s="56" t="n">
        <f aca="false">Q51-G51</f>
        <v>-3.90113064406027</v>
      </c>
      <c r="S51" s="55" t="n">
        <v>0</v>
      </c>
      <c r="T51" s="56" t="n">
        <f aca="false">S51*IF($A51&gt;=1923,C51,1)</f>
        <v>0</v>
      </c>
      <c r="U51" s="55" t="n">
        <v>0</v>
      </c>
      <c r="V51" s="55" t="n">
        <v>0</v>
      </c>
      <c r="W51" s="56" t="n">
        <f aca="false">(X50-0)*jp_foreign_repay+0</f>
        <v>0.0815691514390121</v>
      </c>
      <c r="X51" s="56" t="n">
        <f aca="false">X50+T51-W51</f>
        <v>2.63740256319472</v>
      </c>
      <c r="Y51" s="56" t="n">
        <f aca="false">AG51+AF51-AH51</f>
        <v>78.4364215661835</v>
      </c>
      <c r="Z51" s="56" t="n">
        <f aca="false">X51+Y51</f>
        <v>81.0738241293782</v>
      </c>
      <c r="AA51" s="66" t="n">
        <f aca="false">IF(D51&gt;0,Z51/D51,0)</f>
        <v>0.0756379233205613</v>
      </c>
      <c r="AB51" s="66" t="n">
        <f aca="false">IF(G51&gt;0,P51/G51,0)</f>
        <v>0.0392462811502033</v>
      </c>
      <c r="AC51" s="66" t="n">
        <f aca="false">IF(T51+AF51&gt;0,T51/(T51+AF51),0)</f>
        <v>0</v>
      </c>
      <c r="AD51" s="92" t="n">
        <f aca="false">AJ50</f>
        <v>0</v>
      </c>
      <c r="AE51" s="92" t="n">
        <f aca="false">AD51+G51+T51+U51+AP51-Q51-W51-AO51</f>
        <v>3.81956149262126</v>
      </c>
      <c r="AF51" s="92" t="n">
        <f aca="false">MAX(0,-AE51)</f>
        <v>0</v>
      </c>
      <c r="AG51" s="92" t="n">
        <f aca="false">Y50+V51</f>
        <v>82.2559830588047</v>
      </c>
      <c r="AH51" s="92" t="n">
        <f aca="false">MIN(MAX(0,AE51),AG51)</f>
        <v>3.81956149262126</v>
      </c>
      <c r="AI51" s="92" t="n">
        <f aca="false">AE51+AF51-AH51</f>
        <v>0</v>
      </c>
      <c r="AJ51" s="92" t="n">
        <f aca="false">AI51</f>
        <v>0</v>
      </c>
      <c r="AK51" s="92" t="n">
        <f aca="false">AK50</f>
        <v>0</v>
      </c>
      <c r="AL51" s="92" t="n">
        <f aca="false">AJ51+AK51+AN51-Z51</f>
        <v>-81.0738241293782</v>
      </c>
      <c r="AM51" s="92" t="n">
        <f aca="false">AJ51-(AD51+G51+T51+U51+AF51+AP51-Q51-W51-AH51-AO51)</f>
        <v>0</v>
      </c>
      <c r="AN51" s="92" t="n">
        <f aca="false">0</f>
        <v>0</v>
      </c>
      <c r="AO51" s="92" t="n">
        <f aca="false">0</f>
        <v>0</v>
      </c>
      <c r="AP51" s="92" t="n">
        <f aca="false">0</f>
        <v>0</v>
      </c>
    </row>
    <row r="52" customFormat="false" ht="14.25" hidden="false" customHeight="true" outlineLevel="0" collapsed="false">
      <c r="A52" s="61" t="n">
        <v>1892</v>
      </c>
      <c r="B52" s="47" t="n">
        <v>808</v>
      </c>
      <c r="C52" s="91" t="n">
        <f aca="false">Partners!H52</f>
        <v>1.35531895778258</v>
      </c>
      <c r="D52" s="49" t="n">
        <f aca="false">Partners!I52</f>
        <v>1095.09771788833</v>
      </c>
      <c r="E52" s="62" t="n">
        <v>0.102</v>
      </c>
      <c r="F52" s="62" t="n">
        <v>0.085</v>
      </c>
      <c r="G52" s="56" t="n">
        <f aca="false">D52*E52</f>
        <v>111.699967224609</v>
      </c>
      <c r="H52" s="56" t="n">
        <f aca="false">D52*F52</f>
        <v>93.0833060205078</v>
      </c>
      <c r="I52" s="55" t="n">
        <v>10</v>
      </c>
      <c r="J52" s="56" t="n">
        <f aca="false">IF($A52&gt;=1927,(1-pac_quota)*Navy!X52,I52)</f>
        <v>10</v>
      </c>
      <c r="K52" s="55" t="n">
        <v>0</v>
      </c>
      <c r="L52" s="56" t="n">
        <f aca="false">IF($A52&gt;=1923,siberia_front*(1-pac_quota),0)</f>
        <v>0</v>
      </c>
      <c r="M52" s="55" t="n">
        <v>0</v>
      </c>
      <c r="N52" s="56" t="n">
        <f aca="false">M52*C52</f>
        <v>0</v>
      </c>
      <c r="O52" s="56" t="n">
        <f aca="false">IF($A52&gt;=1927,10*(1-pac_quota),0)</f>
        <v>0</v>
      </c>
      <c r="P52" s="56" t="n">
        <f aca="false">jp_coupon*(Z51-0)+0</f>
        <v>4.05369120646891</v>
      </c>
      <c r="Q52" s="56" t="n">
        <f aca="false">H52+J52+K52+L52+N52+O52+P52</f>
        <v>107.136997226977</v>
      </c>
      <c r="R52" s="56" t="n">
        <f aca="false">Q52-G52</f>
        <v>-4.56296999763265</v>
      </c>
      <c r="S52" s="55" t="n">
        <v>0</v>
      </c>
      <c r="T52" s="56" t="n">
        <f aca="false">S52*IF($A52&gt;=1923,C52,1)</f>
        <v>0</v>
      </c>
      <c r="U52" s="55" t="n">
        <v>0</v>
      </c>
      <c r="V52" s="55" t="n">
        <v>0</v>
      </c>
      <c r="W52" s="56" t="n">
        <f aca="false">(X51-0)*jp_foreign_repay+0</f>
        <v>0.0791220768958417</v>
      </c>
      <c r="X52" s="56" t="n">
        <f aca="false">X51+T52-W52</f>
        <v>2.55828048629888</v>
      </c>
      <c r="Y52" s="56" t="n">
        <f aca="false">AG52+AF52-AH52</f>
        <v>73.9525736454467</v>
      </c>
      <c r="Z52" s="56" t="n">
        <f aca="false">X52+Y52</f>
        <v>76.5108541317456</v>
      </c>
      <c r="AA52" s="66" t="n">
        <f aca="false">IF(D52&gt;0,Z52/D52,0)</f>
        <v>0.069866691238551</v>
      </c>
      <c r="AB52" s="66" t="n">
        <f aca="false">IF(G52&gt;0,P52/G52,0)</f>
        <v>0.0362908898470636</v>
      </c>
      <c r="AC52" s="66" t="n">
        <f aca="false">IF(T52+AF52&gt;0,T52/(T52+AF52),0)</f>
        <v>0</v>
      </c>
      <c r="AD52" s="92" t="n">
        <f aca="false">AJ51</f>
        <v>0</v>
      </c>
      <c r="AE52" s="92" t="n">
        <f aca="false">AD52+G52+T52+U52+AP52-Q52-W52-AO52</f>
        <v>4.48384792073681</v>
      </c>
      <c r="AF52" s="92" t="n">
        <f aca="false">MAX(0,-AE52)</f>
        <v>0</v>
      </c>
      <c r="AG52" s="92" t="n">
        <f aca="false">Y51+V52</f>
        <v>78.4364215661835</v>
      </c>
      <c r="AH52" s="92" t="n">
        <f aca="false">MIN(MAX(0,AE52),AG52)</f>
        <v>4.48384792073681</v>
      </c>
      <c r="AI52" s="92" t="n">
        <f aca="false">AE52+AF52-AH52</f>
        <v>0</v>
      </c>
      <c r="AJ52" s="92" t="n">
        <f aca="false">AI52</f>
        <v>0</v>
      </c>
      <c r="AK52" s="92" t="n">
        <f aca="false">AK51</f>
        <v>0</v>
      </c>
      <c r="AL52" s="92" t="n">
        <f aca="false">AJ52+AK52+AN52-Z52</f>
        <v>-76.5108541317456</v>
      </c>
      <c r="AM52" s="92" t="n">
        <f aca="false">AJ52-(AD52+G52+T52+U52+AF52+AP52-Q52-W52-AH52-AO52)</f>
        <v>0</v>
      </c>
      <c r="AN52" s="92" t="n">
        <f aca="false">0</f>
        <v>0</v>
      </c>
      <c r="AO52" s="92" t="n">
        <f aca="false">0</f>
        <v>0</v>
      </c>
      <c r="AP52" s="92" t="n">
        <f aca="false">0</f>
        <v>0</v>
      </c>
    </row>
    <row r="53" customFormat="false" ht="14.25" hidden="false" customHeight="true" outlineLevel="0" collapsed="false">
      <c r="A53" s="61" t="n">
        <v>1893</v>
      </c>
      <c r="B53" s="47" t="n">
        <v>812</v>
      </c>
      <c r="C53" s="91" t="n">
        <f aca="false">Partners!H53</f>
        <v>1.37833619812539</v>
      </c>
      <c r="D53" s="49" t="n">
        <f aca="false">Partners!I53</f>
        <v>1119.20899287782</v>
      </c>
      <c r="E53" s="62" t="n">
        <v>0.103</v>
      </c>
      <c r="F53" s="62" t="n">
        <v>0.085</v>
      </c>
      <c r="G53" s="56" t="n">
        <f aca="false">D53*E53</f>
        <v>115.278526266415</v>
      </c>
      <c r="H53" s="56" t="n">
        <f aca="false">D53*F53</f>
        <v>95.1327643946145</v>
      </c>
      <c r="I53" s="55" t="n">
        <v>11</v>
      </c>
      <c r="J53" s="56" t="n">
        <f aca="false">IF($A53&gt;=1927,(1-pac_quota)*Navy!X53,I53)</f>
        <v>11</v>
      </c>
      <c r="K53" s="55" t="n">
        <v>0</v>
      </c>
      <c r="L53" s="56" t="n">
        <f aca="false">IF($A53&gt;=1923,siberia_front*(1-pac_quota),0)</f>
        <v>0</v>
      </c>
      <c r="M53" s="55" t="n">
        <v>0</v>
      </c>
      <c r="N53" s="56" t="n">
        <f aca="false">M53*C53</f>
        <v>0</v>
      </c>
      <c r="O53" s="56" t="n">
        <f aca="false">IF($A53&gt;=1927,10*(1-pac_quota),0)</f>
        <v>0</v>
      </c>
      <c r="P53" s="56" t="n">
        <f aca="false">jp_coupon*(Z52-0)+0</f>
        <v>3.82554270658728</v>
      </c>
      <c r="Q53" s="56" t="n">
        <f aca="false">H53+J53+K53+L53+N53+O53+P53</f>
        <v>109.958307101202</v>
      </c>
      <c r="R53" s="56" t="n">
        <f aca="false">Q53-G53</f>
        <v>-5.32021916521344</v>
      </c>
      <c r="S53" s="55" t="n">
        <v>0</v>
      </c>
      <c r="T53" s="56" t="n">
        <f aca="false">S53*IF($A53&gt;=1923,C53,1)</f>
        <v>0</v>
      </c>
      <c r="U53" s="55" t="n">
        <v>0</v>
      </c>
      <c r="V53" s="55" t="n">
        <v>0</v>
      </c>
      <c r="W53" s="56" t="n">
        <f aca="false">(X52-0)*jp_foreign_repay+0</f>
        <v>0.0767484145889665</v>
      </c>
      <c r="X53" s="56" t="n">
        <f aca="false">X52+T53-W53</f>
        <v>2.48153207170992</v>
      </c>
      <c r="Y53" s="56" t="n">
        <f aca="false">AG53+AF53-AH53</f>
        <v>68.7091028948222</v>
      </c>
      <c r="Z53" s="56" t="n">
        <f aca="false">X53+Y53</f>
        <v>71.1906349665321</v>
      </c>
      <c r="AA53" s="66" t="n">
        <f aca="false">IF(D53&gt;0,Z53/D53,0)</f>
        <v>0.0636079904821707</v>
      </c>
      <c r="AB53" s="66" t="n">
        <f aca="false">IF(G53&gt;0,P53/G53,0)</f>
        <v>0.0331852152390136</v>
      </c>
      <c r="AC53" s="66" t="n">
        <f aca="false">IF(T53+AF53&gt;0,T53/(T53+AF53),0)</f>
        <v>0</v>
      </c>
      <c r="AD53" s="92" t="n">
        <f aca="false">AJ52</f>
        <v>0</v>
      </c>
      <c r="AE53" s="92" t="n">
        <f aca="false">AD53+G53+T53+U53+AP53-Q53-W53-AO53</f>
        <v>5.24347075062448</v>
      </c>
      <c r="AF53" s="92" t="n">
        <f aca="false">MAX(0,-AE53)</f>
        <v>0</v>
      </c>
      <c r="AG53" s="92" t="n">
        <f aca="false">Y52+V53</f>
        <v>73.9525736454467</v>
      </c>
      <c r="AH53" s="92" t="n">
        <f aca="false">MIN(MAX(0,AE53),AG53)</f>
        <v>5.24347075062448</v>
      </c>
      <c r="AI53" s="92" t="n">
        <f aca="false">AE53+AF53-AH53</f>
        <v>0</v>
      </c>
      <c r="AJ53" s="92" t="n">
        <f aca="false">AI53</f>
        <v>0</v>
      </c>
      <c r="AK53" s="92" t="n">
        <f aca="false">AK52</f>
        <v>0</v>
      </c>
      <c r="AL53" s="92" t="n">
        <f aca="false">AJ53+AK53+AN53-Z53</f>
        <v>-71.1906349665321</v>
      </c>
      <c r="AM53" s="92" t="n">
        <f aca="false">AJ53-(AD53+G53+T53+U53+AF53+AP53-Q53-W53-AH53-AO53)</f>
        <v>0</v>
      </c>
      <c r="AN53" s="92" t="n">
        <f aca="false">0</f>
        <v>0</v>
      </c>
      <c r="AO53" s="92" t="n">
        <f aca="false">0</f>
        <v>0</v>
      </c>
      <c r="AP53" s="92" t="n">
        <f aca="false">0</f>
        <v>0</v>
      </c>
    </row>
    <row r="54" customFormat="false" ht="14.25" hidden="false" customHeight="true" outlineLevel="0" collapsed="false">
      <c r="A54" s="61" t="n">
        <v>1894</v>
      </c>
      <c r="B54" s="47" t="n">
        <v>816</v>
      </c>
      <c r="C54" s="91" t="n">
        <f aca="false">Partners!H54</f>
        <v>1.40184549636739</v>
      </c>
      <c r="D54" s="49" t="n">
        <f aca="false">Partners!I54</f>
        <v>1143.90592503579</v>
      </c>
      <c r="E54" s="62" t="n">
        <v>0.104</v>
      </c>
      <c r="F54" s="62" t="n">
        <v>0.085</v>
      </c>
      <c r="G54" s="56" t="n">
        <f aca="false">D54*E54</f>
        <v>118.966216203722</v>
      </c>
      <c r="H54" s="56" t="n">
        <f aca="false">D54*F54</f>
        <v>97.2320036280419</v>
      </c>
      <c r="I54" s="55" t="n">
        <v>12</v>
      </c>
      <c r="J54" s="56" t="n">
        <f aca="false">IF($A54&gt;=1927,(1-pac_quota)*Navy!X54,I54)</f>
        <v>12</v>
      </c>
      <c r="K54" s="55" t="n">
        <v>40</v>
      </c>
      <c r="L54" s="56" t="n">
        <f aca="false">IF($A54&gt;=1923,siberia_front*(1-pac_quota),0)</f>
        <v>0</v>
      </c>
      <c r="M54" s="55" t="n">
        <v>0</v>
      </c>
      <c r="N54" s="56" t="n">
        <f aca="false">M54*C54</f>
        <v>0</v>
      </c>
      <c r="O54" s="56" t="n">
        <f aca="false">IF($A54&gt;=1927,10*(1-pac_quota),0)</f>
        <v>0</v>
      </c>
      <c r="P54" s="56" t="n">
        <f aca="false">jp_coupon*(Z53-0)+0</f>
        <v>3.55953174832661</v>
      </c>
      <c r="Q54" s="56" t="n">
        <f aca="false">H54+J54+K54+L54+N54+O54+P54</f>
        <v>152.791535376368</v>
      </c>
      <c r="R54" s="56" t="n">
        <f aca="false">Q54-G54</f>
        <v>33.8253191726467</v>
      </c>
      <c r="S54" s="55" t="n">
        <v>10</v>
      </c>
      <c r="T54" s="56" t="n">
        <f aca="false">S54*IF($A54&gt;=1923,C54,1)</f>
        <v>10</v>
      </c>
      <c r="U54" s="55" t="n">
        <v>0</v>
      </c>
      <c r="V54" s="55" t="n">
        <v>0</v>
      </c>
      <c r="W54" s="56" t="n">
        <f aca="false">(X53-0)*jp_foreign_repay+0</f>
        <v>0.0744459621512975</v>
      </c>
      <c r="X54" s="56" t="n">
        <f aca="false">X53+T54-W54</f>
        <v>12.4070861095586</v>
      </c>
      <c r="Y54" s="56" t="n">
        <f aca="false">AG54+AF54-AH54</f>
        <v>92.6088680296202</v>
      </c>
      <c r="Z54" s="56" t="n">
        <f aca="false">X54+Y54</f>
        <v>105.015954139179</v>
      </c>
      <c r="AA54" s="66" t="n">
        <f aca="false">IF(D54&gt;0,Z54/D54,0)</f>
        <v>0.0918047121190437</v>
      </c>
      <c r="AB54" s="66" t="n">
        <f aca="false">IF(G54&gt;0,P54/G54,0)</f>
        <v>0.0299205258594687</v>
      </c>
      <c r="AC54" s="66" t="n">
        <f aca="false">IF(T54+AF54&gt;0,T54/(T54+AF54),0)</f>
        <v>0.294987294461667</v>
      </c>
      <c r="AD54" s="92" t="n">
        <f aca="false">AJ53</f>
        <v>0</v>
      </c>
      <c r="AE54" s="92" t="n">
        <f aca="false">AD54+G54+T54+U54+AP54-Q54-W54-AO54</f>
        <v>-23.899765134798</v>
      </c>
      <c r="AF54" s="92" t="n">
        <f aca="false">MAX(0,-AE54)</f>
        <v>23.899765134798</v>
      </c>
      <c r="AG54" s="92" t="n">
        <f aca="false">Y53+V54</f>
        <v>68.7091028948222</v>
      </c>
      <c r="AH54" s="92" t="n">
        <f aca="false">MIN(MAX(0,AE54),AG54)</f>
        <v>0</v>
      </c>
      <c r="AI54" s="92" t="n">
        <f aca="false">AE54+AF54-AH54</f>
        <v>0</v>
      </c>
      <c r="AJ54" s="92" t="n">
        <f aca="false">AI54</f>
        <v>0</v>
      </c>
      <c r="AK54" s="92" t="n">
        <f aca="false">AK53</f>
        <v>0</v>
      </c>
      <c r="AL54" s="92" t="n">
        <f aca="false">AJ54+AK54+AN54-Z54</f>
        <v>-105.015954139179</v>
      </c>
      <c r="AM54" s="92" t="n">
        <f aca="false">AJ54-(AD54+G54+T54+U54+AF54+AP54-Q54-W54-AH54-AO54)</f>
        <v>1.00613961606655E-014</v>
      </c>
      <c r="AN54" s="92" t="n">
        <f aca="false">0</f>
        <v>0</v>
      </c>
      <c r="AO54" s="92" t="n">
        <f aca="false">0</f>
        <v>0</v>
      </c>
      <c r="AP54" s="92" t="n">
        <f aca="false">0</f>
        <v>0</v>
      </c>
    </row>
    <row r="55" customFormat="false" ht="14.25" hidden="false" customHeight="true" outlineLevel="0" collapsed="false">
      <c r="A55" s="61" t="n">
        <v>1895</v>
      </c>
      <c r="B55" s="47" t="n">
        <v>820</v>
      </c>
      <c r="C55" s="91" t="n">
        <f aca="false">Partners!H55</f>
        <v>1.42614939492135</v>
      </c>
      <c r="D55" s="49" t="n">
        <f aca="false">Partners!I55</f>
        <v>1169.44250383551</v>
      </c>
      <c r="E55" s="62" t="n">
        <v>0.105</v>
      </c>
      <c r="F55" s="62" t="n">
        <v>0.085</v>
      </c>
      <c r="G55" s="56" t="n">
        <f aca="false">D55*E55</f>
        <v>122.791462902728</v>
      </c>
      <c r="H55" s="56" t="n">
        <f aca="false">D55*F55</f>
        <v>99.402612826018</v>
      </c>
      <c r="I55" s="55" t="n">
        <v>16.3</v>
      </c>
      <c r="J55" s="56" t="n">
        <f aca="false">IF($A55&gt;=1927,(1-pac_quota)*Navy!X55,I55)</f>
        <v>16.3</v>
      </c>
      <c r="K55" s="55" t="n">
        <v>60</v>
      </c>
      <c r="L55" s="56" t="n">
        <f aca="false">IF($A55&gt;=1923,siberia_front*(1-pac_quota),0)</f>
        <v>0</v>
      </c>
      <c r="M55" s="55" t="n">
        <v>0</v>
      </c>
      <c r="N55" s="56" t="n">
        <f aca="false">M55*C55</f>
        <v>0</v>
      </c>
      <c r="O55" s="56" t="n">
        <f aca="false">IF($A55&gt;=1927,10*(1-pac_quota),0)</f>
        <v>0</v>
      </c>
      <c r="P55" s="56" t="n">
        <f aca="false">jp_coupon*(Z54-0)+0</f>
        <v>5.25079770695894</v>
      </c>
      <c r="Q55" s="56" t="n">
        <f aca="false">H55+J55+K55+L55+N55+O55+P55</f>
        <v>180.953410532977</v>
      </c>
      <c r="R55" s="56" t="n">
        <f aca="false">Q55-G55</f>
        <v>58.1619476302488</v>
      </c>
      <c r="S55" s="55" t="n">
        <v>0</v>
      </c>
      <c r="T55" s="56" t="n">
        <f aca="false">S55*IF($A55&gt;=1923,C55,1)</f>
        <v>0</v>
      </c>
      <c r="U55" s="55" t="n">
        <v>0</v>
      </c>
      <c r="V55" s="55" t="n">
        <v>0</v>
      </c>
      <c r="W55" s="56" t="n">
        <f aca="false">(X54-0)*jp_foreign_repay+0</f>
        <v>0.372212583286759</v>
      </c>
      <c r="X55" s="56" t="n">
        <f aca="false">X54+T55-W55</f>
        <v>12.0348735262719</v>
      </c>
      <c r="Y55" s="56" t="n">
        <f aca="false">AG55+AF55-AH55</f>
        <v>151.143028243156</v>
      </c>
      <c r="Z55" s="56" t="n">
        <f aca="false">X55+Y55</f>
        <v>163.177901769428</v>
      </c>
      <c r="AA55" s="66" t="n">
        <f aca="false">IF(D55&gt;0,Z55/D55,0)</f>
        <v>0.139534779379269</v>
      </c>
      <c r="AB55" s="66" t="n">
        <f aca="false">IF(G55&gt;0,P55/G55,0)</f>
        <v>0.0427619118042308</v>
      </c>
      <c r="AC55" s="66" t="n">
        <f aca="false">IF(T55+AF55&gt;0,T55/(T55+AF55),0)</f>
        <v>0</v>
      </c>
      <c r="AD55" s="92" t="n">
        <f aca="false">AJ54</f>
        <v>0</v>
      </c>
      <c r="AE55" s="92" t="n">
        <f aca="false">AD55+G55+T55+U55+AP55-Q55-W55-AO55</f>
        <v>-58.5341602135356</v>
      </c>
      <c r="AF55" s="92" t="n">
        <f aca="false">MAX(0,-AE55)</f>
        <v>58.5341602135356</v>
      </c>
      <c r="AG55" s="92" t="n">
        <f aca="false">Y54+V55</f>
        <v>92.6088680296202</v>
      </c>
      <c r="AH55" s="92" t="n">
        <f aca="false">MIN(MAX(0,AE55),AG55)</f>
        <v>0</v>
      </c>
      <c r="AI55" s="92" t="n">
        <f aca="false">AE55+AF55-AH55</f>
        <v>0</v>
      </c>
      <c r="AJ55" s="92" t="n">
        <f aca="false">AI55</f>
        <v>0</v>
      </c>
      <c r="AK55" s="92" t="n">
        <f aca="false">AK54</f>
        <v>0</v>
      </c>
      <c r="AL55" s="92" t="n">
        <f aca="false">AJ55+AK55+AN55-Z55</f>
        <v>-163.177901769428</v>
      </c>
      <c r="AM55" s="92" t="n">
        <f aca="false">AJ55-(AD55+G55+T55+U55+AF55+AP55-Q55-W55-AH55-AO55)</f>
        <v>-8.99280649946377E-015</v>
      </c>
      <c r="AN55" s="92" t="n">
        <f aca="false">0</f>
        <v>0</v>
      </c>
      <c r="AO55" s="92" t="n">
        <f aca="false">0</f>
        <v>0</v>
      </c>
      <c r="AP55" s="92" t="n">
        <f aca="false">0</f>
        <v>0</v>
      </c>
    </row>
    <row r="56" customFormat="false" ht="14.25" hidden="false" customHeight="true" outlineLevel="0" collapsed="false">
      <c r="A56" s="61" t="n">
        <v>1896</v>
      </c>
      <c r="B56" s="47" t="n">
        <v>960</v>
      </c>
      <c r="C56" s="91" t="n">
        <f aca="false">Partners!H56</f>
        <v>1.45157098102023</v>
      </c>
      <c r="D56" s="49" t="n">
        <f aca="false">Partners!I56</f>
        <v>1393.50814177942</v>
      </c>
      <c r="E56" s="62" t="n">
        <v>0.106</v>
      </c>
      <c r="F56" s="62" t="n">
        <v>0.085</v>
      </c>
      <c r="G56" s="56" t="n">
        <f aca="false">D56*E56</f>
        <v>147.711863028619</v>
      </c>
      <c r="H56" s="56" t="n">
        <f aca="false">D56*F56</f>
        <v>118.448192051251</v>
      </c>
      <c r="I56" s="55" t="n">
        <v>20.7</v>
      </c>
      <c r="J56" s="56" t="n">
        <f aca="false">IF($A56&gt;=1927,(1-pac_quota)*Navy!X56,I56)</f>
        <v>20.7</v>
      </c>
      <c r="K56" s="55" t="n">
        <v>0</v>
      </c>
      <c r="L56" s="56" t="n">
        <f aca="false">IF($A56&gt;=1923,siberia_front*(1-pac_quota),0)</f>
        <v>0</v>
      </c>
      <c r="M56" s="55" t="n">
        <v>0</v>
      </c>
      <c r="N56" s="56" t="n">
        <f aca="false">M56*C56</f>
        <v>0</v>
      </c>
      <c r="O56" s="56" t="n">
        <f aca="false">IF($A56&gt;=1927,10*(1-pac_quota),0)</f>
        <v>0</v>
      </c>
      <c r="P56" s="56" t="n">
        <f aca="false">jp_coupon*(Z55-0)+0</f>
        <v>8.15889508847138</v>
      </c>
      <c r="Q56" s="56" t="n">
        <f aca="false">H56+J56+K56+L56+N56+O56+P56</f>
        <v>147.307087139722</v>
      </c>
      <c r="R56" s="56" t="n">
        <f aca="false">Q56-G56</f>
        <v>-0.404775888896523</v>
      </c>
      <c r="S56" s="55" t="n">
        <v>0</v>
      </c>
      <c r="T56" s="56" t="n">
        <f aca="false">S56*IF($A56&gt;=1923,C56,1)</f>
        <v>0</v>
      </c>
      <c r="U56" s="55" t="n">
        <v>0</v>
      </c>
      <c r="V56" s="55" t="n">
        <v>0</v>
      </c>
      <c r="W56" s="56" t="n">
        <f aca="false">(X55-0)*jp_foreign_repay+0</f>
        <v>0.361046205788156</v>
      </c>
      <c r="X56" s="56" t="n">
        <f aca="false">X55+T56-W56</f>
        <v>11.6738273204837</v>
      </c>
      <c r="Y56" s="56" t="n">
        <f aca="false">AG56+AF56-AH56</f>
        <v>151.099298560047</v>
      </c>
      <c r="Z56" s="56" t="n">
        <f aca="false">X56+Y56</f>
        <v>162.773125880531</v>
      </c>
      <c r="AA56" s="66" t="n">
        <f aca="false">IF(D56&gt;0,Z56/D56,0)</f>
        <v>0.116808162794571</v>
      </c>
      <c r="AB56" s="66" t="n">
        <f aca="false">IF(G56&gt;0,P56/G56,0)</f>
        <v>0.0552352053598471</v>
      </c>
      <c r="AC56" s="66" t="n">
        <f aca="false">IF(T56+AF56&gt;0,T56/(T56+AF56),0)</f>
        <v>0</v>
      </c>
      <c r="AD56" s="92" t="n">
        <f aca="false">AJ55</f>
        <v>0</v>
      </c>
      <c r="AE56" s="92" t="n">
        <f aca="false">AD56+G56+T56+U56+AP56-Q56-W56-AO56</f>
        <v>0.0437296831083676</v>
      </c>
      <c r="AF56" s="92" t="n">
        <f aca="false">MAX(0,-AE56)</f>
        <v>0</v>
      </c>
      <c r="AG56" s="92" t="n">
        <f aca="false">Y55+V56</f>
        <v>151.143028243156</v>
      </c>
      <c r="AH56" s="92" t="n">
        <f aca="false">MIN(MAX(0,AE56),AG56)</f>
        <v>0.0437296831083676</v>
      </c>
      <c r="AI56" s="92" t="n">
        <f aca="false">AE56+AF56-AH56</f>
        <v>0</v>
      </c>
      <c r="AJ56" s="92" t="n">
        <f aca="false">AI56</f>
        <v>0</v>
      </c>
      <c r="AK56" s="92" t="n">
        <f aca="false">AK55</f>
        <v>0</v>
      </c>
      <c r="AL56" s="92" t="n">
        <f aca="false">AJ56+AK56+AN56-Z56</f>
        <v>-162.773125880531</v>
      </c>
      <c r="AM56" s="92" t="n">
        <f aca="false">AJ56-(AD56+G56+T56+U56+AF56+AP56-Q56-W56-AH56-AO56)</f>
        <v>0</v>
      </c>
      <c r="AN56" s="92" t="n">
        <f aca="false">0</f>
        <v>0</v>
      </c>
      <c r="AO56" s="92" t="n">
        <f aca="false">0</f>
        <v>0</v>
      </c>
      <c r="AP56" s="92" t="n">
        <f aca="false">0</f>
        <v>0</v>
      </c>
    </row>
    <row r="57" customFormat="false" ht="14.25" hidden="false" customHeight="true" outlineLevel="0" collapsed="false">
      <c r="A57" s="61" t="n">
        <v>1897</v>
      </c>
      <c r="B57" s="47" t="n">
        <v>1100</v>
      </c>
      <c r="C57" s="91" t="n">
        <f aca="false">Partners!H57</f>
        <v>1.4764176663578</v>
      </c>
      <c r="D57" s="49" t="n">
        <f aca="false">Partners!I57</f>
        <v>1624.05943299357</v>
      </c>
      <c r="E57" s="62" t="n">
        <v>0.107</v>
      </c>
      <c r="F57" s="62" t="n">
        <v>0.085</v>
      </c>
      <c r="G57" s="56" t="n">
        <f aca="false">D57*E57</f>
        <v>173.774359330313</v>
      </c>
      <c r="H57" s="56" t="n">
        <f aca="false">D57*F57</f>
        <v>138.045051804454</v>
      </c>
      <c r="I57" s="55" t="n">
        <v>25</v>
      </c>
      <c r="J57" s="56" t="n">
        <f aca="false">IF($A57&gt;=1927,(1-pac_quota)*Navy!X57,I57)</f>
        <v>25</v>
      </c>
      <c r="K57" s="55" t="n">
        <v>0</v>
      </c>
      <c r="L57" s="56" t="n">
        <f aca="false">IF($A57&gt;=1923,siberia_front*(1-pac_quota),0)</f>
        <v>0</v>
      </c>
      <c r="M57" s="55" t="n">
        <v>0</v>
      </c>
      <c r="N57" s="56" t="n">
        <f aca="false">M57*C57</f>
        <v>0</v>
      </c>
      <c r="O57" s="56" t="n">
        <f aca="false">IF($A57&gt;=1927,10*(1-pac_quota),0)</f>
        <v>0</v>
      </c>
      <c r="P57" s="56" t="n">
        <f aca="false">jp_coupon*(Z56-0)+0</f>
        <v>8.13865629402655</v>
      </c>
      <c r="Q57" s="56" t="n">
        <f aca="false">H57+J57+K57+L57+N57+O57+P57</f>
        <v>171.18370809848</v>
      </c>
      <c r="R57" s="56" t="n">
        <f aca="false">Q57-G57</f>
        <v>-2.59065123183208</v>
      </c>
      <c r="S57" s="55" t="n">
        <v>20</v>
      </c>
      <c r="T57" s="56" t="n">
        <f aca="false">S57*IF($A57&gt;=1923,C57,1)</f>
        <v>20</v>
      </c>
      <c r="U57" s="55" t="n">
        <v>0</v>
      </c>
      <c r="V57" s="55" t="n">
        <v>0</v>
      </c>
      <c r="W57" s="56" t="n">
        <f aca="false">(X56-0)*jp_foreign_repay+0</f>
        <v>0.350214819614511</v>
      </c>
      <c r="X57" s="56" t="n">
        <f aca="false">X56+T57-W57</f>
        <v>31.3236125008692</v>
      </c>
      <c r="Y57" s="56" t="n">
        <f aca="false">AG57+AF57-AH57</f>
        <v>128.85886214783</v>
      </c>
      <c r="Z57" s="56" t="n">
        <f aca="false">X57+Y57</f>
        <v>160.182474648699</v>
      </c>
      <c r="AA57" s="66" t="n">
        <f aca="false">IF(D57&gt;0,Z57/D57,0)</f>
        <v>0.0986309191612772</v>
      </c>
      <c r="AB57" s="66" t="n">
        <f aca="false">IF(G57&gt;0,P57/G57,0)</f>
        <v>0.0468346212029848</v>
      </c>
      <c r="AC57" s="66" t="n">
        <f aca="false">IF(T57+AF57&gt;0,T57/(T57+AF57),0)</f>
        <v>1</v>
      </c>
      <c r="AD57" s="92" t="n">
        <f aca="false">AJ56</f>
        <v>0</v>
      </c>
      <c r="AE57" s="92" t="n">
        <f aca="false">AD57+G57+T57+U57+AP57-Q57-W57-AO57</f>
        <v>22.2404364122176</v>
      </c>
      <c r="AF57" s="92" t="n">
        <f aca="false">MAX(0,-AE57)</f>
        <v>0</v>
      </c>
      <c r="AG57" s="92" t="n">
        <f aca="false">Y56+V57</f>
        <v>151.099298560047</v>
      </c>
      <c r="AH57" s="92" t="n">
        <f aca="false">MIN(MAX(0,AE57),AG57)</f>
        <v>22.2404364122176</v>
      </c>
      <c r="AI57" s="92" t="n">
        <f aca="false">AE57+AF57-AH57</f>
        <v>0</v>
      </c>
      <c r="AJ57" s="92" t="n">
        <f aca="false">AI57</f>
        <v>0</v>
      </c>
      <c r="AK57" s="92" t="n">
        <f aca="false">AK56</f>
        <v>0</v>
      </c>
      <c r="AL57" s="92" t="n">
        <f aca="false">AJ57+AK57+AN57-Z57</f>
        <v>-160.182474648699</v>
      </c>
      <c r="AM57" s="92" t="n">
        <f aca="false">AJ57-(AD57+G57+T57+U57+AF57+AP57-Q57-W57-AH57-AO57)</f>
        <v>0</v>
      </c>
      <c r="AN57" s="92" t="n">
        <f aca="false">0</f>
        <v>0</v>
      </c>
      <c r="AO57" s="92" t="n">
        <f aca="false">0</f>
        <v>0</v>
      </c>
      <c r="AP57" s="92" t="n">
        <f aca="false">0</f>
        <v>0</v>
      </c>
    </row>
    <row r="58" customFormat="false" ht="14.25" hidden="false" customHeight="true" outlineLevel="0" collapsed="false">
      <c r="A58" s="61" t="n">
        <v>1898</v>
      </c>
      <c r="B58" s="47" t="n">
        <v>1133</v>
      </c>
      <c r="C58" s="91" t="n">
        <f aca="false">Partners!H58</f>
        <v>1.50135415738056</v>
      </c>
      <c r="D58" s="49" t="n">
        <f aca="false">Partners!I58</f>
        <v>1701.03426031218</v>
      </c>
      <c r="E58" s="62" t="n">
        <v>0.108</v>
      </c>
      <c r="F58" s="62" t="n">
        <v>0.085</v>
      </c>
      <c r="G58" s="56" t="n">
        <f aca="false">D58*E58</f>
        <v>183.711700113715</v>
      </c>
      <c r="H58" s="56" t="n">
        <f aca="false">D58*F58</f>
        <v>144.587912126535</v>
      </c>
      <c r="I58" s="55" t="n">
        <v>26.7</v>
      </c>
      <c r="J58" s="56" t="n">
        <f aca="false">IF($A58&gt;=1927,(1-pac_quota)*Navy!X58,I58)</f>
        <v>26.7</v>
      </c>
      <c r="K58" s="55" t="n">
        <v>90</v>
      </c>
      <c r="L58" s="56" t="n">
        <f aca="false">IF($A58&gt;=1923,siberia_front*(1-pac_quota),0)</f>
        <v>0</v>
      </c>
      <c r="M58" s="55" t="n">
        <v>0</v>
      </c>
      <c r="N58" s="56" t="n">
        <f aca="false">M58*C58</f>
        <v>0</v>
      </c>
      <c r="O58" s="56" t="n">
        <f aca="false">IF($A58&gt;=1927,10*(1-pac_quota),0)</f>
        <v>0</v>
      </c>
      <c r="P58" s="56" t="n">
        <f aca="false">jp_coupon*(Z57-0)+0</f>
        <v>8.00912373243495</v>
      </c>
      <c r="Q58" s="56" t="n">
        <f aca="false">H58+J58+K58+L58+N58+O58+P58</f>
        <v>269.29703585897</v>
      </c>
      <c r="R58" s="56" t="n">
        <f aca="false">Q58-G58</f>
        <v>85.585335745255</v>
      </c>
      <c r="S58" s="55" t="n">
        <v>15</v>
      </c>
      <c r="T58" s="56" t="n">
        <f aca="false">S58*IF($A58&gt;=1923,C58,1)</f>
        <v>15</v>
      </c>
      <c r="U58" s="55" t="n">
        <v>0</v>
      </c>
      <c r="V58" s="55" t="n">
        <v>0</v>
      </c>
      <c r="W58" s="56" t="n">
        <f aca="false">(X57-0)*jp_foreign_repay+0</f>
        <v>0.939708375026076</v>
      </c>
      <c r="X58" s="56" t="n">
        <f aca="false">X57+T58-W58</f>
        <v>45.3839041258431</v>
      </c>
      <c r="Y58" s="56" t="n">
        <f aca="false">AG58+AF58-AH58</f>
        <v>200.383906268111</v>
      </c>
      <c r="Z58" s="56" t="n">
        <f aca="false">X58+Y58</f>
        <v>245.767810393954</v>
      </c>
      <c r="AA58" s="66" t="n">
        <f aca="false">IF(D58&gt;0,Z58/D58,0)</f>
        <v>0.144481399421579</v>
      </c>
      <c r="AB58" s="66" t="n">
        <f aca="false">IF(G58&gt;0,P58/G58,0)</f>
        <v>0.043596154885494</v>
      </c>
      <c r="AC58" s="66" t="n">
        <f aca="false">IF(T58+AF58&gt;0,T58/(T58+AF58),0)</f>
        <v>0.173360212092444</v>
      </c>
      <c r="AD58" s="92" t="n">
        <f aca="false">AJ57</f>
        <v>0</v>
      </c>
      <c r="AE58" s="92" t="n">
        <f aca="false">AD58+G58+T58+U58+AP58-Q58-W58-AO58</f>
        <v>-71.525044120281</v>
      </c>
      <c r="AF58" s="92" t="n">
        <f aca="false">MAX(0,-AE58)</f>
        <v>71.525044120281</v>
      </c>
      <c r="AG58" s="92" t="n">
        <f aca="false">Y57+V58</f>
        <v>128.85886214783</v>
      </c>
      <c r="AH58" s="92" t="n">
        <f aca="false">MIN(MAX(0,AE58),AG58)</f>
        <v>0</v>
      </c>
      <c r="AI58" s="92" t="n">
        <f aca="false">AE58+AF58-AH58</f>
        <v>0</v>
      </c>
      <c r="AJ58" s="92" t="n">
        <f aca="false">AI58</f>
        <v>0</v>
      </c>
      <c r="AK58" s="92" t="n">
        <f aca="false">AK57</f>
        <v>0</v>
      </c>
      <c r="AL58" s="92" t="n">
        <f aca="false">AJ58+AK58+AN58-Z58</f>
        <v>-245.767810393954</v>
      </c>
      <c r="AM58" s="92" t="n">
        <f aca="false">AJ58-(AD58+G58+T58+U58+AF58+AP58-Q58-W58-AH58-AO58)</f>
        <v>-2.46469511466785E-014</v>
      </c>
      <c r="AN58" s="92" t="n">
        <f aca="false">0</f>
        <v>0</v>
      </c>
      <c r="AO58" s="92" t="n">
        <f aca="false">0</f>
        <v>0</v>
      </c>
      <c r="AP58" s="92" t="n">
        <f aca="false">0</f>
        <v>0</v>
      </c>
    </row>
    <row r="59" customFormat="false" ht="14.25" hidden="false" customHeight="true" outlineLevel="0" collapsed="false">
      <c r="A59" s="61" t="n">
        <v>1899</v>
      </c>
      <c r="B59" s="47" t="n">
        <v>1167</v>
      </c>
      <c r="C59" s="91" t="n">
        <f aca="false">Partners!H59</f>
        <v>1.52722519803741</v>
      </c>
      <c r="D59" s="49" t="n">
        <f aca="false">Partners!I59</f>
        <v>1782.27180610966</v>
      </c>
      <c r="E59" s="62" t="n">
        <v>0.109</v>
      </c>
      <c r="F59" s="62" t="n">
        <v>0.085</v>
      </c>
      <c r="G59" s="56" t="n">
        <f aca="false">D59*E59</f>
        <v>194.267626865953</v>
      </c>
      <c r="H59" s="56" t="n">
        <f aca="false">D59*F59</f>
        <v>151.493103519321</v>
      </c>
      <c r="I59" s="55" t="n">
        <v>28.3</v>
      </c>
      <c r="J59" s="56" t="n">
        <f aca="false">IF($A59&gt;=1927,(1-pac_quota)*Navy!X59,I59)</f>
        <v>28.3</v>
      </c>
      <c r="K59" s="55" t="n">
        <v>90</v>
      </c>
      <c r="L59" s="56" t="n">
        <f aca="false">IF($A59&gt;=1923,siberia_front*(1-pac_quota),0)</f>
        <v>0</v>
      </c>
      <c r="M59" s="55" t="n">
        <v>0</v>
      </c>
      <c r="N59" s="56" t="n">
        <f aca="false">M59*C59</f>
        <v>0</v>
      </c>
      <c r="O59" s="56" t="n">
        <f aca="false">IF($A59&gt;=1927,10*(1-pac_quota),0)</f>
        <v>0</v>
      </c>
      <c r="P59" s="56" t="n">
        <f aca="false">jp_coupon*(Z58-0)+0</f>
        <v>12.2883905196977</v>
      </c>
      <c r="Q59" s="56" t="n">
        <f aca="false">H59+J59+K59+L59+N59+O59+P59</f>
        <v>282.081494039019</v>
      </c>
      <c r="R59" s="56" t="n">
        <f aca="false">Q59-G59</f>
        <v>87.813867173066</v>
      </c>
      <c r="S59" s="55" t="n">
        <v>15</v>
      </c>
      <c r="T59" s="56" t="n">
        <f aca="false">S59*IF($A59&gt;=1923,C59,1)</f>
        <v>15</v>
      </c>
      <c r="U59" s="55" t="n">
        <v>0</v>
      </c>
      <c r="V59" s="55" t="n">
        <v>0</v>
      </c>
      <c r="W59" s="56" t="n">
        <f aca="false">(X58-0)*jp_foreign_repay+0</f>
        <v>1.36151712377529</v>
      </c>
      <c r="X59" s="56" t="n">
        <f aca="false">X58+T59-W59</f>
        <v>59.0223870020678</v>
      </c>
      <c r="Y59" s="56" t="n">
        <f aca="false">AG59+AF59-AH59</f>
        <v>274.559290564952</v>
      </c>
      <c r="Z59" s="56" t="n">
        <f aca="false">X59+Y59</f>
        <v>333.58167756702</v>
      </c>
      <c r="AA59" s="66" t="n">
        <f aca="false">IF(D59&gt;0,Z59/D59,0)</f>
        <v>0.187166556988388</v>
      </c>
      <c r="AB59" s="66" t="n">
        <f aca="false">IF(G59&gt;0,P59/G59,0)</f>
        <v>0.0632549576990348</v>
      </c>
      <c r="AC59" s="66" t="n">
        <f aca="false">IF(T59+AF59&gt;0,T59/(T59+AF59),0)</f>
        <v>0.168207853751086</v>
      </c>
      <c r="AD59" s="92" t="n">
        <f aca="false">AJ58</f>
        <v>0</v>
      </c>
      <c r="AE59" s="92" t="n">
        <f aca="false">AD59+G59+T59+U59+AP59-Q59-W59-AO59</f>
        <v>-74.1753842968413</v>
      </c>
      <c r="AF59" s="92" t="n">
        <f aca="false">MAX(0,-AE59)</f>
        <v>74.1753842968413</v>
      </c>
      <c r="AG59" s="92" t="n">
        <f aca="false">Y58+V59</f>
        <v>200.383906268111</v>
      </c>
      <c r="AH59" s="92" t="n">
        <f aca="false">MIN(MAX(0,AE59),AG59)</f>
        <v>0</v>
      </c>
      <c r="AI59" s="92" t="n">
        <f aca="false">AE59+AF59-AH59</f>
        <v>0</v>
      </c>
      <c r="AJ59" s="92" t="n">
        <f aca="false">AI59</f>
        <v>0</v>
      </c>
      <c r="AK59" s="92" t="n">
        <f aca="false">AK58</f>
        <v>0</v>
      </c>
      <c r="AL59" s="92" t="n">
        <f aca="false">AJ59+AK59+AN59-Z59</f>
        <v>-333.58167756702</v>
      </c>
      <c r="AM59" s="92" t="n">
        <f aca="false">AJ59-(AD59+G59+T59+U59+AF59+AP59-Q59-W59-AH59-AO59)</f>
        <v>7.105427357601E-015</v>
      </c>
      <c r="AN59" s="92" t="n">
        <f aca="false">0</f>
        <v>0</v>
      </c>
      <c r="AO59" s="92" t="n">
        <f aca="false">0</f>
        <v>0</v>
      </c>
      <c r="AP59" s="92" t="n">
        <f aca="false">0</f>
        <v>0</v>
      </c>
    </row>
    <row r="60" customFormat="false" ht="14.25" hidden="false" customHeight="true" outlineLevel="0" collapsed="false">
      <c r="A60" s="61" t="n">
        <v>1900</v>
      </c>
      <c r="B60" s="47" t="n">
        <v>1200</v>
      </c>
      <c r="C60" s="91" t="n">
        <f aca="false">Partners!H60</f>
        <v>1.55404981798067</v>
      </c>
      <c r="D60" s="49" t="n">
        <f aca="false">Partners!I60</f>
        <v>1864.85978157681</v>
      </c>
      <c r="E60" s="62" t="n">
        <v>0.11</v>
      </c>
      <c r="F60" s="62" t="n">
        <v>0.085</v>
      </c>
      <c r="G60" s="56" t="n">
        <f aca="false">D60*E60</f>
        <v>205.134575973449</v>
      </c>
      <c r="H60" s="56" t="n">
        <f aca="false">D60*F60</f>
        <v>158.513081434029</v>
      </c>
      <c r="I60" s="55" t="n">
        <v>30</v>
      </c>
      <c r="J60" s="56" t="n">
        <f aca="false">IF($A60&gt;=1927,(1-pac_quota)*Navy!X60,I60)</f>
        <v>30</v>
      </c>
      <c r="K60" s="55" t="n">
        <v>0</v>
      </c>
      <c r="L60" s="56" t="n">
        <f aca="false">IF($A60&gt;=1923,siberia_front*(1-pac_quota),0)</f>
        <v>0</v>
      </c>
      <c r="M60" s="55" t="n">
        <v>0</v>
      </c>
      <c r="N60" s="56" t="n">
        <f aca="false">M60*C60</f>
        <v>0</v>
      </c>
      <c r="O60" s="56" t="n">
        <f aca="false">IF($A60&gt;=1927,10*(1-pac_quota),0)</f>
        <v>0</v>
      </c>
      <c r="P60" s="56" t="n">
        <f aca="false">jp_coupon*(Z59-0)+0</f>
        <v>16.679083878351</v>
      </c>
      <c r="Q60" s="56" t="n">
        <f aca="false">H60+J60+K60+L60+N60+O60+P60</f>
        <v>205.19216531238</v>
      </c>
      <c r="R60" s="56" t="n">
        <f aca="false">Q60-G60</f>
        <v>0.0575893389308249</v>
      </c>
      <c r="S60" s="55" t="n">
        <v>0</v>
      </c>
      <c r="T60" s="56" t="n">
        <f aca="false">S60*IF($A60&gt;=1923,C60,1)</f>
        <v>0</v>
      </c>
      <c r="U60" s="55" t="n">
        <v>0</v>
      </c>
      <c r="V60" s="55" t="n">
        <v>0</v>
      </c>
      <c r="W60" s="56" t="n">
        <f aca="false">(X59-0)*jp_foreign_repay+0</f>
        <v>1.77067161006203</v>
      </c>
      <c r="X60" s="56" t="n">
        <f aca="false">X59+T60-W60</f>
        <v>57.2517153920058</v>
      </c>
      <c r="Y60" s="56" t="n">
        <f aca="false">AG60+AF60-AH60</f>
        <v>276.387551513945</v>
      </c>
      <c r="Z60" s="56" t="n">
        <f aca="false">X60+Y60</f>
        <v>333.639266905951</v>
      </c>
      <c r="AA60" s="66" t="n">
        <f aca="false">IF(D60&gt;0,Z60/D60,0)</f>
        <v>0.178908500361269</v>
      </c>
      <c r="AB60" s="66" t="n">
        <f aca="false">IF(G60&gt;0,P60/G60,0)</f>
        <v>0.0813080086533526</v>
      </c>
      <c r="AC60" s="66" t="n">
        <f aca="false">IF(T60+AF60&gt;0,T60/(T60+AF60),0)</f>
        <v>0</v>
      </c>
      <c r="AD60" s="92" t="n">
        <f aca="false">AJ59</f>
        <v>0</v>
      </c>
      <c r="AE60" s="92" t="n">
        <f aca="false">AD60+G60+T60+U60+AP60-Q60-W60-AO60</f>
        <v>-1.82826094899286</v>
      </c>
      <c r="AF60" s="92" t="n">
        <f aca="false">MAX(0,-AE60)</f>
        <v>1.82826094899286</v>
      </c>
      <c r="AG60" s="92" t="n">
        <f aca="false">Y59+V60</f>
        <v>274.559290564952</v>
      </c>
      <c r="AH60" s="92" t="n">
        <f aca="false">MIN(MAX(0,AE60),AG60)</f>
        <v>0</v>
      </c>
      <c r="AI60" s="92" t="n">
        <f aca="false">AE60+AF60-AH60</f>
        <v>0</v>
      </c>
      <c r="AJ60" s="92" t="n">
        <f aca="false">AI60</f>
        <v>0</v>
      </c>
      <c r="AK60" s="92" t="n">
        <f aca="false">AK59</f>
        <v>0</v>
      </c>
      <c r="AL60" s="92" t="n">
        <f aca="false">AJ60+AK60+AN60-Z60</f>
        <v>-333.639266905951</v>
      </c>
      <c r="AM60" s="92" t="n">
        <f aca="false">AJ60-(AD60+G60+T60+U60+AF60+AP60-Q60-W60-AH60-AO60)</f>
        <v>0</v>
      </c>
      <c r="AN60" s="92" t="n">
        <f aca="false">0</f>
        <v>0</v>
      </c>
      <c r="AO60" s="92" t="n">
        <f aca="false">0</f>
        <v>0</v>
      </c>
      <c r="AP60" s="92" t="n">
        <f aca="false">0</f>
        <v>0</v>
      </c>
    </row>
    <row r="61" customFormat="false" ht="14.25" hidden="false" customHeight="true" outlineLevel="0" collapsed="false">
      <c r="A61" s="61" t="n">
        <v>1901</v>
      </c>
      <c r="B61" s="47" t="n">
        <v>1270</v>
      </c>
      <c r="C61" s="91" t="n">
        <f aca="false">Partners!H61</f>
        <v>1.58187300980028</v>
      </c>
      <c r="D61" s="49" t="n">
        <f aca="false">Partners!I61</f>
        <v>2008.97872244636</v>
      </c>
      <c r="E61" s="62" t="n">
        <v>0.111</v>
      </c>
      <c r="F61" s="62" t="n">
        <v>0.085</v>
      </c>
      <c r="G61" s="56" t="n">
        <f aca="false">D61*E61</f>
        <v>222.996638191546</v>
      </c>
      <c r="H61" s="56" t="n">
        <f aca="false">D61*F61</f>
        <v>170.763191407941</v>
      </c>
      <c r="I61" s="55" t="n">
        <v>31</v>
      </c>
      <c r="J61" s="56" t="n">
        <f aca="false">IF($A61&gt;=1927,(1-pac_quota)*Navy!X61,I61)</f>
        <v>31</v>
      </c>
      <c r="K61" s="55" t="n">
        <v>0</v>
      </c>
      <c r="L61" s="56" t="n">
        <f aca="false">IF($A61&gt;=1923,siberia_front*(1-pac_quota),0)</f>
        <v>0</v>
      </c>
      <c r="M61" s="55" t="n">
        <v>0</v>
      </c>
      <c r="N61" s="56" t="n">
        <f aca="false">M61*C61</f>
        <v>0</v>
      </c>
      <c r="O61" s="56" t="n">
        <f aca="false">IF($A61&gt;=1927,10*(1-pac_quota),0)</f>
        <v>0</v>
      </c>
      <c r="P61" s="56" t="n">
        <f aca="false">jp_coupon*(Z60-0)+0</f>
        <v>16.6819633452975</v>
      </c>
      <c r="Q61" s="56" t="n">
        <f aca="false">H61+J61+K61+L61+N61+O61+P61</f>
        <v>218.445154753238</v>
      </c>
      <c r="R61" s="56" t="n">
        <f aca="false">Q61-G61</f>
        <v>-4.55148343830783</v>
      </c>
      <c r="S61" s="55" t="n">
        <v>0</v>
      </c>
      <c r="T61" s="56" t="n">
        <f aca="false">S61*IF($A61&gt;=1923,C61,1)</f>
        <v>0</v>
      </c>
      <c r="U61" s="55" t="n">
        <v>0</v>
      </c>
      <c r="V61" s="55" t="n">
        <v>0</v>
      </c>
      <c r="W61" s="56" t="n">
        <f aca="false">(X60-0)*jp_foreign_repay+0</f>
        <v>1.71755146176017</v>
      </c>
      <c r="X61" s="56" t="n">
        <f aca="false">X60+T61-W61</f>
        <v>55.5341639302456</v>
      </c>
      <c r="Y61" s="56" t="n">
        <f aca="false">AG61+AF61-AH61</f>
        <v>273.553619537397</v>
      </c>
      <c r="Z61" s="56" t="n">
        <f aca="false">X61+Y61</f>
        <v>329.087783467643</v>
      </c>
      <c r="AA61" s="66" t="n">
        <f aca="false">IF(D61&gt;0,Z61/D61,0)</f>
        <v>0.163808496222851</v>
      </c>
      <c r="AB61" s="66" t="n">
        <f aca="false">IF(G61&gt;0,P61/G61,0)</f>
        <v>0.0748081382777095</v>
      </c>
      <c r="AC61" s="66" t="n">
        <f aca="false">IF(T61+AF61&gt;0,T61/(T61+AF61),0)</f>
        <v>0</v>
      </c>
      <c r="AD61" s="92" t="n">
        <f aca="false">AJ60</f>
        <v>0</v>
      </c>
      <c r="AE61" s="92" t="n">
        <f aca="false">AD61+G61+T61+U61+AP61-Q61-W61-AO61</f>
        <v>2.83393197654765</v>
      </c>
      <c r="AF61" s="92" t="n">
        <f aca="false">MAX(0,-AE61)</f>
        <v>0</v>
      </c>
      <c r="AG61" s="92" t="n">
        <f aca="false">Y60+V61</f>
        <v>276.387551513945</v>
      </c>
      <c r="AH61" s="92" t="n">
        <f aca="false">MIN(MAX(0,AE61),AG61)</f>
        <v>2.83393197654765</v>
      </c>
      <c r="AI61" s="92" t="n">
        <f aca="false">AE61+AF61-AH61</f>
        <v>0</v>
      </c>
      <c r="AJ61" s="92" t="n">
        <f aca="false">AI61</f>
        <v>0</v>
      </c>
      <c r="AK61" s="92" t="n">
        <f aca="false">AK60</f>
        <v>0</v>
      </c>
      <c r="AL61" s="92" t="n">
        <f aca="false">AJ61+AK61+AN61-Z61</f>
        <v>-329.087783467643</v>
      </c>
      <c r="AM61" s="92" t="n">
        <f aca="false">AJ61-(AD61+G61+T61+U61+AF61+AP61-Q61-W61-AH61-AO61)</f>
        <v>0</v>
      </c>
      <c r="AN61" s="92" t="n">
        <f aca="false">0</f>
        <v>0</v>
      </c>
      <c r="AO61" s="92" t="n">
        <f aca="false">0</f>
        <v>0</v>
      </c>
      <c r="AP61" s="92" t="n">
        <f aca="false">0</f>
        <v>0</v>
      </c>
    </row>
    <row r="62" customFormat="false" ht="14.25" hidden="false" customHeight="true" outlineLevel="0" collapsed="false">
      <c r="A62" s="61" t="n">
        <v>1902</v>
      </c>
      <c r="B62" s="47" t="n">
        <v>1340</v>
      </c>
      <c r="C62" s="91" t="n">
        <f aca="false">Partners!H62</f>
        <v>1.61033556867702</v>
      </c>
      <c r="D62" s="49" t="n">
        <f aca="false">Partners!I62</f>
        <v>2157.84966202721</v>
      </c>
      <c r="E62" s="62" t="n">
        <v>0.112</v>
      </c>
      <c r="F62" s="62" t="n">
        <v>0.085</v>
      </c>
      <c r="G62" s="56" t="n">
        <f aca="false">D62*E62</f>
        <v>241.679162147047</v>
      </c>
      <c r="H62" s="56" t="n">
        <f aca="false">D62*F62</f>
        <v>183.417221272313</v>
      </c>
      <c r="I62" s="55" t="n">
        <v>32</v>
      </c>
      <c r="J62" s="56" t="n">
        <f aca="false">IF($A62&gt;=1927,(1-pac_quota)*Navy!X62,I62)</f>
        <v>32</v>
      </c>
      <c r="K62" s="55" t="n">
        <v>0</v>
      </c>
      <c r="L62" s="56" t="n">
        <f aca="false">IF($A62&gt;=1923,siberia_front*(1-pac_quota),0)</f>
        <v>0</v>
      </c>
      <c r="M62" s="55" t="n">
        <v>0</v>
      </c>
      <c r="N62" s="56" t="n">
        <f aca="false">M62*C62</f>
        <v>0</v>
      </c>
      <c r="O62" s="56" t="n">
        <f aca="false">IF($A62&gt;=1927,10*(1-pac_quota),0)</f>
        <v>0</v>
      </c>
      <c r="P62" s="56" t="n">
        <f aca="false">jp_coupon*(Z61-0)+0</f>
        <v>16.4543891733821</v>
      </c>
      <c r="Q62" s="56" t="n">
        <f aca="false">H62+J62+K62+L62+N62+O62+P62</f>
        <v>231.871610445695</v>
      </c>
      <c r="R62" s="56" t="n">
        <f aca="false">Q62-G62</f>
        <v>-9.80755170135242</v>
      </c>
      <c r="S62" s="55" t="n">
        <v>0</v>
      </c>
      <c r="T62" s="56" t="n">
        <f aca="false">S62*IF($A62&gt;=1923,C62,1)</f>
        <v>0</v>
      </c>
      <c r="U62" s="55" t="n">
        <v>0</v>
      </c>
      <c r="V62" s="55" t="n">
        <v>0</v>
      </c>
      <c r="W62" s="56" t="n">
        <f aca="false">(X61-0)*jp_foreign_repay+0</f>
        <v>1.66602491790737</v>
      </c>
      <c r="X62" s="56" t="n">
        <f aca="false">X61+T62-W62</f>
        <v>53.8681390123382</v>
      </c>
      <c r="Y62" s="56" t="n">
        <f aca="false">AG62+AF62-AH62</f>
        <v>265.412092753952</v>
      </c>
      <c r="Z62" s="56" t="n">
        <f aca="false">X62+Y62</f>
        <v>319.280231766291</v>
      </c>
      <c r="AA62" s="66" t="n">
        <f aca="false">IF(D62&gt;0,Z62/D62,0)</f>
        <v>0.147962222477696</v>
      </c>
      <c r="AB62" s="66" t="n">
        <f aca="false">IF(G62&gt;0,P62/G62,0)</f>
        <v>0.0680836073213902</v>
      </c>
      <c r="AC62" s="66" t="n">
        <f aca="false">IF(T62+AF62&gt;0,T62/(T62+AF62),0)</f>
        <v>0</v>
      </c>
      <c r="AD62" s="92" t="n">
        <f aca="false">AJ61</f>
        <v>0</v>
      </c>
      <c r="AE62" s="92" t="n">
        <f aca="false">AD62+G62+T62+U62+AP62-Q62-W62-AO62</f>
        <v>8.14152678344506</v>
      </c>
      <c r="AF62" s="92" t="n">
        <f aca="false">MAX(0,-AE62)</f>
        <v>0</v>
      </c>
      <c r="AG62" s="92" t="n">
        <f aca="false">Y61+V62</f>
        <v>273.553619537397</v>
      </c>
      <c r="AH62" s="92" t="n">
        <f aca="false">MIN(MAX(0,AE62),AG62)</f>
        <v>8.14152678344506</v>
      </c>
      <c r="AI62" s="92" t="n">
        <f aca="false">AE62+AF62-AH62</f>
        <v>0</v>
      </c>
      <c r="AJ62" s="92" t="n">
        <f aca="false">AI62</f>
        <v>0</v>
      </c>
      <c r="AK62" s="92" t="n">
        <f aca="false">AK61</f>
        <v>0</v>
      </c>
      <c r="AL62" s="92" t="n">
        <f aca="false">AJ62+AK62+AN62-Z62</f>
        <v>-319.280231766291</v>
      </c>
      <c r="AM62" s="92" t="n">
        <f aca="false">AJ62-(AD62+G62+T62+U62+AF62+AP62-Q62-W62-AH62-AO62)</f>
        <v>0</v>
      </c>
      <c r="AN62" s="92" t="n">
        <f aca="false">0</f>
        <v>0</v>
      </c>
      <c r="AO62" s="92" t="n">
        <f aca="false">0</f>
        <v>0</v>
      </c>
      <c r="AP62" s="92" t="n">
        <f aca="false">0</f>
        <v>0</v>
      </c>
    </row>
    <row r="63" customFormat="false" ht="14.25" hidden="false" customHeight="true" outlineLevel="0" collapsed="false">
      <c r="A63" s="61" t="n">
        <v>1903</v>
      </c>
      <c r="B63" s="47" t="n">
        <v>1410</v>
      </c>
      <c r="C63" s="91" t="n">
        <f aca="false">Partners!H63</f>
        <v>1.63947183427414</v>
      </c>
      <c r="D63" s="49" t="n">
        <f aca="false">Partners!I63</f>
        <v>2311.65528632654</v>
      </c>
      <c r="E63" s="62" t="n">
        <v>0.113</v>
      </c>
      <c r="F63" s="62" t="n">
        <v>0.085</v>
      </c>
      <c r="G63" s="56" t="n">
        <f aca="false">D63*E63</f>
        <v>261.217047354899</v>
      </c>
      <c r="H63" s="56" t="n">
        <f aca="false">D63*F63</f>
        <v>196.490699337756</v>
      </c>
      <c r="I63" s="55" t="n">
        <v>33</v>
      </c>
      <c r="J63" s="56" t="n">
        <f aca="false">IF($A63&gt;=1927,(1-pac_quota)*Navy!X63,I63)</f>
        <v>33</v>
      </c>
      <c r="K63" s="55" t="n">
        <v>0</v>
      </c>
      <c r="L63" s="56" t="n">
        <f aca="false">IF($A63&gt;=1923,siberia_front*(1-pac_quota),0)</f>
        <v>0</v>
      </c>
      <c r="M63" s="55" t="n">
        <v>0</v>
      </c>
      <c r="N63" s="56" t="n">
        <f aca="false">M63*C63</f>
        <v>0</v>
      </c>
      <c r="O63" s="56" t="n">
        <f aca="false">IF($A63&gt;=1927,10*(1-pac_quota),0)</f>
        <v>0</v>
      </c>
      <c r="P63" s="56" t="n">
        <f aca="false">jp_coupon*(Z62-0)+0</f>
        <v>15.9640115883145</v>
      </c>
      <c r="Q63" s="56" t="n">
        <f aca="false">H63+J63+K63+L63+N63+O63+P63</f>
        <v>245.45471092607</v>
      </c>
      <c r="R63" s="56" t="n">
        <f aca="false">Q63-G63</f>
        <v>-15.7623364288286</v>
      </c>
      <c r="S63" s="55" t="n">
        <v>0</v>
      </c>
      <c r="T63" s="56" t="n">
        <f aca="false">S63*IF($A63&gt;=1923,C63,1)</f>
        <v>0</v>
      </c>
      <c r="U63" s="55" t="n">
        <v>0</v>
      </c>
      <c r="V63" s="55" t="n">
        <v>0</v>
      </c>
      <c r="W63" s="56" t="n">
        <f aca="false">(X62-0)*jp_foreign_repay+0</f>
        <v>1.61604417037015</v>
      </c>
      <c r="X63" s="56" t="n">
        <f aca="false">X62+T63-W63</f>
        <v>52.2520948419681</v>
      </c>
      <c r="Y63" s="56" t="n">
        <f aca="false">AG63+AF63-AH63</f>
        <v>251.265800495494</v>
      </c>
      <c r="Z63" s="56" t="n">
        <f aca="false">X63+Y63</f>
        <v>303.517895337462</v>
      </c>
      <c r="AA63" s="66" t="n">
        <f aca="false">IF(D63&gt;0,Z63/D63,0)</f>
        <v>0.131298942853968</v>
      </c>
      <c r="AB63" s="66" t="n">
        <f aca="false">IF(G63&gt;0,P63/G63,0)</f>
        <v>0.0611139730349423</v>
      </c>
      <c r="AC63" s="66" t="n">
        <f aca="false">IF(T63+AF63&gt;0,T63/(T63+AF63),0)</f>
        <v>0</v>
      </c>
      <c r="AD63" s="92" t="n">
        <f aca="false">AJ62</f>
        <v>0</v>
      </c>
      <c r="AE63" s="92" t="n">
        <f aca="false">AD63+G63+T63+U63+AP63-Q63-W63-AO63</f>
        <v>14.1462922584584</v>
      </c>
      <c r="AF63" s="92" t="n">
        <f aca="false">MAX(0,-AE63)</f>
        <v>0</v>
      </c>
      <c r="AG63" s="92" t="n">
        <f aca="false">Y62+V63</f>
        <v>265.412092753952</v>
      </c>
      <c r="AH63" s="92" t="n">
        <f aca="false">MIN(MAX(0,AE63),AG63)</f>
        <v>14.1462922584584</v>
      </c>
      <c r="AI63" s="92" t="n">
        <f aca="false">AE63+AF63-AH63</f>
        <v>0</v>
      </c>
      <c r="AJ63" s="92" t="n">
        <f aca="false">AI63</f>
        <v>0</v>
      </c>
      <c r="AK63" s="92" t="n">
        <f aca="false">AK62</f>
        <v>0</v>
      </c>
      <c r="AL63" s="92" t="n">
        <f aca="false">AJ63+AK63+AN63-Z63</f>
        <v>-303.517895337462</v>
      </c>
      <c r="AM63" s="92" t="n">
        <f aca="false">AJ63-(AD63+G63+T63+U63+AF63+AP63-Q63-W63-AH63-AO63)</f>
        <v>0</v>
      </c>
      <c r="AN63" s="92" t="n">
        <f aca="false">0</f>
        <v>0</v>
      </c>
      <c r="AO63" s="92" t="n">
        <f aca="false">0</f>
        <v>0</v>
      </c>
      <c r="AP63" s="92" t="n">
        <f aca="false">0</f>
        <v>0</v>
      </c>
    </row>
    <row r="64" customFormat="false" ht="14.25" hidden="false" customHeight="true" outlineLevel="0" collapsed="false">
      <c r="A64" s="61" t="n">
        <v>1904</v>
      </c>
      <c r="B64" s="47" t="n">
        <v>1480</v>
      </c>
      <c r="C64" s="91" t="n">
        <f aca="false">Partners!H64</f>
        <v>1.66931717299958</v>
      </c>
      <c r="D64" s="49" t="n">
        <f aca="false">Partners!I64</f>
        <v>2470.58941603939</v>
      </c>
      <c r="E64" s="62" t="n">
        <v>0.114</v>
      </c>
      <c r="F64" s="62" t="n">
        <v>0.085</v>
      </c>
      <c r="G64" s="56" t="n">
        <f aca="false">D64*E64</f>
        <v>281.64719342849</v>
      </c>
      <c r="H64" s="56" t="n">
        <f aca="false">D64*F64</f>
        <v>210.000100363348</v>
      </c>
      <c r="I64" s="55" t="n">
        <v>34</v>
      </c>
      <c r="J64" s="56" t="n">
        <f aca="false">IF($A64&gt;=1927,(1-pac_quota)*Navy!X64,I64)</f>
        <v>34</v>
      </c>
      <c r="K64" s="55" t="n">
        <v>400</v>
      </c>
      <c r="L64" s="56" t="n">
        <f aca="false">IF($A64&gt;=1923,siberia_front*(1-pac_quota),0)</f>
        <v>0</v>
      </c>
      <c r="M64" s="55" t="n">
        <v>0</v>
      </c>
      <c r="N64" s="56" t="n">
        <f aca="false">M64*C64</f>
        <v>0</v>
      </c>
      <c r="O64" s="56" t="n">
        <f aca="false">IF($A64&gt;=1927,10*(1-pac_quota),0)</f>
        <v>0</v>
      </c>
      <c r="P64" s="56" t="n">
        <f aca="false">jp_coupon*(Z63-0)+0</f>
        <v>15.1758947668731</v>
      </c>
      <c r="Q64" s="56" t="n">
        <f aca="false">H64+J64+K64+L64+N64+O64+P64</f>
        <v>659.175995130221</v>
      </c>
      <c r="R64" s="56" t="n">
        <f aca="false">Q64-G64</f>
        <v>377.528801701731</v>
      </c>
      <c r="S64" s="55" t="n">
        <v>200</v>
      </c>
      <c r="T64" s="56" t="n">
        <f aca="false">S64*IF($A64&gt;=1923,C64,1)</f>
        <v>200</v>
      </c>
      <c r="U64" s="55" t="n">
        <v>0</v>
      </c>
      <c r="V64" s="55" t="n">
        <v>0</v>
      </c>
      <c r="W64" s="56" t="n">
        <f aca="false">(X63-0)*jp_foreign_repay+0</f>
        <v>1.56756284525904</v>
      </c>
      <c r="X64" s="56" t="n">
        <f aca="false">X63+T64-W64</f>
        <v>250.684531996709</v>
      </c>
      <c r="Y64" s="56" t="n">
        <f aca="false">AG64+AF64-AH64</f>
        <v>430.362165042484</v>
      </c>
      <c r="Z64" s="56" t="n">
        <f aca="false">X64+Y64</f>
        <v>681.046697039193</v>
      </c>
      <c r="AA64" s="66" t="n">
        <f aca="false">IF(D64&gt;0,Z64/D64,0)</f>
        <v>0.275661626580989</v>
      </c>
      <c r="AB64" s="66" t="n">
        <f aca="false">IF(G64&gt;0,P64/G64,0)</f>
        <v>0.0538826415492979</v>
      </c>
      <c r="AC64" s="66" t="n">
        <f aca="false">IF(T64+AF64&gt;0,T64/(T64+AF64),0)</f>
        <v>0.527570345442365</v>
      </c>
      <c r="AD64" s="92" t="n">
        <f aca="false">AJ63</f>
        <v>0</v>
      </c>
      <c r="AE64" s="92" t="n">
        <f aca="false">AD64+G64+T64+U64+AP64-Q64-W64-AO64</f>
        <v>-179.09636454699</v>
      </c>
      <c r="AF64" s="92" t="n">
        <f aca="false">MAX(0,-AE64)</f>
        <v>179.09636454699</v>
      </c>
      <c r="AG64" s="92" t="n">
        <f aca="false">Y63+V64</f>
        <v>251.265800495494</v>
      </c>
      <c r="AH64" s="92" t="n">
        <f aca="false">MIN(MAX(0,AE64),AG64)</f>
        <v>0</v>
      </c>
      <c r="AI64" s="92" t="n">
        <f aca="false">AE64+AF64-AH64</f>
        <v>0</v>
      </c>
      <c r="AJ64" s="92" t="n">
        <f aca="false">AI64</f>
        <v>0</v>
      </c>
      <c r="AK64" s="92" t="n">
        <f aca="false">AK63</f>
        <v>0</v>
      </c>
      <c r="AL64" s="92" t="n">
        <f aca="false">AJ64+AK64+AN64-Z64</f>
        <v>-681.046697039193</v>
      </c>
      <c r="AM64" s="92" t="n">
        <f aca="false">AJ64-(AD64+G64+T64+U64+AF64+AP64-Q64-W64-AH64-AO64)</f>
        <v>-4.70734562441066E-014</v>
      </c>
      <c r="AN64" s="92" t="n">
        <f aca="false">0</f>
        <v>0</v>
      </c>
      <c r="AO64" s="92" t="n">
        <f aca="false">0</f>
        <v>0</v>
      </c>
      <c r="AP64" s="92" t="n">
        <f aca="false">0</f>
        <v>0</v>
      </c>
    </row>
    <row r="65" customFormat="false" ht="14.25" hidden="false" customHeight="true" outlineLevel="0" collapsed="false">
      <c r="A65" s="61" t="n">
        <v>1905</v>
      </c>
      <c r="B65" s="47" t="n">
        <v>1550</v>
      </c>
      <c r="C65" s="91" t="n">
        <f aca="false">Partners!H65</f>
        <v>1.69990488277279</v>
      </c>
      <c r="D65" s="49" t="n">
        <f aca="false">Partners!I65</f>
        <v>2634.85256829783</v>
      </c>
      <c r="E65" s="62" t="n">
        <v>0.115</v>
      </c>
      <c r="F65" s="62" t="n">
        <v>0.085</v>
      </c>
      <c r="G65" s="56" t="n">
        <f aca="false">D65*E65</f>
        <v>303.008045354251</v>
      </c>
      <c r="H65" s="56" t="n">
        <f aca="false">D65*F65</f>
        <v>223.962468305316</v>
      </c>
      <c r="I65" s="55" t="n">
        <v>35</v>
      </c>
      <c r="J65" s="56" t="n">
        <f aca="false">IF($A65&gt;=1927,(1-pac_quota)*Navy!X65,I65)</f>
        <v>35</v>
      </c>
      <c r="K65" s="55" t="n">
        <v>450</v>
      </c>
      <c r="L65" s="56" t="n">
        <f aca="false">IF($A65&gt;=1923,siberia_front*(1-pac_quota),0)</f>
        <v>0</v>
      </c>
      <c r="M65" s="55" t="n">
        <v>0</v>
      </c>
      <c r="N65" s="56" t="n">
        <f aca="false">M65*C65</f>
        <v>0</v>
      </c>
      <c r="O65" s="56" t="n">
        <f aca="false">IF($A65&gt;=1927,10*(1-pac_quota),0)</f>
        <v>0</v>
      </c>
      <c r="P65" s="56" t="n">
        <f aca="false">jp_coupon*(Z64-0)+0</f>
        <v>34.0523348519596</v>
      </c>
      <c r="Q65" s="56" t="n">
        <f aca="false">H65+J65+K65+L65+N65+O65+P65</f>
        <v>743.014803157275</v>
      </c>
      <c r="R65" s="56" t="n">
        <f aca="false">Q65-G65</f>
        <v>440.006757803025</v>
      </c>
      <c r="S65" s="55" t="n">
        <v>200</v>
      </c>
      <c r="T65" s="56" t="n">
        <f aca="false">S65*IF($A65&gt;=1923,C65,1)</f>
        <v>200</v>
      </c>
      <c r="U65" s="55" t="n">
        <v>0</v>
      </c>
      <c r="V65" s="55" t="n">
        <v>0</v>
      </c>
      <c r="W65" s="56" t="n">
        <f aca="false">(X64-0)*jp_foreign_repay+0</f>
        <v>7.52053595990127</v>
      </c>
      <c r="X65" s="56" t="n">
        <f aca="false">X64+T65-W65</f>
        <v>443.163996036808</v>
      </c>
      <c r="Y65" s="56" t="n">
        <f aca="false">AG65+AF65-AH65</f>
        <v>677.88945880541</v>
      </c>
      <c r="Z65" s="56" t="n">
        <f aca="false">X65+Y65</f>
        <v>1121.05345484222</v>
      </c>
      <c r="AA65" s="66" t="n">
        <f aca="false">IF(D65&gt;0,Z65/D65,0)</f>
        <v>0.425471037101116</v>
      </c>
      <c r="AB65" s="66" t="n">
        <f aca="false">IF(G65&gt;0,P65/G65,0)</f>
        <v>0.112380959430132</v>
      </c>
      <c r="AC65" s="66" t="n">
        <f aca="false">IF(T65+AF65&gt;0,T65/(T65+AF65),0)</f>
        <v>0.446900117126596</v>
      </c>
      <c r="AD65" s="92" t="n">
        <f aca="false">AJ64</f>
        <v>0</v>
      </c>
      <c r="AE65" s="92" t="n">
        <f aca="false">AD65+G65+T65+U65+AP65-Q65-W65-AO65</f>
        <v>-247.527293762926</v>
      </c>
      <c r="AF65" s="92" t="n">
        <f aca="false">MAX(0,-AE65)</f>
        <v>247.527293762926</v>
      </c>
      <c r="AG65" s="92" t="n">
        <f aca="false">Y64+V65</f>
        <v>430.362165042484</v>
      </c>
      <c r="AH65" s="92" t="n">
        <f aca="false">MIN(MAX(0,AE65),AG65)</f>
        <v>0</v>
      </c>
      <c r="AI65" s="92" t="n">
        <f aca="false">AE65+AF65-AH65</f>
        <v>0</v>
      </c>
      <c r="AJ65" s="92" t="n">
        <f aca="false">AI65</f>
        <v>0</v>
      </c>
      <c r="AK65" s="92" t="n">
        <f aca="false">AK64</f>
        <v>0</v>
      </c>
      <c r="AL65" s="92" t="n">
        <f aca="false">AJ65+AK65+AN65-Z65</f>
        <v>-1121.05345484222</v>
      </c>
      <c r="AM65" s="92" t="n">
        <f aca="false">AJ65-(AD65+G65+T65+U65+AF65+AP65-Q65-W65-AH65-AO65)</f>
        <v>0</v>
      </c>
      <c r="AN65" s="92" t="n">
        <f aca="false">0</f>
        <v>0</v>
      </c>
      <c r="AO65" s="92" t="n">
        <f aca="false">0</f>
        <v>0</v>
      </c>
      <c r="AP65" s="92" t="n">
        <f aca="false">0</f>
        <v>0</v>
      </c>
    </row>
    <row r="66" customFormat="false" ht="14.25" hidden="false" customHeight="true" outlineLevel="0" collapsed="false">
      <c r="A66" s="61" t="n">
        <v>1906</v>
      </c>
      <c r="B66" s="47" t="n">
        <v>1632</v>
      </c>
      <c r="C66" s="91" t="n">
        <f aca="false">Partners!H66</f>
        <v>1.73107815139212</v>
      </c>
      <c r="D66" s="49" t="n">
        <f aca="false">Partners!I66</f>
        <v>2825.11954307194</v>
      </c>
      <c r="E66" s="62" t="n">
        <v>0.116</v>
      </c>
      <c r="F66" s="62" t="n">
        <v>0.085</v>
      </c>
      <c r="G66" s="56" t="n">
        <f aca="false">D66*E66</f>
        <v>327.713866996345</v>
      </c>
      <c r="H66" s="56" t="n">
        <f aca="false">D66*F66</f>
        <v>240.135161161115</v>
      </c>
      <c r="I66" s="55" t="n">
        <v>37</v>
      </c>
      <c r="J66" s="56" t="n">
        <f aca="false">IF($A66&gt;=1927,(1-pac_quota)*Navy!X66,I66)</f>
        <v>37</v>
      </c>
      <c r="K66" s="55" t="n">
        <v>0</v>
      </c>
      <c r="L66" s="56" t="n">
        <f aca="false">IF($A66&gt;=1923,siberia_front*(1-pac_quota),0)</f>
        <v>0</v>
      </c>
      <c r="M66" s="55" t="n">
        <v>0</v>
      </c>
      <c r="N66" s="56" t="n">
        <f aca="false">M66*C66</f>
        <v>0</v>
      </c>
      <c r="O66" s="56" t="n">
        <f aca="false">IF($A66&gt;=1927,10*(1-pac_quota),0)</f>
        <v>0</v>
      </c>
      <c r="P66" s="56" t="n">
        <f aca="false">jp_coupon*(Z65-0)+0</f>
        <v>56.0526727421109</v>
      </c>
      <c r="Q66" s="56" t="n">
        <f aca="false">H66+J66+K66+L66+N66+O66+P66</f>
        <v>333.187833903226</v>
      </c>
      <c r="R66" s="56" t="n">
        <f aca="false">Q66-G66</f>
        <v>5.47396690688083</v>
      </c>
      <c r="S66" s="55" t="n">
        <v>0</v>
      </c>
      <c r="T66" s="56" t="n">
        <f aca="false">S66*IF($A66&gt;=1923,C66,1)</f>
        <v>0</v>
      </c>
      <c r="U66" s="55" t="n">
        <v>60</v>
      </c>
      <c r="V66" s="55" t="n">
        <v>0</v>
      </c>
      <c r="W66" s="56" t="n">
        <f aca="false">(X65-0)*jp_foreign_repay+0</f>
        <v>13.2949198811042</v>
      </c>
      <c r="X66" s="56" t="n">
        <f aca="false">X65+T66-W66</f>
        <v>429.869076155704</v>
      </c>
      <c r="Y66" s="56" t="n">
        <f aca="false">AG66+AF66-AH66</f>
        <v>636.658345593395</v>
      </c>
      <c r="Z66" s="56" t="n">
        <f aca="false">X66+Y66</f>
        <v>1066.5274217491</v>
      </c>
      <c r="AA66" s="66" t="n">
        <f aca="false">IF(D66&gt;0,Z66/D66,0)</f>
        <v>0.377515855696992</v>
      </c>
      <c r="AB66" s="66" t="n">
        <f aca="false">IF(G66&gt;0,P66/G66,0)</f>
        <v>0.171041504150742</v>
      </c>
      <c r="AC66" s="66" t="n">
        <f aca="false">IF(T66+AF66&gt;0,T66/(T66+AF66),0)</f>
        <v>0</v>
      </c>
      <c r="AD66" s="92" t="n">
        <f aca="false">AJ65</f>
        <v>0</v>
      </c>
      <c r="AE66" s="92" t="n">
        <f aca="false">AD66+G66+T66+U66+AP66-Q66-W66-AO66</f>
        <v>41.2311132120149</v>
      </c>
      <c r="AF66" s="92" t="n">
        <f aca="false">MAX(0,-AE66)</f>
        <v>0</v>
      </c>
      <c r="AG66" s="92" t="n">
        <f aca="false">Y65+V66</f>
        <v>677.88945880541</v>
      </c>
      <c r="AH66" s="92" t="n">
        <f aca="false">MIN(MAX(0,AE66),AG66)</f>
        <v>41.2311132120149</v>
      </c>
      <c r="AI66" s="92" t="n">
        <f aca="false">AE66+AF66-AH66</f>
        <v>0</v>
      </c>
      <c r="AJ66" s="92" t="n">
        <f aca="false">AI66</f>
        <v>0</v>
      </c>
      <c r="AK66" s="92" t="n">
        <f aca="false">AK65</f>
        <v>0</v>
      </c>
      <c r="AL66" s="92" t="n">
        <f aca="false">AJ66+AK66+AN66-Z66</f>
        <v>-1066.5274217491</v>
      </c>
      <c r="AM66" s="92" t="n">
        <f aca="false">AJ66-(AD66+G66+T66+U66+AF66+AP66-Q66-W66-AH66-AO66)</f>
        <v>0</v>
      </c>
      <c r="AN66" s="92" t="n">
        <f aca="false">0</f>
        <v>0</v>
      </c>
      <c r="AO66" s="92" t="n">
        <f aca="false">0</f>
        <v>0</v>
      </c>
      <c r="AP66" s="92" t="n">
        <f aca="false">0</f>
        <v>0</v>
      </c>
    </row>
    <row r="67" customFormat="false" ht="14.25" hidden="false" customHeight="true" outlineLevel="0" collapsed="false">
      <c r="A67" s="61" t="n">
        <v>1907</v>
      </c>
      <c r="B67" s="47" t="n">
        <v>1714</v>
      </c>
      <c r="C67" s="91" t="n">
        <f aca="false">Partners!H67</f>
        <v>1.76291087400619</v>
      </c>
      <c r="D67" s="49" t="n">
        <f aca="false">Partners!I67</f>
        <v>3021.62923804661</v>
      </c>
      <c r="E67" s="62" t="n">
        <v>0.117</v>
      </c>
      <c r="F67" s="62" t="n">
        <v>0.085</v>
      </c>
      <c r="G67" s="56" t="n">
        <f aca="false">D67*E67</f>
        <v>353.530620851453</v>
      </c>
      <c r="H67" s="56" t="n">
        <f aca="false">D67*F67</f>
        <v>256.838485233962</v>
      </c>
      <c r="I67" s="55" t="n">
        <v>39</v>
      </c>
      <c r="J67" s="56" t="n">
        <f aca="false">IF($A67&gt;=1927,(1-pac_quota)*Navy!X67,I67)</f>
        <v>39</v>
      </c>
      <c r="K67" s="55" t="n">
        <v>0</v>
      </c>
      <c r="L67" s="56" t="n">
        <f aca="false">IF($A67&gt;=1923,siberia_front*(1-pac_quota),0)</f>
        <v>0</v>
      </c>
      <c r="M67" s="55" t="n">
        <v>0</v>
      </c>
      <c r="N67" s="56" t="n">
        <f aca="false">M67*C67</f>
        <v>0</v>
      </c>
      <c r="O67" s="56" t="n">
        <f aca="false">IF($A67&gt;=1927,10*(1-pac_quota),0)</f>
        <v>0</v>
      </c>
      <c r="P67" s="56" t="n">
        <f aca="false">jp_coupon*(Z66-0)+0</f>
        <v>53.3263710874549</v>
      </c>
      <c r="Q67" s="56" t="n">
        <f aca="false">H67+J67+K67+L67+N67+O67+P67</f>
        <v>349.164856321417</v>
      </c>
      <c r="R67" s="56" t="n">
        <f aca="false">Q67-G67</f>
        <v>-4.36576453003647</v>
      </c>
      <c r="S67" s="55" t="n">
        <v>0</v>
      </c>
      <c r="T67" s="56" t="n">
        <f aca="false">S67*IF($A67&gt;=1923,C67,1)</f>
        <v>0</v>
      </c>
      <c r="U67" s="55" t="n">
        <v>60</v>
      </c>
      <c r="V67" s="55" t="n">
        <v>0</v>
      </c>
      <c r="W67" s="56" t="n">
        <f aca="false">(X66-0)*jp_foreign_repay+0</f>
        <v>12.8960722846711</v>
      </c>
      <c r="X67" s="56" t="n">
        <f aca="false">X66+T67-W67</f>
        <v>416.973003871032</v>
      </c>
      <c r="Y67" s="56" t="n">
        <f aca="false">AG67+AF67-AH67</f>
        <v>585.188653348029</v>
      </c>
      <c r="Z67" s="56" t="n">
        <f aca="false">X67+Y67</f>
        <v>1002.16165721906</v>
      </c>
      <c r="AA67" s="66" t="n">
        <f aca="false">IF(D67&gt;0,Z67/D67,0)</f>
        <v>0.331662682039352</v>
      </c>
      <c r="AB67" s="66" t="n">
        <f aca="false">IF(G67&gt;0,P67/G67,0)</f>
        <v>0.150839468895289</v>
      </c>
      <c r="AC67" s="66" t="n">
        <f aca="false">IF(T67+AF67&gt;0,T67/(T67+AF67),0)</f>
        <v>0</v>
      </c>
      <c r="AD67" s="92" t="n">
        <f aca="false">AJ66</f>
        <v>0</v>
      </c>
      <c r="AE67" s="92" t="n">
        <f aca="false">AD67+G67+T67+U67+AP67-Q67-W67-AO67</f>
        <v>51.4696922453654</v>
      </c>
      <c r="AF67" s="92" t="n">
        <f aca="false">MAX(0,-AE67)</f>
        <v>0</v>
      </c>
      <c r="AG67" s="92" t="n">
        <f aca="false">Y66+V67</f>
        <v>636.658345593395</v>
      </c>
      <c r="AH67" s="92" t="n">
        <f aca="false">MIN(MAX(0,AE67),AG67)</f>
        <v>51.4696922453654</v>
      </c>
      <c r="AI67" s="92" t="n">
        <f aca="false">AE67+AF67-AH67</f>
        <v>0</v>
      </c>
      <c r="AJ67" s="92" t="n">
        <f aca="false">AI67</f>
        <v>0</v>
      </c>
      <c r="AK67" s="92" t="n">
        <f aca="false">AK66</f>
        <v>0</v>
      </c>
      <c r="AL67" s="92" t="n">
        <f aca="false">AJ67+AK67+AN67-Z67</f>
        <v>-1002.16165721906</v>
      </c>
      <c r="AM67" s="92" t="n">
        <f aca="false">AJ67-(AD67+G67+T67+U67+AF67+AP67-Q67-W67-AH67-AO67)</f>
        <v>0</v>
      </c>
      <c r="AN67" s="92" t="n">
        <f aca="false">0</f>
        <v>0</v>
      </c>
      <c r="AO67" s="92" t="n">
        <f aca="false">0</f>
        <v>0</v>
      </c>
      <c r="AP67" s="92" t="n">
        <f aca="false">0</f>
        <v>0</v>
      </c>
    </row>
    <row r="68" customFormat="false" ht="14.25" hidden="false" customHeight="true" outlineLevel="0" collapsed="false">
      <c r="A68" s="61" t="n">
        <v>1908</v>
      </c>
      <c r="B68" s="47" t="n">
        <v>1796</v>
      </c>
      <c r="C68" s="91" t="n">
        <f aca="false">Partners!H68</f>
        <v>1.7952895467579</v>
      </c>
      <c r="D68" s="49" t="n">
        <f aca="false">Partners!I68</f>
        <v>3224.34002597718</v>
      </c>
      <c r="E68" s="62" t="n">
        <v>0.118</v>
      </c>
      <c r="F68" s="62" t="n">
        <v>0.085</v>
      </c>
      <c r="G68" s="56" t="n">
        <f aca="false">D68*E68</f>
        <v>380.472123065308</v>
      </c>
      <c r="H68" s="56" t="n">
        <f aca="false">D68*F68</f>
        <v>274.068902208061</v>
      </c>
      <c r="I68" s="55" t="n">
        <v>41</v>
      </c>
      <c r="J68" s="56" t="n">
        <f aca="false">IF($A68&gt;=1927,(1-pac_quota)*Navy!X68,I68)</f>
        <v>41</v>
      </c>
      <c r="K68" s="55" t="n">
        <v>0</v>
      </c>
      <c r="L68" s="56" t="n">
        <f aca="false">IF($A68&gt;=1923,siberia_front*(1-pac_quota),0)</f>
        <v>0</v>
      </c>
      <c r="M68" s="55" t="n">
        <v>0</v>
      </c>
      <c r="N68" s="56" t="n">
        <f aca="false">M68*C68</f>
        <v>0</v>
      </c>
      <c r="O68" s="56" t="n">
        <f aca="false">IF($A68&gt;=1927,10*(1-pac_quota),0)</f>
        <v>0</v>
      </c>
      <c r="P68" s="56" t="n">
        <f aca="false">jp_coupon*(Z67-0)+0</f>
        <v>50.1080828609531</v>
      </c>
      <c r="Q68" s="56" t="n">
        <f aca="false">H68+J68+K68+L68+N68+O68+P68</f>
        <v>365.176985069014</v>
      </c>
      <c r="R68" s="56" t="n">
        <f aca="false">Q68-G68</f>
        <v>-15.2951379962939</v>
      </c>
      <c r="S68" s="55" t="n">
        <v>0</v>
      </c>
      <c r="T68" s="56" t="n">
        <f aca="false">S68*IF($A68&gt;=1923,C68,1)</f>
        <v>0</v>
      </c>
      <c r="U68" s="55" t="n">
        <v>60</v>
      </c>
      <c r="V68" s="55" t="n">
        <v>0</v>
      </c>
      <c r="W68" s="56" t="n">
        <f aca="false">(X67-0)*jp_foreign_repay+0</f>
        <v>12.509190116131</v>
      </c>
      <c r="X68" s="56" t="n">
        <f aca="false">X67+T68-W68</f>
        <v>404.463813754902</v>
      </c>
      <c r="Y68" s="56" t="n">
        <f aca="false">AG68+AF68-AH68</f>
        <v>522.402705467867</v>
      </c>
      <c r="Z68" s="56" t="n">
        <f aca="false">X68+Y68</f>
        <v>926.866519222768</v>
      </c>
      <c r="AA68" s="66" t="n">
        <f aca="false">IF(D68&gt;0,Z68/D68,0)</f>
        <v>0.287459297640877</v>
      </c>
      <c r="AB68" s="66" t="n">
        <f aca="false">IF(G68&gt;0,P68/G68,0)</f>
        <v>0.131699748347534</v>
      </c>
      <c r="AC68" s="66" t="n">
        <f aca="false">IF(T68+AF68&gt;0,T68/(T68+AF68),0)</f>
        <v>0</v>
      </c>
      <c r="AD68" s="92" t="n">
        <f aca="false">AJ67</f>
        <v>0</v>
      </c>
      <c r="AE68" s="92" t="n">
        <f aca="false">AD68+G68+T68+U68+AP68-Q68-W68-AO68</f>
        <v>62.7859478801629</v>
      </c>
      <c r="AF68" s="92" t="n">
        <f aca="false">MAX(0,-AE68)</f>
        <v>0</v>
      </c>
      <c r="AG68" s="92" t="n">
        <f aca="false">Y67+V68</f>
        <v>585.188653348029</v>
      </c>
      <c r="AH68" s="92" t="n">
        <f aca="false">MIN(MAX(0,AE68),AG68)</f>
        <v>62.7859478801629</v>
      </c>
      <c r="AI68" s="92" t="n">
        <f aca="false">AE68+AF68-AH68</f>
        <v>0</v>
      </c>
      <c r="AJ68" s="92" t="n">
        <f aca="false">AI68</f>
        <v>0</v>
      </c>
      <c r="AK68" s="92" t="n">
        <f aca="false">AK67</f>
        <v>0</v>
      </c>
      <c r="AL68" s="92" t="n">
        <f aca="false">AJ68+AK68+AN68-Z68</f>
        <v>-926.866519222768</v>
      </c>
      <c r="AM68" s="92" t="n">
        <f aca="false">AJ68-(AD68+G68+T68+U68+AF68+AP68-Q68-W68-AH68-AO68)</f>
        <v>0</v>
      </c>
      <c r="AN68" s="92" t="n">
        <f aca="false">0</f>
        <v>0</v>
      </c>
      <c r="AO68" s="92" t="n">
        <f aca="false">0</f>
        <v>0</v>
      </c>
      <c r="AP68" s="92" t="n">
        <f aca="false">0</f>
        <v>0</v>
      </c>
    </row>
    <row r="69" customFormat="false" ht="14.25" hidden="false" customHeight="true" outlineLevel="0" collapsed="false">
      <c r="A69" s="61" t="n">
        <v>1909</v>
      </c>
      <c r="B69" s="47" t="n">
        <v>1878</v>
      </c>
      <c r="C69" s="91" t="n">
        <f aca="false">Partners!H69</f>
        <v>1.82790159102377</v>
      </c>
      <c r="D69" s="49" t="n">
        <f aca="false">Partners!I69</f>
        <v>3432.79918794264</v>
      </c>
      <c r="E69" s="62" t="n">
        <v>0.119</v>
      </c>
      <c r="F69" s="62" t="n">
        <v>0.085</v>
      </c>
      <c r="G69" s="56" t="n">
        <f aca="false">D69*E69</f>
        <v>408.503103365175</v>
      </c>
      <c r="H69" s="56" t="n">
        <f aca="false">D69*F69</f>
        <v>291.787930975125</v>
      </c>
      <c r="I69" s="55" t="n">
        <v>43</v>
      </c>
      <c r="J69" s="56" t="n">
        <f aca="false">IF($A69&gt;=1927,(1-pac_quota)*Navy!X69,I69)</f>
        <v>43</v>
      </c>
      <c r="K69" s="55" t="n">
        <v>0</v>
      </c>
      <c r="L69" s="56" t="n">
        <f aca="false">IF($A69&gt;=1923,siberia_front*(1-pac_quota),0)</f>
        <v>0</v>
      </c>
      <c r="M69" s="55" t="n">
        <v>0</v>
      </c>
      <c r="N69" s="56" t="n">
        <f aca="false">M69*C69</f>
        <v>0</v>
      </c>
      <c r="O69" s="56" t="n">
        <f aca="false">IF($A69&gt;=1927,10*(1-pac_quota),0)</f>
        <v>0</v>
      </c>
      <c r="P69" s="56" t="n">
        <f aca="false">jp_coupon*(Z68-0)+0</f>
        <v>46.3433259611384</v>
      </c>
      <c r="Q69" s="56" t="n">
        <f aca="false">H69+J69+K69+L69+N69+O69+P69</f>
        <v>381.131256936263</v>
      </c>
      <c r="R69" s="56" t="n">
        <f aca="false">Q69-G69</f>
        <v>-27.3718464289115</v>
      </c>
      <c r="S69" s="55" t="n">
        <v>0</v>
      </c>
      <c r="T69" s="56" t="n">
        <f aca="false">S69*IF($A69&gt;=1923,C69,1)</f>
        <v>0</v>
      </c>
      <c r="U69" s="55" t="n">
        <v>60</v>
      </c>
      <c r="V69" s="55" t="n">
        <v>0</v>
      </c>
      <c r="W69" s="56" t="n">
        <f aca="false">(X68-0)*jp_foreign_repay+0</f>
        <v>12.133914412647</v>
      </c>
      <c r="X69" s="56" t="n">
        <f aca="false">X68+T69-W69</f>
        <v>392.329899342254</v>
      </c>
      <c r="Y69" s="56" t="n">
        <f aca="false">AG69+AF69-AH69</f>
        <v>447.164773451602</v>
      </c>
      <c r="Z69" s="56" t="n">
        <f aca="false">X69+Y69</f>
        <v>839.494672793857</v>
      </c>
      <c r="AA69" s="66" t="n">
        <f aca="false">IF(D69&gt;0,Z69/D69,0)</f>
        <v>0.244551057848795</v>
      </c>
      <c r="AB69" s="66" t="n">
        <f aca="false">IF(G69&gt;0,P69/G69,0)</f>
        <v>0.113446692520499</v>
      </c>
      <c r="AC69" s="66" t="n">
        <f aca="false">IF(T69+AF69&gt;0,T69/(T69+AF69),0)</f>
        <v>0</v>
      </c>
      <c r="AD69" s="92" t="n">
        <f aca="false">AJ68</f>
        <v>0</v>
      </c>
      <c r="AE69" s="92" t="n">
        <f aca="false">AD69+G69+T69+U69+AP69-Q69-W69-AO69</f>
        <v>75.2379320162644</v>
      </c>
      <c r="AF69" s="92" t="n">
        <f aca="false">MAX(0,-AE69)</f>
        <v>0</v>
      </c>
      <c r="AG69" s="92" t="n">
        <f aca="false">Y68+V69</f>
        <v>522.402705467867</v>
      </c>
      <c r="AH69" s="92" t="n">
        <f aca="false">MIN(MAX(0,AE69),AG69)</f>
        <v>75.2379320162644</v>
      </c>
      <c r="AI69" s="92" t="n">
        <f aca="false">AE69+AF69-AH69</f>
        <v>0</v>
      </c>
      <c r="AJ69" s="92" t="n">
        <f aca="false">AI69</f>
        <v>0</v>
      </c>
      <c r="AK69" s="92" t="n">
        <f aca="false">AK68</f>
        <v>0</v>
      </c>
      <c r="AL69" s="92" t="n">
        <f aca="false">AJ69+AK69+AN69-Z69</f>
        <v>-839.494672793857</v>
      </c>
      <c r="AM69" s="92" t="n">
        <f aca="false">AJ69-(AD69+G69+T69+U69+AF69+AP69-Q69-W69-AH69-AO69)</f>
        <v>0</v>
      </c>
      <c r="AN69" s="92" t="n">
        <f aca="false">0</f>
        <v>0</v>
      </c>
      <c r="AO69" s="92" t="n">
        <f aca="false">0</f>
        <v>0</v>
      </c>
      <c r="AP69" s="92" t="n">
        <f aca="false">0</f>
        <v>0</v>
      </c>
    </row>
    <row r="70" customFormat="false" ht="14.25" hidden="false" customHeight="true" outlineLevel="0" collapsed="false">
      <c r="A70" s="61" t="n">
        <v>1910</v>
      </c>
      <c r="B70" s="47" t="n">
        <v>1960</v>
      </c>
      <c r="C70" s="91" t="n">
        <f aca="false">Partners!H70</f>
        <v>1.86200974159051</v>
      </c>
      <c r="D70" s="49" t="n">
        <f aca="false">Partners!I70</f>
        <v>3649.53909351739</v>
      </c>
      <c r="E70" s="62" t="n">
        <v>0.12</v>
      </c>
      <c r="F70" s="62" t="n">
        <v>0.085</v>
      </c>
      <c r="G70" s="56" t="n">
        <f aca="false">D70*E70</f>
        <v>437.944691222087</v>
      </c>
      <c r="H70" s="56" t="n">
        <f aca="false">D70*F70</f>
        <v>310.210822948978</v>
      </c>
      <c r="I70" s="55" t="n">
        <v>45</v>
      </c>
      <c r="J70" s="56" t="n">
        <f aca="false">IF($A70&gt;=1927,(1-pac_quota)*Navy!X70,I70)</f>
        <v>45</v>
      </c>
      <c r="K70" s="55" t="n">
        <v>0</v>
      </c>
      <c r="L70" s="56" t="n">
        <f aca="false">IF($A70&gt;=1923,siberia_front*(1-pac_quota),0)</f>
        <v>0</v>
      </c>
      <c r="M70" s="55" t="n">
        <v>0</v>
      </c>
      <c r="N70" s="56" t="n">
        <f aca="false">M70*C70</f>
        <v>0</v>
      </c>
      <c r="O70" s="56" t="n">
        <f aca="false">IF($A70&gt;=1927,10*(1-pac_quota),0)</f>
        <v>0</v>
      </c>
      <c r="P70" s="56" t="n">
        <f aca="false">jp_coupon*(Z69-0)+0</f>
        <v>41.9747336396928</v>
      </c>
      <c r="Q70" s="56" t="n">
        <f aca="false">H70+J70+K70+L70+N70+O70+P70</f>
        <v>397.185556588671</v>
      </c>
      <c r="R70" s="56" t="n">
        <f aca="false">Q70-G70</f>
        <v>-40.7591346334158</v>
      </c>
      <c r="S70" s="55" t="n">
        <v>0</v>
      </c>
      <c r="T70" s="56" t="n">
        <f aca="false">S70*IF($A70&gt;=1923,C70,1)</f>
        <v>0</v>
      </c>
      <c r="U70" s="55" t="n">
        <v>60</v>
      </c>
      <c r="V70" s="55" t="n">
        <v>0</v>
      </c>
      <c r="W70" s="56" t="n">
        <f aca="false">(X69-0)*jp_foreign_repay+0</f>
        <v>11.7698969802676</v>
      </c>
      <c r="X70" s="56" t="n">
        <f aca="false">X69+T70-W70</f>
        <v>380.560002361987</v>
      </c>
      <c r="Y70" s="56" t="n">
        <f aca="false">AG70+AF70-AH70</f>
        <v>358.175535798454</v>
      </c>
      <c r="Z70" s="56" t="n">
        <f aca="false">X70+Y70</f>
        <v>738.735538160441</v>
      </c>
      <c r="AA70" s="66" t="n">
        <f aca="false">IF(D70&gt;0,Z70/D70,0)</f>
        <v>0.202418858719076</v>
      </c>
      <c r="AB70" s="66" t="n">
        <f aca="false">IF(G70&gt;0,P70/G70,0)</f>
        <v>0.0958448280821995</v>
      </c>
      <c r="AC70" s="66" t="n">
        <f aca="false">IF(T70+AF70&gt;0,T70/(T70+AF70),0)</f>
        <v>0</v>
      </c>
      <c r="AD70" s="92" t="n">
        <f aca="false">AJ69</f>
        <v>0</v>
      </c>
      <c r="AE70" s="92" t="n">
        <f aca="false">AD70+G70+T70+U70+AP70-Q70-W70-AO70</f>
        <v>88.9892376531482</v>
      </c>
      <c r="AF70" s="92" t="n">
        <f aca="false">MAX(0,-AE70)</f>
        <v>0</v>
      </c>
      <c r="AG70" s="92" t="n">
        <f aca="false">Y69+V70</f>
        <v>447.164773451602</v>
      </c>
      <c r="AH70" s="92" t="n">
        <f aca="false">MIN(MAX(0,AE70),AG70)</f>
        <v>88.9892376531482</v>
      </c>
      <c r="AI70" s="92" t="n">
        <f aca="false">AE70+AF70-AH70</f>
        <v>0</v>
      </c>
      <c r="AJ70" s="92" t="n">
        <f aca="false">AI70</f>
        <v>0</v>
      </c>
      <c r="AK70" s="92" t="n">
        <f aca="false">AK69</f>
        <v>0</v>
      </c>
      <c r="AL70" s="92" t="n">
        <f aca="false">AJ70+AK70+AN70-Z70</f>
        <v>-738.735538160441</v>
      </c>
      <c r="AM70" s="92" t="n">
        <f aca="false">AJ70-(AD70+G70+T70+U70+AF70+AP70-Q70-W70-AH70-AO70)</f>
        <v>0</v>
      </c>
      <c r="AN70" s="92" t="n">
        <f aca="false">0</f>
        <v>0</v>
      </c>
      <c r="AO70" s="92" t="n">
        <f aca="false">0</f>
        <v>0</v>
      </c>
      <c r="AP70" s="92" t="n">
        <f aca="false">0</f>
        <v>0</v>
      </c>
    </row>
    <row r="71" customFormat="false" ht="14.25" hidden="false" customHeight="true" outlineLevel="0" collapsed="false">
      <c r="A71" s="61" t="n">
        <v>1911</v>
      </c>
      <c r="B71" s="47" t="n">
        <v>2140</v>
      </c>
      <c r="C71" s="91" t="n">
        <f aca="false">Partners!H71</f>
        <v>1.89693153774901</v>
      </c>
      <c r="D71" s="49" t="n">
        <f aca="false">Partners!I71</f>
        <v>4059.43349078288</v>
      </c>
      <c r="E71" s="62" t="n">
        <v>0.12</v>
      </c>
      <c r="F71" s="62" t="n">
        <v>0.085</v>
      </c>
      <c r="G71" s="56" t="n">
        <f aca="false">D71*E71</f>
        <v>487.132018893946</v>
      </c>
      <c r="H71" s="56" t="n">
        <f aca="false">D71*F71</f>
        <v>345.051846716545</v>
      </c>
      <c r="I71" s="55" t="n">
        <v>46.7</v>
      </c>
      <c r="J71" s="56" t="n">
        <f aca="false">IF($A71&gt;=1927,(1-pac_quota)*Navy!X71,I71)</f>
        <v>46.7</v>
      </c>
      <c r="K71" s="55" t="n">
        <v>0</v>
      </c>
      <c r="L71" s="56" t="n">
        <f aca="false">IF($A71&gt;=1923,siberia_front*(1-pac_quota),0)</f>
        <v>0</v>
      </c>
      <c r="M71" s="55" t="n">
        <v>0</v>
      </c>
      <c r="N71" s="56" t="n">
        <f aca="false">M71*C71</f>
        <v>0</v>
      </c>
      <c r="O71" s="56" t="n">
        <f aca="false">IF($A71&gt;=1927,10*(1-pac_quota),0)</f>
        <v>0</v>
      </c>
      <c r="P71" s="56" t="n">
        <f aca="false">jp_coupon*(Z70-0)+0</f>
        <v>36.936776908022</v>
      </c>
      <c r="Q71" s="56" t="n">
        <f aca="false">H71+J71+K71+L71+N71+O71+P71</f>
        <v>428.688623624567</v>
      </c>
      <c r="R71" s="56" t="n">
        <f aca="false">Q71-G71</f>
        <v>-58.4433952693788</v>
      </c>
      <c r="S71" s="55" t="n">
        <v>0</v>
      </c>
      <c r="T71" s="56" t="n">
        <f aca="false">S71*IF($A71&gt;=1923,C71,1)</f>
        <v>0</v>
      </c>
      <c r="U71" s="55" t="n">
        <v>0</v>
      </c>
      <c r="V71" s="55" t="n">
        <v>0</v>
      </c>
      <c r="W71" s="56" t="n">
        <f aca="false">(X70-0)*jp_foreign_repay+0</f>
        <v>11.4168000708596</v>
      </c>
      <c r="X71" s="56" t="n">
        <f aca="false">X70+T71-W71</f>
        <v>369.143202291127</v>
      </c>
      <c r="Y71" s="56" t="n">
        <f aca="false">AG71+AF71-AH71</f>
        <v>311.148940599935</v>
      </c>
      <c r="Z71" s="56" t="n">
        <f aca="false">X71+Y71</f>
        <v>680.292142891062</v>
      </c>
      <c r="AA71" s="66" t="n">
        <f aca="false">IF(D71&gt;0,Z71/D71,0)</f>
        <v>0.167583024684527</v>
      </c>
      <c r="AB71" s="66" t="n">
        <f aca="false">IF(G71&gt;0,P71/G71,0)</f>
        <v>0.0758249827056916</v>
      </c>
      <c r="AC71" s="66" t="n">
        <f aca="false">IF(T71+AF71&gt;0,T71/(T71+AF71),0)</f>
        <v>0</v>
      </c>
      <c r="AD71" s="92" t="n">
        <f aca="false">AJ70</f>
        <v>0</v>
      </c>
      <c r="AE71" s="92" t="n">
        <f aca="false">AD71+G71+T71+U71+AP71-Q71-W71-AO71</f>
        <v>47.0265951985192</v>
      </c>
      <c r="AF71" s="92" t="n">
        <f aca="false">MAX(0,-AE71)</f>
        <v>0</v>
      </c>
      <c r="AG71" s="92" t="n">
        <f aca="false">Y70+V71</f>
        <v>358.175535798454</v>
      </c>
      <c r="AH71" s="92" t="n">
        <f aca="false">MIN(MAX(0,AE71),AG71)</f>
        <v>47.0265951985192</v>
      </c>
      <c r="AI71" s="92" t="n">
        <f aca="false">AE71+AF71-AH71</f>
        <v>0</v>
      </c>
      <c r="AJ71" s="92" t="n">
        <f aca="false">AI71</f>
        <v>0</v>
      </c>
      <c r="AK71" s="92" t="n">
        <f aca="false">AK70</f>
        <v>0</v>
      </c>
      <c r="AL71" s="92" t="n">
        <f aca="false">AJ71+AK71+AN71-Z71</f>
        <v>-680.292142891062</v>
      </c>
      <c r="AM71" s="92" t="n">
        <f aca="false">AJ71-(AD71+G71+T71+U71+AF71+AP71-Q71-W71-AH71-AO71)</f>
        <v>0</v>
      </c>
      <c r="AN71" s="92" t="n">
        <f aca="false">0</f>
        <v>0</v>
      </c>
      <c r="AO71" s="92" t="n">
        <f aca="false">0</f>
        <v>0</v>
      </c>
      <c r="AP71" s="92" t="n">
        <f aca="false">0</f>
        <v>0</v>
      </c>
    </row>
    <row r="72" customFormat="false" ht="14.25" hidden="false" customHeight="true" outlineLevel="0" collapsed="false">
      <c r="A72" s="61" t="n">
        <v>1912</v>
      </c>
      <c r="B72" s="47" t="n">
        <v>2320</v>
      </c>
      <c r="C72" s="91" t="n">
        <f aca="false">Partners!H72</f>
        <v>1.93197188030612</v>
      </c>
      <c r="D72" s="49" t="n">
        <f aca="false">Partners!I72</f>
        <v>4482.1747623102</v>
      </c>
      <c r="E72" s="62" t="n">
        <v>0.12</v>
      </c>
      <c r="F72" s="62" t="n">
        <v>0.085</v>
      </c>
      <c r="G72" s="56" t="n">
        <f aca="false">D72*E72</f>
        <v>537.860971477224</v>
      </c>
      <c r="H72" s="56" t="n">
        <f aca="false">D72*F72</f>
        <v>380.984854796367</v>
      </c>
      <c r="I72" s="55" t="n">
        <v>48.3</v>
      </c>
      <c r="J72" s="56" t="n">
        <f aca="false">IF($A72&gt;=1927,(1-pac_quota)*Navy!X72,I72)</f>
        <v>48.3</v>
      </c>
      <c r="K72" s="55" t="n">
        <v>0</v>
      </c>
      <c r="L72" s="56" t="n">
        <f aca="false">IF($A72&gt;=1923,siberia_front*(1-pac_quota),0)</f>
        <v>0</v>
      </c>
      <c r="M72" s="55" t="n">
        <v>0</v>
      </c>
      <c r="N72" s="56" t="n">
        <f aca="false">M72*C72</f>
        <v>0</v>
      </c>
      <c r="O72" s="56" t="n">
        <f aca="false">IF($A72&gt;=1927,10*(1-pac_quota),0)</f>
        <v>0</v>
      </c>
      <c r="P72" s="56" t="n">
        <f aca="false">jp_coupon*(Z71-0)+0</f>
        <v>34.0146071445531</v>
      </c>
      <c r="Q72" s="56" t="n">
        <f aca="false">H72+J72+K72+L72+N72+O72+P72</f>
        <v>463.29946194092</v>
      </c>
      <c r="R72" s="56" t="n">
        <f aca="false">Q72-G72</f>
        <v>-74.5615095363038</v>
      </c>
      <c r="S72" s="55" t="n">
        <v>0</v>
      </c>
      <c r="T72" s="56" t="n">
        <f aca="false">S72*IF($A72&gt;=1923,C72,1)</f>
        <v>0</v>
      </c>
      <c r="U72" s="55" t="n">
        <v>0</v>
      </c>
      <c r="V72" s="55" t="n">
        <v>0</v>
      </c>
      <c r="W72" s="56" t="n">
        <f aca="false">(X71-0)*jp_foreign_repay+0</f>
        <v>11.0742960687338</v>
      </c>
      <c r="X72" s="56" t="n">
        <f aca="false">X71+T72-W72</f>
        <v>358.068906222393</v>
      </c>
      <c r="Y72" s="56" t="n">
        <f aca="false">AG72+AF72-AH72</f>
        <v>247.661727132365</v>
      </c>
      <c r="Z72" s="56" t="n">
        <f aca="false">X72+Y72</f>
        <v>605.730633354758</v>
      </c>
      <c r="AA72" s="66" t="n">
        <f aca="false">IF(D72&gt;0,Z72/D72,0)</f>
        <v>0.135142127533321</v>
      </c>
      <c r="AB72" s="66" t="n">
        <f aca="false">IF(G72&gt;0,P72/G72,0)</f>
        <v>0.0632405192946659</v>
      </c>
      <c r="AC72" s="66" t="n">
        <f aca="false">IF(T72+AF72&gt;0,T72/(T72+AF72),0)</f>
        <v>0</v>
      </c>
      <c r="AD72" s="92" t="n">
        <f aca="false">AJ71</f>
        <v>0</v>
      </c>
      <c r="AE72" s="92" t="n">
        <f aca="false">AD72+G72+T72+U72+AP72-Q72-W72-AO72</f>
        <v>63.48721346757</v>
      </c>
      <c r="AF72" s="92" t="n">
        <f aca="false">MAX(0,-AE72)</f>
        <v>0</v>
      </c>
      <c r="AG72" s="92" t="n">
        <f aca="false">Y71+V72</f>
        <v>311.148940599935</v>
      </c>
      <c r="AH72" s="92" t="n">
        <f aca="false">MIN(MAX(0,AE72),AG72)</f>
        <v>63.48721346757</v>
      </c>
      <c r="AI72" s="92" t="n">
        <f aca="false">AE72+AF72-AH72</f>
        <v>0</v>
      </c>
      <c r="AJ72" s="92" t="n">
        <f aca="false">AI72</f>
        <v>0</v>
      </c>
      <c r="AK72" s="92" t="n">
        <f aca="false">AK71</f>
        <v>0</v>
      </c>
      <c r="AL72" s="92" t="n">
        <f aca="false">AJ72+AK72+AN72-Z72</f>
        <v>-605.730633354758</v>
      </c>
      <c r="AM72" s="92" t="n">
        <f aca="false">AJ72-(AD72+G72+T72+U72+AF72+AP72-Q72-W72-AH72-AO72)</f>
        <v>0</v>
      </c>
      <c r="AN72" s="92" t="n">
        <f aca="false">0</f>
        <v>0</v>
      </c>
      <c r="AO72" s="92" t="n">
        <f aca="false">0</f>
        <v>0</v>
      </c>
      <c r="AP72" s="92" t="n">
        <f aca="false">0</f>
        <v>0</v>
      </c>
    </row>
    <row r="73" customFormat="false" ht="14.25" hidden="false" customHeight="true" outlineLevel="0" collapsed="false">
      <c r="A73" s="61" t="n">
        <v>1913</v>
      </c>
      <c r="B73" s="47" t="n">
        <v>2500</v>
      </c>
      <c r="C73" s="91" t="n">
        <f aca="false">Partners!H73</f>
        <v>1.96717224956213</v>
      </c>
      <c r="D73" s="49" t="n">
        <f aca="false">Partners!I73</f>
        <v>4917.93062390534</v>
      </c>
      <c r="E73" s="62" t="n">
        <v>0.12</v>
      </c>
      <c r="F73" s="62" t="n">
        <v>0.085</v>
      </c>
      <c r="G73" s="56" t="n">
        <f aca="false">D73*E73</f>
        <v>590.15167486864</v>
      </c>
      <c r="H73" s="56" t="n">
        <f aca="false">D73*F73</f>
        <v>418.024103031954</v>
      </c>
      <c r="I73" s="55" t="n">
        <v>50</v>
      </c>
      <c r="J73" s="56" t="n">
        <f aca="false">IF($A73&gt;=1927,(1-pac_quota)*Navy!X73,I73)</f>
        <v>50</v>
      </c>
      <c r="K73" s="55" t="n">
        <v>0</v>
      </c>
      <c r="L73" s="56" t="n">
        <f aca="false">IF($A73&gt;=1923,siberia_front*(1-pac_quota),0)</f>
        <v>0</v>
      </c>
      <c r="M73" s="55" t="n">
        <v>0</v>
      </c>
      <c r="N73" s="56" t="n">
        <f aca="false">M73*C73</f>
        <v>0</v>
      </c>
      <c r="O73" s="56" t="n">
        <f aca="false">IF($A73&gt;=1927,10*(1-pac_quota),0)</f>
        <v>0</v>
      </c>
      <c r="P73" s="56" t="n">
        <f aca="false">jp_coupon*(Z72-0)+0</f>
        <v>30.2865316677379</v>
      </c>
      <c r="Q73" s="56" t="n">
        <f aca="false">H73+J73+K73+L73+N73+O73+P73</f>
        <v>498.310634699692</v>
      </c>
      <c r="R73" s="56" t="n">
        <f aca="false">Q73-G73</f>
        <v>-91.8410401689488</v>
      </c>
      <c r="S73" s="55" t="n">
        <v>0</v>
      </c>
      <c r="T73" s="56" t="n">
        <f aca="false">S73*IF($A73&gt;=1923,C73,1)</f>
        <v>0</v>
      </c>
      <c r="U73" s="55" t="n">
        <v>0</v>
      </c>
      <c r="V73" s="55" t="n">
        <v>0</v>
      </c>
      <c r="W73" s="56" t="n">
        <f aca="false">(X72-0)*jp_foreign_repay+0</f>
        <v>10.7420671866718</v>
      </c>
      <c r="X73" s="56" t="n">
        <f aca="false">X72+T73-W73</f>
        <v>347.326839035722</v>
      </c>
      <c r="Y73" s="56" t="n">
        <f aca="false">AG73+AF73-AH73</f>
        <v>166.562754150088</v>
      </c>
      <c r="Z73" s="56" t="n">
        <f aca="false">X73+Y73</f>
        <v>513.889593185809</v>
      </c>
      <c r="AA73" s="66" t="n">
        <f aca="false">IF(D73&gt;0,Z73/D73,0)</f>
        <v>0.104493054596555</v>
      </c>
      <c r="AB73" s="66" t="n">
        <f aca="false">IF(G73&gt;0,P73/G73,0)</f>
        <v>0.051319911401555</v>
      </c>
      <c r="AC73" s="66" t="n">
        <f aca="false">IF(T73+AF73&gt;0,T73/(T73+AF73),0)</f>
        <v>0</v>
      </c>
      <c r="AD73" s="92" t="n">
        <f aca="false">AJ72</f>
        <v>0</v>
      </c>
      <c r="AE73" s="92" t="n">
        <f aca="false">AD73+G73+T73+U73+AP73-Q73-W73-AO73</f>
        <v>81.098972982277</v>
      </c>
      <c r="AF73" s="92" t="n">
        <f aca="false">MAX(0,-AE73)</f>
        <v>0</v>
      </c>
      <c r="AG73" s="92" t="n">
        <f aca="false">Y72+V73</f>
        <v>247.661727132365</v>
      </c>
      <c r="AH73" s="92" t="n">
        <f aca="false">MIN(MAX(0,AE73),AG73)</f>
        <v>81.098972982277</v>
      </c>
      <c r="AI73" s="92" t="n">
        <f aca="false">AE73+AF73-AH73</f>
        <v>0</v>
      </c>
      <c r="AJ73" s="92" t="n">
        <f aca="false">AI73</f>
        <v>0</v>
      </c>
      <c r="AK73" s="92" t="n">
        <f aca="false">AK72</f>
        <v>0</v>
      </c>
      <c r="AL73" s="92" t="n">
        <f aca="false">AJ73+AK73+AN73-Z73</f>
        <v>-513.889593185809</v>
      </c>
      <c r="AM73" s="92" t="n">
        <f aca="false">AJ73-(AD73+G73+T73+U73+AF73+AP73-Q73-W73-AH73-AO73)</f>
        <v>0</v>
      </c>
      <c r="AN73" s="92" t="n">
        <f aca="false">0</f>
        <v>0</v>
      </c>
      <c r="AO73" s="92" t="n">
        <f aca="false">0</f>
        <v>0</v>
      </c>
      <c r="AP73" s="92" t="n">
        <f aca="false">0</f>
        <v>0</v>
      </c>
    </row>
    <row r="74" customFormat="false" ht="14.25" hidden="false" customHeight="true" outlineLevel="0" collapsed="false">
      <c r="A74" s="64" t="n">
        <v>1914</v>
      </c>
      <c r="B74" s="47" t="n">
        <v>2495</v>
      </c>
      <c r="C74" s="91" t="n">
        <f aca="false">Partners!H74</f>
        <v>2.00263319052167</v>
      </c>
      <c r="D74" s="49" t="n">
        <f aca="false">Partners!I74</f>
        <v>4996.56981035158</v>
      </c>
      <c r="E74" s="62" t="n">
        <v>0.12</v>
      </c>
      <c r="F74" s="62" t="n">
        <v>0.085</v>
      </c>
      <c r="G74" s="56" t="n">
        <f aca="false">D74*E74</f>
        <v>599.588377242189</v>
      </c>
      <c r="H74" s="56" t="n">
        <f aca="false">D74*F74</f>
        <v>424.708433879884</v>
      </c>
      <c r="I74" s="55" t="n">
        <v>55</v>
      </c>
      <c r="J74" s="56" t="n">
        <f aca="false">IF($A74&gt;=1927,(1-pac_quota)*Navy!X74,I74)</f>
        <v>55</v>
      </c>
      <c r="K74" s="55" t="n">
        <v>30</v>
      </c>
      <c r="L74" s="56" t="n">
        <f aca="false">IF($A74&gt;=1923,siberia_front*(1-pac_quota),0)</f>
        <v>0</v>
      </c>
      <c r="M74" s="55" t="n">
        <v>0</v>
      </c>
      <c r="N74" s="56" t="n">
        <f aca="false">M74*C74</f>
        <v>0</v>
      </c>
      <c r="O74" s="56" t="n">
        <f aca="false">IF($A74&gt;=1927,10*(1-pac_quota),0)</f>
        <v>0</v>
      </c>
      <c r="P74" s="56" t="n">
        <f aca="false">jp_coupon*(Z73-0)+0</f>
        <v>25.6944796592905</v>
      </c>
      <c r="Q74" s="56" t="n">
        <f aca="false">H74+J74+K74+L74+N74+O74+P74</f>
        <v>535.402913539175</v>
      </c>
      <c r="R74" s="56" t="n">
        <f aca="false">Q74-G74</f>
        <v>-64.1854637030147</v>
      </c>
      <c r="S74" s="55" t="n">
        <v>0</v>
      </c>
      <c r="T74" s="56" t="n">
        <f aca="false">S74*IF($A74&gt;=1923,C74,1)</f>
        <v>0</v>
      </c>
      <c r="U74" s="55" t="n">
        <v>0</v>
      </c>
      <c r="V74" s="55" t="n">
        <v>0</v>
      </c>
      <c r="W74" s="56" t="n">
        <f aca="false">(X73-0)*jp_foreign_repay+0</f>
        <v>10.4198051710716</v>
      </c>
      <c r="X74" s="56" t="n">
        <f aca="false">X73+T74-W74</f>
        <v>336.90703386465</v>
      </c>
      <c r="Y74" s="56" t="n">
        <f aca="false">AG74+AF74-AH74</f>
        <v>112.797095618145</v>
      </c>
      <c r="Z74" s="56" t="n">
        <f aca="false">X74+Y74</f>
        <v>449.704129482795</v>
      </c>
      <c r="AA74" s="66" t="n">
        <f aca="false">IF(D74&gt;0,Z74/D74,0)</f>
        <v>0.0900025710740849</v>
      </c>
      <c r="AB74" s="66" t="n">
        <f aca="false">IF(G74&gt;0,P74/G74,0)</f>
        <v>0.0428535319137979</v>
      </c>
      <c r="AC74" s="66" t="n">
        <f aca="false">IF(T74+AF74&gt;0,T74/(T74+AF74),0)</f>
        <v>0</v>
      </c>
      <c r="AD74" s="92" t="n">
        <f aca="false">AJ73</f>
        <v>0</v>
      </c>
      <c r="AE74" s="92" t="n">
        <f aca="false">AD74+G74+T74+U74+AP74-Q74-W74-AO74</f>
        <v>53.765658531943</v>
      </c>
      <c r="AF74" s="92" t="n">
        <f aca="false">MAX(0,-AE74)</f>
        <v>0</v>
      </c>
      <c r="AG74" s="92" t="n">
        <f aca="false">Y73+V74</f>
        <v>166.562754150088</v>
      </c>
      <c r="AH74" s="92" t="n">
        <f aca="false">MIN(MAX(0,AE74),AG74)</f>
        <v>53.765658531943</v>
      </c>
      <c r="AI74" s="92" t="n">
        <f aca="false">AE74+AF74-AH74</f>
        <v>0</v>
      </c>
      <c r="AJ74" s="92" t="n">
        <f aca="false">AI74</f>
        <v>0</v>
      </c>
      <c r="AK74" s="92" t="n">
        <f aca="false">AK73</f>
        <v>0</v>
      </c>
      <c r="AL74" s="92" t="n">
        <f aca="false">AJ74+AK74+AN74-Z74</f>
        <v>-449.704129482795</v>
      </c>
      <c r="AM74" s="92" t="n">
        <f aca="false">AJ74-(AD74+G74+T74+U74+AF74+AP74-Q74-W74-AH74-AO74)</f>
        <v>0</v>
      </c>
      <c r="AN74" s="92" t="n">
        <f aca="false">0</f>
        <v>0</v>
      </c>
      <c r="AO74" s="92" t="n">
        <f aca="false">0</f>
        <v>0</v>
      </c>
      <c r="AP74" s="92" t="n">
        <f aca="false">0</f>
        <v>0</v>
      </c>
    </row>
    <row r="75" customFormat="false" ht="14.25" hidden="false" customHeight="true" outlineLevel="0" collapsed="false">
      <c r="A75" s="64" t="n">
        <v>1915</v>
      </c>
      <c r="B75" s="47" t="n">
        <v>2490</v>
      </c>
      <c r="C75" s="91" t="n">
        <f aca="false">Partners!H75</f>
        <v>2.03913570745886</v>
      </c>
      <c r="D75" s="49" t="n">
        <f aca="false">Partners!I75</f>
        <v>5077.44791157257</v>
      </c>
      <c r="E75" s="62" t="n">
        <v>0.12</v>
      </c>
      <c r="F75" s="62" t="n">
        <v>0.085</v>
      </c>
      <c r="G75" s="56" t="n">
        <f aca="false">D75*E75</f>
        <v>609.293749388708</v>
      </c>
      <c r="H75" s="56" t="n">
        <f aca="false">D75*F75</f>
        <v>431.583072483669</v>
      </c>
      <c r="I75" s="55" t="n">
        <v>60</v>
      </c>
      <c r="J75" s="56" t="n">
        <f aca="false">IF($A75&gt;=1927,(1-pac_quota)*Navy!X75,I75)</f>
        <v>60</v>
      </c>
      <c r="K75" s="55" t="n">
        <v>0</v>
      </c>
      <c r="L75" s="56" t="n">
        <f aca="false">IF($A75&gt;=1923,siberia_front*(1-pac_quota),0)</f>
        <v>0</v>
      </c>
      <c r="M75" s="55" t="n">
        <v>0</v>
      </c>
      <c r="N75" s="56" t="n">
        <f aca="false">M75*C75</f>
        <v>0</v>
      </c>
      <c r="O75" s="56" t="n">
        <f aca="false">IF($A75&gt;=1927,10*(1-pac_quota),0)</f>
        <v>0</v>
      </c>
      <c r="P75" s="56" t="n">
        <f aca="false">jp_coupon*(Z74-0)+0</f>
        <v>22.4852064741397</v>
      </c>
      <c r="Q75" s="56" t="n">
        <f aca="false">H75+J75+K75+L75+N75+O75+P75</f>
        <v>514.068278957808</v>
      </c>
      <c r="R75" s="56" t="n">
        <f aca="false">Q75-G75</f>
        <v>-95.2254704309002</v>
      </c>
      <c r="S75" s="55" t="n">
        <v>0</v>
      </c>
      <c r="T75" s="56" t="n">
        <f aca="false">S75*IF($A75&gt;=1923,C75,1)</f>
        <v>0</v>
      </c>
      <c r="U75" s="55" t="n">
        <v>0</v>
      </c>
      <c r="V75" s="55" t="n">
        <v>0</v>
      </c>
      <c r="W75" s="56" t="n">
        <f aca="false">(X74-0)*jp_foreign_repay+0</f>
        <v>10.1072110159395</v>
      </c>
      <c r="X75" s="56" t="n">
        <f aca="false">X74+T75-W75</f>
        <v>326.79982284871</v>
      </c>
      <c r="Y75" s="56" t="n">
        <f aca="false">AG75+AF75-AH75</f>
        <v>27.6788362031842</v>
      </c>
      <c r="Z75" s="56" t="n">
        <f aca="false">X75+Y75</f>
        <v>354.478659051895</v>
      </c>
      <c r="AA75" s="66" t="n">
        <f aca="false">IF(D75&gt;0,Z75/D75,0)</f>
        <v>0.0698143368923516</v>
      </c>
      <c r="AB75" s="66" t="n">
        <f aca="false">IF(G75&gt;0,P75/G75,0)</f>
        <v>0.036903720900959</v>
      </c>
      <c r="AC75" s="66" t="n">
        <f aca="false">IF(T75+AF75&gt;0,T75/(T75+AF75),0)</f>
        <v>0</v>
      </c>
      <c r="AD75" s="92" t="n">
        <f aca="false">AJ74</f>
        <v>0</v>
      </c>
      <c r="AE75" s="92" t="n">
        <f aca="false">AD75+G75+T75+U75+AP75-Q75-W75-AO75</f>
        <v>85.1182594149607</v>
      </c>
      <c r="AF75" s="92" t="n">
        <f aca="false">MAX(0,-AE75)</f>
        <v>0</v>
      </c>
      <c r="AG75" s="92" t="n">
        <f aca="false">Y74+V75</f>
        <v>112.797095618145</v>
      </c>
      <c r="AH75" s="92" t="n">
        <f aca="false">MIN(MAX(0,AE75),AG75)</f>
        <v>85.1182594149607</v>
      </c>
      <c r="AI75" s="92" t="n">
        <f aca="false">AE75+AF75-AH75</f>
        <v>0</v>
      </c>
      <c r="AJ75" s="92" t="n">
        <f aca="false">AI75</f>
        <v>0</v>
      </c>
      <c r="AK75" s="92" t="n">
        <f aca="false">AK74</f>
        <v>0</v>
      </c>
      <c r="AL75" s="92" t="n">
        <f aca="false">AJ75+AK75+AN75-Z75</f>
        <v>-354.478659051895</v>
      </c>
      <c r="AM75" s="92" t="n">
        <f aca="false">AJ75-(AD75+G75+T75+U75+AF75+AP75-Q75-W75-AH75-AO75)</f>
        <v>0</v>
      </c>
      <c r="AN75" s="92" t="n">
        <f aca="false">0</f>
        <v>0</v>
      </c>
      <c r="AO75" s="92" t="n">
        <f aca="false">0</f>
        <v>0</v>
      </c>
      <c r="AP75" s="92" t="n">
        <f aca="false">0</f>
        <v>0</v>
      </c>
    </row>
    <row r="76" customFormat="false" ht="14.25" hidden="false" customHeight="true" outlineLevel="0" collapsed="false">
      <c r="A76" s="64" t="n">
        <v>1916</v>
      </c>
      <c r="B76" s="47" t="n">
        <v>3390</v>
      </c>
      <c r="C76" s="91" t="n">
        <f aca="false">Partners!H76</f>
        <v>2.07793514434162</v>
      </c>
      <c r="D76" s="49" t="n">
        <f aca="false">Partners!I76</f>
        <v>7044.20013931809</v>
      </c>
      <c r="E76" s="62" t="n">
        <v>0.12</v>
      </c>
      <c r="F76" s="62" t="n">
        <v>0.085</v>
      </c>
      <c r="G76" s="56" t="n">
        <f aca="false">D76*E76</f>
        <v>845.304016718171</v>
      </c>
      <c r="H76" s="56" t="n">
        <f aca="false">D76*F76</f>
        <v>598.757011842038</v>
      </c>
      <c r="I76" s="55" t="n">
        <v>65</v>
      </c>
      <c r="J76" s="56" t="n">
        <f aca="false">IF($A76&gt;=1927,(1-pac_quota)*Navy!X76,I76)</f>
        <v>65</v>
      </c>
      <c r="K76" s="55" t="n">
        <v>0</v>
      </c>
      <c r="L76" s="56" t="n">
        <f aca="false">IF($A76&gt;=1923,siberia_front*(1-pac_quota),0)</f>
        <v>0</v>
      </c>
      <c r="M76" s="55" t="n">
        <v>0</v>
      </c>
      <c r="N76" s="56" t="n">
        <f aca="false">M76*C76</f>
        <v>0</v>
      </c>
      <c r="O76" s="56" t="n">
        <f aca="false">IF($A76&gt;=1927,10*(1-pac_quota),0)</f>
        <v>0</v>
      </c>
      <c r="P76" s="56" t="n">
        <f aca="false">jp_coupon*(Z75-0)+0</f>
        <v>17.7239329525947</v>
      </c>
      <c r="Q76" s="56" t="n">
        <f aca="false">H76+J76+K76+L76+N76+O76+P76</f>
        <v>681.480944794633</v>
      </c>
      <c r="R76" s="56" t="n">
        <f aca="false">Q76-G76</f>
        <v>-163.823071923538</v>
      </c>
      <c r="S76" s="55" t="n">
        <v>0</v>
      </c>
      <c r="T76" s="56" t="n">
        <f aca="false">S76*IF($A76&gt;=1923,C76,1)</f>
        <v>0</v>
      </c>
      <c r="U76" s="55" t="n">
        <v>0</v>
      </c>
      <c r="V76" s="55" t="n">
        <v>0</v>
      </c>
      <c r="W76" s="56" t="n">
        <f aca="false">(X75-0)*jp_foreign_repay+0</f>
        <v>9.80399468546131</v>
      </c>
      <c r="X76" s="56" t="n">
        <f aca="false">X75+T76-W76</f>
        <v>316.995828163249</v>
      </c>
      <c r="Y76" s="56" t="n">
        <f aca="false">AG76+AF76-AH76</f>
        <v>0</v>
      </c>
      <c r="Z76" s="56" t="n">
        <f aca="false">X76+Y76</f>
        <v>316.995828163249</v>
      </c>
      <c r="AA76" s="66" t="n">
        <f aca="false">IF(D76&gt;0,Z76/D76,0)</f>
        <v>0.0450009684412425</v>
      </c>
      <c r="AB76" s="66" t="n">
        <f aca="false">IF(G76&gt;0,P76/G76,0)</f>
        <v>0.0209675248219056</v>
      </c>
      <c r="AC76" s="66" t="n">
        <f aca="false">IF(T76+AF76&gt;0,T76/(T76+AF76),0)</f>
        <v>0</v>
      </c>
      <c r="AD76" s="92" t="n">
        <f aca="false">AJ75</f>
        <v>0</v>
      </c>
      <c r="AE76" s="92" t="n">
        <f aca="false">AD76+G76+T76+U76+AP76-Q76-W76-AO76</f>
        <v>154.019077238077</v>
      </c>
      <c r="AF76" s="92" t="n">
        <f aca="false">MAX(0,-AE76)</f>
        <v>0</v>
      </c>
      <c r="AG76" s="92" t="n">
        <f aca="false">Y75+V76</f>
        <v>27.6788362031842</v>
      </c>
      <c r="AH76" s="92" t="n">
        <f aca="false">MIN(MAX(0,AE76),AG76)</f>
        <v>27.6788362031842</v>
      </c>
      <c r="AI76" s="92" t="n">
        <f aca="false">AE76+AF76-AH76</f>
        <v>126.340241034893</v>
      </c>
      <c r="AJ76" s="92" t="n">
        <f aca="false">AI76</f>
        <v>126.340241034893</v>
      </c>
      <c r="AK76" s="92" t="n">
        <f aca="false">AK75</f>
        <v>0</v>
      </c>
      <c r="AL76" s="92" t="n">
        <f aca="false">AJ76+AK76+AN76-Z76</f>
        <v>-190.655587128356</v>
      </c>
      <c r="AM76" s="92" t="n">
        <f aca="false">AJ76-(AD76+G76+T76+U76+AF76+AP76-Q76-W76-AH76-AO76)</f>
        <v>0</v>
      </c>
      <c r="AN76" s="92" t="n">
        <f aca="false">0</f>
        <v>0</v>
      </c>
      <c r="AO76" s="92" t="n">
        <f aca="false">0</f>
        <v>0</v>
      </c>
      <c r="AP76" s="92" t="n">
        <f aca="false">0</f>
        <v>0</v>
      </c>
    </row>
    <row r="77" customFormat="false" ht="14.25" hidden="false" customHeight="true" outlineLevel="0" collapsed="false">
      <c r="A77" s="64" t="n">
        <v>1917</v>
      </c>
      <c r="B77" s="47" t="n">
        <v>4290</v>
      </c>
      <c r="C77" s="91" t="n">
        <f aca="false">Partners!H77</f>
        <v>2.11486190080418</v>
      </c>
      <c r="D77" s="49" t="n">
        <f aca="false">Partners!I77</f>
        <v>9072.75755444993</v>
      </c>
      <c r="E77" s="62" t="n">
        <v>0.12</v>
      </c>
      <c r="F77" s="62" t="n">
        <v>0.085</v>
      </c>
      <c r="G77" s="56" t="n">
        <f aca="false">D77*E77</f>
        <v>1088.73090653399</v>
      </c>
      <c r="H77" s="56" t="n">
        <f aca="false">D77*F77</f>
        <v>771.184392128244</v>
      </c>
      <c r="I77" s="55" t="n">
        <v>77.5</v>
      </c>
      <c r="J77" s="56" t="n">
        <f aca="false">IF($A77&gt;=1927,(1-pac_quota)*Navy!X77,I77)</f>
        <v>77.5</v>
      </c>
      <c r="K77" s="55" t="n">
        <v>0</v>
      </c>
      <c r="L77" s="56" t="n">
        <f aca="false">IF($A77&gt;=1923,siberia_front*(1-pac_quota),0)</f>
        <v>0</v>
      </c>
      <c r="M77" s="55" t="n">
        <v>0</v>
      </c>
      <c r="N77" s="56" t="n">
        <f aca="false">M77*C77</f>
        <v>0</v>
      </c>
      <c r="O77" s="56" t="n">
        <f aca="false">IF($A77&gt;=1927,10*(1-pac_quota),0)</f>
        <v>0</v>
      </c>
      <c r="P77" s="56" t="n">
        <f aca="false">jp_coupon*(Z76-0)+0</f>
        <v>15.8497914081625</v>
      </c>
      <c r="Q77" s="56" t="n">
        <f aca="false">H77+J77+K77+L77+N77+O77+P77</f>
        <v>864.534183536406</v>
      </c>
      <c r="R77" s="56" t="n">
        <f aca="false">Q77-G77</f>
        <v>-224.196722997585</v>
      </c>
      <c r="S77" s="55" t="n">
        <v>0</v>
      </c>
      <c r="T77" s="56" t="n">
        <f aca="false">S77*IF($A77&gt;=1923,C77,1)</f>
        <v>0</v>
      </c>
      <c r="U77" s="55" t="n">
        <v>0</v>
      </c>
      <c r="V77" s="55" t="n">
        <v>0</v>
      </c>
      <c r="W77" s="56" t="n">
        <f aca="false">(X76-0)*jp_foreign_repay+0</f>
        <v>9.50987484489748</v>
      </c>
      <c r="X77" s="56" t="n">
        <f aca="false">X76+T77-W77</f>
        <v>307.485953318352</v>
      </c>
      <c r="Y77" s="56" t="n">
        <f aca="false">AG77+AF77-AH77</f>
        <v>0</v>
      </c>
      <c r="Z77" s="56" t="n">
        <f aca="false">X77+Y77</f>
        <v>307.485953318352</v>
      </c>
      <c r="AA77" s="66" t="n">
        <f aca="false">IF(D77&gt;0,Z77/D77,0)</f>
        <v>0.033891124222485</v>
      </c>
      <c r="AB77" s="66" t="n">
        <f aca="false">IF(G77&gt;0,P77/G77,0)</f>
        <v>0.0145580430508956</v>
      </c>
      <c r="AC77" s="66" t="n">
        <f aca="false">IF(T77+AF77&gt;0,T77/(T77+AF77),0)</f>
        <v>0</v>
      </c>
      <c r="AD77" s="92" t="n">
        <f aca="false">AJ76</f>
        <v>126.340241034893</v>
      </c>
      <c r="AE77" s="92" t="n">
        <f aca="false">AD77+G77+T77+U77+AP77-Q77-W77-AO77</f>
        <v>341.02708918758</v>
      </c>
      <c r="AF77" s="92" t="n">
        <f aca="false">MAX(0,-AE77)</f>
        <v>0</v>
      </c>
      <c r="AG77" s="92" t="n">
        <f aca="false">Y76+V77</f>
        <v>0</v>
      </c>
      <c r="AH77" s="92" t="n">
        <f aca="false">MIN(MAX(0,AE77),AG77)</f>
        <v>0</v>
      </c>
      <c r="AI77" s="92" t="n">
        <f aca="false">AE77+AF77-AH77</f>
        <v>341.02708918758</v>
      </c>
      <c r="AJ77" s="92" t="n">
        <f aca="false">AI77</f>
        <v>341.02708918758</v>
      </c>
      <c r="AK77" s="92" t="n">
        <f aca="false">AK76</f>
        <v>0</v>
      </c>
      <c r="AL77" s="92" t="n">
        <f aca="false">AJ77+AK77+AN77-Z77</f>
        <v>33.5411358692286</v>
      </c>
      <c r="AM77" s="92" t="n">
        <f aca="false">AJ77-(AD77+G77+T77+U77+AF77+AP77-Q77-W77-AH77-AO77)</f>
        <v>0</v>
      </c>
      <c r="AN77" s="92" t="n">
        <f aca="false">0</f>
        <v>0</v>
      </c>
      <c r="AO77" s="92" t="n">
        <f aca="false">0</f>
        <v>0</v>
      </c>
      <c r="AP77" s="92" t="n">
        <f aca="false">0</f>
        <v>0</v>
      </c>
    </row>
    <row r="78" customFormat="false" ht="14.25" hidden="false" customHeight="true" outlineLevel="0" collapsed="false">
      <c r="A78" s="64" t="n">
        <v>1918</v>
      </c>
      <c r="B78" s="47" t="n">
        <v>6010</v>
      </c>
      <c r="C78" s="91" t="n">
        <f aca="false">Partners!H78</f>
        <v>2.15220181969849</v>
      </c>
      <c r="D78" s="49" t="n">
        <f aca="false">Partners!I78</f>
        <v>12934.7329363879</v>
      </c>
      <c r="E78" s="62" t="n">
        <v>0.12</v>
      </c>
      <c r="F78" s="62" t="n">
        <v>0.085</v>
      </c>
      <c r="G78" s="56" t="n">
        <f aca="false">D78*E78</f>
        <v>1552.16795236655</v>
      </c>
      <c r="H78" s="56" t="n">
        <f aca="false">D78*F78</f>
        <v>1099.45229959298</v>
      </c>
      <c r="I78" s="55" t="n">
        <v>90</v>
      </c>
      <c r="J78" s="56" t="n">
        <f aca="false">IF($A78&gt;=1927,(1-pac_quota)*Navy!X78,I78)</f>
        <v>90</v>
      </c>
      <c r="K78" s="55" t="n">
        <v>84</v>
      </c>
      <c r="L78" s="56" t="n">
        <f aca="false">IF($A78&gt;=1923,siberia_front*(1-pac_quota),0)</f>
        <v>0</v>
      </c>
      <c r="M78" s="55" t="n">
        <v>0</v>
      </c>
      <c r="N78" s="56" t="n">
        <f aca="false">M78*C78</f>
        <v>0</v>
      </c>
      <c r="O78" s="56" t="n">
        <f aca="false">IF($A78&gt;=1927,10*(1-pac_quota),0)</f>
        <v>0</v>
      </c>
      <c r="P78" s="56" t="n">
        <f aca="false">jp_coupon*(Z77-0)+0</f>
        <v>15.3742976659176</v>
      </c>
      <c r="Q78" s="56" t="n">
        <f aca="false">H78+J78+K78+L78+N78+O78+P78</f>
        <v>1288.82659725889</v>
      </c>
      <c r="R78" s="56" t="n">
        <f aca="false">Q78-G78</f>
        <v>-263.34135510766</v>
      </c>
      <c r="S78" s="55" t="n">
        <v>0</v>
      </c>
      <c r="T78" s="56" t="n">
        <f aca="false">S78*IF($A78&gt;=1923,C78,1)</f>
        <v>0</v>
      </c>
      <c r="U78" s="55" t="n">
        <v>0</v>
      </c>
      <c r="V78" s="55" t="n">
        <v>0</v>
      </c>
      <c r="W78" s="56" t="n">
        <f aca="false">(X77-0)*jp_foreign_repay+0</f>
        <v>9.22457859955055</v>
      </c>
      <c r="X78" s="56" t="n">
        <f aca="false">X77+T78-W78</f>
        <v>298.261374718801</v>
      </c>
      <c r="Y78" s="56" t="n">
        <f aca="false">AG78+AF78-AH78</f>
        <v>0</v>
      </c>
      <c r="Z78" s="56" t="n">
        <f aca="false">X78+Y78</f>
        <v>298.261374718801</v>
      </c>
      <c r="AA78" s="66" t="n">
        <f aca="false">IF(D78&gt;0,Z78/D78,0)</f>
        <v>0.0230589511345637</v>
      </c>
      <c r="AB78" s="66" t="n">
        <f aca="false">IF(G78&gt;0,P78/G78,0)</f>
        <v>0.00990504773821465</v>
      </c>
      <c r="AC78" s="66" t="n">
        <f aca="false">IF(T78+AF78&gt;0,T78/(T78+AF78),0)</f>
        <v>0</v>
      </c>
      <c r="AD78" s="92" t="n">
        <f aca="false">AJ77</f>
        <v>341.02708918758</v>
      </c>
      <c r="AE78" s="92" t="n">
        <f aca="false">AD78+G78+T78+U78+AP78-Q78-W78-AO78</f>
        <v>595.14386569569</v>
      </c>
      <c r="AF78" s="92" t="n">
        <f aca="false">MAX(0,-AE78)</f>
        <v>0</v>
      </c>
      <c r="AG78" s="92" t="n">
        <f aca="false">Y77+V78</f>
        <v>0</v>
      </c>
      <c r="AH78" s="92" t="n">
        <f aca="false">MIN(MAX(0,AE78),AG78)</f>
        <v>0</v>
      </c>
      <c r="AI78" s="92" t="n">
        <f aca="false">AE78+AF78-AH78</f>
        <v>595.14386569569</v>
      </c>
      <c r="AJ78" s="92" t="n">
        <f aca="false">AI78</f>
        <v>595.14386569569</v>
      </c>
      <c r="AK78" s="92" t="n">
        <f aca="false">AK77</f>
        <v>0</v>
      </c>
      <c r="AL78" s="92" t="n">
        <f aca="false">AJ78+AK78+AN78-Z78</f>
        <v>296.882490976889</v>
      </c>
      <c r="AM78" s="92" t="n">
        <f aca="false">AJ78-(AD78+G78+T78+U78+AF78+AP78-Q78-W78-AH78-AO78)</f>
        <v>0</v>
      </c>
      <c r="AN78" s="92" t="n">
        <f aca="false">0</f>
        <v>0</v>
      </c>
      <c r="AO78" s="92" t="n">
        <f aca="false">0</f>
        <v>0</v>
      </c>
      <c r="AP78" s="92" t="n">
        <f aca="false">0</f>
        <v>0</v>
      </c>
    </row>
    <row r="79" customFormat="false" ht="14.25" hidden="false" customHeight="true" outlineLevel="0" collapsed="false">
      <c r="A79" s="64" t="n">
        <v>1919</v>
      </c>
      <c r="B79" s="47" t="n">
        <v>7730</v>
      </c>
      <c r="C79" s="91" t="n">
        <f aca="false">Partners!H79</f>
        <v>2.18740860188237</v>
      </c>
      <c r="D79" s="49" t="n">
        <f aca="false">Partners!I79</f>
        <v>16908.6684925507</v>
      </c>
      <c r="E79" s="62" t="n">
        <v>0.12</v>
      </c>
      <c r="F79" s="62" t="n">
        <v>0.085</v>
      </c>
      <c r="G79" s="56" t="n">
        <f aca="false">D79*E79</f>
        <v>2029.04021910608</v>
      </c>
      <c r="H79" s="56" t="n">
        <f aca="false">D79*F79</f>
        <v>1437.23682186681</v>
      </c>
      <c r="I79" s="55" t="n">
        <v>120</v>
      </c>
      <c r="J79" s="56" t="n">
        <f aca="false">IF($A79&gt;=1927,(1-pac_quota)*Navy!X79,I79)</f>
        <v>120</v>
      </c>
      <c r="K79" s="55" t="n">
        <v>123</v>
      </c>
      <c r="L79" s="56" t="n">
        <f aca="false">IF($A79&gt;=1923,siberia_front*(1-pac_quota),0)</f>
        <v>0</v>
      </c>
      <c r="M79" s="55" t="n">
        <v>0</v>
      </c>
      <c r="N79" s="56" t="n">
        <f aca="false">M79*C79</f>
        <v>0</v>
      </c>
      <c r="O79" s="56" t="n">
        <f aca="false">IF($A79&gt;=1927,10*(1-pac_quota),0)</f>
        <v>0</v>
      </c>
      <c r="P79" s="56" t="n">
        <f aca="false">jp_coupon*(Z78-0)+0</f>
        <v>14.9130687359401</v>
      </c>
      <c r="Q79" s="56" t="n">
        <f aca="false">H79+J79+K79+L79+N79+O79+P79</f>
        <v>1695.14989060275</v>
      </c>
      <c r="R79" s="56" t="n">
        <f aca="false">Q79-G79</f>
        <v>-333.890328503334</v>
      </c>
      <c r="S79" s="55" t="n">
        <v>0</v>
      </c>
      <c r="T79" s="56" t="n">
        <f aca="false">S79*IF($A79&gt;=1923,C79,1)</f>
        <v>0</v>
      </c>
      <c r="U79" s="55" t="n">
        <v>0</v>
      </c>
      <c r="V79" s="55" t="n">
        <v>0</v>
      </c>
      <c r="W79" s="56" t="n">
        <f aca="false">(X78-0)*jp_foreign_repay+0</f>
        <v>8.94784124156403</v>
      </c>
      <c r="X79" s="56" t="n">
        <f aca="false">X78+T79-W79</f>
        <v>289.313533477237</v>
      </c>
      <c r="Y79" s="56" t="n">
        <f aca="false">AG79+AF79-AH79</f>
        <v>0</v>
      </c>
      <c r="Z79" s="56" t="n">
        <f aca="false">X79+Y79</f>
        <v>289.313533477237</v>
      </c>
      <c r="AA79" s="66" t="n">
        <f aca="false">IF(D79&gt;0,Z79/D79,0)</f>
        <v>0.0171103675966382</v>
      </c>
      <c r="AB79" s="66" t="n">
        <f aca="false">IF(G79&gt;0,P79/G79,0)</f>
        <v>0.00734981425972432</v>
      </c>
      <c r="AC79" s="66" t="n">
        <f aca="false">IF(T79+AF79&gt;0,T79/(T79+AF79),0)</f>
        <v>0</v>
      </c>
      <c r="AD79" s="92" t="n">
        <f aca="false">AJ78</f>
        <v>595.14386569569</v>
      </c>
      <c r="AE79" s="92" t="n">
        <f aca="false">AD79+G79+T79+U79+AP79-Q79-W79-AO79</f>
        <v>920.08635295746</v>
      </c>
      <c r="AF79" s="92" t="n">
        <f aca="false">MAX(0,-AE79)</f>
        <v>0</v>
      </c>
      <c r="AG79" s="92" t="n">
        <f aca="false">Y78+V79</f>
        <v>0</v>
      </c>
      <c r="AH79" s="92" t="n">
        <f aca="false">MIN(MAX(0,AE79),AG79)</f>
        <v>0</v>
      </c>
      <c r="AI79" s="92" t="n">
        <f aca="false">AE79+AF79-AH79</f>
        <v>920.08635295746</v>
      </c>
      <c r="AJ79" s="92" t="n">
        <f aca="false">AI79</f>
        <v>920.08635295746</v>
      </c>
      <c r="AK79" s="92" t="n">
        <f aca="false">AK78</f>
        <v>0</v>
      </c>
      <c r="AL79" s="92" t="n">
        <f aca="false">AJ79+AK79+AN79-Z79</f>
        <v>630.772819480223</v>
      </c>
      <c r="AM79" s="92" t="n">
        <f aca="false">AJ79-(AD79+G79+T79+U79+AF79+AP79-Q79-W79-AH79-AO79)</f>
        <v>0</v>
      </c>
      <c r="AN79" s="92" t="n">
        <f aca="false">0</f>
        <v>0</v>
      </c>
      <c r="AO79" s="92" t="n">
        <f aca="false">0</f>
        <v>0</v>
      </c>
      <c r="AP79" s="92" t="n">
        <f aca="false">0</f>
        <v>0</v>
      </c>
    </row>
    <row r="80" customFormat="false" ht="14.25" hidden="false" customHeight="true" outlineLevel="0" collapsed="false">
      <c r="A80" s="64" t="n">
        <v>1920</v>
      </c>
      <c r="B80" s="47" t="n">
        <v>7930</v>
      </c>
      <c r="C80" s="91" t="n">
        <f aca="false">Partners!H80</f>
        <v>2.22112789028344</v>
      </c>
      <c r="D80" s="49" t="n">
        <f aca="false">Partners!I80</f>
        <v>17613.5441699476</v>
      </c>
      <c r="E80" s="62" t="n">
        <v>0.12</v>
      </c>
      <c r="F80" s="62" t="n">
        <v>0.085</v>
      </c>
      <c r="G80" s="56" t="n">
        <f aca="false">D80*E80</f>
        <v>2113.62530039372</v>
      </c>
      <c r="H80" s="56" t="n">
        <f aca="false">D80*F80</f>
        <v>1497.15125444555</v>
      </c>
      <c r="I80" s="55" t="n">
        <v>150</v>
      </c>
      <c r="J80" s="56" t="n">
        <f aca="false">IF($A80&gt;=1927,(1-pac_quota)*Navy!X80,I80)</f>
        <v>150</v>
      </c>
      <c r="K80" s="55" t="n">
        <v>136</v>
      </c>
      <c r="L80" s="56" t="n">
        <f aca="false">IF($A80&gt;=1923,siberia_front*(1-pac_quota),0)</f>
        <v>0</v>
      </c>
      <c r="M80" s="55" t="n">
        <v>0</v>
      </c>
      <c r="N80" s="56" t="n">
        <f aca="false">M80*C80</f>
        <v>0</v>
      </c>
      <c r="O80" s="56" t="n">
        <f aca="false">IF($A80&gt;=1927,10*(1-pac_quota),0)</f>
        <v>0</v>
      </c>
      <c r="P80" s="56" t="n">
        <f aca="false">jp_coupon*(Z79-0)+0</f>
        <v>14.4656766738619</v>
      </c>
      <c r="Q80" s="56" t="n">
        <f aca="false">H80+J80+K80+L80+N80+O80+P80</f>
        <v>1797.61693111941</v>
      </c>
      <c r="R80" s="56" t="n">
        <f aca="false">Q80-G80</f>
        <v>-316.008369274306</v>
      </c>
      <c r="S80" s="55" t="n">
        <v>0</v>
      </c>
      <c r="T80" s="56" t="n">
        <f aca="false">S80*IF($A80&gt;=1923,C80,1)</f>
        <v>0</v>
      </c>
      <c r="U80" s="55" t="n">
        <v>0</v>
      </c>
      <c r="V80" s="55" t="n">
        <v>0</v>
      </c>
      <c r="W80" s="56" t="n">
        <f aca="false">(X79-0)*jp_foreign_repay+0</f>
        <v>8.67940600431711</v>
      </c>
      <c r="X80" s="56" t="n">
        <f aca="false">X79+T80-W80</f>
        <v>280.63412747292</v>
      </c>
      <c r="Y80" s="56" t="n">
        <f aca="false">AG80+AF80-AH80</f>
        <v>0</v>
      </c>
      <c r="Z80" s="56" t="n">
        <f aca="false">X80+Y80</f>
        <v>280.63412747292</v>
      </c>
      <c r="AA80" s="66" t="n">
        <f aca="false">IF(D80&gt;0,Z80/D80,0)</f>
        <v>0.0159328596655601</v>
      </c>
      <c r="AB80" s="66" t="n">
        <f aca="false">IF(G80&gt;0,P80/G80,0)</f>
        <v>0.00684401188383166</v>
      </c>
      <c r="AC80" s="66" t="n">
        <f aca="false">IF(T80+AF80&gt;0,T80/(T80+AF80),0)</f>
        <v>0</v>
      </c>
      <c r="AD80" s="92" t="n">
        <f aca="false">AJ79</f>
        <v>920.08635295746</v>
      </c>
      <c r="AE80" s="92" t="n">
        <f aca="false">AD80+G80+T80+U80+AP80-Q80-W80-AO80</f>
        <v>1227.41531622745</v>
      </c>
      <c r="AF80" s="92" t="n">
        <f aca="false">MAX(0,-AE80)</f>
        <v>0</v>
      </c>
      <c r="AG80" s="92" t="n">
        <f aca="false">Y79+V80</f>
        <v>0</v>
      </c>
      <c r="AH80" s="92" t="n">
        <f aca="false">MIN(MAX(0,AE80),AG80)</f>
        <v>0</v>
      </c>
      <c r="AI80" s="92" t="n">
        <f aca="false">AE80+AF80-AH80</f>
        <v>1227.41531622745</v>
      </c>
      <c r="AJ80" s="92" t="n">
        <f aca="false">AI80</f>
        <v>1227.41531622745</v>
      </c>
      <c r="AK80" s="92" t="n">
        <f aca="false">AK79</f>
        <v>0</v>
      </c>
      <c r="AL80" s="92" t="n">
        <f aca="false">AJ80+AK80+AN80-Z80</f>
        <v>946.781188754528</v>
      </c>
      <c r="AM80" s="92" t="n">
        <f aca="false">AJ80-(AD80+G80+T80+U80+AF80+AP80-Q80-W80-AH80-AO80)</f>
        <v>0</v>
      </c>
      <c r="AN80" s="92" t="n">
        <f aca="false">0</f>
        <v>0</v>
      </c>
      <c r="AO80" s="92" t="n">
        <f aca="false">0</f>
        <v>0</v>
      </c>
      <c r="AP80" s="92" t="n">
        <f aca="false">0</f>
        <v>0</v>
      </c>
    </row>
    <row r="81" customFormat="false" ht="14.25" hidden="false" customHeight="true" outlineLevel="0" collapsed="false">
      <c r="A81" s="64" t="n">
        <v>1921</v>
      </c>
      <c r="B81" s="47" t="n">
        <v>7430</v>
      </c>
      <c r="C81" s="91" t="n">
        <f aca="false">Partners!H81</f>
        <v>2.258001140193</v>
      </c>
      <c r="D81" s="49" t="n">
        <f aca="false">Partners!I81</f>
        <v>16776.948471634</v>
      </c>
      <c r="E81" s="62" t="n">
        <v>0.1211</v>
      </c>
      <c r="F81" s="62" t="n">
        <v>0.0867</v>
      </c>
      <c r="G81" s="56" t="n">
        <f aca="false">D81*E81</f>
        <v>2031.68845991488</v>
      </c>
      <c r="H81" s="56" t="n">
        <f aca="false">D81*F81</f>
        <v>1454.56143249067</v>
      </c>
      <c r="I81" s="55" t="n">
        <v>160</v>
      </c>
      <c r="J81" s="56" t="n">
        <f aca="false">IF($A81&gt;=1927,(1-pac_quota)*Navy!X81,I81)</f>
        <v>160</v>
      </c>
      <c r="K81" s="55" t="n">
        <v>127</v>
      </c>
      <c r="L81" s="56" t="n">
        <f aca="false">IF($A81&gt;=1923,siberia_front*(1-pac_quota),0)</f>
        <v>0</v>
      </c>
      <c r="M81" s="55" t="n">
        <v>0</v>
      </c>
      <c r="N81" s="56" t="n">
        <f aca="false">M81*C81</f>
        <v>0</v>
      </c>
      <c r="O81" s="56" t="n">
        <f aca="false">IF($A81&gt;=1927,10*(1-pac_quota),0)</f>
        <v>0</v>
      </c>
      <c r="P81" s="56" t="n">
        <f aca="false">jp_coupon*(Z80-0)+0</f>
        <v>14.031706373646</v>
      </c>
      <c r="Q81" s="56" t="n">
        <f aca="false">H81+J81+K81+L81+N81+O81+P81</f>
        <v>1755.59313886431</v>
      </c>
      <c r="R81" s="56" t="n">
        <f aca="false">Q81-G81</f>
        <v>-276.095321050564</v>
      </c>
      <c r="S81" s="55" t="n">
        <v>0</v>
      </c>
      <c r="T81" s="56" t="n">
        <f aca="false">S81*IF($A81&gt;=1923,C81,1)</f>
        <v>0</v>
      </c>
      <c r="U81" s="55" t="n">
        <v>0</v>
      </c>
      <c r="V81" s="55" t="n">
        <v>0</v>
      </c>
      <c r="W81" s="56" t="n">
        <f aca="false">(X80-0)*jp_foreign_repay+0</f>
        <v>8.4190238241876</v>
      </c>
      <c r="X81" s="56" t="n">
        <f aca="false">X80+T81-W81</f>
        <v>272.215103648732</v>
      </c>
      <c r="Y81" s="56" t="n">
        <f aca="false">AG81+AF81-AH81</f>
        <v>0</v>
      </c>
      <c r="Z81" s="56" t="n">
        <f aca="false">X81+Y81</f>
        <v>272.215103648732</v>
      </c>
      <c r="AA81" s="66" t="n">
        <f aca="false">IF(D81&gt;0,Z81/D81,0)</f>
        <v>0.0162255432869086</v>
      </c>
      <c r="AB81" s="66" t="n">
        <f aca="false">IF(G81&gt;0,P81/G81,0)</f>
        <v>0.00690642618220802</v>
      </c>
      <c r="AC81" s="66" t="n">
        <f aca="false">IF(T81+AF81&gt;0,T81/(T81+AF81),0)</f>
        <v>0</v>
      </c>
      <c r="AD81" s="92" t="n">
        <f aca="false">AJ80</f>
        <v>1227.41531622745</v>
      </c>
      <c r="AE81" s="92" t="n">
        <f aca="false">AD81+G81+T81+U81+AP81-Q81-W81-AO81</f>
        <v>1495.09161345382</v>
      </c>
      <c r="AF81" s="92" t="n">
        <f aca="false">MAX(0,-AE81)</f>
        <v>0</v>
      </c>
      <c r="AG81" s="92" t="n">
        <f aca="false">Y80+V81</f>
        <v>0</v>
      </c>
      <c r="AH81" s="92" t="n">
        <f aca="false">MIN(MAX(0,AE81),AG81)</f>
        <v>0</v>
      </c>
      <c r="AI81" s="92" t="n">
        <f aca="false">AE81+AF81-AH81</f>
        <v>1495.09161345382</v>
      </c>
      <c r="AJ81" s="92" t="n">
        <f aca="false">AI81</f>
        <v>1495.09161345382</v>
      </c>
      <c r="AK81" s="92" t="n">
        <f aca="false">AK80</f>
        <v>0</v>
      </c>
      <c r="AL81" s="92" t="n">
        <f aca="false">AJ81+AK81+AN81-Z81</f>
        <v>1222.87650980509</v>
      </c>
      <c r="AM81" s="92" t="n">
        <f aca="false">AJ81-(AD81+G81+T81+U81+AF81+AP81-Q81-W81-AH81-AO81)</f>
        <v>0</v>
      </c>
      <c r="AN81" s="92" t="n">
        <f aca="false">0</f>
        <v>0</v>
      </c>
      <c r="AO81" s="92" t="n">
        <f aca="false">0</f>
        <v>0</v>
      </c>
      <c r="AP81" s="92" t="n">
        <f aca="false">0</f>
        <v>0</v>
      </c>
    </row>
    <row r="82" customFormat="false" ht="14.25" hidden="false" customHeight="true" outlineLevel="0" collapsed="false">
      <c r="A82" s="64" t="n">
        <v>1922</v>
      </c>
      <c r="B82" s="47" t="n">
        <v>7700</v>
      </c>
      <c r="C82" s="91" t="n">
        <f aca="false">Partners!H82</f>
        <v>2.29283098240893</v>
      </c>
      <c r="D82" s="49" t="n">
        <f aca="false">Partners!I82</f>
        <v>17654.7985645488</v>
      </c>
      <c r="E82" s="62" t="n">
        <v>0.1222</v>
      </c>
      <c r="F82" s="62" t="n">
        <v>0.0883</v>
      </c>
      <c r="G82" s="56" t="n">
        <f aca="false">D82*E82</f>
        <v>2157.41638458786</v>
      </c>
      <c r="H82" s="56" t="n">
        <f aca="false">D82*F82</f>
        <v>1558.91871324966</v>
      </c>
      <c r="I82" s="55" t="n">
        <v>130</v>
      </c>
      <c r="J82" s="56" t="n">
        <f aca="false">IF($A82&gt;=1927,(1-pac_quota)*Navy!X82,I82)</f>
        <v>130</v>
      </c>
      <c r="K82" s="55" t="n">
        <v>87</v>
      </c>
      <c r="L82" s="56" t="n">
        <f aca="false">IF($A82&gt;=1923,siberia_front*(1-pac_quota),0)</f>
        <v>0</v>
      </c>
      <c r="M82" s="55" t="n">
        <v>0</v>
      </c>
      <c r="N82" s="56" t="n">
        <f aca="false">M82*C82</f>
        <v>0</v>
      </c>
      <c r="O82" s="56" t="n">
        <f aca="false">IF($A82&gt;=1927,10*(1-pac_quota),0)</f>
        <v>0</v>
      </c>
      <c r="P82" s="56" t="n">
        <f aca="false">jp_coupon*(Z81-0)+0</f>
        <v>13.6107551824366</v>
      </c>
      <c r="Q82" s="56" t="n">
        <f aca="false">H82+J82+K82+L82+N82+O82+P82</f>
        <v>1789.52946843209</v>
      </c>
      <c r="R82" s="56" t="n">
        <f aca="false">Q82-G82</f>
        <v>-367.886916155767</v>
      </c>
      <c r="S82" s="55" t="n">
        <v>0</v>
      </c>
      <c r="T82" s="56" t="n">
        <f aca="false">S82*IF($A82&gt;=1923,C82,1)</f>
        <v>0</v>
      </c>
      <c r="U82" s="55" t="n">
        <v>0</v>
      </c>
      <c r="V82" s="55" t="n">
        <v>0</v>
      </c>
      <c r="W82" s="56" t="n">
        <f aca="false">(X81-0)*jp_foreign_repay+0</f>
        <v>8.16645310946197</v>
      </c>
      <c r="X82" s="56" t="n">
        <f aca="false">X81+T82-W82</f>
        <v>264.04865053927</v>
      </c>
      <c r="Y82" s="56" t="n">
        <f aca="false">AG82+AF82-AH82</f>
        <v>0</v>
      </c>
      <c r="Z82" s="56" t="n">
        <f aca="false">X82+Y82</f>
        <v>264.04865053927</v>
      </c>
      <c r="AA82" s="66" t="n">
        <f aca="false">IF(D82&gt;0,Z82/D82,0)</f>
        <v>0.014956197295249</v>
      </c>
      <c r="AB82" s="66" t="n">
        <f aca="false">IF(G82&gt;0,P82/G82,0)</f>
        <v>0.00630882164410592</v>
      </c>
      <c r="AC82" s="66" t="n">
        <f aca="false">IF(T82+AF82&gt;0,T82/(T82+AF82),0)</f>
        <v>0</v>
      </c>
      <c r="AD82" s="92" t="n">
        <f aca="false">AJ81</f>
        <v>1495.09161345382</v>
      </c>
      <c r="AE82" s="92" t="n">
        <f aca="false">AD82+G82+T82+U82+AP82-Q82-W82-AO82</f>
        <v>1854.81207650013</v>
      </c>
      <c r="AF82" s="92" t="n">
        <f aca="false">MAX(0,-AE82)</f>
        <v>0</v>
      </c>
      <c r="AG82" s="92" t="n">
        <f aca="false">Y81+V82</f>
        <v>0</v>
      </c>
      <c r="AH82" s="92" t="n">
        <f aca="false">MIN(MAX(0,AE82),AG82)</f>
        <v>0</v>
      </c>
      <c r="AI82" s="92" t="n">
        <f aca="false">AE82+AF82-AH82</f>
        <v>1854.81207650013</v>
      </c>
      <c r="AJ82" s="92" t="n">
        <f aca="false">AI82</f>
        <v>1854.81207650013</v>
      </c>
      <c r="AK82" s="92" t="n">
        <f aca="false">AK81</f>
        <v>0</v>
      </c>
      <c r="AL82" s="92" t="n">
        <f aca="false">AJ82+AK82+AN82-Z82</f>
        <v>1590.76342596086</v>
      </c>
      <c r="AM82" s="92" t="n">
        <f aca="false">AJ82-(AD82+G82+T82+U82+AF82+AP82-Q82-W82-AH82-AO82)</f>
        <v>0</v>
      </c>
      <c r="AN82" s="92" t="n">
        <f aca="false">0</f>
        <v>0</v>
      </c>
      <c r="AO82" s="92" t="n">
        <f aca="false">0</f>
        <v>0</v>
      </c>
      <c r="AP82" s="92" t="n">
        <f aca="false">0</f>
        <v>0</v>
      </c>
    </row>
    <row r="83" customFormat="false" ht="14.25" hidden="false" customHeight="true" outlineLevel="0" collapsed="false">
      <c r="A83" s="61" t="n">
        <v>1923</v>
      </c>
      <c r="B83" s="47" t="n">
        <v>7430</v>
      </c>
      <c r="C83" s="91" t="n">
        <f aca="false">Partners!H83</f>
        <v>2.3281284890852</v>
      </c>
      <c r="D83" s="49" t="n">
        <f aca="false">Partners!I83</f>
        <v>17297.9946739031</v>
      </c>
      <c r="E83" s="62" t="n">
        <v>0.1233</v>
      </c>
      <c r="F83" s="62" t="n">
        <v>0.09</v>
      </c>
      <c r="G83" s="56" t="n">
        <f aca="false">D83*E83</f>
        <v>2132.84274329225</v>
      </c>
      <c r="H83" s="56" t="n">
        <f aca="false">D83*F83</f>
        <v>1556.81952065127</v>
      </c>
      <c r="I83" s="55" t="n">
        <v>120</v>
      </c>
      <c r="J83" s="56" t="n">
        <f aca="false">IF($A83&gt;=1927,(1-pac_quota)*Navy!X83,I83)</f>
        <v>120</v>
      </c>
      <c r="K83" s="55" t="n">
        <v>0</v>
      </c>
      <c r="L83" s="56" t="n">
        <f aca="false">INDEX(Siberia!$D$38:$D$52,MATCH($A83,Siberia!$A$38:$A$52,0))</f>
        <v>5.51422934680345</v>
      </c>
      <c r="M83" s="55" t="n">
        <v>150</v>
      </c>
      <c r="N83" s="56" t="n">
        <f aca="false">M83*C83</f>
        <v>349.21927336278</v>
      </c>
      <c r="O83" s="56" t="n">
        <f aca="false">IF($A83&gt;=1927,10*(1-pac_quota),0)</f>
        <v>0</v>
      </c>
      <c r="P83" s="56" t="n">
        <f aca="false">jp_coupon*(Z82-0)+0</f>
        <v>13.2024325269635</v>
      </c>
      <c r="Q83" s="56" t="n">
        <f aca="false">H83+J83+K83+L83+N83+O83+P83</f>
        <v>2044.75545588782</v>
      </c>
      <c r="R83" s="56" t="n">
        <f aca="false">Q83-G83</f>
        <v>-88.0872874044248</v>
      </c>
      <c r="S83" s="55" t="n">
        <v>150</v>
      </c>
      <c r="T83" s="56" t="n">
        <f aca="false">S83*IF($A83&gt;=1923,C83,1)</f>
        <v>349.21927336278</v>
      </c>
      <c r="U83" s="55" t="n">
        <v>0</v>
      </c>
      <c r="V83" s="55" t="n">
        <v>0</v>
      </c>
      <c r="W83" s="56" t="n">
        <f aca="false">(X82-0)*jp_foreign_repay+0</f>
        <v>7.92145951617811</v>
      </c>
      <c r="X83" s="56" t="n">
        <f aca="false">X82+T83-W83</f>
        <v>605.346464385873</v>
      </c>
      <c r="Y83" s="56" t="n">
        <f aca="false">AG83+AF83-AH83</f>
        <v>0</v>
      </c>
      <c r="Z83" s="56" t="n">
        <f aca="false">X83+Y83</f>
        <v>605.346464385873</v>
      </c>
      <c r="AA83" s="66" t="n">
        <f aca="false">IF(D83&gt;0,Z83/D83,0)</f>
        <v>0.0349951815685977</v>
      </c>
      <c r="AB83" s="66" t="n">
        <f aca="false">IF(G83&gt;0,P83/G83,0)</f>
        <v>0.006190063739338</v>
      </c>
      <c r="AC83" s="66" t="n">
        <f aca="false">IF(T83+AF83&gt;0,T83/(T83+AF83),0)</f>
        <v>1</v>
      </c>
      <c r="AD83" s="92" t="n">
        <f aca="false">AJ82</f>
        <v>1854.81207650013</v>
      </c>
      <c r="AE83" s="92" t="n">
        <f aca="false">AD83+G83+T83+U83+AP83-Q83-W83-AO83</f>
        <v>2284.19717775116</v>
      </c>
      <c r="AF83" s="92" t="n">
        <f aca="false">MAX(0,-AE83)</f>
        <v>0</v>
      </c>
      <c r="AG83" s="92" t="n">
        <f aca="false">Y82+V83</f>
        <v>0</v>
      </c>
      <c r="AH83" s="92" t="n">
        <f aca="false">MIN(MAX(0,AE83),AG83)</f>
        <v>0</v>
      </c>
      <c r="AI83" s="92" t="n">
        <f aca="false">AE83+AF83-AH83</f>
        <v>2284.19717775116</v>
      </c>
      <c r="AJ83" s="92" t="n">
        <f aca="false">AI83</f>
        <v>2284.19717775116</v>
      </c>
      <c r="AK83" s="92" t="n">
        <f aca="false">AK82</f>
        <v>0</v>
      </c>
      <c r="AL83" s="92" t="n">
        <f aca="false">AJ83+AK83+AN83-Z83</f>
        <v>1678.85071336528</v>
      </c>
      <c r="AM83" s="92" t="n">
        <f aca="false">AJ83-(AD83+G83+T83+U83+AF83+AP83-Q83-W83-AH83-AO83)</f>
        <v>0</v>
      </c>
      <c r="AN83" s="92" t="n">
        <f aca="false">0</f>
        <v>0</v>
      </c>
      <c r="AO83" s="92" t="n">
        <f aca="false">0</f>
        <v>0</v>
      </c>
      <c r="AP83" s="92" t="n">
        <f aca="false">0</f>
        <v>0</v>
      </c>
    </row>
    <row r="84" customFormat="false" ht="14.25" hidden="false" customHeight="true" outlineLevel="0" collapsed="false">
      <c r="A84" s="61" t="n">
        <v>1924</v>
      </c>
      <c r="B84" s="47" t="n">
        <v>7900</v>
      </c>
      <c r="C84" s="91" t="n">
        <f aca="false">Partners!H84</f>
        <v>2.36728645841504</v>
      </c>
      <c r="D84" s="49" t="n">
        <f aca="false">Partners!I84</f>
        <v>18701.5630214788</v>
      </c>
      <c r="E84" s="62" t="n">
        <v>0.1244</v>
      </c>
      <c r="F84" s="62" t="n">
        <v>0.0917</v>
      </c>
      <c r="G84" s="56" t="n">
        <f aca="false">D84*E84</f>
        <v>2326.47443987196</v>
      </c>
      <c r="H84" s="56" t="n">
        <f aca="false">D84*F84</f>
        <v>1714.93332906961</v>
      </c>
      <c r="I84" s="55" t="n">
        <v>110</v>
      </c>
      <c r="J84" s="56" t="n">
        <f aca="false">IF($A84&gt;=1927,(1-pac_quota)*Navy!X84,I84)</f>
        <v>110</v>
      </c>
      <c r="K84" s="55" t="n">
        <v>0</v>
      </c>
      <c r="L84" s="56" t="n">
        <f aca="false">INDEX(Siberia!$D$38:$D$52,MATCH($A84,Siberia!$A$38:$A$52,0))</f>
        <v>5.38155134680345</v>
      </c>
      <c r="M84" s="55" t="n">
        <v>200</v>
      </c>
      <c r="N84" s="56" t="n">
        <f aca="false">M84*C84</f>
        <v>473.457291683008</v>
      </c>
      <c r="O84" s="56" t="n">
        <f aca="false">IF($A84&gt;=1927,10*(1-pac_quota),0)</f>
        <v>0</v>
      </c>
      <c r="P84" s="56" t="n">
        <f aca="false">jp_coupon*(Z83-0)+0</f>
        <v>30.2673232192936</v>
      </c>
      <c r="Q84" s="56" t="n">
        <f aca="false">H84+J84+K84+L84+N84+O84+P84</f>
        <v>2334.03949531871</v>
      </c>
      <c r="R84" s="56" t="n">
        <f aca="false">Q84-G84</f>
        <v>7.56505544674837</v>
      </c>
      <c r="S84" s="55" t="n">
        <v>0</v>
      </c>
      <c r="T84" s="56" t="n">
        <f aca="false">S84*IF($A84&gt;=1923,C84,1)</f>
        <v>0</v>
      </c>
      <c r="U84" s="55" t="n">
        <v>0</v>
      </c>
      <c r="V84" s="55" t="n">
        <v>0</v>
      </c>
      <c r="W84" s="56" t="n">
        <f aca="false">(X83-0)*jp_foreign_repay+0</f>
        <v>18.1603939315762</v>
      </c>
      <c r="X84" s="56" t="n">
        <f aca="false">X83+T84-W84</f>
        <v>587.186070454296</v>
      </c>
      <c r="Y84" s="56" t="n">
        <f aca="false">AG84+AF84-AH84</f>
        <v>0</v>
      </c>
      <c r="Z84" s="56" t="n">
        <f aca="false">X84+Y84</f>
        <v>587.186070454296</v>
      </c>
      <c r="AA84" s="66" t="n">
        <f aca="false">IF(D84&gt;0,Z84/D84,0)</f>
        <v>0.0313977002767048</v>
      </c>
      <c r="AB84" s="66" t="n">
        <f aca="false">IF(G84&gt;0,P84/G84,0)</f>
        <v>0.0130099530433523</v>
      </c>
      <c r="AC84" s="66" t="n">
        <f aca="false">IF(T84+AF84&gt;0,T84/(T84+AF84),0)</f>
        <v>0</v>
      </c>
      <c r="AD84" s="92" t="n">
        <f aca="false">AJ83</f>
        <v>2284.19717775116</v>
      </c>
      <c r="AE84" s="92" t="n">
        <f aca="false">AD84+G84+T84+U84+AP84-Q84-W84-AO84</f>
        <v>2258.47172837283</v>
      </c>
      <c r="AF84" s="92" t="n">
        <f aca="false">MAX(0,-AE84)</f>
        <v>0</v>
      </c>
      <c r="AG84" s="92" t="n">
        <f aca="false">Y83+V84</f>
        <v>0</v>
      </c>
      <c r="AH84" s="92" t="n">
        <f aca="false">MIN(MAX(0,AE84),AG84)</f>
        <v>0</v>
      </c>
      <c r="AI84" s="92" t="n">
        <f aca="false">AE84+AF84-AH84</f>
        <v>2258.47172837283</v>
      </c>
      <c r="AJ84" s="92" t="n">
        <f aca="false">AI84</f>
        <v>2258.47172837283</v>
      </c>
      <c r="AK84" s="92" t="n">
        <f aca="false">AK83</f>
        <v>0</v>
      </c>
      <c r="AL84" s="92" t="n">
        <f aca="false">AJ84+AK84+AN84-Z84</f>
        <v>1671.28565791854</v>
      </c>
      <c r="AM84" s="92" t="n">
        <f aca="false">AJ84-(AD84+G84+T84+U84+AF84+AP84-Q84-W84-AH84-AO84)</f>
        <v>0</v>
      </c>
      <c r="AN84" s="92" t="n">
        <f aca="false">0</f>
        <v>0</v>
      </c>
      <c r="AO84" s="92" t="n">
        <f aca="false">0</f>
        <v>0</v>
      </c>
      <c r="AP84" s="92" t="n">
        <f aca="false">0</f>
        <v>0</v>
      </c>
    </row>
    <row r="85" customFormat="false" ht="14.25" hidden="false" customHeight="true" outlineLevel="0" collapsed="false">
      <c r="A85" s="61" t="n">
        <v>1925</v>
      </c>
      <c r="B85" s="47" t="n">
        <v>8130</v>
      </c>
      <c r="C85" s="91" t="n">
        <f aca="false">Partners!H85</f>
        <v>2.4070803568971</v>
      </c>
      <c r="D85" s="49" t="n">
        <f aca="false">Partners!I85</f>
        <v>19569.5633015734</v>
      </c>
      <c r="E85" s="62" t="n">
        <v>0.1256</v>
      </c>
      <c r="F85" s="62" t="n">
        <v>0.0933</v>
      </c>
      <c r="G85" s="56" t="n">
        <f aca="false">D85*E85</f>
        <v>2457.93715067762</v>
      </c>
      <c r="H85" s="56" t="n">
        <f aca="false">D85*F85</f>
        <v>1825.8402560368</v>
      </c>
      <c r="I85" s="55" t="n">
        <v>112.5</v>
      </c>
      <c r="J85" s="56" t="n">
        <f aca="false">IF($A85&gt;=1927,(1-pac_quota)*Navy!X85,I85)</f>
        <v>112.5</v>
      </c>
      <c r="K85" s="55" t="n">
        <v>0</v>
      </c>
      <c r="L85" s="56" t="n">
        <f aca="false">INDEX(Siberia!$D$38:$D$52,MATCH($A85,Siberia!$A$38:$A$52,0))</f>
        <v>5.48120970507759</v>
      </c>
      <c r="M85" s="55" t="n">
        <v>150</v>
      </c>
      <c r="N85" s="56" t="n">
        <f aca="false">M85*C85</f>
        <v>361.062053534565</v>
      </c>
      <c r="O85" s="56" t="n">
        <f aca="false">IF($A85&gt;=1927,10*(1-pac_quota),0)</f>
        <v>0</v>
      </c>
      <c r="P85" s="56" t="n">
        <f aca="false">jp_coupon*(Z84-0)+0</f>
        <v>29.3593035227148</v>
      </c>
      <c r="Q85" s="56" t="n">
        <f aca="false">H85+J85+K85+L85+N85+O85+P85</f>
        <v>2334.24282279916</v>
      </c>
      <c r="R85" s="56" t="n">
        <f aca="false">Q85-G85</f>
        <v>-123.694327878464</v>
      </c>
      <c r="S85" s="55" t="n">
        <v>0</v>
      </c>
      <c r="T85" s="56" t="n">
        <f aca="false">S85*IF($A85&gt;=1923,C85,1)</f>
        <v>0</v>
      </c>
      <c r="U85" s="55" t="n">
        <v>0</v>
      </c>
      <c r="V85" s="55" t="n">
        <v>0</v>
      </c>
      <c r="W85" s="56" t="n">
        <f aca="false">(X84-0)*jp_foreign_repay+0</f>
        <v>17.6155821136289</v>
      </c>
      <c r="X85" s="56" t="n">
        <f aca="false">X84+T85-W85</f>
        <v>569.570488340668</v>
      </c>
      <c r="Y85" s="56" t="n">
        <f aca="false">AG85+AF85-AH85</f>
        <v>0</v>
      </c>
      <c r="Z85" s="56" t="n">
        <f aca="false">X85+Y85</f>
        <v>569.570488340668</v>
      </c>
      <c r="AA85" s="66" t="n">
        <f aca="false">IF(D85&gt;0,Z85/D85,0)</f>
        <v>0.0291049156061073</v>
      </c>
      <c r="AB85" s="66" t="n">
        <f aca="false">IF(G85&gt;0,P85/G85,0)</f>
        <v>0.0119446925299212</v>
      </c>
      <c r="AC85" s="66" t="n">
        <f aca="false">IF(T85+AF85&gt;0,T85/(T85+AF85),0)</f>
        <v>0</v>
      </c>
      <c r="AD85" s="92" t="n">
        <f aca="false">AJ84</f>
        <v>2258.47172837283</v>
      </c>
      <c r="AE85" s="92" t="n">
        <f aca="false">AD85+G85+T85+U85+AP85-Q85-W85-AO85</f>
        <v>2364.55047413767</v>
      </c>
      <c r="AF85" s="92" t="n">
        <f aca="false">MAX(0,-AE85)</f>
        <v>0</v>
      </c>
      <c r="AG85" s="92" t="n">
        <f aca="false">Y84+V85</f>
        <v>0</v>
      </c>
      <c r="AH85" s="92" t="n">
        <f aca="false">MIN(MAX(0,AE85),AG85)</f>
        <v>0</v>
      </c>
      <c r="AI85" s="92" t="n">
        <f aca="false">AE85+AF85-AH85</f>
        <v>2364.55047413767</v>
      </c>
      <c r="AJ85" s="92" t="n">
        <f aca="false">AI85</f>
        <v>2364.55047413767</v>
      </c>
      <c r="AK85" s="92" t="n">
        <f aca="false">AK84</f>
        <v>0</v>
      </c>
      <c r="AL85" s="92" t="n">
        <f aca="false">AJ85+AK85+AN85-Z85</f>
        <v>1794.979985797</v>
      </c>
      <c r="AM85" s="92" t="n">
        <f aca="false">AJ85-(AD85+G85+T85+U85+AF85+AP85-Q85-W85-AH85-AO85)</f>
        <v>0</v>
      </c>
      <c r="AN85" s="92" t="n">
        <f aca="false">0</f>
        <v>0</v>
      </c>
      <c r="AO85" s="92" t="n">
        <f aca="false">0</f>
        <v>0</v>
      </c>
      <c r="AP85" s="92" t="n">
        <f aca="false">0</f>
        <v>0</v>
      </c>
    </row>
    <row r="86" customFormat="false" ht="14.25" hidden="false" customHeight="true" outlineLevel="0" collapsed="false">
      <c r="A86" s="61" t="n">
        <v>1926</v>
      </c>
      <c r="B86" s="47" t="n">
        <v>7980</v>
      </c>
      <c r="C86" s="91" t="n">
        <f aca="false">Partners!H86</f>
        <v>2.4485602603497</v>
      </c>
      <c r="D86" s="49" t="n">
        <f aca="false">Partners!I86</f>
        <v>19539.5108775906</v>
      </c>
      <c r="E86" s="62" t="n">
        <v>0.1267</v>
      </c>
      <c r="F86" s="62" t="n">
        <v>0.095</v>
      </c>
      <c r="G86" s="56" t="n">
        <f aca="false">D86*E86</f>
        <v>2475.65602819073</v>
      </c>
      <c r="H86" s="56" t="n">
        <f aca="false">D86*F86</f>
        <v>1856.25353337111</v>
      </c>
      <c r="I86" s="55" t="n">
        <v>115</v>
      </c>
      <c r="J86" s="56" t="n">
        <f aca="false">IF($A86&gt;=1927,(1-pac_quota)*Navy!X86,I86)</f>
        <v>115</v>
      </c>
      <c r="K86" s="55" t="n">
        <v>0</v>
      </c>
      <c r="L86" s="56" t="n">
        <f aca="false">INDEX(Siberia!$D$38:$D$52,MATCH($A86,Siberia!$A$38:$A$52,0))</f>
        <v>5.38155134680345</v>
      </c>
      <c r="M86" s="55" t="n">
        <v>100</v>
      </c>
      <c r="N86" s="56" t="n">
        <f aca="false">M86*C86</f>
        <v>244.85602603497</v>
      </c>
      <c r="O86" s="56" t="n">
        <f aca="false">IF($A86&gt;=1927,10*(1-pac_quota),0)</f>
        <v>0</v>
      </c>
      <c r="P86" s="56" t="n">
        <f aca="false">jp_coupon*(Z85-0)+0</f>
        <v>28.4785244170334</v>
      </c>
      <c r="Q86" s="56" t="n">
        <f aca="false">H86+J86+K86+L86+N86+O86+P86</f>
        <v>2249.96963516992</v>
      </c>
      <c r="R86" s="56" t="n">
        <f aca="false">Q86-G86</f>
        <v>-225.686393020816</v>
      </c>
      <c r="S86" s="55" t="n">
        <v>0</v>
      </c>
      <c r="T86" s="56" t="n">
        <f aca="false">S86*IF($A86&gt;=1923,C86,1)</f>
        <v>0</v>
      </c>
      <c r="U86" s="55" t="n">
        <v>0</v>
      </c>
      <c r="V86" s="55" t="n">
        <v>0</v>
      </c>
      <c r="W86" s="56" t="n">
        <f aca="false">(X85-0)*jp_foreign_repay+0</f>
        <v>17.08711465022</v>
      </c>
      <c r="X86" s="56" t="n">
        <f aca="false">X85+T86-W86</f>
        <v>552.483373690448</v>
      </c>
      <c r="Y86" s="56" t="n">
        <f aca="false">AG86+AF86-AH86</f>
        <v>0</v>
      </c>
      <c r="Z86" s="56" t="n">
        <f aca="false">X86+Y86</f>
        <v>552.483373690448</v>
      </c>
      <c r="AA86" s="66" t="n">
        <f aca="false">IF(D86&gt;0,Z86/D86,0)</f>
        <v>0.0282751895455109</v>
      </c>
      <c r="AB86" s="66" t="n">
        <f aca="false">IF(G86&gt;0,P86/G86,0)</f>
        <v>0.0115034253921964</v>
      </c>
      <c r="AC86" s="66" t="n">
        <f aca="false">IF(T86+AF86&gt;0,T86/(T86+AF86),0)</f>
        <v>0</v>
      </c>
      <c r="AD86" s="92" t="n">
        <f aca="false">AJ85</f>
        <v>2364.55047413767</v>
      </c>
      <c r="AE86" s="92" t="n">
        <f aca="false">AD86+G86+T86+U86+AP86-Q86-W86-AO86</f>
        <v>2573.14975250826</v>
      </c>
      <c r="AF86" s="92" t="n">
        <f aca="false">MAX(0,-AE86)</f>
        <v>0</v>
      </c>
      <c r="AG86" s="92" t="n">
        <f aca="false">Y85+V86</f>
        <v>0</v>
      </c>
      <c r="AH86" s="92" t="n">
        <f aca="false">MIN(MAX(0,AE86),AG86)</f>
        <v>0</v>
      </c>
      <c r="AI86" s="92" t="n">
        <f aca="false">AE86+AF86-AH86</f>
        <v>2573.14975250826</v>
      </c>
      <c r="AJ86" s="92" t="n">
        <f aca="false">AI86</f>
        <v>2573.14975250826</v>
      </c>
      <c r="AK86" s="92" t="n">
        <f aca="false">AK85</f>
        <v>0</v>
      </c>
      <c r="AL86" s="92" t="n">
        <f aca="false">AJ86+AK86+AN86-Z86</f>
        <v>2020.66637881781</v>
      </c>
      <c r="AM86" s="92" t="n">
        <f aca="false">AJ86-(AD86+G86+T86+U86+AF86+AP86-Q86-W86-AH86-AO86)</f>
        <v>0</v>
      </c>
      <c r="AN86" s="92" t="n">
        <f aca="false">0</f>
        <v>0</v>
      </c>
      <c r="AO86" s="92" t="n">
        <f aca="false">0</f>
        <v>0</v>
      </c>
      <c r="AP86" s="92" t="n">
        <f aca="false">0</f>
        <v>0</v>
      </c>
    </row>
    <row r="87" customFormat="false" ht="14.25" hidden="false" customHeight="true" outlineLevel="0" collapsed="false">
      <c r="A87" s="61" t="n">
        <v>1927</v>
      </c>
      <c r="B87" s="47" t="n">
        <v>8130</v>
      </c>
      <c r="C87" s="91" t="n">
        <f aca="false">Partners!H87</f>
        <v>2.49214749461901</v>
      </c>
      <c r="D87" s="49" t="n">
        <f aca="false">Partners!I87</f>
        <v>20261.1591312525</v>
      </c>
      <c r="E87" s="62" t="n">
        <v>0.1278</v>
      </c>
      <c r="F87" s="62" t="n">
        <v>0.0967</v>
      </c>
      <c r="G87" s="56" t="n">
        <f aca="false">D87*E87+'Japan rescue'!J89</f>
        <v>2605.32474063698</v>
      </c>
      <c r="H87" s="56" t="n">
        <f aca="false">D87*F87</f>
        <v>1959.25408799212</v>
      </c>
      <c r="I87" s="55" t="n">
        <v>120</v>
      </c>
      <c r="J87" s="56" t="n">
        <f aca="false">IF($A87&gt;=1927,(1-pac_quota)*Navy!X87,I87)</f>
        <v>103.8141111</v>
      </c>
      <c r="K87" s="55" t="n">
        <v>0</v>
      </c>
      <c r="L87" s="56" t="n">
        <f aca="false">INDEX(Siberia!$D$38:$D$52,MATCH($A87,Siberia!$A$38:$A$52,0))</f>
        <v>5.24867353577126</v>
      </c>
      <c r="M87" s="55" t="n">
        <v>450</v>
      </c>
      <c r="N87" s="56" t="n">
        <f aca="false">'Japan rescue'!D59</f>
        <v>400</v>
      </c>
      <c r="O87" s="56" t="n">
        <f aca="false">IF($A87&gt;=1927,10*(1-pac_quota),0)</f>
        <v>3.5</v>
      </c>
      <c r="P87" s="56" t="n">
        <f aca="false">jp_coupon*(Z86-'Japan rescue'!B89)+'Japan rescue'!J89</f>
        <v>43.5727723474251</v>
      </c>
      <c r="Q87" s="56" t="n">
        <f aca="false">H87+J87+K87+L87+N87+O87+P87</f>
        <v>2515.38964497532</v>
      </c>
      <c r="R87" s="56" t="n">
        <f aca="false">Q87-G87</f>
        <v>-89.9350956616599</v>
      </c>
      <c r="S87" s="55" t="n">
        <v>0</v>
      </c>
      <c r="T87" s="56" t="n">
        <f aca="false">'Japan rescue'!C89</f>
        <v>497.099334947618</v>
      </c>
      <c r="U87" s="55" t="n">
        <v>0</v>
      </c>
      <c r="V87" s="55" t="n">
        <v>0</v>
      </c>
      <c r="W87" s="56" t="n">
        <f aca="false">(X86-'Japan rescue'!B89)*jp_foreign_repay+'Japan rescue'!F89</f>
        <v>16.5745012107134</v>
      </c>
      <c r="X87" s="56" t="n">
        <f aca="false">X86+T87-W87</f>
        <v>1033.00820742735</v>
      </c>
      <c r="Y87" s="56" t="n">
        <f aca="false">AG87+AF87-AH87</f>
        <v>0</v>
      </c>
      <c r="Z87" s="56" t="n">
        <f aca="false">X87+Y87</f>
        <v>1033.00820742735</v>
      </c>
      <c r="AA87" s="66" t="n">
        <f aca="false">IF(D87&gt;0,Z87/D87,0)</f>
        <v>0.0509846549615196</v>
      </c>
      <c r="AB87" s="66" t="n">
        <f aca="false">IF(G87&gt;0,P87/G87,0)</f>
        <v>0.0167245071862988</v>
      </c>
      <c r="AC87" s="66" t="n">
        <f aca="false">IF(T87+AF87&gt;0,T87/(T87+AF87),0)</f>
        <v>1</v>
      </c>
      <c r="AD87" s="92" t="n">
        <f aca="false">AJ86</f>
        <v>2573.14975250826</v>
      </c>
      <c r="AE87" s="92" t="n">
        <f aca="false">AD87+G87+T87+U87+AP87-Q87-W87-AO87</f>
        <v>2646.51034695921</v>
      </c>
      <c r="AF87" s="92" t="n">
        <f aca="false">MAX(0,-AE87)</f>
        <v>0</v>
      </c>
      <c r="AG87" s="92" t="n">
        <f aca="false">Y86+V87</f>
        <v>0</v>
      </c>
      <c r="AH87" s="92" t="n">
        <f aca="false">MIN(MAX(0,AE87),AG87)</f>
        <v>0</v>
      </c>
      <c r="AI87" s="92" t="n">
        <f aca="false">AE87+AF87-AH87</f>
        <v>2646.51034695921</v>
      </c>
      <c r="AJ87" s="92" t="n">
        <f aca="false">AI87</f>
        <v>2646.51034695921</v>
      </c>
      <c r="AK87" s="92" t="n">
        <f aca="false">N87</f>
        <v>400</v>
      </c>
      <c r="AL87" s="92" t="n">
        <f aca="false">AJ87+AK87+AN87-Z87</f>
        <v>2510.60147447947</v>
      </c>
      <c r="AM87" s="92" t="n">
        <f aca="false">AJ87-(AD87+G87+T87+U87+AF87+AP87-Q87-W87-AH87-AO87)</f>
        <v>0</v>
      </c>
      <c r="AN87" s="92" t="n">
        <f aca="false">'Japan rescue'!H89</f>
        <v>497.099334947618</v>
      </c>
      <c r="AO87" s="92" t="n">
        <f aca="false">'Japan rescue'!C89</f>
        <v>497.099334947618</v>
      </c>
      <c r="AP87" s="92" t="n">
        <f aca="false">'Japan rescue'!F89</f>
        <v>0</v>
      </c>
    </row>
    <row r="88" customFormat="false" ht="14.25" hidden="false" customHeight="true" outlineLevel="0" collapsed="false">
      <c r="A88" s="61" t="n">
        <v>1928</v>
      </c>
      <c r="B88" s="47" t="n">
        <v>8180</v>
      </c>
      <c r="C88" s="91" t="n">
        <f aca="false">Partners!H88</f>
        <v>2.53600043669972</v>
      </c>
      <c r="D88" s="49" t="n">
        <f aca="false">Partners!I88</f>
        <v>20744.4835722037</v>
      </c>
      <c r="E88" s="62" t="n">
        <v>0.1289</v>
      </c>
      <c r="F88" s="62" t="n">
        <v>0.0983</v>
      </c>
      <c r="G88" s="56" t="n">
        <f aca="false">D88*E88+'Japan rescue'!J90</f>
        <v>2701.30439587917</v>
      </c>
      <c r="H88" s="56" t="n">
        <f aca="false">D88*F88</f>
        <v>2039.18273514762</v>
      </c>
      <c r="I88" s="55" t="n">
        <v>120</v>
      </c>
      <c r="J88" s="56" t="n">
        <f aca="false">IF($A88&gt;=1927,(1-pac_quota)*Navy!X88,I88)</f>
        <v>105.267908375</v>
      </c>
      <c r="K88" s="55" t="n">
        <v>0</v>
      </c>
      <c r="L88" s="56" t="n">
        <f aca="false">INDEX(Siberia!$D$38:$D$52,MATCH($A88,Siberia!$A$38:$A$52,0))</f>
        <v>5.31511244128736</v>
      </c>
      <c r="M88" s="55" t="n">
        <v>0</v>
      </c>
      <c r="N88" s="56" t="n">
        <f aca="false">M88*C88</f>
        <v>0</v>
      </c>
      <c r="O88" s="56" t="n">
        <f aca="false">IF($A88&gt;=1927,10*(1-pac_quota),0)</f>
        <v>3.5</v>
      </c>
      <c r="P88" s="56" t="n">
        <f aca="false">jp_coupon*(Z87-'Japan rescue'!B90)+'Japan rescue'!J90</f>
        <v>54.1359070461057</v>
      </c>
      <c r="Q88" s="56" t="n">
        <f aca="false">H88+J88+K88+L88+N88+O88+P88</f>
        <v>2207.40166301001</v>
      </c>
      <c r="R88" s="56" t="n">
        <f aca="false">Q88-G88</f>
        <v>-493.902732869158</v>
      </c>
      <c r="S88" s="55" t="n">
        <v>0</v>
      </c>
      <c r="T88" s="56" t="n">
        <f aca="false">S88*IF($A88&gt;=1923,C88,1)</f>
        <v>0</v>
      </c>
      <c r="U88" s="55" t="n">
        <v>0</v>
      </c>
      <c r="V88" s="55" t="n">
        <v>0</v>
      </c>
      <c r="W88" s="56" t="n">
        <f aca="false">(X87-'Japan rescue'!B90)*jp_foreign_repay+'Japan rescue'!F90</f>
        <v>16.077266174392</v>
      </c>
      <c r="X88" s="56" t="n">
        <f aca="false">X87+T88-W88</f>
        <v>1016.93094125296</v>
      </c>
      <c r="Y88" s="56" t="n">
        <f aca="false">AG88+AF88-AH88</f>
        <v>0</v>
      </c>
      <c r="Z88" s="56" t="n">
        <f aca="false">X88+Y88</f>
        <v>1016.93094125296</v>
      </c>
      <c r="AA88" s="66" t="n">
        <f aca="false">IF(D88&gt;0,Z88/D88,0)</f>
        <v>0.0490217525885091</v>
      </c>
      <c r="AB88" s="66" t="n">
        <f aca="false">IF(G88&gt;0,P88/G88,0)</f>
        <v>0.0200406541109139</v>
      </c>
      <c r="AC88" s="66" t="n">
        <f aca="false">IF(T88+AF88&gt;0,T88/(T88+AF88),0)</f>
        <v>0</v>
      </c>
      <c r="AD88" s="92" t="n">
        <f aca="false">AJ87</f>
        <v>2646.51034695921</v>
      </c>
      <c r="AE88" s="92" t="n">
        <f aca="false">AD88+G88+T88+U88+AP88-Q88-W88-AO88</f>
        <v>3124.33581365397</v>
      </c>
      <c r="AF88" s="92" t="n">
        <f aca="false">MAX(0,-AE88)</f>
        <v>0</v>
      </c>
      <c r="AG88" s="92" t="n">
        <f aca="false">Y87+V88</f>
        <v>0</v>
      </c>
      <c r="AH88" s="92" t="n">
        <f aca="false">MIN(MAX(0,AE88),AG88)</f>
        <v>0</v>
      </c>
      <c r="AI88" s="92" t="n">
        <f aca="false">AE88+AF88-AH88</f>
        <v>3124.33581365397</v>
      </c>
      <c r="AJ88" s="92" t="n">
        <f aca="false">AI88</f>
        <v>3124.33581365397</v>
      </c>
      <c r="AK88" s="92" t="n">
        <f aca="false">AK87</f>
        <v>400</v>
      </c>
      <c r="AL88" s="92" t="n">
        <f aca="false">AJ88+AK88+AN88-Z88</f>
        <v>3004.50420734863</v>
      </c>
      <c r="AM88" s="92" t="n">
        <f aca="false">AJ88-(AD88+G88+T88+U88+AF88+AP88-Q88-W88-AH88-AO88)</f>
        <v>0</v>
      </c>
      <c r="AN88" s="92" t="n">
        <f aca="false">'Japan rescue'!H90</f>
        <v>497.099334947618</v>
      </c>
      <c r="AO88" s="92" t="n">
        <f aca="false">'Japan rescue'!C90</f>
        <v>0</v>
      </c>
      <c r="AP88" s="92" t="n">
        <f aca="false">'Japan rescue'!F90</f>
        <v>0</v>
      </c>
    </row>
    <row r="89" customFormat="false" ht="14.25" hidden="false" customHeight="true" outlineLevel="0" collapsed="false">
      <c r="A89" s="61" t="n">
        <v>1929</v>
      </c>
      <c r="B89" s="47" t="n">
        <v>8130</v>
      </c>
      <c r="C89" s="91" t="n">
        <f aca="false">Partners!H89</f>
        <v>2.58131192993456</v>
      </c>
      <c r="D89" s="49" t="n">
        <f aca="false">Partners!I89</f>
        <v>20986.0659903679</v>
      </c>
      <c r="E89" s="62" t="n">
        <v>0.13</v>
      </c>
      <c r="F89" s="62" t="n">
        <v>0.1</v>
      </c>
      <c r="G89" s="56" t="n">
        <f aca="false">D89*E89+'Japan rescue'!J91</f>
        <v>2755.52904216995</v>
      </c>
      <c r="H89" s="56" t="n">
        <f aca="false">D89*F89</f>
        <v>2098.60659903679</v>
      </c>
      <c r="I89" s="55" t="n">
        <v>120</v>
      </c>
      <c r="J89" s="56" t="n">
        <f aca="false">IF($A89&gt;=1927,(1-pac_quota)*Navy!X89,I89)</f>
        <v>98.728289625</v>
      </c>
      <c r="K89" s="55" t="n">
        <v>0</v>
      </c>
      <c r="L89" s="56" t="n">
        <f aca="false">INDEX(Siberia!$D$38:$D$52,MATCH($A89,Siberia!$A$38:$A$52,0))</f>
        <v>5.31511244128736</v>
      </c>
      <c r="M89" s="55" t="n">
        <v>0</v>
      </c>
      <c r="N89" s="56" t="n">
        <f aca="false">M89*C89</f>
        <v>0</v>
      </c>
      <c r="O89" s="56" t="n">
        <f aca="false">IF($A89&gt;=1927,10*(1-pac_quota),0)</f>
        <v>3.5</v>
      </c>
      <c r="P89" s="56" t="n">
        <f aca="false">jp_coupon*(Z88-'Japan rescue'!B91)+'Japan rescue'!J91</f>
        <v>53.3320437373861</v>
      </c>
      <c r="Q89" s="56" t="n">
        <f aca="false">H89+J89+K89+L89+N89+O89+P89</f>
        <v>2259.48204484047</v>
      </c>
      <c r="R89" s="56" t="n">
        <f aca="false">Q89-G89</f>
        <v>-496.046997329484</v>
      </c>
      <c r="S89" s="55" t="n">
        <v>0</v>
      </c>
      <c r="T89" s="56" t="n">
        <f aca="false">S89*IF($A89&gt;=1923,C89,1)</f>
        <v>0</v>
      </c>
      <c r="U89" s="55" t="n">
        <v>0</v>
      </c>
      <c r="V89" s="55" t="n">
        <v>0</v>
      </c>
      <c r="W89" s="56" t="n">
        <f aca="false">(X88-'Japan rescue'!B91)*jp_foreign_repay+'Japan rescue'!F91</f>
        <v>115.014815178684</v>
      </c>
      <c r="X89" s="56" t="n">
        <f aca="false">X88+T89-W89</f>
        <v>901.916126074277</v>
      </c>
      <c r="Y89" s="56" t="n">
        <f aca="false">AG89+AF89-AH89</f>
        <v>0</v>
      </c>
      <c r="Z89" s="56" t="n">
        <f aca="false">X89+Y89</f>
        <v>901.916126074277</v>
      </c>
      <c r="AA89" s="66" t="n">
        <f aca="false">IF(D89&gt;0,Z89/D89,0)</f>
        <v>0.0429769031741458</v>
      </c>
      <c r="AB89" s="66" t="n">
        <f aca="false">IF(G89&gt;0,P89/G89,0)</f>
        <v>0.0193545569366918</v>
      </c>
      <c r="AC89" s="66" t="n">
        <f aca="false">IF(T89+AF89&gt;0,T89/(T89+AF89),0)</f>
        <v>0</v>
      </c>
      <c r="AD89" s="92" t="n">
        <f aca="false">AJ88</f>
        <v>3124.33581365397</v>
      </c>
      <c r="AE89" s="92" t="n">
        <f aca="false">AD89+G89+T89+U89+AP89-Q89-W89-AO89</f>
        <v>3604.7878627943</v>
      </c>
      <c r="AF89" s="92" t="n">
        <f aca="false">MAX(0,-AE89)</f>
        <v>0</v>
      </c>
      <c r="AG89" s="92" t="n">
        <f aca="false">Y88+V89</f>
        <v>0</v>
      </c>
      <c r="AH89" s="92" t="n">
        <f aca="false">MIN(MAX(0,AE89),AG89)</f>
        <v>0</v>
      </c>
      <c r="AI89" s="92" t="n">
        <f aca="false">AE89+AF89-AH89</f>
        <v>3604.7878627943</v>
      </c>
      <c r="AJ89" s="92" t="n">
        <f aca="false">AI89</f>
        <v>3604.7878627943</v>
      </c>
      <c r="AK89" s="92" t="n">
        <f aca="false">AK88</f>
        <v>400</v>
      </c>
      <c r="AL89" s="92" t="n">
        <f aca="false">AJ89+AK89+AN89-Z89</f>
        <v>3500.55120467812</v>
      </c>
      <c r="AM89" s="92" t="n">
        <f aca="false">AJ89-(AD89+G89+T89+U89+AF89+AP89-Q89-W89-AH89-AO89)</f>
        <v>0</v>
      </c>
      <c r="AN89" s="92" t="n">
        <f aca="false">'Japan rescue'!H91</f>
        <v>397.679467958095</v>
      </c>
      <c r="AO89" s="92" t="n">
        <f aca="false">'Japan rescue'!C91</f>
        <v>0</v>
      </c>
      <c r="AP89" s="92" t="n">
        <f aca="false">'Japan rescue'!F91</f>
        <v>99.4198669895236</v>
      </c>
    </row>
    <row r="90" customFormat="false" ht="14.25" hidden="false" customHeight="true" outlineLevel="0" collapsed="false">
      <c r="A90" s="61" t="n">
        <v>1930</v>
      </c>
      <c r="B90" s="47" t="n">
        <v>7330</v>
      </c>
      <c r="C90" s="91" t="n">
        <f aca="false">Partners!H90</f>
        <v>2.62814437896097</v>
      </c>
      <c r="D90" s="49" t="n">
        <f aca="false">Partners!I90</f>
        <v>19264.2982977839</v>
      </c>
      <c r="E90" s="62" t="n">
        <v>0.1267</v>
      </c>
      <c r="F90" s="62" t="n">
        <v>0.1017</v>
      </c>
      <c r="G90" s="56" t="n">
        <f aca="false">D90*E90+'Japan rescue'!J92</f>
        <v>2462.65896506692</v>
      </c>
      <c r="H90" s="56" t="n">
        <f aca="false">D90*F90</f>
        <v>1959.17913688462</v>
      </c>
      <c r="I90" s="55" t="n">
        <v>120</v>
      </c>
      <c r="J90" s="56" t="n">
        <f aca="false">IF($A90&gt;=1927,(1-pac_quota)*Navy!X90,I90)</f>
        <v>101.27252282</v>
      </c>
      <c r="K90" s="55" t="n">
        <v>0</v>
      </c>
      <c r="L90" s="56" t="n">
        <f aca="false">INDEX(Siberia!$D$38:$D$52,MATCH($A90,Siberia!$A$38:$A$52,0))</f>
        <v>5.08257627198103</v>
      </c>
      <c r="M90" s="55" t="n">
        <v>0</v>
      </c>
      <c r="N90" s="56" t="n">
        <f aca="false">M90*C90</f>
        <v>0</v>
      </c>
      <c r="O90" s="56" t="n">
        <f aca="false">IF($A90&gt;=1927,10*(1-pac_quota),0)</f>
        <v>3.5</v>
      </c>
      <c r="P90" s="56" t="n">
        <f aca="false">jp_coupon*(Z89-'Japan rescue'!B92)+'Japan rescue'!J92</f>
        <v>47.0842036435043</v>
      </c>
      <c r="Q90" s="56" t="n">
        <f aca="false">H90+J90+K90+L90+N90+O90+P90</f>
        <v>2116.11843962011</v>
      </c>
      <c r="R90" s="56" t="n">
        <f aca="false">Q90-G90</f>
        <v>-346.540525446807</v>
      </c>
      <c r="S90" s="55" t="n">
        <v>0</v>
      </c>
      <c r="T90" s="56" t="n">
        <f aca="false">S90*IF($A90&gt;=1923,C90,1)</f>
        <v>0</v>
      </c>
      <c r="U90" s="55" t="n">
        <v>0</v>
      </c>
      <c r="V90" s="55" t="n">
        <v>0</v>
      </c>
      <c r="W90" s="56" t="n">
        <f aca="false">(X89-'Japan rescue'!B92)*jp_foreign_repay+'Japan rescue'!F92</f>
        <v>114.546966733009</v>
      </c>
      <c r="X90" s="56" t="n">
        <f aca="false">X89+T90-W90</f>
        <v>787.369159341268</v>
      </c>
      <c r="Y90" s="56" t="n">
        <f aca="false">AG90+AF90-AH90</f>
        <v>0</v>
      </c>
      <c r="Z90" s="56" t="n">
        <f aca="false">X90+Y90</f>
        <v>787.369159341268</v>
      </c>
      <c r="AA90" s="66" t="n">
        <f aca="false">IF(D90&gt;0,Z90/D90,0)</f>
        <v>0.0408719355966287</v>
      </c>
      <c r="AB90" s="66" t="n">
        <f aca="false">IF(G90&gt;0,P90/G90,0)</f>
        <v>0.0191192545583448</v>
      </c>
      <c r="AC90" s="66" t="n">
        <f aca="false">IF(T90+AF90&gt;0,T90/(T90+AF90),0)</f>
        <v>0</v>
      </c>
      <c r="AD90" s="92" t="n">
        <f aca="false">AJ89</f>
        <v>3604.7878627943</v>
      </c>
      <c r="AE90" s="92" t="n">
        <f aca="false">AD90+G90+T90+U90+AP90-Q90-W90-AO90</f>
        <v>3936.20128849762</v>
      </c>
      <c r="AF90" s="92" t="n">
        <f aca="false">MAX(0,-AE90)</f>
        <v>0</v>
      </c>
      <c r="AG90" s="92" t="n">
        <f aca="false">Y89+V90</f>
        <v>0</v>
      </c>
      <c r="AH90" s="92" t="n">
        <f aca="false">MIN(MAX(0,AE90),AG90)</f>
        <v>0</v>
      </c>
      <c r="AI90" s="92" t="n">
        <f aca="false">AE90+AF90-AH90</f>
        <v>3936.20128849762</v>
      </c>
      <c r="AJ90" s="92" t="n">
        <f aca="false">AI90</f>
        <v>3936.20128849762</v>
      </c>
      <c r="AK90" s="92" t="n">
        <f aca="false">AK89</f>
        <v>400</v>
      </c>
      <c r="AL90" s="92" t="n">
        <f aca="false">AJ90+AK90+AN90-Z90</f>
        <v>3847.09173012492</v>
      </c>
      <c r="AM90" s="92" t="n">
        <f aca="false">AJ90-(AD90+G90+T90+U90+AF90+AP90-Q90-W90-AH90-AO90)</f>
        <v>0</v>
      </c>
      <c r="AN90" s="92" t="n">
        <f aca="false">'Japan rescue'!H92</f>
        <v>298.259600968571</v>
      </c>
      <c r="AO90" s="92" t="n">
        <f aca="false">'Japan rescue'!C92</f>
        <v>0</v>
      </c>
      <c r="AP90" s="92" t="n">
        <f aca="false">'Japan rescue'!F92</f>
        <v>99.4198669895236</v>
      </c>
    </row>
    <row r="91" customFormat="false" ht="14.25" hidden="false" customHeight="true" outlineLevel="0" collapsed="false">
      <c r="A91" s="61" t="n">
        <v>1931</v>
      </c>
      <c r="B91" s="47" t="n">
        <v>6630</v>
      </c>
      <c r="C91" s="91" t="n">
        <f aca="false">Partners!H91</f>
        <v>2.67618842808357</v>
      </c>
      <c r="D91" s="49" t="n">
        <f aca="false">Partners!I91</f>
        <v>17743.1292781941</v>
      </c>
      <c r="E91" s="62" t="n">
        <v>0.1233</v>
      </c>
      <c r="F91" s="62" t="n">
        <v>0.1033</v>
      </c>
      <c r="G91" s="56" t="n">
        <f aca="false">D91*E91+'Japan rescue'!J93</f>
        <v>2204.1321180546</v>
      </c>
      <c r="H91" s="56" t="n">
        <f aca="false">D91*F91</f>
        <v>1832.86525443745</v>
      </c>
      <c r="I91" s="55" t="n">
        <v>120</v>
      </c>
      <c r="J91" s="56" t="n">
        <f aca="false">IF($A91&gt;=1927,(1-pac_quota)*Navy!X91,I91)</f>
        <v>100.795689155</v>
      </c>
      <c r="K91" s="55" t="n">
        <v>0</v>
      </c>
      <c r="L91" s="56" t="n">
        <f aca="false">INDEX(Siberia!$D$38:$D$52,MATCH($A91,Siberia!$A$38:$A$52,0))</f>
        <v>4.5510650278523</v>
      </c>
      <c r="M91" s="55" t="n">
        <v>0</v>
      </c>
      <c r="N91" s="56" t="n">
        <f aca="false">M91*C91</f>
        <v>0</v>
      </c>
      <c r="O91" s="56" t="n">
        <f aca="false">IF($A91&gt;=1927,10*(1-pac_quota),0)</f>
        <v>3.5</v>
      </c>
      <c r="P91" s="56" t="n">
        <f aca="false">jp_coupon*(Z90-'Japan rescue'!B93)+'Japan rescue'!J93</f>
        <v>40.8597559719062</v>
      </c>
      <c r="Q91" s="56" t="n">
        <f aca="false">H91+J91+K91+L91+N91+O91+P91</f>
        <v>1982.57176459221</v>
      </c>
      <c r="R91" s="56" t="n">
        <f aca="false">Q91-G91</f>
        <v>-221.560353462394</v>
      </c>
      <c r="S91" s="55" t="n">
        <v>0</v>
      </c>
      <c r="T91" s="56" t="n">
        <f aca="false">S91*IF($A91&gt;=1923,C91,1)</f>
        <v>0</v>
      </c>
      <c r="U91" s="55" t="n">
        <v>0</v>
      </c>
      <c r="V91" s="55" t="n">
        <v>0</v>
      </c>
      <c r="W91" s="56" t="n">
        <f aca="false">(X90-'Japan rescue'!B93)*jp_foreign_repay+'Japan rescue'!F93</f>
        <v>114.093153740705</v>
      </c>
      <c r="X91" s="56" t="n">
        <f aca="false">X90+T91-W91</f>
        <v>673.276005600563</v>
      </c>
      <c r="Y91" s="56" t="n">
        <f aca="false">AG91+AF91-AH91</f>
        <v>0</v>
      </c>
      <c r="Z91" s="56" t="n">
        <f aca="false">X91+Y91</f>
        <v>673.276005600563</v>
      </c>
      <c r="AA91" s="66" t="n">
        <f aca="false">IF(D91&gt;0,Z91/D91,0)</f>
        <v>0.0379457307132404</v>
      </c>
      <c r="AB91" s="66" t="n">
        <f aca="false">IF(G91&gt;0,P91/G91,0)</f>
        <v>0.0185377980009518</v>
      </c>
      <c r="AC91" s="66" t="n">
        <f aca="false">IF(T91+AF91&gt;0,T91/(T91+AF91),0)</f>
        <v>0</v>
      </c>
      <c r="AD91" s="92" t="n">
        <f aca="false">AJ90</f>
        <v>3936.20128849762</v>
      </c>
      <c r="AE91" s="92" t="n">
        <f aca="false">AD91+G91+T91+U91+AP91-Q91-W91-AO91</f>
        <v>4143.08835520883</v>
      </c>
      <c r="AF91" s="92" t="n">
        <f aca="false">MAX(0,-AE91)</f>
        <v>0</v>
      </c>
      <c r="AG91" s="92" t="n">
        <f aca="false">Y90+V91</f>
        <v>0</v>
      </c>
      <c r="AH91" s="92" t="n">
        <f aca="false">MIN(MAX(0,AE91),AG91)</f>
        <v>0</v>
      </c>
      <c r="AI91" s="92" t="n">
        <f aca="false">AE91+AF91-AH91</f>
        <v>4143.08835520883</v>
      </c>
      <c r="AJ91" s="92" t="n">
        <f aca="false">AI91</f>
        <v>4143.08835520883</v>
      </c>
      <c r="AK91" s="92" t="n">
        <f aca="false">AK90</f>
        <v>400</v>
      </c>
      <c r="AL91" s="92" t="n">
        <f aca="false">AJ91+AK91+AN91-Z91</f>
        <v>4068.65208358732</v>
      </c>
      <c r="AM91" s="92" t="n">
        <f aca="false">AJ91-(AD91+G91+T91+U91+AF91+AP91-Q91-W91-AH91-AO91)</f>
        <v>0</v>
      </c>
      <c r="AN91" s="92" t="n">
        <f aca="false">'Japan rescue'!H93</f>
        <v>198.839733979047</v>
      </c>
      <c r="AO91" s="92" t="n">
        <f aca="false">'Japan rescue'!C93</f>
        <v>0</v>
      </c>
      <c r="AP91" s="92" t="n">
        <f aca="false">'Japan rescue'!F93</f>
        <v>99.4198669895236</v>
      </c>
    </row>
    <row r="92" customFormat="false" ht="14.25" hidden="false" customHeight="true" outlineLevel="0" collapsed="false">
      <c r="A92" s="61" t="n">
        <v>1932</v>
      </c>
      <c r="B92" s="47" t="n">
        <v>6480</v>
      </c>
      <c r="C92" s="91" t="n">
        <f aca="false">Partners!H92</f>
        <v>2.72452564924814</v>
      </c>
      <c r="D92" s="49" t="n">
        <f aca="false">Partners!I92</f>
        <v>17654.9262071279</v>
      </c>
      <c r="E92" s="62" t="n">
        <v>0.12</v>
      </c>
      <c r="F92" s="62" t="n">
        <v>0.105</v>
      </c>
      <c r="G92" s="56" t="n">
        <f aca="false">D92*E92+'Japan rescue'!J94</f>
        <v>2129.5273302242</v>
      </c>
      <c r="H92" s="56" t="n">
        <f aca="false">D92*F92</f>
        <v>1853.76725174843</v>
      </c>
      <c r="I92" s="55" t="n">
        <v>120</v>
      </c>
      <c r="J92" s="56" t="n">
        <f aca="false">IF($A92&gt;=1927,(1-pac_quota)*Navy!X92,I92)</f>
        <v>87.89079957</v>
      </c>
      <c r="K92" s="55" t="n">
        <v>0</v>
      </c>
      <c r="L92" s="56" t="n">
        <f aca="false">INDEX(Siberia!$D$38:$D$52,MATCH($A92,Siberia!$A$38:$A$52,0))</f>
        <v>4.05277323648161</v>
      </c>
      <c r="M92" s="55" t="n">
        <v>0</v>
      </c>
      <c r="N92" s="56" t="n">
        <f aca="false">M92*C92</f>
        <v>0</v>
      </c>
      <c r="O92" s="56" t="n">
        <f aca="false">IF($A92&gt;=1927,10*(1-pac_quota),0)</f>
        <v>3.5</v>
      </c>
      <c r="P92" s="56" t="n">
        <f aca="false">jp_coupon*(Z91-'Japan rescue'!B94)+'Japan rescue'!J94</f>
        <v>34.6579989499234</v>
      </c>
      <c r="Q92" s="56" t="n">
        <f aca="false">H92+J92+K92+L92+N92+O92+P92</f>
        <v>1983.86882350484</v>
      </c>
      <c r="R92" s="56" t="n">
        <f aca="false">Q92-G92</f>
        <v>-145.658506719361</v>
      </c>
      <c r="S92" s="55" t="n">
        <v>0</v>
      </c>
      <c r="T92" s="56" t="n">
        <f aca="false">S92*IF($A92&gt;=1923,C92,1)</f>
        <v>0</v>
      </c>
      <c r="U92" s="55" t="n">
        <v>0</v>
      </c>
      <c r="V92" s="55" t="n">
        <v>0</v>
      </c>
      <c r="W92" s="56" t="n">
        <f aca="false">(X91-'Japan rescue'!B94)*jp_foreign_repay+'Japan rescue'!F94</f>
        <v>113.652955138169</v>
      </c>
      <c r="X92" s="56" t="n">
        <f aca="false">X91+T92-W92</f>
        <v>559.623050462394</v>
      </c>
      <c r="Y92" s="56" t="n">
        <f aca="false">AG92+AF92-AH92</f>
        <v>0</v>
      </c>
      <c r="Z92" s="56" t="n">
        <f aca="false">X92+Y92</f>
        <v>559.623050462394</v>
      </c>
      <c r="AA92" s="66" t="n">
        <f aca="false">IF(D92&gt;0,Z92/D92,0)</f>
        <v>0.0316978413784847</v>
      </c>
      <c r="AB92" s="66" t="n">
        <f aca="false">IF(G92&gt;0,P92/G92,0)</f>
        <v>0.0162749725997997</v>
      </c>
      <c r="AC92" s="66" t="n">
        <f aca="false">IF(T92+AF92&gt;0,T92/(T92+AF92),0)</f>
        <v>0</v>
      </c>
      <c r="AD92" s="92" t="n">
        <f aca="false">AJ91</f>
        <v>4143.08835520883</v>
      </c>
      <c r="AE92" s="92" t="n">
        <f aca="false">AD92+G92+T92+U92+AP92-Q92-W92-AO92</f>
        <v>4274.51377377955</v>
      </c>
      <c r="AF92" s="92" t="n">
        <f aca="false">MAX(0,-AE92)</f>
        <v>0</v>
      </c>
      <c r="AG92" s="92" t="n">
        <f aca="false">Y91+V92</f>
        <v>0</v>
      </c>
      <c r="AH92" s="92" t="n">
        <f aca="false">MIN(MAX(0,AE92),AG92)</f>
        <v>0</v>
      </c>
      <c r="AI92" s="92" t="n">
        <f aca="false">AE92+AF92-AH92</f>
        <v>4274.51377377955</v>
      </c>
      <c r="AJ92" s="92" t="n">
        <f aca="false">AI92</f>
        <v>4274.51377377955</v>
      </c>
      <c r="AK92" s="92" t="n">
        <f aca="false">AK91</f>
        <v>400</v>
      </c>
      <c r="AL92" s="92" t="n">
        <f aca="false">AJ92+AK92+AN92-Z92</f>
        <v>4214.31059030668</v>
      </c>
      <c r="AM92" s="92" t="n">
        <f aca="false">AJ92-(AD92+G92+T92+U92+AF92+AP92-Q92-W92-AH92-AO92)</f>
        <v>0</v>
      </c>
      <c r="AN92" s="92" t="n">
        <f aca="false">'Japan rescue'!H94</f>
        <v>99.4198669895236</v>
      </c>
      <c r="AO92" s="92" t="n">
        <f aca="false">'Japan rescue'!C94</f>
        <v>0</v>
      </c>
      <c r="AP92" s="92" t="n">
        <f aca="false">'Japan rescue'!F94</f>
        <v>99.4198669895236</v>
      </c>
    </row>
  </sheetData>
  <mergeCells count="4">
    <mergeCell ref="B4:D4"/>
    <mergeCell ref="E4:R4"/>
    <mergeCell ref="S4:W4"/>
    <mergeCell ref="X4:AC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W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false" outlineLevelRow="0" outlineLevelCol="0"/>
  <cols>
    <col collapsed="false" customWidth="true" hidden="false" outlineLevel="0" max="3" min="1" style="1" width="10.73"/>
    <col collapsed="false" customWidth="true" hidden="false" outlineLevel="0" max="4" min="4" style="1" width="33.2"/>
    <col collapsed="false" customWidth="true" hidden="false" outlineLevel="0" max="120" min="5" style="1" width="10.73"/>
  </cols>
  <sheetData>
    <row r="1" customFormat="false" ht="17.25" hidden="false" customHeight="true" outlineLevel="0" collapsed="false">
      <c r="A1" s="93" t="s">
        <v>1828</v>
      </c>
    </row>
    <row r="2" customFormat="false" ht="13.5" hidden="false" customHeight="true" outlineLevel="0" collapsed="false">
      <c r="A2" s="1" t="s">
        <v>1829</v>
      </c>
    </row>
    <row r="3" customFormat="false" ht="13.5" hidden="false" customHeight="true" outlineLevel="0" collapsed="false">
      <c r="A3" s="1" t="s">
        <v>1830</v>
      </c>
    </row>
    <row r="4" customFormat="false" ht="13.5" hidden="false" customHeight="true" outlineLevel="0" collapsed="false">
      <c r="A4" s="28" t="s">
        <v>1831</v>
      </c>
      <c r="H4" s="28" t="s">
        <v>1832</v>
      </c>
      <c r="T4" s="28" t="s">
        <v>1833</v>
      </c>
      <c r="AM4" s="28" t="s">
        <v>1834</v>
      </c>
      <c r="AR4" s="28" t="s">
        <v>1835</v>
      </c>
      <c r="AV4" s="28" t="s">
        <v>1836</v>
      </c>
      <c r="BC4" s="28" t="s">
        <v>1837</v>
      </c>
      <c r="BX4" s="28" t="s">
        <v>1838</v>
      </c>
      <c r="CF4" s="28" t="s">
        <v>1839</v>
      </c>
      <c r="CO4" s="28" t="s">
        <v>1840</v>
      </c>
      <c r="CV4" s="28" t="s">
        <v>1841</v>
      </c>
      <c r="CZ4" s="28" t="s">
        <v>1842</v>
      </c>
      <c r="DC4" s="28" t="s">
        <v>1843</v>
      </c>
      <c r="DQ4" s="28" t="s">
        <v>1844</v>
      </c>
    </row>
    <row r="5" customFormat="false" ht="42" hidden="false" customHeight="true" outlineLevel="0" collapsed="false">
      <c r="A5" s="94" t="s">
        <v>1831</v>
      </c>
      <c r="B5" s="94" t="s">
        <v>103</v>
      </c>
      <c r="C5" s="94" t="s">
        <v>1845</v>
      </c>
      <c r="D5" s="94" t="s">
        <v>1846</v>
      </c>
      <c r="E5" s="94" t="s">
        <v>1847</v>
      </c>
      <c r="F5" s="94" t="s">
        <v>1848</v>
      </c>
      <c r="G5" s="94" t="s">
        <v>1849</v>
      </c>
      <c r="H5" s="94" t="s">
        <v>1850</v>
      </c>
      <c r="I5" s="94" t="s">
        <v>1851</v>
      </c>
      <c r="J5" s="94" t="s">
        <v>1852</v>
      </c>
      <c r="K5" s="94" t="s">
        <v>1853</v>
      </c>
      <c r="L5" s="94" t="s">
        <v>1854</v>
      </c>
      <c r="M5" s="94" t="s">
        <v>1855</v>
      </c>
      <c r="N5" s="94" t="s">
        <v>1856</v>
      </c>
      <c r="O5" s="94" t="s">
        <v>1857</v>
      </c>
      <c r="P5" s="94" t="s">
        <v>1858</v>
      </c>
      <c r="Q5" s="94" t="s">
        <v>1859</v>
      </c>
      <c r="R5" s="94" t="s">
        <v>1860</v>
      </c>
      <c r="S5" s="94" t="s">
        <v>1861</v>
      </c>
      <c r="T5" s="94" t="s">
        <v>1862</v>
      </c>
      <c r="U5" s="94" t="s">
        <v>1863</v>
      </c>
      <c r="V5" s="94" t="s">
        <v>1864</v>
      </c>
      <c r="W5" s="94" t="s">
        <v>1865</v>
      </c>
      <c r="X5" s="94" t="s">
        <v>1866</v>
      </c>
      <c r="Y5" s="94" t="s">
        <v>1867</v>
      </c>
      <c r="Z5" s="94" t="s">
        <v>1868</v>
      </c>
      <c r="AA5" s="94" t="s">
        <v>1869</v>
      </c>
      <c r="AB5" s="94" t="s">
        <v>1870</v>
      </c>
      <c r="AC5" s="94" t="s">
        <v>1871</v>
      </c>
      <c r="AD5" s="94" t="s">
        <v>1872</v>
      </c>
      <c r="AE5" s="94" t="s">
        <v>1873</v>
      </c>
      <c r="AF5" s="94" t="s">
        <v>1874</v>
      </c>
      <c r="AG5" s="94" t="s">
        <v>1875</v>
      </c>
      <c r="AH5" s="94" t="s">
        <v>1876</v>
      </c>
      <c r="AI5" s="94" t="s">
        <v>1877</v>
      </c>
      <c r="AJ5" s="94" t="s">
        <v>1878</v>
      </c>
      <c r="AK5" s="94" t="s">
        <v>1879</v>
      </c>
      <c r="AL5" s="94" t="s">
        <v>1880</v>
      </c>
      <c r="AM5" s="94" t="s">
        <v>1881</v>
      </c>
      <c r="AN5" s="94" t="s">
        <v>1882</v>
      </c>
      <c r="AO5" s="94" t="s">
        <v>1883</v>
      </c>
      <c r="AP5" s="94" t="s">
        <v>1884</v>
      </c>
      <c r="AQ5" s="94" t="s">
        <v>1885</v>
      </c>
      <c r="AR5" s="94" t="s">
        <v>1886</v>
      </c>
      <c r="AS5" s="94" t="s">
        <v>1887</v>
      </c>
      <c r="AT5" s="94" t="s">
        <v>1888</v>
      </c>
      <c r="AU5" s="94" t="s">
        <v>1889</v>
      </c>
      <c r="AV5" s="94" t="s">
        <v>1890</v>
      </c>
      <c r="AW5" s="94" t="s">
        <v>1891</v>
      </c>
      <c r="AX5" s="94" t="s">
        <v>1892</v>
      </c>
      <c r="AY5" s="94" t="s">
        <v>1893</v>
      </c>
      <c r="AZ5" s="94" t="s">
        <v>1894</v>
      </c>
      <c r="BA5" s="94" t="s">
        <v>1895</v>
      </c>
      <c r="BB5" s="94" t="s">
        <v>1896</v>
      </c>
      <c r="BC5" s="94" t="s">
        <v>1897</v>
      </c>
      <c r="BD5" s="94" t="s">
        <v>1898</v>
      </c>
      <c r="BE5" s="94" t="s">
        <v>1899</v>
      </c>
      <c r="BF5" s="94" t="s">
        <v>1900</v>
      </c>
      <c r="BG5" s="94" t="s">
        <v>1901</v>
      </c>
      <c r="BH5" s="94" t="s">
        <v>1902</v>
      </c>
      <c r="BI5" s="94" t="s">
        <v>1903</v>
      </c>
      <c r="BJ5" s="94" t="s">
        <v>1904</v>
      </c>
      <c r="BK5" s="94" t="s">
        <v>1905</v>
      </c>
      <c r="BL5" s="94" t="s">
        <v>1906</v>
      </c>
      <c r="BM5" s="94" t="s">
        <v>1907</v>
      </c>
      <c r="BN5" s="94" t="s">
        <v>1908</v>
      </c>
      <c r="BO5" s="94" t="s">
        <v>1909</v>
      </c>
      <c r="BP5" s="94" t="s">
        <v>1910</v>
      </c>
      <c r="BQ5" s="94" t="s">
        <v>1911</v>
      </c>
      <c r="BR5" s="94" t="s">
        <v>1912</v>
      </c>
      <c r="BS5" s="94" t="s">
        <v>1913</v>
      </c>
      <c r="BT5" s="94" t="s">
        <v>1914</v>
      </c>
      <c r="BU5" s="94" t="s">
        <v>1915</v>
      </c>
      <c r="BV5" s="94" t="s">
        <v>1916</v>
      </c>
      <c r="BW5" s="94" t="s">
        <v>1917</v>
      </c>
      <c r="BX5" s="94" t="s">
        <v>1918</v>
      </c>
      <c r="BY5" s="94" t="s">
        <v>1919</v>
      </c>
      <c r="BZ5" s="94" t="s">
        <v>1920</v>
      </c>
      <c r="CA5" s="94" t="s">
        <v>1921</v>
      </c>
      <c r="CB5" s="94" t="s">
        <v>1922</v>
      </c>
      <c r="CC5" s="94" t="s">
        <v>1923</v>
      </c>
      <c r="CD5" s="94" t="s">
        <v>1924</v>
      </c>
      <c r="CE5" s="94" t="s">
        <v>1925</v>
      </c>
      <c r="CF5" s="94" t="s">
        <v>1926</v>
      </c>
      <c r="CG5" s="94" t="s">
        <v>1927</v>
      </c>
      <c r="CH5" s="94" t="s">
        <v>1928</v>
      </c>
      <c r="CI5" s="94" t="s">
        <v>1929</v>
      </c>
      <c r="CJ5" s="94" t="s">
        <v>1930</v>
      </c>
      <c r="CK5" s="94" t="s">
        <v>1931</v>
      </c>
      <c r="CL5" s="94" t="s">
        <v>1932</v>
      </c>
      <c r="CM5" s="94" t="s">
        <v>1933</v>
      </c>
      <c r="CN5" s="94" t="s">
        <v>1934</v>
      </c>
      <c r="CO5" s="94" t="s">
        <v>1935</v>
      </c>
      <c r="CP5" s="94" t="s">
        <v>1936</v>
      </c>
      <c r="CQ5" s="94" t="s">
        <v>1937</v>
      </c>
      <c r="CR5" s="94" t="s">
        <v>1938</v>
      </c>
      <c r="CS5" s="94" t="s">
        <v>1939</v>
      </c>
      <c r="CT5" s="94" t="s">
        <v>1940</v>
      </c>
      <c r="CU5" s="94" t="s">
        <v>1941</v>
      </c>
      <c r="CV5" s="94" t="s">
        <v>1942</v>
      </c>
      <c r="CW5" s="94" t="s">
        <v>1943</v>
      </c>
      <c r="CX5" s="94" t="s">
        <v>1944</v>
      </c>
      <c r="CY5" s="94" t="s">
        <v>1945</v>
      </c>
      <c r="CZ5" s="94" t="s">
        <v>1946</v>
      </c>
      <c r="DA5" s="94" t="s">
        <v>1947</v>
      </c>
      <c r="DB5" s="94" t="s">
        <v>1948</v>
      </c>
      <c r="DC5" s="94" t="s">
        <v>1949</v>
      </c>
      <c r="DD5" s="94" t="s">
        <v>1950</v>
      </c>
      <c r="DE5" s="94" t="s">
        <v>1951</v>
      </c>
      <c r="DF5" s="94" t="s">
        <v>1952</v>
      </c>
      <c r="DG5" s="94" t="s">
        <v>1953</v>
      </c>
      <c r="DH5" s="94" t="s">
        <v>1954</v>
      </c>
      <c r="DI5" s="94" t="s">
        <v>1955</v>
      </c>
      <c r="DJ5" s="94" t="s">
        <v>1956</v>
      </c>
      <c r="DK5" s="94" t="s">
        <v>1957</v>
      </c>
      <c r="DL5" s="94" t="s">
        <v>1958</v>
      </c>
      <c r="DM5" s="94" t="s">
        <v>1959</v>
      </c>
      <c r="DN5" s="94" t="s">
        <v>1960</v>
      </c>
      <c r="DO5" s="94" t="s">
        <v>1961</v>
      </c>
      <c r="DP5" s="94" t="s">
        <v>1962</v>
      </c>
      <c r="DQ5" s="94" t="s">
        <v>1963</v>
      </c>
      <c r="DR5" s="94" t="s">
        <v>1964</v>
      </c>
      <c r="DS5" s="94" t="s">
        <v>1965</v>
      </c>
      <c r="DT5" s="94" t="s">
        <v>1966</v>
      </c>
      <c r="DU5" s="94" t="s">
        <v>1967</v>
      </c>
      <c r="DV5" s="94" t="s">
        <v>1968</v>
      </c>
      <c r="DW5" s="94" t="s">
        <v>1969</v>
      </c>
    </row>
    <row r="6" customFormat="false" ht="13.5" hidden="false" customHeight="true" outlineLevel="0" collapsed="false">
      <c r="A6" s="1" t="s">
        <v>1970</v>
      </c>
      <c r="B6" s="95" t="n">
        <v>1918</v>
      </c>
      <c r="C6" s="95" t="n">
        <v>128</v>
      </c>
      <c r="D6" s="1" t="s">
        <v>1971</v>
      </c>
      <c r="E6" s="23" t="n">
        <v>0</v>
      </c>
      <c r="F6" s="95" t="n">
        <v>0</v>
      </c>
      <c r="G6" s="23" t="n">
        <f aca="false">1-E6*IF(F6=1,sib_winter,1)</f>
        <v>1</v>
      </c>
      <c r="H6" s="95" t="n">
        <v>30</v>
      </c>
      <c r="I6" s="95" t="n">
        <v>6</v>
      </c>
      <c r="J6" s="95" t="n">
        <v>15</v>
      </c>
      <c r="K6" s="95" t="n">
        <v>42</v>
      </c>
      <c r="L6" s="95" t="n">
        <v>30</v>
      </c>
      <c r="M6" s="95" t="n">
        <f aca="false">SUM(H6:L6)</f>
        <v>123</v>
      </c>
      <c r="N6" s="23" t="n">
        <v>0.35</v>
      </c>
      <c r="O6" s="23" t="n">
        <v>0</v>
      </c>
      <c r="P6" s="95" t="n">
        <f aca="false">H6*N6+I6*O6+J6*sib_sw+K6+L6*sib_pw</f>
        <v>93.75</v>
      </c>
      <c r="Q6" s="95" t="n">
        <f aca="false">M6-P6</f>
        <v>29.25</v>
      </c>
      <c r="R6" s="23" t="n">
        <v>0.5</v>
      </c>
      <c r="S6" s="96" t="n">
        <v>4</v>
      </c>
      <c r="T6" s="95" t="n">
        <f aca="false">P6*(R6*S6*sib_ammo+(1-R6)*sib_loc_kg)</f>
        <v>257.8125</v>
      </c>
      <c r="U6" s="95" t="n">
        <f aca="false">H6*N6*sib_jp_kg</f>
        <v>9.45</v>
      </c>
      <c r="V6" s="95" t="n">
        <v>150</v>
      </c>
      <c r="W6" s="95" t="n">
        <v>150</v>
      </c>
      <c r="X6" s="95" t="n">
        <v>0</v>
      </c>
      <c r="Y6" s="95" t="n">
        <v>217.391304347826</v>
      </c>
      <c r="Z6" s="95" t="n">
        <f aca="false">Y6*sib_amur</f>
        <v>217.391304347826</v>
      </c>
      <c r="AA6" s="97" t="n">
        <v>0</v>
      </c>
      <c r="AB6" s="95" t="n">
        <v>250</v>
      </c>
      <c r="AC6" s="95" t="n">
        <v>300</v>
      </c>
      <c r="AD6" s="23" t="n">
        <v>0.9</v>
      </c>
      <c r="AE6" s="95" t="n">
        <f aca="false">(J6*sib_sw+K6+L6*sib_pw)*sib_bread+P6*sib_horses*sib_oats+AC6*sib_relief_kg</f>
        <v>330.39375</v>
      </c>
      <c r="AF6" s="95" t="n">
        <f aca="false">sib_surplus*AD6*sib_harvest*1000000/365*sib_callmax</f>
        <v>739.72602739726</v>
      </c>
      <c r="AG6" s="95" t="n">
        <f aca="false">MAX(0,AE6-AF6)</f>
        <v>0</v>
      </c>
      <c r="AH6" s="95" t="n">
        <f aca="false">AE6-AG6</f>
        <v>330.39375</v>
      </c>
      <c r="AI6" s="95" t="n">
        <f aca="false">I6*O6*sib_cn_kg</f>
        <v>0</v>
      </c>
      <c r="AJ6" s="95" t="n">
        <f aca="false">Q6*sib_loc_kg+H6*(1-N6)*sib_jp_kg</f>
        <v>61.425</v>
      </c>
      <c r="AK6" s="95" t="n">
        <f aca="false">T6+U6+V6+W6+X6+AB6</f>
        <v>817.2625</v>
      </c>
      <c r="AL6" s="95" t="n">
        <f aca="false">AI6+AG6</f>
        <v>0</v>
      </c>
      <c r="AM6" s="95" t="n">
        <f aca="false">AK6+AJ6</f>
        <v>878.6875</v>
      </c>
      <c r="AN6" s="95" t="n">
        <f aca="false">AK6+AL6+sib_e2*AJ6</f>
        <v>854.1175</v>
      </c>
      <c r="AO6" s="95" t="n">
        <f aca="false">AK6+AL6+sib_e3*AJ6</f>
        <v>835.69</v>
      </c>
      <c r="AP6" s="95" t="n">
        <f aca="false">AK6+AL6+Z6</f>
        <v>1034.65380434783</v>
      </c>
      <c r="AQ6" s="95" t="n">
        <f aca="false">AK6+AL6+Z6</f>
        <v>1034.65380434783</v>
      </c>
      <c r="AR6" s="95" t="n">
        <f aca="false">H6+I6+L6</f>
        <v>66</v>
      </c>
      <c r="AS6" s="95" t="n">
        <f aca="false">H6*N6+I6*O6+L6*sib_pw</f>
        <v>37.5</v>
      </c>
      <c r="AT6" s="96" t="n">
        <f aca="false">(MAX(0,AR6-0)+AR6*sib_rot*C6/365)*1000/sib_mtrain/C6</f>
        <v>0.603053652968037</v>
      </c>
      <c r="AU6" s="96" t="n">
        <f aca="false">(MAX(0,AS6-0)+AS6*sib_rot*C6/365)*1000/sib_mtrain/C6</f>
        <v>0.342644121004566</v>
      </c>
      <c r="AV6" s="95" t="n">
        <v>700</v>
      </c>
      <c r="AW6" s="95" t="n">
        <v>0</v>
      </c>
      <c r="AX6" s="95" t="n">
        <f aca="false">(SUM(AV$6:AV6)+SUM(AW$6:AW6))*0.9</f>
        <v>630</v>
      </c>
      <c r="AY6" s="23" t="n">
        <v>0.6</v>
      </c>
      <c r="AZ6" s="23" t="n">
        <f aca="false">1-(1-AY6)*sib_sick</f>
        <v>0.6</v>
      </c>
      <c r="BA6" s="95" t="n">
        <f aca="false">sib_loco0*AZ6+AX6</f>
        <v>1410</v>
      </c>
      <c r="BB6" s="23" t="n">
        <f aca="false">AX6/BA6</f>
        <v>0.446808510638298</v>
      </c>
      <c r="BC6" s="95" t="n">
        <v>14</v>
      </c>
      <c r="BD6" s="95" t="n">
        <v>10</v>
      </c>
      <c r="BE6" s="95" t="n">
        <v>7</v>
      </c>
      <c r="BF6" s="95" t="n">
        <v>12</v>
      </c>
      <c r="BG6" s="95" t="n">
        <v>10</v>
      </c>
      <c r="BH6" s="96" t="n">
        <f aca="false">BC$6+(BC6-BC$6)*sib_works</f>
        <v>14</v>
      </c>
      <c r="BI6" s="96" t="n">
        <f aca="false">BD$6+(BD6-BD$6)*sib_works</f>
        <v>10</v>
      </c>
      <c r="BJ6" s="96" t="n">
        <f aca="false">BE$6+(BE6-BE$6)*sib_works</f>
        <v>7</v>
      </c>
      <c r="BK6" s="96" t="n">
        <f aca="false">BF$6+(BF6-BF$6)*sib_works</f>
        <v>12</v>
      </c>
      <c r="BL6" s="96" t="n">
        <f aca="false">BG$6+(BG6-BG$6)*sib_works</f>
        <v>10</v>
      </c>
      <c r="BM6" s="95" t="n">
        <v>0</v>
      </c>
      <c r="BN6" s="96" t="n">
        <f aca="false">(BH6*G6-sib_pass)*(1-sib_civ)*(1-sib_fuel-BM6*sib_strike)-AT6</f>
        <v>7.12494634703196</v>
      </c>
      <c r="BO6" s="96" t="n">
        <f aca="false">(BI6*G6-sib_pass)*(1-sib_civ)*(1-sib_fuel-BM6*sib_strike)-AT6</f>
        <v>4.54894634703196</v>
      </c>
      <c r="BP6" s="96" t="n">
        <f aca="false">(BJ6*G6-sib_pass)*(1-sib_civ)*(1-sib_fuel-BM6*sib_strike)-AU6</f>
        <v>2.87735587899543</v>
      </c>
      <c r="BQ6" s="96" t="n">
        <f aca="false">(BK6*G6-sib_pass)*(1-sib_civ)*(1-sib_fuel-BM6*sib_strike)-AU6</f>
        <v>6.09735587899543</v>
      </c>
      <c r="BR6" s="96" t="n">
        <f aca="false">(BL6*G6-sib_pass)*(1-sib_civ)*(1-sib_fuel-BM6*sib_strike)-AU6</f>
        <v>4.80935587899543</v>
      </c>
      <c r="BS6" s="96" t="n">
        <f aca="false">AM6/(sib_net1*(1+sib_decup*BB6))</f>
        <v>1.46126645318803</v>
      </c>
      <c r="BT6" s="96" t="n">
        <f aca="false">AN6/(sib_net2*(1+sib_decup*BB6))</f>
        <v>1.75859826083147</v>
      </c>
      <c r="BU6" s="96" t="n">
        <f aca="false">AO6/(sib_net3a*(1+sib_decup*BB6))</f>
        <v>1.60594623326178</v>
      </c>
      <c r="BV6" s="96" t="n">
        <f aca="false">AP6/(sib_net3b*(1+sib_decup*BB6))</f>
        <v>2.35456005443993</v>
      </c>
      <c r="BW6" s="96" t="n">
        <f aca="false">AQ6/(sib_net4*(1+sib_decup*BB6))</f>
        <v>1.86402670976494</v>
      </c>
      <c r="BX6" s="23" t="n">
        <f aca="false">BS6/BN6</f>
        <v>0.205091572906615</v>
      </c>
      <c r="BY6" s="23" t="n">
        <f aca="false">BT6/BO6</f>
        <v>0.386594636795156</v>
      </c>
      <c r="BZ6" s="23" t="n">
        <f aca="false">BU6/BP6</f>
        <v>0.558132640103754</v>
      </c>
      <c r="CA6" s="23" t="n">
        <f aca="false">BV6/BQ6</f>
        <v>0.386160837774136</v>
      </c>
      <c r="CB6" s="23" t="n">
        <f aca="false">BW6/BR6</f>
        <v>0.387583442910924</v>
      </c>
      <c r="CC6" s="23" t="n">
        <f aca="false">MAX(BX6:CB6,DW6)</f>
        <v>0.558132640103754</v>
      </c>
      <c r="CD6" s="1" t="str">
        <f aca="false">IF(DW6&gt;=MAX(BX6:CB6),"Ob-Chelyabinsk",CHOOSE(MATCH(CC6,BX6:CB6,0),"Vladivostok-Harbin","Harbin-Manzhouli","Manzhouli-Kitaisky (branch)","Kitaisky-Irkutsk","Irkutsk-Ob"))</f>
        <v>Manzhouli-Kitaisky (branch)</v>
      </c>
      <c r="CE6" s="96" t="n">
        <f aca="false">MIN(BN6-BS6,BO6-BT6,BP6-BU6,BQ6-BV6,BR6-BW6,DU6-DV6)</f>
        <v>1.27140964573365</v>
      </c>
      <c r="CF6" s="97" t="n">
        <f aca="false">2*(sib_L1*(BS6+AT6+(BH6*G6-sib_pass)*(sib_civ*sib_civused+(1-sib_civ)*sib_fuel)+sib_pass)+sib_L2*(BT6+AT6+(BI6*G6-sib_pass)*(sib_civ*sib_civused+(1-sib_civ)*sib_fuel)+sib_pass)+sib_L3a*(BU6+AU6+(BJ6*G6-sib_pass)*(sib_civ*sib_civused+(1-sib_civ)*sib_fuel)+sib_pass)+sib_L3b*(BV6+AU6+(BK6*G6-sib_pass)*(sib_civ*sib_civused+(1-sib_civ)*sib_fuel)+sib_pass)+sib_L4*(BW6+AU6+(BL6*G6-sib_pass)*(sib_civ*sib_civused+(1-sib_civ)*sib_fuel)+sib_pass)+sib_L5*(DV6+AU6+(DT6*G6-sib_pass)*(sib_civ*sib_civused+(1-sib_civ)*sib_fuel)+sib_pass))</f>
        <v>90566.3945035613</v>
      </c>
      <c r="CG6" s="95" t="n">
        <f aca="false">CF6/sib_kmloco*sib_helper</f>
        <v>707.549957059073</v>
      </c>
      <c r="CH6" s="23" t="n">
        <f aca="false">CG6/BA6</f>
        <v>0.50180848018374</v>
      </c>
      <c r="CI6" s="97" t="n">
        <v>10000</v>
      </c>
      <c r="CJ6" s="97" t="n">
        <v>0</v>
      </c>
      <c r="CK6" s="97" t="n">
        <v>0</v>
      </c>
      <c r="CL6" s="97" t="n">
        <f aca="false">(sib_wag0+SUM(CI$6:CI6)+SUM(CJ$6:CJ6))*sib_wserv*(1-sib_civ)</f>
        <v>24990</v>
      </c>
      <c r="CM6" s="97" t="n">
        <f aca="false">AK6/sib_wload*(2*(sib_L1+sib_L2+sib_L3a+sib_L3b+sib_L4/2)/sib_wagkm+sib_term)+AL6/sib_wload*(2*(sib_L2+sib_L3a+sib_L3b+sib_L4/2)/sib_wagkm+sib_term)+AJ6/sib_wload*((sib_L1+sib_L2)/sib_wagkm+sib_term-2)+Z6/sib_wload*(2*(sib_L3b+sib_L4/2)/sib_wagkm+sib_term)+AU6*40*(2*(sib_L1+sib_L2+sib_L3a+sib_L3b+sib_L4/2)/sib_wagkm+sib_term)+K6*1000/sib_czw+CK6+DR6/sib_wload*(2*(sib_L4/2+sib_L5/2)/sib_wagkm)</f>
        <v>7555.62650653828</v>
      </c>
      <c r="CN6" s="23" t="n">
        <f aca="false">CM6/CL6</f>
        <v>0.302345998660996</v>
      </c>
      <c r="CO6" s="95" t="n">
        <v>1000</v>
      </c>
      <c r="CP6" s="95" t="n">
        <f aca="false">MIN(CO6,AK6+AJ6)</f>
        <v>878.6875</v>
      </c>
      <c r="CQ6" s="23" t="n">
        <f aca="false">(AK6+AJ6+Z6-CP6)*365/1000000+sib_civport</f>
        <v>0.879347826086957</v>
      </c>
      <c r="CR6" s="23" t="n">
        <v>2</v>
      </c>
      <c r="CS6" s="23" t="n">
        <f aca="false">CQ6/(CR6*IF(OR(RIGHT(A6,2)="Q1",C6=365),sib_portwin,1))</f>
        <v>0.439673913043478</v>
      </c>
      <c r="CT6" s="96" t="n">
        <f aca="false">(AK6+AJ6+Z6-CP6)*sib_pacship*365/(sib_dwt*0.9*sib_voy)</f>
        <v>0.994673603369255</v>
      </c>
      <c r="CU6" s="23" t="n">
        <f aca="false">CT6/sib_ships</f>
        <v>0.0248668400842314</v>
      </c>
      <c r="CV6" s="97" t="n">
        <f aca="false">0+(AB6+Z6)*C6+AA6</f>
        <v>59826.0869565217</v>
      </c>
      <c r="CW6" s="96" t="n">
        <f aca="false">IF(C6=365,sib_surge/sib_mtrain/sib_surge_d,0)</f>
        <v>0</v>
      </c>
      <c r="CX6" s="95" t="n">
        <f aca="false">(CC6&gt;sib_util_max)+(CH6&gt;1)+(CN6&gt;1)+(CS6&gt;sib_util_max)+(CU6&gt;1)+(CV6&lt;0)+(CW6&gt;0)*(CE6&lt;CW6)</f>
        <v>0</v>
      </c>
      <c r="CY6" s="1" t="str">
        <f aca="false">IF(CX6=0,"OK","Check")</f>
        <v>OK</v>
      </c>
      <c r="CZ6" s="95" t="n">
        <v>2</v>
      </c>
      <c r="DA6" s="23" t="n">
        <v>3.5</v>
      </c>
      <c r="DB6" s="23" t="n">
        <v>3</v>
      </c>
      <c r="DC6" s="23" t="n">
        <f aca="false">INDEX(Paths!$B$6:$B$92,MATCH(B6,Paths!$A$6:$A$92,0))*sib_cost</f>
        <v>1.66</v>
      </c>
      <c r="DD6" s="96" t="n">
        <f aca="false">L6*sib_c_pac/1000*C6/365*DC6</f>
        <v>22.7033424657534</v>
      </c>
      <c r="DE6" s="96" t="n">
        <f aca="false">K6*sib_c_cz/1000*C6/365*DC6</f>
        <v>14.6698520547945</v>
      </c>
      <c r="DF6" s="96" t="n">
        <f aca="false">J6*sib_c_sib/1000*C6/365*DC6</f>
        <v>0.873205479452055</v>
      </c>
      <c r="DG6" s="96" t="n">
        <f aca="false">((MAX(0,T6-CP6)+V6+AB6+Z6+AA6/C6)*sib_pst_w+Q6*sib_loc_kg*sib_pst_e)*C6*sib_c_store/1000000*DC6</f>
        <v>27.8747835130435</v>
      </c>
      <c r="DH6" s="96" t="n">
        <f aca="false">((AW6*sib_c_loco+CJ6*sib_c_wag+MAX(0,AZ6-AZ6)*sib_loco0*sib_c_rep+CZ6*sib_c_arm)/1000000+DA6)*DC6</f>
        <v>6.806</v>
      </c>
      <c r="DI6" s="96" t="n">
        <f aca="false">2*(sib_L1*(BS6+AT6)+sib_L2*(BT6+AT6)+sib_L3a*(BU6+AU6)+sib_L3b*(BV6+AU6)+sib_L4*(BW6+AU6)+sib_L5*(DV6+AU6))*C6*sib_c_tkm*sib_prail/1000000*DC6</f>
        <v>6.07431923084138</v>
      </c>
      <c r="DJ6" s="96" t="n">
        <f aca="false">CT6*sib_c_ship*C6/365*DC6</f>
        <v>0.260566332218506</v>
      </c>
      <c r="DK6" s="96" t="n">
        <f aca="false">DB6*DC6</f>
        <v>4.98</v>
      </c>
      <c r="DL6" s="96" t="n">
        <f aca="false">AA6*sib_c_kara/1000000*DC6</f>
        <v>0</v>
      </c>
      <c r="DM6" s="96" t="n">
        <f aca="false">(AC6*sib_c_ref/1000*C6/365+AH6*C6*sib_c_grain/1000000)*DC6</f>
        <v>3.91403430180822</v>
      </c>
      <c r="DN6" s="96" t="n">
        <f aca="false">Z6*C6*sib_c_amur/1000000*DC6</f>
        <v>0.554295652173913</v>
      </c>
      <c r="DO6" s="96" t="n">
        <f aca="false">sib_fed*sib_c_fed/1000000*C6/365*DC6</f>
        <v>0.873205479452055</v>
      </c>
      <c r="DP6" s="96" t="n">
        <f aca="false">SUM(DD6:DO6)</f>
        <v>89.5836045095375</v>
      </c>
      <c r="DQ6" s="98" t="n">
        <v>0.8</v>
      </c>
      <c r="DR6" s="99" t="n">
        <f aca="false">AQ6*DQ6</f>
        <v>827.723043478261</v>
      </c>
      <c r="DS6" s="98" t="n">
        <v>22</v>
      </c>
      <c r="DT6" s="99" t="n">
        <f aca="false">DS$6+(DS6-DS$6)*sib_works</f>
        <v>22</v>
      </c>
      <c r="DU6" s="99" t="n">
        <f aca="false">(DT6*G6-sib_pass)*(1-sib_civ)*(1-sib_fuel-BM6*sib_strike)-AU6</f>
        <v>12.5373558789954</v>
      </c>
      <c r="DV6" s="99" t="n">
        <f aca="false">DR6/(sib_net5*(1+sib_decup*BB6))</f>
        <v>1.49122136781195</v>
      </c>
      <c r="DW6" s="99" t="n">
        <f aca="false">IF(DV6=0,0,IF(DU6&lt;=0,9.99,DV6/DU6))</f>
        <v>0.11894225402904</v>
      </c>
    </row>
    <row r="7" customFormat="false" ht="13.5" hidden="false" customHeight="true" outlineLevel="0" collapsed="false">
      <c r="A7" s="1" t="s">
        <v>1972</v>
      </c>
      <c r="B7" s="95" t="n">
        <v>1918</v>
      </c>
      <c r="C7" s="95" t="n">
        <v>92</v>
      </c>
      <c r="D7" s="1" t="s">
        <v>1973</v>
      </c>
      <c r="E7" s="23" t="n">
        <v>0.15</v>
      </c>
      <c r="F7" s="95" t="n">
        <v>1</v>
      </c>
      <c r="G7" s="23" t="n">
        <f aca="false">1-E7*IF(F7=1,sib_winter,1)</f>
        <v>0.85</v>
      </c>
      <c r="H7" s="95" t="n">
        <v>60</v>
      </c>
      <c r="I7" s="95" t="n">
        <v>8</v>
      </c>
      <c r="J7" s="95" t="n">
        <v>45</v>
      </c>
      <c r="K7" s="95" t="n">
        <v>42</v>
      </c>
      <c r="L7" s="95" t="n">
        <v>50</v>
      </c>
      <c r="M7" s="95" t="n">
        <f aca="false">SUM(H7:L7)</f>
        <v>205</v>
      </c>
      <c r="N7" s="23" t="n">
        <v>0.4</v>
      </c>
      <c r="O7" s="23" t="n">
        <v>0</v>
      </c>
      <c r="P7" s="95" t="n">
        <f aca="false">H7*N7+I7*O7+J7*sib_sw+K7+L7*sib_pw</f>
        <v>153.75</v>
      </c>
      <c r="Q7" s="95" t="n">
        <f aca="false">M7-P7</f>
        <v>51.25</v>
      </c>
      <c r="R7" s="23" t="n">
        <v>0.4</v>
      </c>
      <c r="S7" s="96" t="n">
        <v>4.5</v>
      </c>
      <c r="T7" s="95" t="n">
        <f aca="false">P7*(R7*S7*sib_ammo+(1-R7)*sib_loc_kg)</f>
        <v>415.125</v>
      </c>
      <c r="U7" s="95" t="n">
        <f aca="false">H7*N7*sib_jp_kg</f>
        <v>21.6</v>
      </c>
      <c r="V7" s="95" t="n">
        <v>150</v>
      </c>
      <c r="W7" s="95" t="n">
        <v>200</v>
      </c>
      <c r="X7" s="95" t="n">
        <v>200</v>
      </c>
      <c r="Y7" s="95" t="n">
        <v>0</v>
      </c>
      <c r="Z7" s="95" t="n">
        <f aca="false">Y7*sib_amur</f>
        <v>0</v>
      </c>
      <c r="AA7" s="97" t="n">
        <v>0</v>
      </c>
      <c r="AB7" s="95" t="n">
        <v>150</v>
      </c>
      <c r="AC7" s="95" t="n">
        <v>300</v>
      </c>
      <c r="AD7" s="23" t="n">
        <v>0.9</v>
      </c>
      <c r="AE7" s="95" t="n">
        <f aca="false">(J7*sib_sw+K7+L7*sib_pw)*sib_bread+P7*sib_horses*sib_oats+AC7*sib_relief_kg</f>
        <v>439.74375</v>
      </c>
      <c r="AF7" s="95" t="n">
        <f aca="false">sib_surplus*AD7*sib_harvest*1000000/365*sib_callmax</f>
        <v>739.72602739726</v>
      </c>
      <c r="AG7" s="95" t="n">
        <f aca="false">MAX(0,AE7-AF7)</f>
        <v>0</v>
      </c>
      <c r="AH7" s="95" t="n">
        <f aca="false">AE7-AG7</f>
        <v>439.74375</v>
      </c>
      <c r="AI7" s="95" t="n">
        <f aca="false">I7*O7*sib_cn_kg</f>
        <v>0</v>
      </c>
      <c r="AJ7" s="95" t="n">
        <f aca="false">Q7*sib_loc_kg+H7*(1-N7)*sib_jp_kg</f>
        <v>109.275</v>
      </c>
      <c r="AK7" s="95" t="n">
        <f aca="false">T7+U7+V7+W7+X7+AB7</f>
        <v>1136.725</v>
      </c>
      <c r="AL7" s="95" t="n">
        <f aca="false">AI7+AG7</f>
        <v>0</v>
      </c>
      <c r="AM7" s="95" t="n">
        <f aca="false">AK7+AJ7</f>
        <v>1246</v>
      </c>
      <c r="AN7" s="95" t="n">
        <f aca="false">AK7+AL7+sib_e2*AJ7</f>
        <v>1202.29</v>
      </c>
      <c r="AO7" s="95" t="n">
        <f aca="false">AK7+AL7+sib_e3*AJ7</f>
        <v>1169.5075</v>
      </c>
      <c r="AP7" s="95" t="n">
        <f aca="false">AK7+AL7+Z7</f>
        <v>1136.725</v>
      </c>
      <c r="AQ7" s="95" t="n">
        <f aca="false">AK7+AL7+Z7</f>
        <v>1136.725</v>
      </c>
      <c r="AR7" s="95" t="n">
        <f aca="false">H7+I7+L7</f>
        <v>118</v>
      </c>
      <c r="AS7" s="95" t="n">
        <f aca="false">H7*N7+I7*O7+L7*sib_pw</f>
        <v>69</v>
      </c>
      <c r="AT7" s="96" t="n">
        <f aca="false">(MAX(0,AR7-AR6)+AR7*sib_rot*C7/365)*1000/sib_mtrain/C7</f>
        <v>0.68190060221031</v>
      </c>
      <c r="AU7" s="96" t="n">
        <f aca="false">(MAX(0,AS7-AS6)+AS7*sib_rot*C7/365)*1000/sib_mtrain/C7</f>
        <v>0.411941631923764</v>
      </c>
      <c r="AV7" s="95" t="n">
        <v>0</v>
      </c>
      <c r="AW7" s="95" t="n">
        <v>150</v>
      </c>
      <c r="AX7" s="95" t="n">
        <f aca="false">(SUM(AV$6:AV7)+SUM(AW$6:AW7))*0.9</f>
        <v>765</v>
      </c>
      <c r="AY7" s="23" t="n">
        <v>0.6</v>
      </c>
      <c r="AZ7" s="23" t="n">
        <f aca="false">1-(1-AY7)*sib_sick</f>
        <v>0.6</v>
      </c>
      <c r="BA7" s="95" t="n">
        <f aca="false">sib_loco0*AZ7+AX7</f>
        <v>1545</v>
      </c>
      <c r="BB7" s="23" t="n">
        <f aca="false">AX7/BA7</f>
        <v>0.495145631067961</v>
      </c>
      <c r="BC7" s="95" t="n">
        <v>15</v>
      </c>
      <c r="BD7" s="95" t="n">
        <v>11</v>
      </c>
      <c r="BE7" s="95" t="n">
        <v>8</v>
      </c>
      <c r="BF7" s="95" t="n">
        <v>14</v>
      </c>
      <c r="BG7" s="95" t="n">
        <v>12</v>
      </c>
      <c r="BH7" s="96" t="n">
        <f aca="false">BC$6+(BC7-BC$6)*sib_works</f>
        <v>15</v>
      </c>
      <c r="BI7" s="96" t="n">
        <f aca="false">BD$6+(BD7-BD$6)*sib_works</f>
        <v>11</v>
      </c>
      <c r="BJ7" s="96" t="n">
        <f aca="false">BE$6+(BE7-BE$6)*sib_works</f>
        <v>8</v>
      </c>
      <c r="BK7" s="96" t="n">
        <f aca="false">BF$6+(BF7-BF$6)*sib_works</f>
        <v>14</v>
      </c>
      <c r="BL7" s="96" t="n">
        <f aca="false">BG$6+(BG7-BG$6)*sib_works</f>
        <v>12</v>
      </c>
      <c r="BM7" s="95" t="n">
        <v>0</v>
      </c>
      <c r="BN7" s="96" t="n">
        <f aca="false">(BH7*G7-sib_pass)*(1-sib_civ)*(1-sib_fuel-BM7*sib_strike)-AT7</f>
        <v>6.24109939778969</v>
      </c>
      <c r="BO7" s="96" t="n">
        <f aca="false">(BI7*G7-sib_pass)*(1-sib_civ)*(1-sib_fuel-BM7*sib_strike)-AT7</f>
        <v>4.05149939778969</v>
      </c>
      <c r="BP7" s="96" t="n">
        <f aca="false">(BJ7*G7-sib_pass)*(1-sib_civ)*(1-sib_fuel-BM7*sib_strike)-AU7</f>
        <v>2.67925836807624</v>
      </c>
      <c r="BQ7" s="96" t="n">
        <f aca="false">(BK7*G7-sib_pass)*(1-sib_civ)*(1-sib_fuel-BM7*sib_strike)-AU7</f>
        <v>5.96365836807624</v>
      </c>
      <c r="BR7" s="96" t="n">
        <f aca="false">(BL7*G7-sib_pass)*(1-sib_civ)*(1-sib_fuel-BM7*sib_strike)-AU7</f>
        <v>4.86885836807624</v>
      </c>
      <c r="BS7" s="96" t="n">
        <f aca="false">AM7/(sib_net1*(1+sib_decup*BB7))</f>
        <v>2.04223290156265</v>
      </c>
      <c r="BT7" s="96" t="n">
        <f aca="false">AN7/(sib_net2*(1+sib_decup*BB7))</f>
        <v>2.43977914376342</v>
      </c>
      <c r="BU7" s="96" t="n">
        <f aca="false">AO7/(sib_net3a*(1+sib_decup*BB7))</f>
        <v>2.21503742012596</v>
      </c>
      <c r="BV7" s="96" t="n">
        <f aca="false">AP7/(sib_net3b*(1+sib_decup*BB7))</f>
        <v>2.54954325719139</v>
      </c>
      <c r="BW7" s="96" t="n">
        <f aca="false">AQ7/(sib_net4*(1+sib_decup*BB7))</f>
        <v>2.01838841194318</v>
      </c>
      <c r="BX7" s="23" t="n">
        <f aca="false">BS7/BN7</f>
        <v>0.327223261703846</v>
      </c>
      <c r="BY7" s="23" t="n">
        <f aca="false">BT7/BO7</f>
        <v>0.602191658992829</v>
      </c>
      <c r="BZ7" s="23" t="n">
        <f aca="false">BU7/BP7</f>
        <v>0.8267352811205</v>
      </c>
      <c r="CA7" s="23" t="n">
        <f aca="false">BV7/BQ7</f>
        <v>0.427513298018414</v>
      </c>
      <c r="CB7" s="23" t="n">
        <f aca="false">BW7/BR7</f>
        <v>0.414550652197484</v>
      </c>
      <c r="CC7" s="23" t="n">
        <f aca="false">MAX(BX7:CB7,DW7)</f>
        <v>0.8267352811205</v>
      </c>
      <c r="CD7" s="1" t="str">
        <f aca="false">IF(DW7&gt;=MAX(BX7:CB7),"Ob-Chelyabinsk",CHOOSE(MATCH(CC7,BX7:CB7,0),"Vladivostok-Harbin","Harbin-Manzhouli","Manzhouli-Kitaisky (branch)","Kitaisky-Irkutsk","Irkutsk-Ob"))</f>
        <v>Manzhouli-Kitaisky (branch)</v>
      </c>
      <c r="CE7" s="96" t="n">
        <f aca="false">MIN(BN7-BS7,BO7-BT7,BP7-BU7,BQ7-BV7,BR7-BW7,DU7-DV7)</f>
        <v>0.464220947950277</v>
      </c>
      <c r="CF7" s="97" t="n">
        <f aca="false">2*(sib_L1*(BS7+AT7+(BH7*G7-sib_pass)*(sib_civ*sib_civused+(1-sib_civ)*sib_fuel)+sib_pass)+sib_L2*(BT7+AT7+(BI7*G7-sib_pass)*(sib_civ*sib_civused+(1-sib_civ)*sib_fuel)+sib_pass)+sib_L3a*(BU7+AU7+(BJ7*G7-sib_pass)*(sib_civ*sib_civused+(1-sib_civ)*sib_fuel)+sib_pass)+sib_L3b*(BV7+AU7+(BK7*G7-sib_pass)*(sib_civ*sib_civused+(1-sib_civ)*sib_fuel)+sib_pass)+sib_L4*(BW7+AU7+(BL7*G7-sib_pass)*(sib_civ*sib_civused+(1-sib_civ)*sib_fuel)+sib_pass)+sib_L5*(DV7+AU7+(DT7*G7-sib_pass)*(sib_civ*sib_civused+(1-sib_civ)*sib_fuel)+sib_pass))</f>
        <v>92126.8287518553</v>
      </c>
      <c r="CG7" s="95" t="n">
        <f aca="false">CF7/sib_kmloco*sib_helper</f>
        <v>719.74084962387</v>
      </c>
      <c r="CH7" s="23" t="n">
        <f aca="false">CG7/BA7</f>
        <v>0.465851682604446</v>
      </c>
      <c r="CI7" s="97" t="n">
        <v>0</v>
      </c>
      <c r="CJ7" s="97" t="n">
        <v>0</v>
      </c>
      <c r="CK7" s="97" t="n">
        <v>0</v>
      </c>
      <c r="CL7" s="97" t="n">
        <f aca="false">(sib_wag0+SUM(CI$6:CI7)+SUM(CJ$6:CJ7))*sib_wserv*(1-sib_civ)</f>
        <v>24990</v>
      </c>
      <c r="CM7" s="97" t="n">
        <f aca="false">AK7/sib_wload*(2*(sib_L1+sib_L2+sib_L3a+sib_L3b+sib_L4/2)/sib_wagkm+sib_term)+AL7/sib_wload*(2*(sib_L2+sib_L3a+sib_L3b+sib_L4/2)/sib_wagkm+sib_term)+AJ7/sib_wload*((sib_L1+sib_L2)/sib_wagkm+sib_term-2)+Z7/sib_wload*(2*(sib_L3b+sib_L4/2)/sib_wagkm+sib_term)+AU7*40*(2*(sib_L1+sib_L2+sib_L3a+sib_L3b+sib_L4/2)/sib_wagkm+sib_term)+K7*1000/sib_czw+CK7+DR7/sib_wload*(2*(sib_L4/2+sib_L5/2)/sib_wagkm)</f>
        <v>8707.3364603203</v>
      </c>
      <c r="CN7" s="23" t="n">
        <f aca="false">CM7/CL7</f>
        <v>0.34843283154543</v>
      </c>
      <c r="CO7" s="95" t="n">
        <v>1000</v>
      </c>
      <c r="CP7" s="95" t="n">
        <f aca="false">MIN(CO7,AK7+AJ7)</f>
        <v>1000</v>
      </c>
      <c r="CQ7" s="23" t="n">
        <f aca="false">(AK7+AJ7+Z7-CP7)*365/1000000+sib_civport</f>
        <v>0.88979</v>
      </c>
      <c r="CR7" s="23" t="n">
        <v>2</v>
      </c>
      <c r="CS7" s="23" t="n">
        <f aca="false">CQ7/(CR7*IF(OR(RIGHT(A7,2)="Q1",C7=365),sib_portwin,1))</f>
        <v>0.444895</v>
      </c>
      <c r="CT7" s="96" t="n">
        <f aca="false">(AK7+AJ7+Z7-CP7)*sib_pacship*365/(sib_dwt*0.9*sib_voy)</f>
        <v>1.12557264957265</v>
      </c>
      <c r="CU7" s="23" t="n">
        <f aca="false">CT7/sib_ships</f>
        <v>0.0281393162393162</v>
      </c>
      <c r="CV7" s="97" t="n">
        <f aca="false">CV6+(AB7+Z7)*C7+AA7</f>
        <v>73626.0869565217</v>
      </c>
      <c r="CW7" s="96" t="n">
        <f aca="false">IF(C7=365,sib_surge/sib_mtrain/sib_surge_d,0)</f>
        <v>0</v>
      </c>
      <c r="CX7" s="95" t="n">
        <f aca="false">(CC7&gt;sib_util_max)+(CH7&gt;1)+(CN7&gt;1)+(CS7&gt;sib_util_max)+(CU7&gt;1)+(CV7&lt;0)+(CW7&gt;0)*(CE7&lt;CW7)</f>
        <v>0</v>
      </c>
      <c r="CY7" s="1" t="str">
        <f aca="false">IF(CX7=0,"OK","Check")</f>
        <v>OK</v>
      </c>
      <c r="CZ7" s="95" t="n">
        <v>4</v>
      </c>
      <c r="DA7" s="23" t="n">
        <v>5</v>
      </c>
      <c r="DB7" s="23" t="n">
        <v>2</v>
      </c>
      <c r="DC7" s="23" t="n">
        <f aca="false">INDEX(Paths!$B$6:$B$92,MATCH(B7,Paths!$A$6:$A$92,0))*sib_cost</f>
        <v>1.66</v>
      </c>
      <c r="DD7" s="96" t="n">
        <f aca="false">L7*sib_c_pac/1000*C7/365*DC7</f>
        <v>27.1967123287671</v>
      </c>
      <c r="DE7" s="96" t="n">
        <f aca="false">K7*sib_c_cz/1000*C7/365*DC7</f>
        <v>10.5439561643836</v>
      </c>
      <c r="DF7" s="96" t="n">
        <f aca="false">J7*sib_c_sib/1000*C7/365*DC7</f>
        <v>1.88284931506849</v>
      </c>
      <c r="DG7" s="96" t="n">
        <f aca="false">((MAX(0,T7-CP7)+V7+AB7+Z7+AA7/C7)*sib_pst_w+Q7*sib_loc_kg*sib_pst_e)*C7*sib_c_store/1000000*DC7</f>
        <v>10.03227225</v>
      </c>
      <c r="DH7" s="96" t="n">
        <f aca="false">((AW7*sib_c_loco+CJ7*sib_c_wag+MAX(0,AZ7-AZ6)*sib_loco0*sib_c_rep+CZ7*sib_c_arm)/1000000+DA7)*DC7</f>
        <v>19.754</v>
      </c>
      <c r="DI7" s="96" t="n">
        <f aca="false">2*(sib_L1*(BS7+AT7)+sib_L2*(BT7+AT7)+sib_L3a*(BU7+AU7)+sib_L3b*(BV7+AU7)+sib_L4*(BW7+AU7)+sib_L5*(DV7+AU7))*C7*sib_c_tkm*sib_prail/1000000*DC7</f>
        <v>5.12790993970044</v>
      </c>
      <c r="DJ7" s="96" t="n">
        <f aca="false">CT7*sib_c_ship*C7/365*DC7</f>
        <v>0.211928369230769</v>
      </c>
      <c r="DK7" s="96" t="n">
        <f aca="false">DB7*DC7</f>
        <v>3.32</v>
      </c>
      <c r="DL7" s="96" t="n">
        <f aca="false">AA7*sib_c_kara/1000000*DC7</f>
        <v>0</v>
      </c>
      <c r="DM7" s="96" t="n">
        <f aca="false">(AC7*sib_c_ref/1000*C7/365+AH7*C7*sib_c_grain/1000000)*DC7</f>
        <v>2.91341174642466</v>
      </c>
      <c r="DN7" s="96" t="n">
        <f aca="false">Z7*C7*sib_c_amur/1000000*DC7</f>
        <v>0</v>
      </c>
      <c r="DO7" s="96" t="n">
        <f aca="false">sib_fed*sib_c_fed/1000000*C7/365*DC7</f>
        <v>0.627616438356164</v>
      </c>
      <c r="DP7" s="96" t="n">
        <f aca="false">SUM(DD7:DO7)</f>
        <v>81.6106565519312</v>
      </c>
      <c r="DQ7" s="98" t="n">
        <v>0.8</v>
      </c>
      <c r="DR7" s="99" t="n">
        <f aca="false">AQ7*DQ7</f>
        <v>909.38</v>
      </c>
      <c r="DS7" s="98" t="n">
        <v>22</v>
      </c>
      <c r="DT7" s="99" t="n">
        <f aca="false">DS$6+(DS7-DS$6)*sib_works</f>
        <v>22</v>
      </c>
      <c r="DU7" s="99" t="n">
        <f aca="false">(DT7*G7-sib_pass)*(1-sib_civ)*(1-sib_fuel-BM7*sib_strike)-AU7</f>
        <v>10.3428583680762</v>
      </c>
      <c r="DV7" s="99" t="n">
        <f aca="false">DR7/(sib_net5*(1+sib_decup*BB7))</f>
        <v>1.61471072955454</v>
      </c>
      <c r="DW7" s="99" t="n">
        <f aca="false">IF(DV7=0,0,IF(DU7&lt;=0,9.99,DV7/DU7))</f>
        <v>0.156118422208935</v>
      </c>
    </row>
    <row r="8" customFormat="false" ht="13.5" hidden="false" customHeight="true" outlineLevel="0" collapsed="false">
      <c r="A8" s="1" t="s">
        <v>1974</v>
      </c>
      <c r="B8" s="95" t="n">
        <v>1919</v>
      </c>
      <c r="C8" s="95" t="n">
        <v>90</v>
      </c>
      <c r="D8" s="1" t="s">
        <v>1975</v>
      </c>
      <c r="E8" s="23" t="n">
        <v>0.3</v>
      </c>
      <c r="F8" s="95" t="n">
        <v>1</v>
      </c>
      <c r="G8" s="23" t="n">
        <f aca="false">1-E8*IF(F8=1,sib_winter,1)</f>
        <v>0.7</v>
      </c>
      <c r="H8" s="95" t="n">
        <v>70</v>
      </c>
      <c r="I8" s="95" t="n">
        <v>8</v>
      </c>
      <c r="J8" s="95" t="n">
        <v>80</v>
      </c>
      <c r="K8" s="95" t="n">
        <v>40</v>
      </c>
      <c r="L8" s="95" t="n">
        <v>50</v>
      </c>
      <c r="M8" s="95" t="n">
        <f aca="false">SUM(H8:L8)</f>
        <v>248</v>
      </c>
      <c r="N8" s="23" t="n">
        <v>0.4</v>
      </c>
      <c r="O8" s="23" t="n">
        <v>0</v>
      </c>
      <c r="P8" s="95" t="n">
        <f aca="false">H8*N8+I8*O8+J8*sib_sw+K8+L8*sib_pw</f>
        <v>189</v>
      </c>
      <c r="Q8" s="95" t="n">
        <f aca="false">M8-P8</f>
        <v>59</v>
      </c>
      <c r="R8" s="23" t="n">
        <v>0.4</v>
      </c>
      <c r="S8" s="96" t="n">
        <v>3.5</v>
      </c>
      <c r="T8" s="95" t="n">
        <f aca="false">P8*(R8*S8*sib_ammo+(1-R8)*sib_loc_kg)</f>
        <v>434.7</v>
      </c>
      <c r="U8" s="95" t="n">
        <f aca="false">H8*N8*sib_jp_kg</f>
        <v>25.2</v>
      </c>
      <c r="V8" s="95" t="n">
        <v>100</v>
      </c>
      <c r="W8" s="95" t="n">
        <v>300</v>
      </c>
      <c r="X8" s="95" t="n">
        <v>300</v>
      </c>
      <c r="Y8" s="95" t="n">
        <v>0</v>
      </c>
      <c r="Z8" s="95" t="n">
        <f aca="false">Y8*sib_amur</f>
        <v>0</v>
      </c>
      <c r="AA8" s="97" t="n">
        <v>0</v>
      </c>
      <c r="AB8" s="95" t="n">
        <v>200</v>
      </c>
      <c r="AC8" s="95" t="n">
        <v>300</v>
      </c>
      <c r="AD8" s="23" t="n">
        <v>0.95</v>
      </c>
      <c r="AE8" s="95" t="n">
        <f aca="false">(J8*sib_sw+K8+L8*sib_pw)*sib_bread+P8*sib_horses*sib_oats+AC8*sib_relief_kg</f>
        <v>507.525</v>
      </c>
      <c r="AF8" s="95" t="n">
        <f aca="false">sib_surplus*AD8*sib_harvest*1000000/365*sib_callmax</f>
        <v>780.821917808219</v>
      </c>
      <c r="AG8" s="95" t="n">
        <f aca="false">MAX(0,AE8-AF8)</f>
        <v>0</v>
      </c>
      <c r="AH8" s="95" t="n">
        <f aca="false">AE8-AG8</f>
        <v>507.525</v>
      </c>
      <c r="AI8" s="95" t="n">
        <f aca="false">I8*O8*sib_cn_kg</f>
        <v>0</v>
      </c>
      <c r="AJ8" s="95" t="n">
        <f aca="false">Q8*sib_loc_kg+H8*(1-N8)*sib_jp_kg</f>
        <v>126.3</v>
      </c>
      <c r="AK8" s="95" t="n">
        <f aca="false">T8+U8+V8+W8+X8+AB8</f>
        <v>1359.9</v>
      </c>
      <c r="AL8" s="95" t="n">
        <f aca="false">AI8+AG8</f>
        <v>0</v>
      </c>
      <c r="AM8" s="95" t="n">
        <f aca="false">AK8+AJ8</f>
        <v>1486.2</v>
      </c>
      <c r="AN8" s="95" t="n">
        <f aca="false">AK8+AL8+sib_e2*AJ8</f>
        <v>1435.68</v>
      </c>
      <c r="AO8" s="95" t="n">
        <f aca="false">AK8+AL8+sib_e3*AJ8</f>
        <v>1397.79</v>
      </c>
      <c r="AP8" s="95" t="n">
        <f aca="false">AK8+AL8+Z8</f>
        <v>1359.9</v>
      </c>
      <c r="AQ8" s="95" t="n">
        <f aca="false">AK8+AL8+Z8</f>
        <v>1359.9</v>
      </c>
      <c r="AR8" s="95" t="n">
        <f aca="false">H8+I8+L8</f>
        <v>128</v>
      </c>
      <c r="AS8" s="95" t="n">
        <f aca="false">H8*N8+I8*O8+L8*sib_pw</f>
        <v>73</v>
      </c>
      <c r="AT8" s="96" t="n">
        <f aca="false">(MAX(0,AR8-AR7)+AR8*sib_rot*C8/365)*1000/sib_mtrain/C8</f>
        <v>0.181904278707932</v>
      </c>
      <c r="AU8" s="96" t="n">
        <f aca="false">(MAX(0,AS8-AS7)+AS8*sib_rot*C8/365)*1000/sib_mtrain/C8</f>
        <v>0.082716049382716</v>
      </c>
      <c r="AV8" s="95" t="n">
        <v>0</v>
      </c>
      <c r="AW8" s="95" t="n">
        <v>0</v>
      </c>
      <c r="AX8" s="95" t="n">
        <f aca="false">(SUM(AV$6:AV8)+SUM(AW$6:AW8))*0.9</f>
        <v>765</v>
      </c>
      <c r="AY8" s="23" t="n">
        <v>0.6</v>
      </c>
      <c r="AZ8" s="23" t="n">
        <f aca="false">1-(1-AY8)*sib_sick</f>
        <v>0.6</v>
      </c>
      <c r="BA8" s="95" t="n">
        <f aca="false">sib_loco0*AZ8+AX8</f>
        <v>1545</v>
      </c>
      <c r="BB8" s="23" t="n">
        <f aca="false">AX8/BA8</f>
        <v>0.495145631067961</v>
      </c>
      <c r="BC8" s="95" t="n">
        <v>16</v>
      </c>
      <c r="BD8" s="95" t="n">
        <v>12</v>
      </c>
      <c r="BE8" s="95" t="n">
        <v>10</v>
      </c>
      <c r="BF8" s="95" t="n">
        <v>16</v>
      </c>
      <c r="BG8" s="95" t="n">
        <v>14</v>
      </c>
      <c r="BH8" s="96" t="n">
        <f aca="false">BC$6+(BC8-BC$6)*sib_works</f>
        <v>16</v>
      </c>
      <c r="BI8" s="96" t="n">
        <f aca="false">BD$6+(BD8-BD$6)*sib_works</f>
        <v>12</v>
      </c>
      <c r="BJ8" s="96" t="n">
        <f aca="false">BE$6+(BE8-BE$6)*sib_works</f>
        <v>10</v>
      </c>
      <c r="BK8" s="96" t="n">
        <f aca="false">BF$6+(BF8-BF$6)*sib_works</f>
        <v>16</v>
      </c>
      <c r="BL8" s="96" t="n">
        <f aca="false">BG$6+(BG8-BG$6)*sib_works</f>
        <v>14</v>
      </c>
      <c r="BM8" s="95" t="n">
        <v>0</v>
      </c>
      <c r="BN8" s="96" t="n">
        <f aca="false">(BH8*G8-sib_pass)*(1-sib_civ)*(1-sib_fuel-BM8*sib_strike)-AT8</f>
        <v>5.74289572129207</v>
      </c>
      <c r="BO8" s="96" t="n">
        <f aca="false">(BI8*G8-sib_pass)*(1-sib_civ)*(1-sib_fuel-BM8*sib_strike)-AT8</f>
        <v>3.93969572129207</v>
      </c>
      <c r="BP8" s="96" t="n">
        <f aca="false">(BJ8*G8-sib_pass)*(1-sib_civ)*(1-sib_fuel-BM8*sib_strike)-AU8</f>
        <v>3.13728395061728</v>
      </c>
      <c r="BQ8" s="96" t="n">
        <f aca="false">(BK8*G8-sib_pass)*(1-sib_civ)*(1-sib_fuel-BM8*sib_strike)-AU8</f>
        <v>5.84208395061728</v>
      </c>
      <c r="BR8" s="96" t="n">
        <f aca="false">(BL8*G8-sib_pass)*(1-sib_civ)*(1-sib_fuel-BM8*sib_strike)-AU8</f>
        <v>4.94048395061728</v>
      </c>
      <c r="BS8" s="96" t="n">
        <f aca="false">AM8/(sib_net1*(1+sib_decup*BB8))</f>
        <v>2.43592820088476</v>
      </c>
      <c r="BT8" s="96" t="n">
        <f aca="false">AN8/(sib_net2*(1+sib_decup*BB8))</f>
        <v>2.91339204444707</v>
      </c>
      <c r="BU8" s="96" t="n">
        <f aca="false">AO8/(sib_net3a*(1+sib_decup*BB8))</f>
        <v>2.64740256516343</v>
      </c>
      <c r="BV8" s="96" t="n">
        <f aca="false">AP8/(sib_net3b*(1+sib_decup*BB8))</f>
        <v>3.05009907889293</v>
      </c>
      <c r="BW8" s="96" t="n">
        <f aca="false">AQ8/(sib_net4*(1+sib_decup*BB8))</f>
        <v>2.41466177079024</v>
      </c>
      <c r="BX8" s="23" t="n">
        <f aca="false">BS8/BN8</f>
        <v>0.424163752765601</v>
      </c>
      <c r="BY8" s="23" t="n">
        <f aca="false">BT8/BO8</f>
        <v>0.739496715114738</v>
      </c>
      <c r="BZ8" s="23" t="n">
        <f aca="false">BU8/BP8</f>
        <v>0.843851754203674</v>
      </c>
      <c r="CA8" s="23" t="n">
        <f aca="false">BV8/BQ8</f>
        <v>0.522090936158261</v>
      </c>
      <c r="CB8" s="23" t="n">
        <f aca="false">BW8/BR8</f>
        <v>0.488750048563267</v>
      </c>
      <c r="CC8" s="23" t="n">
        <f aca="false">MAX(BX8:CB8,DW8)</f>
        <v>0.843851754203674</v>
      </c>
      <c r="CD8" s="1" t="str">
        <f aca="false">IF(DW8&gt;=MAX(BX8:CB8),"Ob-Chelyabinsk",CHOOSE(MATCH(CC8,BX8:CB8,0),"Vladivostok-Harbin","Harbin-Manzhouli","Manzhouli-Kitaisky (branch)","Kitaisky-Irkutsk","Irkutsk-Ob"))</f>
        <v>Manzhouli-Kitaisky (branch)</v>
      </c>
      <c r="CE8" s="96" t="n">
        <f aca="false">MIN(BN8-BS8,BO8-BT8,BP8-BU8,BQ8-BV8,BR8-BW8,DU8-DV8)</f>
        <v>0.489881385453858</v>
      </c>
      <c r="CF8" s="97" t="n">
        <f aca="false">2*(sib_L1*(BS8+AT8+(BH8*G8-sib_pass)*(sib_civ*sib_civused+(1-sib_civ)*sib_fuel)+sib_pass)+sib_L2*(BT8+AT8+(BI8*G8-sib_pass)*(sib_civ*sib_civused+(1-sib_civ)*sib_fuel)+sib_pass)+sib_L3a*(BU8+AU8+(BJ8*G8-sib_pass)*(sib_civ*sib_civused+(1-sib_civ)*sib_fuel)+sib_pass)+sib_L3b*(BV8+AU8+(BK8*G8-sib_pass)*(sib_civ*sib_civused+(1-sib_civ)*sib_fuel)+sib_pass)+sib_L4*(BW8+AU8+(BL8*G8-sib_pass)*(sib_civ*sib_civused+(1-sib_civ)*sib_fuel)+sib_pass)+sib_L5*(DV8+AU8+(DT8*G8-sib_pass)*(sib_civ*sib_civused+(1-sib_civ)*sib_fuel)+sib_pass))</f>
        <v>89256.2344410213</v>
      </c>
      <c r="CG8" s="95" t="n">
        <f aca="false">CF8/sib_kmloco*sib_helper</f>
        <v>697.314331570479</v>
      </c>
      <c r="CH8" s="23" t="n">
        <f aca="false">CG8/BA8</f>
        <v>0.451336136938821</v>
      </c>
      <c r="CI8" s="97" t="n">
        <v>0</v>
      </c>
      <c r="CJ8" s="97" t="n">
        <v>2000</v>
      </c>
      <c r="CK8" s="97" t="n">
        <v>0</v>
      </c>
      <c r="CL8" s="97" t="n">
        <f aca="false">(sib_wag0+SUM(CI$6:CI8)+SUM(CJ$6:CJ8))*sib_wserv*(1-sib_civ)</f>
        <v>26180</v>
      </c>
      <c r="CM8" s="97" t="n">
        <f aca="false">AK8/sib_wload*(2*(sib_L1+sib_L2+sib_L3a+sib_L3b+sib_L4/2)/sib_wagkm+sib_term)+AL8/sib_wload*(2*(sib_L2+sib_L3a+sib_L3b+sib_L4/2)/sib_wagkm+sib_term)+AJ8/sib_wload*((sib_L1+sib_L2)/sib_wagkm+sib_term-2)+Z8/sib_wload*(2*(sib_L3b+sib_L4/2)/sib_wagkm+sib_term)+AU8*40*(2*(sib_L1+sib_L2+sib_L3a+sib_L3b+sib_L4/2)/sib_wagkm+sib_term)+K8*1000/sib_czw+CK8+DR8/sib_wload*(2*(sib_L4/2+sib_L5/2)/sib_wagkm)</f>
        <v>9008.88139423868</v>
      </c>
      <c r="CN8" s="23" t="n">
        <f aca="false">CM8/CL8</f>
        <v>0.344113116663051</v>
      </c>
      <c r="CO8" s="95" t="n">
        <v>800</v>
      </c>
      <c r="CP8" s="95" t="n">
        <f aca="false">MIN(CO8,AK8+AJ8)</f>
        <v>800</v>
      </c>
      <c r="CQ8" s="23" t="n">
        <f aca="false">(AK8+AJ8+Z8-CP8)*365/1000000+sib_civport</f>
        <v>1.050463</v>
      </c>
      <c r="CR8" s="23" t="n">
        <v>2.2</v>
      </c>
      <c r="CS8" s="23" t="n">
        <f aca="false">CQ8/(CR8*IF(OR(RIGHT(A8,2)="Q1",C8=365),sib_portwin,1))</f>
        <v>0.561744919786096</v>
      </c>
      <c r="CT8" s="96" t="n">
        <f aca="false">(AK8+AJ8+Z8-CP8)*sib_pacship*365/(sib_dwt*0.9*sib_voy)</f>
        <v>3.13970712250712</v>
      </c>
      <c r="CU8" s="23" t="n">
        <f aca="false">CT8/sib_ships</f>
        <v>0.0784926780626781</v>
      </c>
      <c r="CV8" s="97" t="n">
        <f aca="false">CV7+(AB8+Z8)*C8+AA8</f>
        <v>91626.0869565217</v>
      </c>
      <c r="CW8" s="96" t="n">
        <f aca="false">IF(C8=365,sib_surge/sib_mtrain/sib_surge_d,0)</f>
        <v>0</v>
      </c>
      <c r="CX8" s="95" t="n">
        <f aca="false">(CC8&gt;sib_util_max)+(CH8&gt;1)+(CN8&gt;1)+(CS8&gt;sib_util_max)+(CU8&gt;1)+(CV8&lt;0)+(CW8&gt;0)*(CE8&lt;CW8)</f>
        <v>0</v>
      </c>
      <c r="CY8" s="1" t="str">
        <f aca="false">IF(CX8=0,"OK","Check")</f>
        <v>OK</v>
      </c>
      <c r="CZ8" s="95" t="n">
        <v>4</v>
      </c>
      <c r="DA8" s="23" t="n">
        <v>4.5</v>
      </c>
      <c r="DB8" s="23" t="n">
        <v>2.5</v>
      </c>
      <c r="DC8" s="23" t="n">
        <f aca="false">INDEX(Paths!$B$6:$B$92,MATCH(B8,Paths!$A$6:$A$92,0))*sib_cost</f>
        <v>1.83</v>
      </c>
      <c r="DD8" s="96" t="n">
        <f aca="false">L8*sib_c_pac/1000*C8/365*DC8</f>
        <v>29.3301369863014</v>
      </c>
      <c r="DE8" s="96" t="n">
        <f aca="false">K8*sib_c_cz/1000*C8/365*DC8</f>
        <v>10.8295890410959</v>
      </c>
      <c r="DF8" s="96" t="n">
        <f aca="false">J8*sib_c_sib/1000*C8/365*DC8</f>
        <v>3.60986301369863</v>
      </c>
      <c r="DG8" s="96" t="n">
        <f aca="false">((MAX(0,T8-CP8)+V8+AB8+Z8+AA8/C8)*sib_pst_w+Q8*sib_loc_kg*sib_pst_e)*C8*sib_c_store/1000000*DC8</f>
        <v>10.88625825</v>
      </c>
      <c r="DH8" s="96" t="n">
        <f aca="false">((AW8*sib_c_loco+CJ8*sib_c_wag+MAX(0,AZ8-AZ7)*sib_loco0*sib_c_rep+CZ8*sib_c_arm)/1000000+DA8)*DC8</f>
        <v>14.091</v>
      </c>
      <c r="DI8" s="96" t="n">
        <f aca="false">2*(sib_L1*(BS8+AT8)+sib_L2*(BT8+AT8)+sib_L3a*(BU8+AU8)+sib_L3b*(BV8+AU8)+sib_L4*(BW8+AU8)+sib_L5*(DV8+AU8))*C8*sib_c_tkm*sib_prail/1000000*DC8</f>
        <v>5.59818940440886</v>
      </c>
      <c r="DJ8" s="96" t="n">
        <f aca="false">CT8*sib_c_ship*C8/365*DC8</f>
        <v>0.637532584615385</v>
      </c>
      <c r="DK8" s="96" t="n">
        <f aca="false">DB8*DC8</f>
        <v>4.575</v>
      </c>
      <c r="DL8" s="96" t="n">
        <f aca="false">AA8*sib_c_kara/1000000*DC8</f>
        <v>0</v>
      </c>
      <c r="DM8" s="96" t="n">
        <f aca="false">(AC8*sib_c_ref/1000*C8/365+AH8*C8*sib_c_grain/1000000)*DC8</f>
        <v>3.20893346527397</v>
      </c>
      <c r="DN8" s="96" t="n">
        <f aca="false">Z8*C8*sib_c_amur/1000000*DC8</f>
        <v>0</v>
      </c>
      <c r="DO8" s="96" t="n">
        <f aca="false">sib_fed*sib_c_fed/1000000*C8/365*DC8</f>
        <v>0.676849315068493</v>
      </c>
      <c r="DP8" s="96" t="n">
        <f aca="false">SUM(DD8:DO8)</f>
        <v>83.4433520604626</v>
      </c>
      <c r="DQ8" s="98" t="n">
        <v>0.8</v>
      </c>
      <c r="DR8" s="99" t="n">
        <f aca="false">AQ8*DQ8</f>
        <v>1087.92</v>
      </c>
      <c r="DS8" s="98" t="n">
        <v>24</v>
      </c>
      <c r="DT8" s="99" t="n">
        <f aca="false">DS$6+(DS8-DS$6)*sib_works</f>
        <v>24</v>
      </c>
      <c r="DU8" s="99" t="n">
        <f aca="false">(DT8*G8-sib_pass)*(1-sib_civ)*(1-sib_fuel-BM8*sib_strike)-AU8</f>
        <v>9.44848395061728</v>
      </c>
      <c r="DV8" s="99" t="n">
        <f aca="false">DR8/(sib_net5*(1+sib_decup*BB8))</f>
        <v>1.93172941663219</v>
      </c>
      <c r="DW8" s="99" t="n">
        <f aca="false">IF(DV8=0,0,IF(DU8&lt;=0,9.99,DV8/DU8))</f>
        <v>0.204448610669015</v>
      </c>
    </row>
    <row r="9" customFormat="false" ht="13.5" hidden="false" customHeight="true" outlineLevel="0" collapsed="false">
      <c r="A9" s="1" t="s">
        <v>1976</v>
      </c>
      <c r="B9" s="95" t="n">
        <v>1919</v>
      </c>
      <c r="C9" s="95" t="n">
        <v>91</v>
      </c>
      <c r="D9" s="1" t="s">
        <v>1977</v>
      </c>
      <c r="E9" s="23" t="n">
        <v>0.08</v>
      </c>
      <c r="F9" s="95" t="n">
        <v>0</v>
      </c>
      <c r="G9" s="23" t="n">
        <f aca="false">1-E9*IF(F9=1,sib_winter,1)</f>
        <v>0.92</v>
      </c>
      <c r="H9" s="95" t="n">
        <v>70</v>
      </c>
      <c r="I9" s="95" t="n">
        <v>10</v>
      </c>
      <c r="J9" s="95" t="n">
        <v>140</v>
      </c>
      <c r="K9" s="95" t="n">
        <v>38</v>
      </c>
      <c r="L9" s="95" t="n">
        <v>50</v>
      </c>
      <c r="M9" s="95" t="n">
        <f aca="false">SUM(H9:L9)</f>
        <v>308</v>
      </c>
      <c r="N9" s="23" t="n">
        <v>0.4</v>
      </c>
      <c r="O9" s="23" t="n">
        <v>0</v>
      </c>
      <c r="P9" s="95" t="n">
        <f aca="false">H9*N9+I9*O9+J9*sib_sw+K9+L9*sib_pw</f>
        <v>244</v>
      </c>
      <c r="Q9" s="95" t="n">
        <f aca="false">M9-P9</f>
        <v>64</v>
      </c>
      <c r="R9" s="23" t="n">
        <v>0.55</v>
      </c>
      <c r="S9" s="96" t="n">
        <v>7</v>
      </c>
      <c r="T9" s="95" t="n">
        <f aca="false">P9*(R9*S9*sib_ammo+(1-R9)*sib_loc_kg)</f>
        <v>1104.1</v>
      </c>
      <c r="U9" s="95" t="n">
        <f aca="false">H9*N9*sib_jp_kg</f>
        <v>25.2</v>
      </c>
      <c r="V9" s="95" t="n">
        <v>100</v>
      </c>
      <c r="W9" s="95" t="n">
        <v>350</v>
      </c>
      <c r="X9" s="95" t="n">
        <v>350</v>
      </c>
      <c r="Y9" s="95" t="n">
        <v>219.78021978022</v>
      </c>
      <c r="Z9" s="95" t="n">
        <f aca="false">Y9*sib_amur</f>
        <v>219.78021978022</v>
      </c>
      <c r="AA9" s="97" t="n">
        <v>0</v>
      </c>
      <c r="AB9" s="95" t="n">
        <v>-400</v>
      </c>
      <c r="AC9" s="95" t="n">
        <v>400</v>
      </c>
      <c r="AD9" s="23" t="n">
        <v>0.95</v>
      </c>
      <c r="AE9" s="95" t="n">
        <f aca="false">(J9*sib_sw+K9+L9*sib_pw)*sib_bread+P9*sib_horses*sib_oats+AC9*sib_relief_kg</f>
        <v>668.9</v>
      </c>
      <c r="AF9" s="95" t="n">
        <f aca="false">sib_surplus*AD9*sib_harvest*1000000/365*sib_callmax</f>
        <v>780.821917808219</v>
      </c>
      <c r="AG9" s="95" t="n">
        <f aca="false">MAX(0,AE9-AF9)</f>
        <v>0</v>
      </c>
      <c r="AH9" s="95" t="n">
        <f aca="false">AE9-AG9</f>
        <v>668.9</v>
      </c>
      <c r="AI9" s="95" t="n">
        <f aca="false">I9*O9*sib_cn_kg</f>
        <v>0</v>
      </c>
      <c r="AJ9" s="95" t="n">
        <f aca="false">Q9*sib_loc_kg+H9*(1-N9)*sib_jp_kg</f>
        <v>133.8</v>
      </c>
      <c r="AK9" s="95" t="n">
        <f aca="false">T9+U9+V9+W9+X9+AB9</f>
        <v>1529.3</v>
      </c>
      <c r="AL9" s="95" t="n">
        <f aca="false">AI9+AG9</f>
        <v>0</v>
      </c>
      <c r="AM9" s="95" t="n">
        <f aca="false">AK9+AJ9</f>
        <v>1663.1</v>
      </c>
      <c r="AN9" s="95" t="n">
        <f aca="false">AK9+AL9+sib_e2*AJ9</f>
        <v>1609.58</v>
      </c>
      <c r="AO9" s="95" t="n">
        <f aca="false">AK9+AL9+sib_e3*AJ9</f>
        <v>1569.44</v>
      </c>
      <c r="AP9" s="95" t="n">
        <f aca="false">AK9+AL9+Z9</f>
        <v>1749.08021978022</v>
      </c>
      <c r="AQ9" s="95" t="n">
        <f aca="false">AK9+AL9+Z9</f>
        <v>1749.08021978022</v>
      </c>
      <c r="AR9" s="95" t="n">
        <f aca="false">H9+I9+L9</f>
        <v>130</v>
      </c>
      <c r="AS9" s="95" t="n">
        <f aca="false">H9*N9+I9*O9+L9*sib_pw</f>
        <v>73</v>
      </c>
      <c r="AT9" s="96" t="n">
        <f aca="false">(MAX(0,AR9-AR8)+AR9*sib_rot*C9/365)*1000/sib_mtrain/C9</f>
        <v>0.0837807550136317</v>
      </c>
      <c r="AU9" s="96" t="n">
        <f aca="false">(MAX(0,AS9-AS8)+AS9*sib_rot*C9/365)*1000/sib_mtrain/C9</f>
        <v>0.0333333333333333</v>
      </c>
      <c r="AV9" s="95" t="n">
        <v>0</v>
      </c>
      <c r="AW9" s="95" t="n">
        <v>100</v>
      </c>
      <c r="AX9" s="95" t="n">
        <f aca="false">(SUM(AV$6:AV9)+SUM(AW$6:AW9))*0.9</f>
        <v>855</v>
      </c>
      <c r="AY9" s="23" t="n">
        <v>0.62</v>
      </c>
      <c r="AZ9" s="23" t="n">
        <f aca="false">1-(1-AY9)*sib_sick</f>
        <v>0.62</v>
      </c>
      <c r="BA9" s="95" t="n">
        <f aca="false">sib_loco0*AZ9+AX9</f>
        <v>1661</v>
      </c>
      <c r="BB9" s="23" t="n">
        <f aca="false">AX9/BA9</f>
        <v>0.51475015051174</v>
      </c>
      <c r="BC9" s="95" t="n">
        <v>17</v>
      </c>
      <c r="BD9" s="95" t="n">
        <v>13</v>
      </c>
      <c r="BE9" s="95" t="n">
        <v>12</v>
      </c>
      <c r="BF9" s="95" t="n">
        <v>18</v>
      </c>
      <c r="BG9" s="95" t="n">
        <v>17</v>
      </c>
      <c r="BH9" s="96" t="n">
        <f aca="false">BC$6+(BC9-BC$6)*sib_works</f>
        <v>17</v>
      </c>
      <c r="BI9" s="96" t="n">
        <f aca="false">BD$6+(BD9-BD$6)*sib_works</f>
        <v>13</v>
      </c>
      <c r="BJ9" s="96" t="n">
        <f aca="false">BE$6+(BE9-BE$6)*sib_works</f>
        <v>12</v>
      </c>
      <c r="BK9" s="96" t="n">
        <f aca="false">BF$6+(BF9-BF$6)*sib_works</f>
        <v>18</v>
      </c>
      <c r="BL9" s="96" t="n">
        <f aca="false">BG$6+(BG9-BG$6)*sib_works</f>
        <v>17</v>
      </c>
      <c r="BM9" s="95" t="n">
        <v>0</v>
      </c>
      <c r="BN9" s="96" t="n">
        <f aca="false">(BH9*G9-sib_pass)*(1-sib_civ)*(1-sib_fuel-BM9*sib_strike)-AT9</f>
        <v>8.70037924498637</v>
      </c>
      <c r="BO9" s="96" t="n">
        <f aca="false">(BI9*G9-sib_pass)*(1-sib_civ)*(1-sib_fuel-BM9*sib_strike)-AT9</f>
        <v>6.33045924498637</v>
      </c>
      <c r="BP9" s="96" t="n">
        <f aca="false">(BJ9*G9-sib_pass)*(1-sib_civ)*(1-sib_fuel-BM9*sib_strike)-AU9</f>
        <v>5.78842666666667</v>
      </c>
      <c r="BQ9" s="96" t="n">
        <f aca="false">(BK9*G9-sib_pass)*(1-sib_civ)*(1-sib_fuel-BM9*sib_strike)-AU9</f>
        <v>9.34330666666667</v>
      </c>
      <c r="BR9" s="96" t="n">
        <f aca="false">(BL9*G9-sib_pass)*(1-sib_civ)*(1-sib_fuel-BM9*sib_strike)-AU9</f>
        <v>8.75082666666667</v>
      </c>
      <c r="BS9" s="96" t="n">
        <f aca="false">AM9/(sib_net1*(1+sib_decup*BB9))</f>
        <v>2.71002432970677</v>
      </c>
      <c r="BT9" s="96" t="n">
        <f aca="false">AN9/(sib_net2*(1+sib_decup*BB9))</f>
        <v>3.24729277728181</v>
      </c>
      <c r="BU9" s="96" t="n">
        <f aca="false">AO9/(sib_net3a*(1+sib_decup*BB9))</f>
        <v>2.95522378381442</v>
      </c>
      <c r="BV9" s="96" t="n">
        <f aca="false">AP9/(sib_net3b*(1+sib_decup*BB9))</f>
        <v>3.90017686392706</v>
      </c>
      <c r="BW9" s="96" t="n">
        <f aca="false">AQ9/(sib_net4*(1+sib_decup*BB9))</f>
        <v>3.08764001727559</v>
      </c>
      <c r="BX9" s="23" t="n">
        <f aca="false">BS9/BN9</f>
        <v>0.31148347139792</v>
      </c>
      <c r="BY9" s="23" t="n">
        <f aca="false">BT9/BO9</f>
        <v>0.512963222984749</v>
      </c>
      <c r="BZ9" s="23" t="n">
        <f aca="false">BU9/BP9</f>
        <v>0.510540074876033</v>
      </c>
      <c r="CA9" s="23" t="n">
        <f aca="false">BV9/BQ9</f>
        <v>0.417430038750777</v>
      </c>
      <c r="CB9" s="23" t="n">
        <f aca="false">BW9/BR9</f>
        <v>0.352839809870411</v>
      </c>
      <c r="CC9" s="23" t="n">
        <f aca="false">MAX(BX9:CB9,DW9)</f>
        <v>0.512963222984749</v>
      </c>
      <c r="CD9" s="1" t="str">
        <f aca="false">IF(DW9&gt;=MAX(BX9:CB9),"Ob-Chelyabinsk",CHOOSE(MATCH(CC9,BX9:CB9,0),"Vladivostok-Harbin","Harbin-Manzhouli","Manzhouli-Kitaisky (branch)","Kitaisky-Irkutsk","Irkutsk-Ob"))</f>
        <v>Harbin-Manzhouli</v>
      </c>
      <c r="CE9" s="96" t="n">
        <f aca="false">MIN(BN9-BS9,BO9-BT9,BP9-BU9,BQ9-BV9,BR9-BW9,DU9-DV9)</f>
        <v>2.83320288285224</v>
      </c>
      <c r="CF9" s="97" t="n">
        <f aca="false">2*(sib_L1*(BS9+AT9+(BH9*G9-sib_pass)*(sib_civ*sib_civused+(1-sib_civ)*sib_fuel)+sib_pass)+sib_L2*(BT9+AT9+(BI9*G9-sib_pass)*(sib_civ*sib_civused+(1-sib_civ)*sib_fuel)+sib_pass)+sib_L3a*(BU9+AU9+(BJ9*G9-sib_pass)*(sib_civ*sib_civused+(1-sib_civ)*sib_fuel)+sib_pass)+sib_L3b*(BV9+AU9+(BK9*G9-sib_pass)*(sib_civ*sib_civused+(1-sib_civ)*sib_fuel)+sib_pass)+sib_L4*(BW9+AU9+(BL9*G9-sib_pass)*(sib_civ*sib_civused+(1-sib_civ)*sib_fuel)+sib_pass)+sib_L5*(DV9+AU9+(DT9*G9-sib_pass)*(sib_civ*sib_civused+(1-sib_civ)*sib_fuel)+sib_pass))</f>
        <v>112164.356085558</v>
      </c>
      <c r="CG9" s="95" t="n">
        <f aca="false">CF9/sib_kmloco*sib_helper</f>
        <v>876.284031918419</v>
      </c>
      <c r="CH9" s="23" t="n">
        <f aca="false">CG9/BA9</f>
        <v>0.527564137217591</v>
      </c>
      <c r="CI9" s="97" t="n">
        <v>0</v>
      </c>
      <c r="CJ9" s="97" t="n">
        <v>2000</v>
      </c>
      <c r="CK9" s="97" t="n">
        <v>0</v>
      </c>
      <c r="CL9" s="97" t="n">
        <f aca="false">(sib_wag0+SUM(CI$6:CI9)+SUM(CJ$6:CJ9))*sib_wserv*(1-sib_civ)</f>
        <v>27370</v>
      </c>
      <c r="CM9" s="97" t="n">
        <f aca="false">AK9/sib_wload*(2*(sib_L1+sib_L2+sib_L3a+sib_L3b+sib_L4/2)/sib_wagkm+sib_term)+AL9/sib_wload*(2*(sib_L2+sib_L3a+sib_L3b+sib_L4/2)/sib_wagkm+sib_term)+AJ9/sib_wload*((sib_L1+sib_L2)/sib_wagkm+sib_term-2)+Z9/sib_wload*(2*(sib_L3b+sib_L4/2)/sib_wagkm+sib_term)+AU9*40*(2*(sib_L1+sib_L2+sib_L3a+sib_L3b+sib_L4/2)/sib_wagkm+sib_term)+K9*1000/sib_czw+CK9+DR9/sib_wload*(2*(sib_L4/2+sib_L5/2)/sib_wagkm)</f>
        <v>10436.3583208791</v>
      </c>
      <c r="CN9" s="23" t="n">
        <f aca="false">CM9/CL9</f>
        <v>0.381306478658353</v>
      </c>
      <c r="CO9" s="95" t="n">
        <v>600</v>
      </c>
      <c r="CP9" s="95" t="n">
        <f aca="false">MIN(CO9,AK9+AJ9)</f>
        <v>600</v>
      </c>
      <c r="CQ9" s="23" t="n">
        <f aca="false">(AK9+AJ9+Z9-CP9)*365/1000000+sib_civport</f>
        <v>1.26825128021978</v>
      </c>
      <c r="CR9" s="23" t="n">
        <v>2.4</v>
      </c>
      <c r="CS9" s="23" t="n">
        <f aca="false">CQ9/(CR9*IF(OR(RIGHT(A9,2)="Q1",C9=365),sib_portwin,1))</f>
        <v>0.528438033424909</v>
      </c>
      <c r="CT9" s="96" t="n">
        <f aca="false">(AK9+AJ9+Z9-CP9)*sib_pacship*365/(sib_dwt*0.9*sib_voy)</f>
        <v>5.8698166181397</v>
      </c>
      <c r="CU9" s="23" t="n">
        <f aca="false">CT9/sib_ships</f>
        <v>0.146745415453492</v>
      </c>
      <c r="CV9" s="97" t="n">
        <f aca="false">CV8+(AB9+Z9)*C9+AA9</f>
        <v>75226.0869565217</v>
      </c>
      <c r="CW9" s="96" t="n">
        <f aca="false">IF(C9=365,sib_surge/sib_mtrain/sib_surge_d,0)</f>
        <v>0</v>
      </c>
      <c r="CX9" s="95" t="n">
        <f aca="false">(CC9&gt;sib_util_max)+(CH9&gt;1)+(CN9&gt;1)+(CS9&gt;sib_util_max)+(CU9&gt;1)+(CV9&lt;0)+(CW9&gt;0)*(CE9&lt;CW9)</f>
        <v>0</v>
      </c>
      <c r="CY9" s="1" t="str">
        <f aca="false">IF(CX9=0,"OK","Check")</f>
        <v>OK</v>
      </c>
      <c r="CZ9" s="95" t="n">
        <v>2</v>
      </c>
      <c r="DA9" s="23" t="n">
        <v>6</v>
      </c>
      <c r="DB9" s="23" t="n">
        <v>2.5</v>
      </c>
      <c r="DC9" s="23" t="n">
        <f aca="false">INDEX(Paths!$B$6:$B$92,MATCH(B9,Paths!$A$6:$A$92,0))*sib_cost</f>
        <v>1.83</v>
      </c>
      <c r="DD9" s="96" t="n">
        <f aca="false">L9*sib_c_pac/1000*C9/365*DC9</f>
        <v>29.6560273972603</v>
      </c>
      <c r="DE9" s="96" t="n">
        <f aca="false">K9*sib_c_cz/1000*C9/365*DC9</f>
        <v>10.4024219178082</v>
      </c>
      <c r="DF9" s="96" t="n">
        <f aca="false">J9*sib_c_sib/1000*C9/365*DC9</f>
        <v>6.38745205479452</v>
      </c>
      <c r="DG9" s="96" t="n">
        <f aca="false">((MAX(0,T9-CP9)+V9+AB9+Z9+AA9/C9)*sib_pst_w+Q9*sib_loc_kg*sib_pst_e)*C9*sib_c_store/1000000*DC9</f>
        <v>15.38318313</v>
      </c>
      <c r="DH9" s="96" t="n">
        <f aca="false">((AW9*sib_c_loco+CJ9*sib_c_wag+MAX(0,AZ9-AZ8)*sib_loco0*sib_c_rep+CZ9*sib_c_arm)/1000000+DA9)*DC9</f>
        <v>22.97748</v>
      </c>
      <c r="DI9" s="96" t="n">
        <f aca="false">2*(sib_L1*(BS9+AT9)+sib_L2*(BT9+AT9)+sib_L3a*(BU9+AU9)+sib_L3b*(BV9+AU9)+sib_L4*(BW9+AU9)+sib_L5*(DV9+AU9))*C9*sib_c_tkm*sib_prail/1000000*DC9</f>
        <v>6.71928414834051</v>
      </c>
      <c r="DJ9" s="96" t="n">
        <f aca="false">CT9*sib_c_ship*C9/365*DC9</f>
        <v>1.20513767846154</v>
      </c>
      <c r="DK9" s="96" t="n">
        <f aca="false">DB9*DC9</f>
        <v>4.575</v>
      </c>
      <c r="DL9" s="96" t="n">
        <f aca="false">AA9*sib_c_kara/1000000*DC9</f>
        <v>0</v>
      </c>
      <c r="DM9" s="96" t="n">
        <f aca="false">(AC9*sib_c_ref/1000*C9/365+AH9*C9*sib_c_grain/1000000)*DC9</f>
        <v>4.31832410473973</v>
      </c>
      <c r="DN9" s="96" t="n">
        <f aca="false">Z9*C9*sib_c_amur/1000000*DC9</f>
        <v>0.439200000000001</v>
      </c>
      <c r="DO9" s="96" t="n">
        <f aca="false">sib_fed*sib_c_fed/1000000*C9/365*DC9</f>
        <v>0.684369863013699</v>
      </c>
      <c r="DP9" s="96" t="n">
        <f aca="false">SUM(DD9:DO9)</f>
        <v>102.747880294419</v>
      </c>
      <c r="DQ9" s="98" t="n">
        <v>0.8</v>
      </c>
      <c r="DR9" s="99" t="n">
        <f aca="false">AQ9*DQ9</f>
        <v>1399.26417582418</v>
      </c>
      <c r="DS9" s="98" t="n">
        <v>24</v>
      </c>
      <c r="DT9" s="99" t="n">
        <f aca="false">DS$6+(DS9-DS$6)*sib_works</f>
        <v>24</v>
      </c>
      <c r="DU9" s="99" t="n">
        <f aca="false">(DT9*G9-sib_pass)*(1-sib_civ)*(1-sib_fuel-BM9*sib_strike)-AU9</f>
        <v>12.8981866666667</v>
      </c>
      <c r="DV9" s="99" t="n">
        <f aca="false">DR9/(sib_net5*(1+sib_decup*BB9))</f>
        <v>2.47011201382047</v>
      </c>
      <c r="DW9" s="99" t="n">
        <f aca="false">IF(DV9=0,0,IF(DU9&lt;=0,9.99,DV9/DU9))</f>
        <v>0.191508471512828</v>
      </c>
    </row>
    <row r="10" customFormat="false" ht="13.5" hidden="false" customHeight="true" outlineLevel="0" collapsed="false">
      <c r="A10" s="1" t="s">
        <v>1978</v>
      </c>
      <c r="B10" s="95" t="n">
        <v>1919</v>
      </c>
      <c r="C10" s="95" t="n">
        <v>92</v>
      </c>
      <c r="D10" s="1" t="s">
        <v>1979</v>
      </c>
      <c r="E10" s="23" t="n">
        <v>0</v>
      </c>
      <c r="F10" s="95" t="n">
        <v>0</v>
      </c>
      <c r="G10" s="23" t="n">
        <f aca="false">1-E10*IF(F10=1,sib_winter,1)</f>
        <v>1</v>
      </c>
      <c r="H10" s="95" t="n">
        <v>70</v>
      </c>
      <c r="I10" s="95" t="n">
        <v>10</v>
      </c>
      <c r="J10" s="95" t="n">
        <v>150</v>
      </c>
      <c r="K10" s="95" t="n">
        <v>30</v>
      </c>
      <c r="L10" s="95" t="n">
        <v>50</v>
      </c>
      <c r="M10" s="95" t="n">
        <f aca="false">SUM(H10:L10)</f>
        <v>310</v>
      </c>
      <c r="N10" s="23" t="n">
        <v>0.4</v>
      </c>
      <c r="O10" s="23" t="n">
        <v>0</v>
      </c>
      <c r="P10" s="95" t="n">
        <f aca="false">H10*N10+I10*O10+J10*sib_sw+K10+L10*sib_pw</f>
        <v>245.5</v>
      </c>
      <c r="Q10" s="95" t="n">
        <f aca="false">M10-P10</f>
        <v>64.5</v>
      </c>
      <c r="R10" s="23" t="n">
        <v>0.45</v>
      </c>
      <c r="S10" s="96" t="n">
        <v>3</v>
      </c>
      <c r="T10" s="95" t="n">
        <f aca="false">P10*(R10*S10*sib_ammo+(1-R10)*sib_loc_kg)</f>
        <v>533.9625</v>
      </c>
      <c r="U10" s="95" t="n">
        <f aca="false">H10*N10*sib_jp_kg</f>
        <v>25.2</v>
      </c>
      <c r="V10" s="95" t="n">
        <v>80</v>
      </c>
      <c r="W10" s="95" t="n">
        <v>300</v>
      </c>
      <c r="X10" s="95" t="n">
        <v>300</v>
      </c>
      <c r="Y10" s="95" t="n">
        <v>326.086956521739</v>
      </c>
      <c r="Z10" s="95" t="n">
        <f aca="false">Y10*sib_amur</f>
        <v>326.086956521739</v>
      </c>
      <c r="AA10" s="97" t="n">
        <v>15000</v>
      </c>
      <c r="AB10" s="95" t="n">
        <v>300</v>
      </c>
      <c r="AC10" s="95" t="n">
        <v>300</v>
      </c>
      <c r="AD10" s="23" t="n">
        <v>1</v>
      </c>
      <c r="AE10" s="95" t="n">
        <f aca="false">(J10*sib_sw+K10+L10*sib_pw)*sib_bread+P10*sib_horses*sib_oats+AC10*sib_relief_kg</f>
        <v>621.9375</v>
      </c>
      <c r="AF10" s="95" t="n">
        <f aca="false">sib_surplus*AD10*sib_harvest*1000000/365*sib_callmax</f>
        <v>821.917808219178</v>
      </c>
      <c r="AG10" s="95" t="n">
        <f aca="false">MAX(0,AE10-AF10)</f>
        <v>0</v>
      </c>
      <c r="AH10" s="95" t="n">
        <f aca="false">AE10-AG10</f>
        <v>621.9375</v>
      </c>
      <c r="AI10" s="95" t="n">
        <f aca="false">I10*O10*sib_cn_kg</f>
        <v>0</v>
      </c>
      <c r="AJ10" s="95" t="n">
        <f aca="false">Q10*sib_loc_kg+H10*(1-N10)*sib_jp_kg</f>
        <v>134.55</v>
      </c>
      <c r="AK10" s="95" t="n">
        <f aca="false">T10+U10+V10+W10+X10+AB10</f>
        <v>1539.1625</v>
      </c>
      <c r="AL10" s="95" t="n">
        <f aca="false">AI10+AG10</f>
        <v>0</v>
      </c>
      <c r="AM10" s="95" t="n">
        <f aca="false">AK10+AJ10</f>
        <v>1673.7125</v>
      </c>
      <c r="AN10" s="95" t="n">
        <f aca="false">AK10+AL10+sib_e2*AJ10</f>
        <v>1619.8925</v>
      </c>
      <c r="AO10" s="95" t="n">
        <f aca="false">AK10+AL10+sib_e3*AJ10</f>
        <v>1579.5275</v>
      </c>
      <c r="AP10" s="95" t="n">
        <f aca="false">AK10+AL10+Z10</f>
        <v>1865.24945652174</v>
      </c>
      <c r="AQ10" s="95" t="n">
        <f aca="false">AK10+AL10+Z10</f>
        <v>1865.24945652174</v>
      </c>
      <c r="AR10" s="95" t="n">
        <f aca="false">H10+I10+L10</f>
        <v>130</v>
      </c>
      <c r="AS10" s="95" t="n">
        <f aca="false">H10*N10+I10*O10+L10*sib_pw</f>
        <v>73</v>
      </c>
      <c r="AT10" s="96" t="n">
        <f aca="false">(MAX(0,AR10-AR9)+AR10*sib_rot*C10/365)*1000/sib_mtrain/C10</f>
        <v>0.0593607305936073</v>
      </c>
      <c r="AU10" s="96" t="n">
        <f aca="false">(MAX(0,AS10-AS9)+AS10*sib_rot*C10/365)*1000/sib_mtrain/C10</f>
        <v>0.0333333333333333</v>
      </c>
      <c r="AV10" s="95" t="n">
        <v>0</v>
      </c>
      <c r="AW10" s="95" t="n">
        <v>0</v>
      </c>
      <c r="AX10" s="95" t="n">
        <f aca="false">(SUM(AV$6:AV10)+SUM(AW$6:AW10))*0.9</f>
        <v>855</v>
      </c>
      <c r="AY10" s="23" t="n">
        <v>0.68</v>
      </c>
      <c r="AZ10" s="23" t="n">
        <f aca="false">1-(1-AY10)*sib_sick</f>
        <v>0.68</v>
      </c>
      <c r="BA10" s="95" t="n">
        <f aca="false">sib_loco0*AZ10+AX10</f>
        <v>1739</v>
      </c>
      <c r="BB10" s="23" t="n">
        <f aca="false">AX10/BA10</f>
        <v>0.491661874640598</v>
      </c>
      <c r="BC10" s="95" t="n">
        <v>18</v>
      </c>
      <c r="BD10" s="95" t="n">
        <v>14</v>
      </c>
      <c r="BE10" s="95" t="n">
        <v>14</v>
      </c>
      <c r="BF10" s="95" t="n">
        <v>20</v>
      </c>
      <c r="BG10" s="95" t="n">
        <v>20</v>
      </c>
      <c r="BH10" s="96" t="n">
        <f aca="false">BC$6+(BC10-BC$6)*sib_works</f>
        <v>18</v>
      </c>
      <c r="BI10" s="96" t="n">
        <f aca="false">BD$6+(BD10-BD$6)*sib_works</f>
        <v>14</v>
      </c>
      <c r="BJ10" s="96" t="n">
        <f aca="false">BE$6+(BE10-BE$6)*sib_works</f>
        <v>14</v>
      </c>
      <c r="BK10" s="96" t="n">
        <f aca="false">BF$6+(BF10-BF$6)*sib_works</f>
        <v>20</v>
      </c>
      <c r="BL10" s="96" t="n">
        <f aca="false">BG$6+(BG10-BG$6)*sib_works</f>
        <v>20</v>
      </c>
      <c r="BM10" s="95" t="n">
        <v>0</v>
      </c>
      <c r="BN10" s="96" t="n">
        <f aca="false">(BH10*G10-sib_pass)*(1-sib_civ)*(1-sib_fuel-BM10*sib_strike)-AT10</f>
        <v>10.2446392694064</v>
      </c>
      <c r="BO10" s="96" t="n">
        <f aca="false">(BI10*G10-sib_pass)*(1-sib_civ)*(1-sib_fuel-BM10*sib_strike)-AT10</f>
        <v>7.66863926940639</v>
      </c>
      <c r="BP10" s="96" t="n">
        <f aca="false">(BJ10*G10-sib_pass)*(1-sib_civ)*(1-sib_fuel-BM10*sib_strike)-AU10</f>
        <v>7.69466666666667</v>
      </c>
      <c r="BQ10" s="96" t="n">
        <f aca="false">(BK10*G10-sib_pass)*(1-sib_civ)*(1-sib_fuel-BM10*sib_strike)-AU10</f>
        <v>11.5586666666667</v>
      </c>
      <c r="BR10" s="96" t="n">
        <f aca="false">(BL10*G10-sib_pass)*(1-sib_civ)*(1-sib_fuel-BM10*sib_strike)-AU10</f>
        <v>11.5586666666667</v>
      </c>
      <c r="BS10" s="96" t="n">
        <f aca="false">AM10/(sib_net1*(1+sib_decup*BB10))</f>
        <v>2.74612085924011</v>
      </c>
      <c r="BT10" s="96" t="n">
        <f aca="false">AN10/(sib_net2*(1+sib_decup*BB10))</f>
        <v>3.29062986747502</v>
      </c>
      <c r="BU10" s="96" t="n">
        <f aca="false">AO10/(sib_net3a*(1+sib_decup*BB10))</f>
        <v>2.99472403886777</v>
      </c>
      <c r="BV10" s="96" t="n">
        <f aca="false">AP10/(sib_net3b*(1+sib_decup*BB10))</f>
        <v>4.18789183818847</v>
      </c>
      <c r="BW10" s="96" t="n">
        <f aca="false">AQ10/(sib_net4*(1+sib_decup*BB10))</f>
        <v>3.3154143718992</v>
      </c>
      <c r="BX10" s="23" t="n">
        <f aca="false">BS10/BN10</f>
        <v>0.268054422125029</v>
      </c>
      <c r="BY10" s="23" t="n">
        <f aca="false">BT10/BO10</f>
        <v>0.429102185129871</v>
      </c>
      <c r="BZ10" s="23" t="n">
        <f aca="false">BU10/BP10</f>
        <v>0.3891947719894</v>
      </c>
      <c r="CA10" s="23" t="n">
        <f aca="false">BV10/BQ10</f>
        <v>0.362316170105128</v>
      </c>
      <c r="CB10" s="23" t="n">
        <f aca="false">BW10/BR10</f>
        <v>0.286833634666559</v>
      </c>
      <c r="CC10" s="23" t="n">
        <f aca="false">MAX(BX10:CB10,DW10)</f>
        <v>0.429102185129871</v>
      </c>
      <c r="CD10" s="1" t="str">
        <f aca="false">IF(DW10&gt;=MAX(BX10:CB10),"Ob-Chelyabinsk",CHOOSE(MATCH(CC10,BX10:CB10,0),"Vladivostok-Harbin","Harbin-Manzhouli","Manzhouli-Kitaisky (branch)","Kitaisky-Irkutsk","Irkutsk-Ob"))</f>
        <v>Harbin-Manzhouli</v>
      </c>
      <c r="CE10" s="96" t="n">
        <f aca="false">MIN(BN10-BS10,BO10-BT10,BP10-BU10,BQ10-BV10,BR10-BW10,DU10-DV10)</f>
        <v>4.37800940193137</v>
      </c>
      <c r="CF10" s="97" t="n">
        <f aca="false">2*(sib_L1*(BS10+AT10+(BH10*G10-sib_pass)*(sib_civ*sib_civused+(1-sib_civ)*sib_fuel)+sib_pass)+sib_L2*(BT10+AT10+(BI10*G10-sib_pass)*(sib_civ*sib_civused+(1-sib_civ)*sib_fuel)+sib_pass)+sib_L3a*(BU10+AU10+(BJ10*G10-sib_pass)*(sib_civ*sib_civused+(1-sib_civ)*sib_fuel)+sib_pass)+sib_L3b*(BV10+AU10+(BK10*G10-sib_pass)*(sib_civ*sib_civused+(1-sib_civ)*sib_fuel)+sib_pass)+sib_L4*(BW10+AU10+(BL10*G10-sib_pass)*(sib_civ*sib_civused+(1-sib_civ)*sib_fuel)+sib_pass)+sib_L5*(DV10+AU10+(DT10*G10-sib_pass)*(sib_civ*sib_civused+(1-sib_civ)*sib_fuel)+sib_pass))</f>
        <v>124156.340899867</v>
      </c>
      <c r="CG10" s="95" t="n">
        <f aca="false">CF10/sib_kmloco*sib_helper</f>
        <v>969.971413280214</v>
      </c>
      <c r="CH10" s="23" t="n">
        <f aca="false">CG10/BA10</f>
        <v>0.557775395790807</v>
      </c>
      <c r="CI10" s="97" t="n">
        <v>0</v>
      </c>
      <c r="CJ10" s="97" t="n">
        <v>0</v>
      </c>
      <c r="CK10" s="97" t="n">
        <v>1500</v>
      </c>
      <c r="CL10" s="97" t="n">
        <f aca="false">(sib_wag0+SUM(CI$6:CI10)+SUM(CJ$6:CJ10))*sib_wserv*(1-sib_civ)</f>
        <v>27370</v>
      </c>
      <c r="CM10" s="97" t="n">
        <f aca="false">AK10/sib_wload*(2*(sib_L1+sib_L2+sib_L3a+sib_L3b+sib_L4/2)/sib_wagkm+sib_term)+AL10/sib_wload*(2*(sib_L2+sib_L3a+sib_L3b+sib_L4/2)/sib_wagkm+sib_term)+AJ10/sib_wload*((sib_L1+sib_L2)/sib_wagkm+sib_term-2)+Z10/sib_wload*(2*(sib_L3b+sib_L4/2)/sib_wagkm+sib_term)+AU10*40*(2*(sib_L1+sib_L2+sib_L3a+sib_L3b+sib_L4/2)/sib_wagkm+sib_term)+K10*1000/sib_czw+CK10+DR10/sib_wload*(2*(sib_L4/2+sib_L5/2)/sib_wagkm)</f>
        <v>12025.7299845411</v>
      </c>
      <c r="CN10" s="23" t="n">
        <f aca="false">CM10/CL10</f>
        <v>0.439376323878007</v>
      </c>
      <c r="CO10" s="95" t="n">
        <v>0</v>
      </c>
      <c r="CP10" s="95" t="n">
        <f aca="false">MIN(CO10,AK10+AJ10)</f>
        <v>0</v>
      </c>
      <c r="CQ10" s="23" t="n">
        <f aca="false">(AK10+AJ10+Z10-CP10)*365/1000000+sib_civport</f>
        <v>1.52992680163043</v>
      </c>
      <c r="CR10" s="23" t="n">
        <v>2.6</v>
      </c>
      <c r="CS10" s="23" t="n">
        <f aca="false">CQ10/(CR10*IF(OR(RIGHT(A10,2)="Q1",C10=365),sib_portwin,1))</f>
        <v>0.588433385242475</v>
      </c>
      <c r="CT10" s="96" t="n">
        <f aca="false">(AK10+AJ10+Z10-CP10)*sib_pacship*365/(sib_dwt*0.9*sib_voy)</f>
        <v>9.15007956459805</v>
      </c>
      <c r="CU10" s="23" t="n">
        <f aca="false">CT10/sib_ships</f>
        <v>0.228751989114951</v>
      </c>
      <c r="CV10" s="97" t="n">
        <f aca="false">CV9+(AB10+Z10)*C10+AA10</f>
        <v>147826.086956522</v>
      </c>
      <c r="CW10" s="96" t="n">
        <f aca="false">IF(C10=365,sib_surge/sib_mtrain/sib_surge_d,0)</f>
        <v>0</v>
      </c>
      <c r="CX10" s="95" t="n">
        <f aca="false">(CC10&gt;sib_util_max)+(CH10&gt;1)+(CN10&gt;1)+(CS10&gt;sib_util_max)+(CU10&gt;1)+(CV10&lt;0)+(CW10&gt;0)*(CE10&lt;CW10)</f>
        <v>0</v>
      </c>
      <c r="CY10" s="1" t="str">
        <f aca="false">IF(CX10=0,"OK","Check")</f>
        <v>OK</v>
      </c>
      <c r="CZ10" s="95" t="n">
        <v>2</v>
      </c>
      <c r="DA10" s="23" t="n">
        <v>5</v>
      </c>
      <c r="DB10" s="23" t="n">
        <v>2.5</v>
      </c>
      <c r="DC10" s="23" t="n">
        <f aca="false">INDEX(Paths!$B$6:$B$92,MATCH(B10,Paths!$A$6:$A$92,0))*sib_cost</f>
        <v>1.83</v>
      </c>
      <c r="DD10" s="96" t="n">
        <f aca="false">L10*sib_c_pac/1000*C10/365*DC10</f>
        <v>29.9819178082192</v>
      </c>
      <c r="DE10" s="96" t="n">
        <f aca="false">K10*sib_c_cz/1000*C10/365*DC10</f>
        <v>8.30268493150685</v>
      </c>
      <c r="DF10" s="96" t="n">
        <f aca="false">J10*sib_c_sib/1000*C10/365*DC10</f>
        <v>6.91890410958904</v>
      </c>
      <c r="DG10" s="96" t="n">
        <f aca="false">((MAX(0,T10-CP10)+V10+AB10+Z10+AA10/C10)*sib_pst_w+Q10*sib_loc_kg*sib_pst_e)*C10*sib_c_store/1000000*DC10</f>
        <v>50.177301615</v>
      </c>
      <c r="DH10" s="96" t="n">
        <f aca="false">((AW10*sib_c_loco+CJ10*sib_c_wag+MAX(0,AZ10-AZ9)*sib_loco0*sib_c_rep+CZ10*sib_c_arm)/1000000+DA10)*DC10</f>
        <v>11.10444</v>
      </c>
      <c r="DI10" s="96" t="n">
        <f aca="false">2*(sib_L1*(BS10+AT10)+sib_L2*(BT10+AT10)+sib_L3a*(BU10+AU10)+sib_L3b*(BV10+AU10)+sib_L4*(BW10+AU10)+sib_L5*(DV10+AU10))*C10*sib_c_tkm*sib_prail/1000000*DC10</f>
        <v>7.14131841178254</v>
      </c>
      <c r="DJ10" s="96" t="n">
        <f aca="false">CT10*sib_c_ship*C10/365*DC10</f>
        <v>1.89925569307692</v>
      </c>
      <c r="DK10" s="96" t="n">
        <f aca="false">DB10*DC10</f>
        <v>4.575</v>
      </c>
      <c r="DL10" s="96" t="n">
        <f aca="false">AA10*sib_c_kara/1000000*DC10</f>
        <v>0.41175</v>
      </c>
      <c r="DM10" s="96" t="n">
        <f aca="false">(AC10*sib_c_ref/1000*C10/365+AH10*C10*sib_c_grain/1000000)*DC10</f>
        <v>3.39581802883562</v>
      </c>
      <c r="DN10" s="96" t="n">
        <f aca="false">Z10*C10*sib_c_amur/1000000*DC10</f>
        <v>0.6588</v>
      </c>
      <c r="DO10" s="96" t="n">
        <f aca="false">sib_fed*sib_c_fed/1000000*C10/365*DC10</f>
        <v>0.691890410958904</v>
      </c>
      <c r="DP10" s="96" t="n">
        <f aca="false">SUM(DD10:DO10)</f>
        <v>125.259081008969</v>
      </c>
      <c r="DQ10" s="98" t="n">
        <v>0.8</v>
      </c>
      <c r="DR10" s="99" t="n">
        <f aca="false">AQ10*DQ10</f>
        <v>1492.19956521739</v>
      </c>
      <c r="DS10" s="98" t="n">
        <v>24</v>
      </c>
      <c r="DT10" s="99" t="n">
        <f aca="false">DS$6+(DS10-DS$6)*sib_works</f>
        <v>24</v>
      </c>
      <c r="DU10" s="99" t="n">
        <f aca="false">(DT10*G10-sib_pass)*(1-sib_civ)*(1-sib_fuel-BM10*sib_strike)-AU10</f>
        <v>14.1346666666667</v>
      </c>
      <c r="DV10" s="99" t="n">
        <f aca="false">DR10/(sib_net5*(1+sib_decup*BB10))</f>
        <v>2.65233149751936</v>
      </c>
      <c r="DW10" s="99" t="n">
        <f aca="false">IF(DV10=0,0,IF(DU10&lt;=0,9.99,DV10/DU10))</f>
        <v>0.18764726187525</v>
      </c>
    </row>
    <row r="11" customFormat="false" ht="13.5" hidden="false" customHeight="true" outlineLevel="0" collapsed="false">
      <c r="A11" s="1" t="s">
        <v>1980</v>
      </c>
      <c r="B11" s="95" t="n">
        <v>1919</v>
      </c>
      <c r="C11" s="95" t="n">
        <v>92</v>
      </c>
      <c r="D11" s="1" t="s">
        <v>1981</v>
      </c>
      <c r="E11" s="23" t="n">
        <v>0.15</v>
      </c>
      <c r="F11" s="95" t="n">
        <v>1</v>
      </c>
      <c r="G11" s="23" t="n">
        <f aca="false">1-E11*IF(F11=1,sib_winter,1)</f>
        <v>0.85</v>
      </c>
      <c r="H11" s="95" t="n">
        <v>70</v>
      </c>
      <c r="I11" s="95" t="n">
        <v>10</v>
      </c>
      <c r="J11" s="95" t="n">
        <v>150</v>
      </c>
      <c r="K11" s="95" t="n">
        <v>20</v>
      </c>
      <c r="L11" s="95" t="n">
        <v>50</v>
      </c>
      <c r="M11" s="95" t="n">
        <f aca="false">SUM(H11:L11)</f>
        <v>300</v>
      </c>
      <c r="N11" s="23" t="n">
        <v>0.4</v>
      </c>
      <c r="O11" s="23" t="n">
        <v>0</v>
      </c>
      <c r="P11" s="95" t="n">
        <f aca="false">H11*N11+I11*O11+J11*sib_sw+K11+L11*sib_pw</f>
        <v>235.5</v>
      </c>
      <c r="Q11" s="95" t="n">
        <f aca="false">M11-P11</f>
        <v>64.5</v>
      </c>
      <c r="R11" s="23" t="n">
        <v>0.55</v>
      </c>
      <c r="S11" s="96" t="n">
        <v>6</v>
      </c>
      <c r="T11" s="95" t="n">
        <f aca="false">P11*(R11*S11*sib_ammo+(1-R11)*sib_loc_kg)</f>
        <v>936.1125</v>
      </c>
      <c r="U11" s="95" t="n">
        <f aca="false">H11*N11*sib_jp_kg</f>
        <v>25.2</v>
      </c>
      <c r="V11" s="95" t="n">
        <v>60</v>
      </c>
      <c r="W11" s="95" t="n">
        <v>100</v>
      </c>
      <c r="X11" s="95" t="n">
        <v>100</v>
      </c>
      <c r="Y11" s="95" t="n">
        <v>0</v>
      </c>
      <c r="Z11" s="95" t="n">
        <f aca="false">Y11*sib_amur</f>
        <v>0</v>
      </c>
      <c r="AA11" s="97" t="n">
        <v>0</v>
      </c>
      <c r="AB11" s="95" t="n">
        <v>200</v>
      </c>
      <c r="AC11" s="95" t="n">
        <v>250</v>
      </c>
      <c r="AD11" s="23" t="n">
        <v>1</v>
      </c>
      <c r="AE11" s="95" t="n">
        <f aca="false">(J11*sib_sw+K11+L11*sib_pw)*sib_bread+P11*sib_horses*sib_oats+AC11*sib_relief_kg</f>
        <v>576.6875</v>
      </c>
      <c r="AF11" s="95" t="n">
        <f aca="false">sib_surplus*AD11*sib_harvest*1000000/365*sib_callmax</f>
        <v>821.917808219178</v>
      </c>
      <c r="AG11" s="95" t="n">
        <f aca="false">MAX(0,AE11-AF11)</f>
        <v>0</v>
      </c>
      <c r="AH11" s="95" t="n">
        <f aca="false">AE11-AG11</f>
        <v>576.6875</v>
      </c>
      <c r="AI11" s="95" t="n">
        <f aca="false">I11*O11*sib_cn_kg</f>
        <v>0</v>
      </c>
      <c r="AJ11" s="95" t="n">
        <f aca="false">Q11*sib_loc_kg+H11*(1-N11)*sib_jp_kg</f>
        <v>134.55</v>
      </c>
      <c r="AK11" s="95" t="n">
        <f aca="false">T11+U11+V11+W11+X11+AB11</f>
        <v>1421.3125</v>
      </c>
      <c r="AL11" s="95" t="n">
        <f aca="false">AI11+AG11</f>
        <v>0</v>
      </c>
      <c r="AM11" s="95" t="n">
        <f aca="false">AK11+AJ11</f>
        <v>1555.8625</v>
      </c>
      <c r="AN11" s="95" t="n">
        <f aca="false">AK11+AL11+sib_e2*AJ11</f>
        <v>1502.0425</v>
      </c>
      <c r="AO11" s="95" t="n">
        <f aca="false">AK11+AL11+sib_e3*AJ11</f>
        <v>1461.6775</v>
      </c>
      <c r="AP11" s="95" t="n">
        <f aca="false">AK11+AL11+Z11</f>
        <v>1421.3125</v>
      </c>
      <c r="AQ11" s="95" t="n">
        <f aca="false">AK11+AL11+Z11</f>
        <v>1421.3125</v>
      </c>
      <c r="AR11" s="95" t="n">
        <f aca="false">H11+I11+L11</f>
        <v>130</v>
      </c>
      <c r="AS11" s="95" t="n">
        <f aca="false">H11*N11+I11*O11+L11*sib_pw</f>
        <v>73</v>
      </c>
      <c r="AT11" s="96" t="n">
        <f aca="false">(MAX(0,AR11-AR10)+AR11*sib_rot*C11/365)*1000/sib_mtrain/C11</f>
        <v>0.0593607305936073</v>
      </c>
      <c r="AU11" s="96" t="n">
        <f aca="false">(MAX(0,AS11-AS10)+AS11*sib_rot*C11/365)*1000/sib_mtrain/C11</f>
        <v>0.0333333333333333</v>
      </c>
      <c r="AV11" s="95" t="n">
        <v>0</v>
      </c>
      <c r="AW11" s="95" t="n">
        <v>0</v>
      </c>
      <c r="AX11" s="95" t="n">
        <f aca="false">(SUM(AV$6:AV11)+SUM(AW$6:AW11))*0.9</f>
        <v>855</v>
      </c>
      <c r="AY11" s="23" t="n">
        <v>0.7</v>
      </c>
      <c r="AZ11" s="23" t="n">
        <f aca="false">1-(1-AY11)*sib_sick</f>
        <v>0.7</v>
      </c>
      <c r="BA11" s="95" t="n">
        <f aca="false">sib_loco0*AZ11+AX11</f>
        <v>1765</v>
      </c>
      <c r="BB11" s="23" t="n">
        <f aca="false">AX11/BA11</f>
        <v>0.484419263456091</v>
      </c>
      <c r="BC11" s="95" t="n">
        <v>18</v>
      </c>
      <c r="BD11" s="95" t="n">
        <v>15</v>
      </c>
      <c r="BE11" s="95" t="n">
        <v>15</v>
      </c>
      <c r="BF11" s="95" t="n">
        <v>22</v>
      </c>
      <c r="BG11" s="95" t="n">
        <v>22</v>
      </c>
      <c r="BH11" s="96" t="n">
        <f aca="false">BC$6+(BC11-BC$6)*sib_works</f>
        <v>18</v>
      </c>
      <c r="BI11" s="96" t="n">
        <f aca="false">BD$6+(BD11-BD$6)*sib_works</f>
        <v>15</v>
      </c>
      <c r="BJ11" s="96" t="n">
        <f aca="false">BE$6+(BE11-BE$6)*sib_works</f>
        <v>15</v>
      </c>
      <c r="BK11" s="96" t="n">
        <f aca="false">BF$6+(BF11-BF$6)*sib_works</f>
        <v>22</v>
      </c>
      <c r="BL11" s="96" t="n">
        <f aca="false">BG$6+(BG11-BG$6)*sib_works</f>
        <v>22</v>
      </c>
      <c r="BM11" s="95" t="n">
        <v>1</v>
      </c>
      <c r="BN11" s="96" t="n">
        <f aca="false">(BH11*G11-sib_pass)*(1-sib_civ)*(1-sib_fuel-BM11*sib_strike)-AT11</f>
        <v>8.50583926940639</v>
      </c>
      <c r="BO11" s="96" t="n">
        <f aca="false">(BI11*G11-sib_pass)*(1-sib_civ)*(1-sib_fuel-BM11*sib_strike)-AT11</f>
        <v>6.86363926940639</v>
      </c>
      <c r="BP11" s="96" t="n">
        <f aca="false">(BJ11*G11-sib_pass)*(1-sib_civ)*(1-sib_fuel-BM11*sib_strike)-AU11</f>
        <v>6.88966666666667</v>
      </c>
      <c r="BQ11" s="96" t="n">
        <f aca="false">(BK11*G11-sib_pass)*(1-sib_civ)*(1-sib_fuel-BM11*sib_strike)-AU11</f>
        <v>10.7214666666667</v>
      </c>
      <c r="BR11" s="96" t="n">
        <f aca="false">(BL11*G11-sib_pass)*(1-sib_civ)*(1-sib_fuel-BM11*sib_strike)-AU11</f>
        <v>10.7214666666667</v>
      </c>
      <c r="BS11" s="96" t="n">
        <f aca="false">AM11/(sib_net1*(1+sib_decup*BB11))</f>
        <v>2.55829302177174</v>
      </c>
      <c r="BT11" s="96" t="n">
        <f aca="false">AN11/(sib_net2*(1+sib_decup*BB11))</f>
        <v>3.05784415243632</v>
      </c>
      <c r="BU11" s="96" t="n">
        <f aca="false">AO11/(sib_net3a*(1+sib_decup*BB11))</f>
        <v>2.77729149677715</v>
      </c>
      <c r="BV11" s="96" t="n">
        <f aca="false">AP11/(sib_net3b*(1+sib_decup*BB11))</f>
        <v>3.19807316598994</v>
      </c>
      <c r="BW11" s="96" t="n">
        <f aca="false">AQ11/(sib_net4*(1+sib_decup*BB11))</f>
        <v>2.53180792307537</v>
      </c>
      <c r="BX11" s="23" t="n">
        <f aca="false">BS11/BN11</f>
        <v>0.300769029456428</v>
      </c>
      <c r="BY11" s="23" t="n">
        <f aca="false">BT11/BO11</f>
        <v>0.445513528962133</v>
      </c>
      <c r="BZ11" s="23" t="n">
        <f aca="false">BU11/BP11</f>
        <v>0.403109704888066</v>
      </c>
      <c r="CA11" s="23" t="n">
        <f aca="false">BV11/BQ11</f>
        <v>0.29828691030984</v>
      </c>
      <c r="CB11" s="23" t="n">
        <f aca="false">BW11/BR11</f>
        <v>0.23614380399529</v>
      </c>
      <c r="CC11" s="23" t="n">
        <f aca="false">MAX(BX11:CB11,DW11)</f>
        <v>0.445513528962133</v>
      </c>
      <c r="CD11" s="1" t="str">
        <f aca="false">IF(DW11&gt;=MAX(BX11:CB11),"Ob-Chelyabinsk",CHOOSE(MATCH(CC11,BX11:CB11,0),"Vladivostok-Harbin","Harbin-Manzhouli","Manzhouli-Kitaisky (branch)","Kitaisky-Irkutsk","Irkutsk-Ob"))</f>
        <v>Harbin-Manzhouli</v>
      </c>
      <c r="CE11" s="96" t="n">
        <f aca="false">MIN(BN11-BS11,BO11-BT11,BP11-BU11,BQ11-BV11,BR11-BW11,DU11-DV11)</f>
        <v>3.80579511697008</v>
      </c>
      <c r="CF11" s="97" t="n">
        <f aca="false">2*(sib_L1*(BS11+AT11+(BH11*G11-sib_pass)*(sib_civ*sib_civused+(1-sib_civ)*sib_fuel)+sib_pass)+sib_L2*(BT11+AT11+(BI11*G11-sib_pass)*(sib_civ*sib_civused+(1-sib_civ)*sib_fuel)+sib_pass)+sib_L3a*(BU11+AU11+(BJ11*G11-sib_pass)*(sib_civ*sib_civused+(1-sib_civ)*sib_fuel)+sib_pass)+sib_L3b*(BV11+AU11+(BK11*G11-sib_pass)*(sib_civ*sib_civused+(1-sib_civ)*sib_fuel)+sib_pass)+sib_L4*(BW11+AU11+(BL11*G11-sib_pass)*(sib_civ*sib_civused+(1-sib_civ)*sib_fuel)+sib_pass)+sib_L5*(DV11+AU11+(DT11*G11-sib_pass)*(sib_civ*sib_civused+(1-sib_civ)*sib_fuel)+sib_pass))</f>
        <v>110080.816761155</v>
      </c>
      <c r="CG11" s="95" t="n">
        <f aca="false">CF11/sib_kmloco*sib_helper</f>
        <v>860.006380946526</v>
      </c>
      <c r="CH11" s="23" t="n">
        <f aca="false">CG11/BA11</f>
        <v>0.487255739913046</v>
      </c>
      <c r="CI11" s="97" t="n">
        <v>0</v>
      </c>
      <c r="CJ11" s="97" t="n">
        <v>0</v>
      </c>
      <c r="CK11" s="97" t="n">
        <v>1500</v>
      </c>
      <c r="CL11" s="97" t="n">
        <f aca="false">(sib_wag0+SUM(CI$6:CI11)+SUM(CJ$6:CJ11))*sib_wserv*(1-sib_civ)</f>
        <v>27370</v>
      </c>
      <c r="CM11" s="97" t="n">
        <f aca="false">AK11/sib_wload*(2*(sib_L1+sib_L2+sib_L3a+sib_L3b+sib_L4/2)/sib_wagkm+sib_term)+AL11/sib_wload*(2*(sib_L2+sib_L3a+sib_L3b+sib_L4/2)/sib_wagkm+sib_term)+AJ11/sib_wload*((sib_L1+sib_L2)/sib_wagkm+sib_term-2)+Z11/sib_wload*(2*(sib_L3b+sib_L4/2)/sib_wagkm+sib_term)+AU11*40*(2*(sib_L1+sib_L2+sib_L3a+sib_L3b+sib_L4/2)/sib_wagkm+sib_term)+K11*1000/sib_czw+CK11+DR11/sib_wload*(2*(sib_L4/2+sib_L5/2)/sib_wagkm)</f>
        <v>9917.806</v>
      </c>
      <c r="CN11" s="23" t="n">
        <f aca="false">CM11/CL11</f>
        <v>0.362360467665327</v>
      </c>
      <c r="CO11" s="95" t="n">
        <v>0</v>
      </c>
      <c r="CP11" s="95" t="n">
        <f aca="false">MIN(CO11,AK11+AJ11)</f>
        <v>0</v>
      </c>
      <c r="CQ11" s="23" t="n">
        <f aca="false">(AK11+AJ11+Z11-CP11)*365/1000000+sib_civport</f>
        <v>1.3678898125</v>
      </c>
      <c r="CR11" s="23" t="n">
        <v>2.8</v>
      </c>
      <c r="CS11" s="23" t="n">
        <f aca="false">CQ11/(CR11*IF(OR(RIGHT(A11,2)="Q1",C11=365),sib_portwin,1))</f>
        <v>0.488532075892857</v>
      </c>
      <c r="CT11" s="96" t="n">
        <f aca="false">(AK11+AJ11+Z11-CP11)*sib_pacship*365/(sib_dwt*0.9*sib_voy)</f>
        <v>7.11884665242165</v>
      </c>
      <c r="CU11" s="23" t="n">
        <f aca="false">CT11/sib_ships</f>
        <v>0.177971166310541</v>
      </c>
      <c r="CV11" s="97" t="n">
        <f aca="false">CV10+(AB11+Z11)*C11+AA11</f>
        <v>166226.086956522</v>
      </c>
      <c r="CW11" s="96" t="n">
        <f aca="false">IF(C11=365,sib_surge/sib_mtrain/sib_surge_d,0)</f>
        <v>0</v>
      </c>
      <c r="CX11" s="95" t="n">
        <f aca="false">(CC11&gt;sib_util_max)+(CH11&gt;1)+(CN11&gt;1)+(CS11&gt;sib_util_max)+(CU11&gt;1)+(CV11&lt;0)+(CW11&gt;0)*(CE11&lt;CW11)</f>
        <v>0</v>
      </c>
      <c r="CY11" s="1" t="str">
        <f aca="false">IF(CX11=0,"OK","Check")</f>
        <v>OK</v>
      </c>
      <c r="CZ11" s="95" t="n">
        <v>0</v>
      </c>
      <c r="DA11" s="23" t="n">
        <v>3</v>
      </c>
      <c r="DB11" s="23" t="n">
        <v>2.5</v>
      </c>
      <c r="DC11" s="23" t="n">
        <f aca="false">INDEX(Paths!$B$6:$B$92,MATCH(B11,Paths!$A$6:$A$92,0))*sib_cost</f>
        <v>1.83</v>
      </c>
      <c r="DD11" s="96" t="n">
        <f aca="false">L11*sib_c_pac/1000*C11/365*DC11</f>
        <v>29.9819178082192</v>
      </c>
      <c r="DE11" s="96" t="n">
        <f aca="false">K11*sib_c_cz/1000*C11/365*DC11</f>
        <v>5.53512328767123</v>
      </c>
      <c r="DF11" s="96" t="n">
        <f aca="false">J11*sib_c_sib/1000*C11/365*DC11</f>
        <v>6.91890410958904</v>
      </c>
      <c r="DG11" s="96" t="n">
        <f aca="false">((MAX(0,T11-CP11)+V11+AB11+Z11+AA11/C11)*sib_pst_w+Q11*sib_loc_kg*sib_pst_e)*C11*sib_c_store/1000000*DC11</f>
        <v>42.859384155</v>
      </c>
      <c r="DH11" s="96" t="n">
        <f aca="false">((AW11*sib_c_loco+CJ11*sib_c_wag+MAX(0,AZ11-AZ10)*sib_loco0*sib_c_rep+CZ11*sib_c_arm)/1000000+DA11)*DC11</f>
        <v>5.77548</v>
      </c>
      <c r="DI11" s="96" t="n">
        <f aca="false">2*(sib_L1*(BS11+AT11)+sib_L2*(BT11+AT11)+sib_L3a*(BU11+AU11)+sib_L3b*(BV11+AU11)+sib_L4*(BW11+AU11)+sib_L5*(DV11+AU11))*C11*sib_c_tkm*sib_prail/1000000*DC11</f>
        <v>5.8383049787838</v>
      </c>
      <c r="DJ11" s="96" t="n">
        <f aca="false">CT11*sib_c_ship*C11/365*DC11</f>
        <v>1.47763852076923</v>
      </c>
      <c r="DK11" s="96" t="n">
        <f aca="false">DB11*DC11</f>
        <v>4.575</v>
      </c>
      <c r="DL11" s="96" t="n">
        <f aca="false">AA11*sib_c_kara/1000000*DC11</f>
        <v>0</v>
      </c>
      <c r="DM11" s="96" t="n">
        <f aca="false">(AC11*sib_c_ref/1000*C11/365+AH11*C11*sib_c_grain/1000000)*DC11</f>
        <v>2.88884801486301</v>
      </c>
      <c r="DN11" s="96" t="n">
        <f aca="false">Z11*C11*sib_c_amur/1000000*DC11</f>
        <v>0</v>
      </c>
      <c r="DO11" s="96" t="n">
        <f aca="false">sib_fed*sib_c_fed/1000000*C11/365*DC11</f>
        <v>0.691890410958904</v>
      </c>
      <c r="DP11" s="96" t="n">
        <f aca="false">SUM(DD11:DO11)</f>
        <v>106.542491285854</v>
      </c>
      <c r="DQ11" s="98" t="n">
        <v>0.8</v>
      </c>
      <c r="DR11" s="99" t="n">
        <f aca="false">AQ11*DQ11</f>
        <v>1137.05</v>
      </c>
      <c r="DS11" s="98" t="n">
        <v>24</v>
      </c>
      <c r="DT11" s="99" t="n">
        <f aca="false">DS$6+(DS11-DS$6)*sib_works</f>
        <v>24</v>
      </c>
      <c r="DU11" s="99" t="n">
        <f aca="false">(DT11*G11-sib_pass)*(1-sib_civ)*(1-sib_fuel-BM11*sib_strike)-AU11</f>
        <v>11.8162666666667</v>
      </c>
      <c r="DV11" s="99" t="n">
        <f aca="false">DR11/(sib_net5*(1+sib_decup*BB11))</f>
        <v>2.0254463384603</v>
      </c>
      <c r="DW11" s="99" t="n">
        <f aca="false">IF(DV11=0,0,IF(DU11&lt;=0,9.99,DV11/DU11))</f>
        <v>0.17141169843213</v>
      </c>
    </row>
    <row r="12" customFormat="false" ht="13.5" hidden="false" customHeight="true" outlineLevel="0" collapsed="false">
      <c r="A12" s="1" t="s">
        <v>1982</v>
      </c>
      <c r="B12" s="95" t="n">
        <v>1920</v>
      </c>
      <c r="C12" s="95" t="n">
        <v>91</v>
      </c>
      <c r="D12" s="1" t="s">
        <v>1983</v>
      </c>
      <c r="E12" s="23" t="n">
        <v>0.3</v>
      </c>
      <c r="F12" s="95" t="n">
        <v>1</v>
      </c>
      <c r="G12" s="23" t="n">
        <f aca="false">1-E12*IF(F12=1,sib_winter,1)</f>
        <v>0.7</v>
      </c>
      <c r="H12" s="95" t="n">
        <v>70</v>
      </c>
      <c r="I12" s="95" t="n">
        <v>10</v>
      </c>
      <c r="J12" s="95" t="n">
        <v>150</v>
      </c>
      <c r="K12" s="95" t="n">
        <v>10</v>
      </c>
      <c r="L12" s="95" t="n">
        <v>50</v>
      </c>
      <c r="M12" s="95" t="n">
        <f aca="false">SUM(H12:L12)</f>
        <v>290</v>
      </c>
      <c r="N12" s="23" t="n">
        <v>0.4</v>
      </c>
      <c r="O12" s="23" t="n">
        <v>0</v>
      </c>
      <c r="P12" s="95" t="n">
        <f aca="false">H12*N12+I12*O12+J12*sib_sw+K12+L12*sib_pw</f>
        <v>225.5</v>
      </c>
      <c r="Q12" s="95" t="n">
        <f aca="false">M12-P12</f>
        <v>64.5</v>
      </c>
      <c r="R12" s="23" t="n">
        <v>0.55</v>
      </c>
      <c r="S12" s="96" t="n">
        <v>5</v>
      </c>
      <c r="T12" s="95" t="n">
        <f aca="false">P12*(R12*S12*sib_ammo+(1-R12)*sib_loc_kg)</f>
        <v>772.3375</v>
      </c>
      <c r="U12" s="95" t="n">
        <f aca="false">H12*N12*sib_jp_kg</f>
        <v>25.2</v>
      </c>
      <c r="V12" s="95" t="n">
        <v>50</v>
      </c>
      <c r="W12" s="95" t="n">
        <v>0</v>
      </c>
      <c r="X12" s="95" t="n">
        <v>0</v>
      </c>
      <c r="Y12" s="95" t="n">
        <v>0</v>
      </c>
      <c r="Z12" s="95" t="n">
        <f aca="false">Y12*sib_amur</f>
        <v>0</v>
      </c>
      <c r="AA12" s="97" t="n">
        <v>0</v>
      </c>
      <c r="AB12" s="95" t="n">
        <v>-500</v>
      </c>
      <c r="AC12" s="95" t="n">
        <v>200</v>
      </c>
      <c r="AD12" s="23" t="n">
        <v>1</v>
      </c>
      <c r="AE12" s="95" t="n">
        <f aca="false">(J12*sib_sw+K12+L12*sib_pw)*sib_bread+P12*sib_horses*sib_oats+AC12*sib_relief_kg</f>
        <v>531.4375</v>
      </c>
      <c r="AF12" s="95" t="n">
        <f aca="false">sib_surplus*AD12*sib_harvest*1000000/365*sib_callmax</f>
        <v>821.917808219178</v>
      </c>
      <c r="AG12" s="95" t="n">
        <f aca="false">MAX(0,AE12-AF12)</f>
        <v>0</v>
      </c>
      <c r="AH12" s="95" t="n">
        <f aca="false">AE12-AG12</f>
        <v>531.4375</v>
      </c>
      <c r="AI12" s="95" t="n">
        <f aca="false">I12*O12*sib_cn_kg</f>
        <v>0</v>
      </c>
      <c r="AJ12" s="95" t="n">
        <f aca="false">Q12*sib_loc_kg+H12*(1-N12)*sib_jp_kg</f>
        <v>134.55</v>
      </c>
      <c r="AK12" s="95" t="n">
        <f aca="false">T12+U12+V12+W12+X12+AB12</f>
        <v>347.5375</v>
      </c>
      <c r="AL12" s="95" t="n">
        <f aca="false">AI12+AG12</f>
        <v>0</v>
      </c>
      <c r="AM12" s="95" t="n">
        <f aca="false">AK12+AJ12</f>
        <v>482.0875</v>
      </c>
      <c r="AN12" s="95" t="n">
        <f aca="false">AK12+AL12+sib_e2*AJ12</f>
        <v>428.2675</v>
      </c>
      <c r="AO12" s="95" t="n">
        <f aca="false">AK12+AL12+sib_e3*AJ12</f>
        <v>387.9025</v>
      </c>
      <c r="AP12" s="95" t="n">
        <f aca="false">AK12+AL12+Z12</f>
        <v>347.5375</v>
      </c>
      <c r="AQ12" s="95" t="n">
        <f aca="false">AK12+AL12+Z12</f>
        <v>347.5375</v>
      </c>
      <c r="AR12" s="95" t="n">
        <f aca="false">H12+I12+L12</f>
        <v>130</v>
      </c>
      <c r="AS12" s="95" t="n">
        <f aca="false">H12*N12+I12*O12+L12*sib_pw</f>
        <v>73</v>
      </c>
      <c r="AT12" s="96" t="n">
        <f aca="false">(MAX(0,AR12-AR11)+AR12*sib_rot*C12/365)*1000/sib_mtrain/C12</f>
        <v>0.0593607305936073</v>
      </c>
      <c r="AU12" s="96" t="n">
        <f aca="false">(MAX(0,AS12-AS11)+AS12*sib_rot*C12/365)*1000/sib_mtrain/C12</f>
        <v>0.0333333333333333</v>
      </c>
      <c r="AV12" s="95" t="n">
        <v>0</v>
      </c>
      <c r="AW12" s="95" t="n">
        <v>0</v>
      </c>
      <c r="AX12" s="95" t="n">
        <f aca="false">(SUM(AV$6:AV12)+SUM(AW$6:AW12))*0.9</f>
        <v>855</v>
      </c>
      <c r="AY12" s="23" t="n">
        <v>0.7</v>
      </c>
      <c r="AZ12" s="23" t="n">
        <f aca="false">1-(1-AY12)*sib_sick</f>
        <v>0.7</v>
      </c>
      <c r="BA12" s="95" t="n">
        <f aca="false">sib_loco0*AZ12+AX12</f>
        <v>1765</v>
      </c>
      <c r="BB12" s="23" t="n">
        <f aca="false">AX12/BA12</f>
        <v>0.484419263456091</v>
      </c>
      <c r="BC12" s="95" t="n">
        <v>18</v>
      </c>
      <c r="BD12" s="95" t="n">
        <v>15</v>
      </c>
      <c r="BE12" s="95" t="n">
        <v>16</v>
      </c>
      <c r="BF12" s="95" t="n">
        <v>22</v>
      </c>
      <c r="BG12" s="95" t="n">
        <v>22</v>
      </c>
      <c r="BH12" s="96" t="n">
        <f aca="false">BC$6+(BC12-BC$6)*sib_works</f>
        <v>18</v>
      </c>
      <c r="BI12" s="96" t="n">
        <f aca="false">BD$6+(BD12-BD$6)*sib_works</f>
        <v>15</v>
      </c>
      <c r="BJ12" s="96" t="n">
        <f aca="false">BE$6+(BE12-BE$6)*sib_works</f>
        <v>16</v>
      </c>
      <c r="BK12" s="96" t="n">
        <f aca="false">BF$6+(BF12-BF$6)*sib_works</f>
        <v>22</v>
      </c>
      <c r="BL12" s="96" t="n">
        <f aca="false">BG$6+(BG12-BG$6)*sib_works</f>
        <v>22</v>
      </c>
      <c r="BM12" s="95" t="n">
        <v>0</v>
      </c>
      <c r="BN12" s="96" t="n">
        <f aca="false">(BH12*G12-sib_pass)*(1-sib_civ)*(1-sib_fuel-BM12*sib_strike)-AT12</f>
        <v>6.76703926940639</v>
      </c>
      <c r="BO12" s="96" t="n">
        <f aca="false">(BI12*G12-sib_pass)*(1-sib_civ)*(1-sib_fuel-BM12*sib_strike)-AT12</f>
        <v>5.41463926940639</v>
      </c>
      <c r="BP12" s="96" t="n">
        <f aca="false">(BJ12*G12-sib_pass)*(1-sib_civ)*(1-sib_fuel-BM12*sib_strike)-AU12</f>
        <v>5.89146666666667</v>
      </c>
      <c r="BQ12" s="96" t="n">
        <f aca="false">(BK12*G12-sib_pass)*(1-sib_civ)*(1-sib_fuel-BM12*sib_strike)-AU12</f>
        <v>8.59626666666667</v>
      </c>
      <c r="BR12" s="96" t="n">
        <f aca="false">(BL12*G12-sib_pass)*(1-sib_civ)*(1-sib_fuel-BM12*sib_strike)-AU12</f>
        <v>8.59626666666667</v>
      </c>
      <c r="BS12" s="96" t="n">
        <f aca="false">AM12/(sib_net1*(1+sib_decup*BB12))</f>
        <v>0.792692855013462</v>
      </c>
      <c r="BT12" s="96" t="n">
        <f aca="false">AN12/(sib_net2*(1+sib_decup*BB12))</f>
        <v>0.871862993592738</v>
      </c>
      <c r="BU12" s="96" t="n">
        <f aca="false">AO12/(sib_net3a*(1+sib_decup*BB12))</f>
        <v>0.737042415189805</v>
      </c>
      <c r="BV12" s="96" t="n">
        <f aca="false">AP12/(sib_net3b*(1+sib_decup*BB12))</f>
        <v>0.781988727268092</v>
      </c>
      <c r="BW12" s="96" t="n">
        <f aca="false">AQ12/(sib_net4*(1+sib_decup*BB12))</f>
        <v>0.619074409087239</v>
      </c>
      <c r="BX12" s="23" t="n">
        <f aca="false">BS12/BN12</f>
        <v>0.117140277077629</v>
      </c>
      <c r="BY12" s="23" t="n">
        <f aca="false">BT12/BO12</f>
        <v>0.161019589710973</v>
      </c>
      <c r="BZ12" s="23" t="n">
        <f aca="false">BU12/BP12</f>
        <v>0.125103383739726</v>
      </c>
      <c r="CA12" s="23" t="n">
        <f aca="false">BV12/BQ12</f>
        <v>0.0909684119386817</v>
      </c>
      <c r="CB12" s="23" t="n">
        <f aca="false">BW12/BR12</f>
        <v>0.0720166594514564</v>
      </c>
      <c r="CC12" s="23" t="n">
        <f aca="false">MAX(BX12:CB12,DW12)</f>
        <v>0.161019589710973</v>
      </c>
      <c r="CD12" s="1" t="str">
        <f aca="false">IF(DW12&gt;=MAX(BX12:CB12),"Ob-Chelyabinsk",CHOOSE(MATCH(CC12,BX12:CB12,0),"Vladivostok-Harbin","Harbin-Manzhouli","Manzhouli-Kitaisky (branch)","Kitaisky-Irkutsk","Irkutsk-Ob"))</f>
        <v>Harbin-Manzhouli</v>
      </c>
      <c r="CE12" s="96" t="n">
        <f aca="false">MIN(BN12-BS12,BO12-BT12,BP12-BU12,BQ12-BV12,BR12-BW12,DU12-DV12)</f>
        <v>4.54277627581365</v>
      </c>
      <c r="CF12" s="97" t="n">
        <f aca="false">2*(sib_L1*(BS12+AT12+(BH12*G12-sib_pass)*(sib_civ*sib_civused+(1-sib_civ)*sib_fuel)+sib_pass)+sib_L2*(BT12+AT12+(BI12*G12-sib_pass)*(sib_civ*sib_civused+(1-sib_civ)*sib_fuel)+sib_pass)+sib_L3a*(BU12+AU12+(BJ12*G12-sib_pass)*(sib_civ*sib_civused+(1-sib_civ)*sib_fuel)+sib_pass)+sib_L3b*(BV12+AU12+(BK12*G12-sib_pass)*(sib_civ*sib_civused+(1-sib_civ)*sib_fuel)+sib_pass)+sib_L4*(BW12+AU12+(BL12*G12-sib_pass)*(sib_civ*sib_civused+(1-sib_civ)*sib_fuel)+sib_pass)+sib_L5*(DV12+AU12+(DT12*G12-sib_pass)*(sib_civ*sib_civused+(1-sib_civ)*sib_fuel)+sib_pass))</f>
        <v>75647.7904985713</v>
      </c>
      <c r="CG12" s="95" t="n">
        <f aca="false">CF12/sib_kmloco*sib_helper</f>
        <v>590.998363270088</v>
      </c>
      <c r="CH12" s="23" t="n">
        <f aca="false">CG12/BA12</f>
        <v>0.334843265308832</v>
      </c>
      <c r="CI12" s="97" t="n">
        <v>0</v>
      </c>
      <c r="CJ12" s="97" t="n">
        <v>0</v>
      </c>
      <c r="CK12" s="97" t="n">
        <v>1000</v>
      </c>
      <c r="CL12" s="97" t="n">
        <f aca="false">(sib_wag0+SUM(CI$6:CI12)+SUM(CJ$6:CJ12))*sib_wserv*(1-sib_civ)</f>
        <v>27370</v>
      </c>
      <c r="CM12" s="97" t="n">
        <f aca="false">AK12/sib_wload*(2*(sib_L1+sib_L2+sib_L3a+sib_L3b+sib_L4/2)/sib_wagkm+sib_term)+AL12/sib_wload*(2*(sib_L2+sib_L3a+sib_L3b+sib_L4/2)/sib_wagkm+sib_term)+AJ12/sib_wload*((sib_L1+sib_L2)/sib_wagkm+sib_term-2)+Z12/sib_wload*(2*(sib_L3b+sib_L4/2)/sib_wagkm+sib_term)+AU12*40*(2*(sib_L1+sib_L2+sib_L3a+sib_L3b+sib_L4/2)/sib_wagkm+sib_term)+K12*1000/sib_czw+CK12+DR12/sib_wload*(2*(sib_L4/2+sib_L5/2)/sib_wagkm)</f>
        <v>3441.81173333333</v>
      </c>
      <c r="CN12" s="23" t="n">
        <f aca="false">CM12/CL12</f>
        <v>0.125751250761174</v>
      </c>
      <c r="CO12" s="95" t="n">
        <v>0</v>
      </c>
      <c r="CP12" s="95" t="n">
        <f aca="false">MIN(CO12,AK12+AJ12)</f>
        <v>0</v>
      </c>
      <c r="CQ12" s="23" t="n">
        <f aca="false">(AK12+AJ12+Z12-CP12)*365/1000000+sib_civport</f>
        <v>0.9759619375</v>
      </c>
      <c r="CR12" s="23" t="n">
        <v>3</v>
      </c>
      <c r="CS12" s="23" t="n">
        <f aca="false">CQ12/(CR12*IF(OR(RIGHT(A12,2)="Q1",C12=365),sib_portwin,1))</f>
        <v>0.382730171568628</v>
      </c>
      <c r="CT12" s="96" t="n">
        <f aca="false">(AK12+AJ12+Z12-CP12)*sib_pacship*365/(sib_dwt*0.9*sib_voy)</f>
        <v>2.20579066951567</v>
      </c>
      <c r="CU12" s="23" t="n">
        <f aca="false">CT12/sib_ships</f>
        <v>0.0551447667378917</v>
      </c>
      <c r="CV12" s="97" t="n">
        <f aca="false">CV11+(AB12+Z12)*C12+AA12</f>
        <v>120726.086956522</v>
      </c>
      <c r="CW12" s="96" t="n">
        <f aca="false">IF(C12=365,sib_surge/sib_mtrain/sib_surge_d,0)</f>
        <v>0</v>
      </c>
      <c r="CX12" s="95" t="n">
        <f aca="false">(CC12&gt;sib_util_max)+(CH12&gt;1)+(CN12&gt;1)+(CS12&gt;sib_util_max)+(CU12&gt;1)+(CV12&lt;0)+(CW12&gt;0)*(CE12&lt;CW12)</f>
        <v>0</v>
      </c>
      <c r="CY12" s="1" t="str">
        <f aca="false">IF(CX12=0,"OK","Check")</f>
        <v>OK</v>
      </c>
      <c r="CZ12" s="95" t="n">
        <v>0</v>
      </c>
      <c r="DA12" s="23" t="n">
        <v>2</v>
      </c>
      <c r="DB12" s="23" t="n">
        <v>2</v>
      </c>
      <c r="DC12" s="23" t="n">
        <f aca="false">INDEX(Paths!$B$6:$B$92,MATCH(B12,Paths!$A$6:$A$92,0))*sib_cost</f>
        <v>2.05</v>
      </c>
      <c r="DD12" s="96" t="n">
        <f aca="false">L12*sib_c_pac/1000*C12/365*DC12</f>
        <v>33.2212328767123</v>
      </c>
      <c r="DE12" s="96" t="n">
        <f aca="false">K12*sib_c_cz/1000*C12/365*DC12</f>
        <v>3.06657534246575</v>
      </c>
      <c r="DF12" s="96" t="n">
        <f aca="false">J12*sib_c_sib/1000*C12/365*DC12</f>
        <v>7.66643835616438</v>
      </c>
      <c r="DG12" s="96" t="n">
        <f aca="false">((MAX(0,T12-CP12)+V12+AB12+Z12+AA12/C12)*sib_pst_w+Q12*sib_loc_kg*sib_pst_e)*C12*sib_c_store/1000000*DC12</f>
        <v>13.25943766875</v>
      </c>
      <c r="DH12" s="96" t="n">
        <f aca="false">((AW12*sib_c_loco+CJ12*sib_c_wag+MAX(0,AZ12-AZ11)*sib_loco0*sib_c_rep+CZ12*sib_c_arm)/1000000+DA12)*DC12</f>
        <v>4.1</v>
      </c>
      <c r="DI12" s="96" t="n">
        <f aca="false">2*(sib_L1*(BS12+AT12)+sib_L2*(BT12+AT12)+sib_L3a*(BU12+AU12)+sib_L3b*(BV12+AU12)+sib_L4*(BW12+AU12)+sib_L5*(DV12+AU12))*C12*sib_c_tkm*sib_prail/1000000*DC12</f>
        <v>1.75967620954161</v>
      </c>
      <c r="DJ12" s="96" t="n">
        <f aca="false">CT12*sib_c_ship*C12/365*DC12</f>
        <v>0.507316745833333</v>
      </c>
      <c r="DK12" s="96" t="n">
        <f aca="false">DB12*DC12</f>
        <v>4.1</v>
      </c>
      <c r="DL12" s="96" t="n">
        <f aca="false">AA12*sib_c_kara/1000000*DC12</f>
        <v>0</v>
      </c>
      <c r="DM12" s="96" t="n">
        <f aca="false">(AC12*sib_c_ref/1000*C12/365+AH12*C12*sib_c_grain/1000000)*DC12</f>
        <v>2.63922155539384</v>
      </c>
      <c r="DN12" s="96" t="n">
        <f aca="false">Z12*C12*sib_c_amur/1000000*DC12</f>
        <v>0</v>
      </c>
      <c r="DO12" s="96" t="n">
        <f aca="false">sib_fed*sib_c_fed/1000000*C12/365*DC12</f>
        <v>0.766643835616438</v>
      </c>
      <c r="DP12" s="96" t="n">
        <f aca="false">SUM(DD12:DO12)</f>
        <v>71.0865425904777</v>
      </c>
      <c r="DQ12" s="98" t="n">
        <v>0.8</v>
      </c>
      <c r="DR12" s="99" t="n">
        <f aca="false">AQ12*DQ12</f>
        <v>278.03</v>
      </c>
      <c r="DS12" s="98" t="n">
        <v>24</v>
      </c>
      <c r="DT12" s="99" t="n">
        <f aca="false">DS$6+(DS12-DS$6)*sib_works</f>
        <v>24</v>
      </c>
      <c r="DU12" s="99" t="n">
        <f aca="false">(DT12*G12-sib_pass)*(1-sib_civ)*(1-sib_fuel-BM12*sib_strike)-AU12</f>
        <v>9.49786666666667</v>
      </c>
      <c r="DV12" s="99" t="n">
        <f aca="false">DR12/(sib_net5*(1+sib_decup*BB12))</f>
        <v>0.495259527269791</v>
      </c>
      <c r="DW12" s="99" t="n">
        <f aca="false">IF(DV12=0,0,IF(DU12&lt;=0,9.99,DV12/DU12))</f>
        <v>0.0521442914131375</v>
      </c>
    </row>
    <row r="13" customFormat="false" ht="13.5" hidden="false" customHeight="true" outlineLevel="0" collapsed="false">
      <c r="A13" s="1" t="s">
        <v>1984</v>
      </c>
      <c r="B13" s="95" t="n">
        <v>1920</v>
      </c>
      <c r="C13" s="95" t="n">
        <v>91</v>
      </c>
      <c r="D13" s="1" t="s">
        <v>1985</v>
      </c>
      <c r="E13" s="23" t="n">
        <v>0.08</v>
      </c>
      <c r="F13" s="95" t="n">
        <v>0</v>
      </c>
      <c r="G13" s="23" t="n">
        <f aca="false">1-E13*IF(F13=1,sib_winter,1)</f>
        <v>0.92</v>
      </c>
      <c r="H13" s="95" t="n">
        <v>65</v>
      </c>
      <c r="I13" s="95" t="n">
        <v>10</v>
      </c>
      <c r="J13" s="95" t="n">
        <v>120</v>
      </c>
      <c r="K13" s="95" t="n">
        <v>3</v>
      </c>
      <c r="L13" s="95" t="n">
        <v>45</v>
      </c>
      <c r="M13" s="95" t="n">
        <f aca="false">SUM(H13:L13)</f>
        <v>243</v>
      </c>
      <c r="N13" s="23" t="n">
        <v>0.4</v>
      </c>
      <c r="O13" s="23" t="n">
        <v>0</v>
      </c>
      <c r="P13" s="95" t="n">
        <f aca="false">H13*N13+I13*O13+J13*sib_sw+K13+L13*sib_pw</f>
        <v>183.5</v>
      </c>
      <c r="Q13" s="95" t="n">
        <f aca="false">M13-P13</f>
        <v>59.5</v>
      </c>
      <c r="R13" s="23" t="n">
        <v>0.45</v>
      </c>
      <c r="S13" s="96" t="n">
        <v>4</v>
      </c>
      <c r="T13" s="95" t="n">
        <f aca="false">P13*(R13*S13*sib_ammo+(1-R13)*sib_loc_kg)</f>
        <v>481.6875</v>
      </c>
      <c r="U13" s="95" t="n">
        <f aca="false">H13*N13*sib_jp_kg</f>
        <v>23.4</v>
      </c>
      <c r="V13" s="95" t="n">
        <v>40</v>
      </c>
      <c r="W13" s="95" t="n">
        <v>0</v>
      </c>
      <c r="X13" s="95" t="n">
        <v>0</v>
      </c>
      <c r="Y13" s="95" t="n">
        <v>87.912087912088</v>
      </c>
      <c r="Z13" s="95" t="n">
        <f aca="false">Y13*sib_amur</f>
        <v>87.912087912088</v>
      </c>
      <c r="AA13" s="97" t="n">
        <v>0</v>
      </c>
      <c r="AB13" s="95" t="n">
        <v>-200</v>
      </c>
      <c r="AC13" s="95" t="n">
        <v>150</v>
      </c>
      <c r="AD13" s="23" t="n">
        <v>1</v>
      </c>
      <c r="AE13" s="95" t="n">
        <f aca="false">(J13*sib_sw+K13+L13*sib_pw)*sib_bread+P13*sib_horses*sib_oats+AC13*sib_relief_kg</f>
        <v>423.1875</v>
      </c>
      <c r="AF13" s="95" t="n">
        <f aca="false">sib_surplus*AD13*sib_harvest*1000000/365*sib_callmax</f>
        <v>821.917808219178</v>
      </c>
      <c r="AG13" s="95" t="n">
        <f aca="false">MAX(0,AE13-AF13)</f>
        <v>0</v>
      </c>
      <c r="AH13" s="95" t="n">
        <f aca="false">AE13-AG13</f>
        <v>423.1875</v>
      </c>
      <c r="AI13" s="95" t="n">
        <f aca="false">I13*O13*sib_cn_kg</f>
        <v>0</v>
      </c>
      <c r="AJ13" s="95" t="n">
        <f aca="false">Q13*sib_loc_kg+H13*(1-N13)*sib_jp_kg</f>
        <v>124.35</v>
      </c>
      <c r="AK13" s="95" t="n">
        <f aca="false">T13+U13+V13+W13+X13+AB13</f>
        <v>345.0875</v>
      </c>
      <c r="AL13" s="95" t="n">
        <f aca="false">AI13+AG13</f>
        <v>0</v>
      </c>
      <c r="AM13" s="95" t="n">
        <f aca="false">AK13+AJ13</f>
        <v>469.4375</v>
      </c>
      <c r="AN13" s="95" t="n">
        <f aca="false">AK13+AL13+sib_e2*AJ13</f>
        <v>419.6975</v>
      </c>
      <c r="AO13" s="95" t="n">
        <f aca="false">AK13+AL13+sib_e3*AJ13</f>
        <v>382.3925</v>
      </c>
      <c r="AP13" s="95" t="n">
        <f aca="false">AK13+AL13+Z13</f>
        <v>432.999587912088</v>
      </c>
      <c r="AQ13" s="95" t="n">
        <f aca="false">AK13+AL13+Z13</f>
        <v>432.999587912088</v>
      </c>
      <c r="AR13" s="95" t="n">
        <f aca="false">H13+I13+L13</f>
        <v>120</v>
      </c>
      <c r="AS13" s="95" t="n">
        <f aca="false">H13*N13+I13*O13+L13*sib_pw</f>
        <v>66.5</v>
      </c>
      <c r="AT13" s="96" t="n">
        <f aca="false">(MAX(0,AR13-AR12)+AR13*sib_rot*C13/365)*1000/sib_mtrain/C13</f>
        <v>0.0547945205479452</v>
      </c>
      <c r="AU13" s="96" t="n">
        <f aca="false">(MAX(0,AS13-AS12)+AS13*sib_rot*C13/365)*1000/sib_mtrain/C13</f>
        <v>0.030365296803653</v>
      </c>
      <c r="AV13" s="95" t="n">
        <v>0</v>
      </c>
      <c r="AW13" s="95" t="n">
        <v>0</v>
      </c>
      <c r="AX13" s="95" t="n">
        <f aca="false">(SUM(AV$6:AV13)+SUM(AW$6:AW13))*0.9</f>
        <v>855</v>
      </c>
      <c r="AY13" s="23" t="n">
        <v>0.74</v>
      </c>
      <c r="AZ13" s="23" t="n">
        <f aca="false">1-(1-AY13)*sib_sick</f>
        <v>0.74</v>
      </c>
      <c r="BA13" s="95" t="n">
        <f aca="false">sib_loco0*AZ13+AX13</f>
        <v>1817</v>
      </c>
      <c r="BB13" s="23" t="n">
        <f aca="false">AX13/BA13</f>
        <v>0.470555861309851</v>
      </c>
      <c r="BC13" s="95" t="n">
        <v>18</v>
      </c>
      <c r="BD13" s="95" t="n">
        <v>15</v>
      </c>
      <c r="BE13" s="95" t="n">
        <v>16</v>
      </c>
      <c r="BF13" s="95" t="n">
        <v>22</v>
      </c>
      <c r="BG13" s="95" t="n">
        <v>22</v>
      </c>
      <c r="BH13" s="96" t="n">
        <f aca="false">BC$6+(BC13-BC$6)*sib_works</f>
        <v>18</v>
      </c>
      <c r="BI13" s="96" t="n">
        <f aca="false">BD$6+(BD13-BD$6)*sib_works</f>
        <v>15</v>
      </c>
      <c r="BJ13" s="96" t="n">
        <f aca="false">BE$6+(BE13-BE$6)*sib_works</f>
        <v>16</v>
      </c>
      <c r="BK13" s="96" t="n">
        <f aca="false">BF$6+(BF13-BF$6)*sib_works</f>
        <v>22</v>
      </c>
      <c r="BL13" s="96" t="n">
        <f aca="false">BG$6+(BG13-BG$6)*sib_works</f>
        <v>22</v>
      </c>
      <c r="BM13" s="95" t="n">
        <v>0</v>
      </c>
      <c r="BN13" s="96" t="n">
        <f aca="false">(BH13*G13-sib_pass)*(1-sib_civ)*(1-sib_fuel-BM13*sib_strike)-AT13</f>
        <v>9.32184547945206</v>
      </c>
      <c r="BO13" s="96" t="n">
        <f aca="false">(BI13*G13-sib_pass)*(1-sib_civ)*(1-sib_fuel-BM13*sib_strike)-AT13</f>
        <v>7.54440547945205</v>
      </c>
      <c r="BP13" s="96" t="n">
        <f aca="false">(BJ13*G13-sib_pass)*(1-sib_civ)*(1-sib_fuel-BM13*sib_strike)-AU13</f>
        <v>8.16131470319635</v>
      </c>
      <c r="BQ13" s="96" t="n">
        <f aca="false">(BK13*G13-sib_pass)*(1-sib_civ)*(1-sib_fuel-BM13*sib_strike)-AU13</f>
        <v>11.7161947031963</v>
      </c>
      <c r="BR13" s="96" t="n">
        <f aca="false">(BL13*G13-sib_pass)*(1-sib_civ)*(1-sib_fuel-BM13*sib_strike)-AU13</f>
        <v>11.7161947031963</v>
      </c>
      <c r="BS13" s="96" t="n">
        <f aca="false">AM13/(sib_net1*(1+sib_decup*BB13))</f>
        <v>0.775108307964924</v>
      </c>
      <c r="BT13" s="96" t="n">
        <f aca="false">AN13/(sib_net2*(1+sib_decup*BB13))</f>
        <v>0.857975819199505</v>
      </c>
      <c r="BU13" s="96" t="n">
        <f aca="false">AO13/(sib_net3a*(1+sib_decup*BB13))</f>
        <v>0.729599971122924</v>
      </c>
      <c r="BV13" s="96" t="n">
        <f aca="false">AP13/(sib_net3b*(1+sib_decup*BB13))</f>
        <v>0.978344578277445</v>
      </c>
      <c r="BW13" s="96" t="n">
        <f aca="false">AQ13/(sib_net4*(1+sib_decup*BB13))</f>
        <v>0.77452279113631</v>
      </c>
      <c r="BX13" s="23" t="n">
        <f aca="false">BS13/BN13</f>
        <v>0.0831496627651121</v>
      </c>
      <c r="BY13" s="23" t="n">
        <f aca="false">BT13/BO13</f>
        <v>0.113723449983738</v>
      </c>
      <c r="BZ13" s="23" t="n">
        <f aca="false">BU13/BP13</f>
        <v>0.0893973578591669</v>
      </c>
      <c r="CA13" s="23" t="n">
        <f aca="false">BV13/BQ13</f>
        <v>0.083503612142135</v>
      </c>
      <c r="CB13" s="23" t="n">
        <f aca="false">BW13/BR13</f>
        <v>0.0661070262791902</v>
      </c>
      <c r="CC13" s="23" t="n">
        <f aca="false">MAX(BX13:CB13,DW13)</f>
        <v>0.113723449983738</v>
      </c>
      <c r="CD13" s="1" t="str">
        <f aca="false">IF(DW13&gt;=MAX(BX13:CB13),"Ob-Chelyabinsk",CHOOSE(MATCH(CC13,BX13:CB13,0),"Vladivostok-Harbin","Harbin-Manzhouli","Manzhouli-Kitaisky (branch)","Kitaisky-Irkutsk","Irkutsk-Ob"))</f>
        <v>Harbin-Manzhouli</v>
      </c>
      <c r="CE13" s="96" t="n">
        <f aca="false">MIN(BN13-BS13,BO13-BT13,BP13-BU13,BQ13-BV13,BR13-BW13,DU13-DV13)</f>
        <v>6.68642966025255</v>
      </c>
      <c r="CF13" s="97" t="n">
        <f aca="false">2*(sib_L1*(BS13+AT13+(BH13*G13-sib_pass)*(sib_civ*sib_civused+(1-sib_civ)*sib_fuel)+sib_pass)+sib_L2*(BT13+AT13+(BI13*G13-sib_pass)*(sib_civ*sib_civused+(1-sib_civ)*sib_fuel)+sib_pass)+sib_L3a*(BU13+AU13+(BJ13*G13-sib_pass)*(sib_civ*sib_civused+(1-sib_civ)*sib_fuel)+sib_pass)+sib_L3b*(BV13+AU13+(BK13*G13-sib_pass)*(sib_civ*sib_civused+(1-sib_civ)*sib_fuel)+sib_pass)+sib_L4*(BW13+AU13+(BL13*G13-sib_pass)*(sib_civ*sib_civused+(1-sib_civ)*sib_fuel)+sib_pass)+sib_L5*(DV13+AU13+(DT13*G13-sib_pass)*(sib_civ*sib_civused+(1-sib_civ)*sib_fuel)+sib_pass))</f>
        <v>91978.0603739108</v>
      </c>
      <c r="CG13" s="95" t="n">
        <f aca="false">CF13/sib_kmloco*sib_helper</f>
        <v>718.578596671178</v>
      </c>
      <c r="CH13" s="23" t="n">
        <f aca="false">CG13/BA13</f>
        <v>0.395475287105767</v>
      </c>
      <c r="CI13" s="97" t="n">
        <v>0</v>
      </c>
      <c r="CJ13" s="97" t="n">
        <v>0</v>
      </c>
      <c r="CK13" s="97" t="n">
        <v>500</v>
      </c>
      <c r="CL13" s="97" t="n">
        <f aca="false">(sib_wag0+SUM(CI$6:CI13)+SUM(CJ$6:CJ13))*sib_wserv*(1-sib_civ)</f>
        <v>27370</v>
      </c>
      <c r="CM13" s="97" t="n">
        <f aca="false">AK13/sib_wload*(2*(sib_L1+sib_L2+sib_L3a+sib_L3b+sib_L4/2)/sib_wagkm+sib_term)+AL13/sib_wload*(2*(sib_L2+sib_L3a+sib_L3b+sib_L4/2)/sib_wagkm+sib_term)+AJ13/sib_wload*((sib_L1+sib_L2)/sib_wagkm+sib_term-2)+Z13/sib_wload*(2*(sib_L3b+sib_L4/2)/sib_wagkm+sib_term)+AU13*40*(2*(sib_L1+sib_L2+sib_L3a+sib_L3b+sib_L4/2)/sib_wagkm+sib_term)+K13*1000/sib_czw+CK13+DR13/sib_wload*(2*(sib_L4/2+sib_L5/2)/sib_wagkm)</f>
        <v>2925.51064256778</v>
      </c>
      <c r="CN13" s="23" t="n">
        <f aca="false">CM13/CL13</f>
        <v>0.106887491507774</v>
      </c>
      <c r="CO13" s="95" t="n">
        <v>0</v>
      </c>
      <c r="CP13" s="95" t="n">
        <f aca="false">MIN(CO13,AK13+AJ13)</f>
        <v>0</v>
      </c>
      <c r="CQ13" s="23" t="n">
        <f aca="false">(AK13+AJ13+Z13-CP13)*365/1000000+sib_civport</f>
        <v>1.00343259958791</v>
      </c>
      <c r="CR13" s="23" t="n">
        <v>3</v>
      </c>
      <c r="CS13" s="23" t="n">
        <f aca="false">CQ13/(CR13*IF(OR(RIGHT(A13,2)="Q1",C13=365),sib_portwin,1))</f>
        <v>0.334477533195971</v>
      </c>
      <c r="CT13" s="96" t="n">
        <f aca="false">(AK13+AJ13+Z13-CP13)*sib_pacship*365/(sib_dwt*0.9*sib_voy)</f>
        <v>2.55015224554648</v>
      </c>
      <c r="CU13" s="23" t="n">
        <f aca="false">CT13/sib_ships</f>
        <v>0.0637538061386619</v>
      </c>
      <c r="CV13" s="97" t="n">
        <f aca="false">CV12+(AB13+Z13)*C13+AA13</f>
        <v>110526.086956522</v>
      </c>
      <c r="CW13" s="96" t="n">
        <f aca="false">IF(C13=365,sib_surge/sib_mtrain/sib_surge_d,0)</f>
        <v>0</v>
      </c>
      <c r="CX13" s="95" t="n">
        <f aca="false">(CC13&gt;sib_util_max)+(CH13&gt;1)+(CN13&gt;1)+(CS13&gt;sib_util_max)+(CU13&gt;1)+(CV13&lt;0)+(CW13&gt;0)*(CE13&lt;CW13)</f>
        <v>0</v>
      </c>
      <c r="CY13" s="1" t="str">
        <f aca="false">IF(CX13=0,"OK","Check")</f>
        <v>OK</v>
      </c>
      <c r="CZ13" s="95" t="n">
        <v>0</v>
      </c>
      <c r="DA13" s="23" t="n">
        <v>2</v>
      </c>
      <c r="DB13" s="23" t="n">
        <v>2</v>
      </c>
      <c r="DC13" s="23" t="n">
        <f aca="false">INDEX(Paths!$B$6:$B$92,MATCH(B13,Paths!$A$6:$A$92,0))*sib_cost</f>
        <v>2.05</v>
      </c>
      <c r="DD13" s="96" t="n">
        <f aca="false">L13*sib_c_pac/1000*C13/365*DC13</f>
        <v>29.8991095890411</v>
      </c>
      <c r="DE13" s="96" t="n">
        <f aca="false">K13*sib_c_cz/1000*C13/365*DC13</f>
        <v>0.919972602739726</v>
      </c>
      <c r="DF13" s="96" t="n">
        <f aca="false">J13*sib_c_sib/1000*C13/365*DC13</f>
        <v>6.13315068493151</v>
      </c>
      <c r="DG13" s="96" t="n">
        <f aca="false">((MAX(0,T13-CP13)+V13+AB13+Z13+AA13/C13)*sib_pst_w+Q13*sib_loc_kg*sib_pst_e)*C13*sib_c_store/1000000*DC13</f>
        <v>16.62900421875</v>
      </c>
      <c r="DH13" s="96" t="n">
        <f aca="false">((AW13*sib_c_loco+CJ13*sib_c_wag+MAX(0,AZ13-AZ12)*sib_loco0*sib_c_rep+CZ13*sib_c_arm)/1000000+DA13)*DC13</f>
        <v>4.7396</v>
      </c>
      <c r="DI13" s="96" t="n">
        <f aca="false">2*(sib_L1*(BS13+AT13)+sib_L2*(BT13+AT13)+sib_L3a*(BU13+AU13)+sib_L3b*(BV13+AU13)+sib_L4*(BW13+AU13)+sib_L5*(DV13+AU13))*C13*sib_c_tkm*sib_prail/1000000*DC13</f>
        <v>1.99261208343087</v>
      </c>
      <c r="DJ13" s="96" t="n">
        <f aca="false">CT13*sib_c_ship*C13/365*DC13</f>
        <v>0.586517549679487</v>
      </c>
      <c r="DK13" s="96" t="n">
        <f aca="false">DB13*DC13</f>
        <v>4.1</v>
      </c>
      <c r="DL13" s="96" t="n">
        <f aca="false">AA13*sib_c_kara/1000000*DC13</f>
        <v>0</v>
      </c>
      <c r="DM13" s="96" t="n">
        <f aca="false">(AC13*sib_c_ref/1000*C13/365+AH13*C13*sib_c_grain/1000000)*DC13</f>
        <v>2.00696143998288</v>
      </c>
      <c r="DN13" s="96" t="n">
        <f aca="false">Z13*C13*sib_c_amur/1000000*DC13</f>
        <v>0.1968</v>
      </c>
      <c r="DO13" s="96" t="n">
        <f aca="false">sib_fed*sib_c_fed/1000000*C13/365*DC13</f>
        <v>0.766643835616438</v>
      </c>
      <c r="DP13" s="96" t="n">
        <f aca="false">SUM(DD13:DO13)</f>
        <v>67.970372004172</v>
      </c>
      <c r="DQ13" s="98" t="n">
        <v>0.8</v>
      </c>
      <c r="DR13" s="99" t="n">
        <f aca="false">AQ13*DQ13</f>
        <v>346.39967032967</v>
      </c>
      <c r="DS13" s="98" t="n">
        <v>24</v>
      </c>
      <c r="DT13" s="99" t="n">
        <f aca="false">DS$6+(DS13-DS$6)*sib_works</f>
        <v>24</v>
      </c>
      <c r="DU13" s="99" t="n">
        <f aca="false">(DT13*G13-sib_pass)*(1-sib_civ)*(1-sib_fuel-BM13*sib_strike)-AU13</f>
        <v>12.9011547031963</v>
      </c>
      <c r="DV13" s="99" t="n">
        <f aca="false">DR13/(sib_net5*(1+sib_decup*BB13))</f>
        <v>0.619618232909048</v>
      </c>
      <c r="DW13" s="99" t="n">
        <f aca="false">IF(DV13=0,0,IF(DU13&lt;=0,9.99,DV13/DU13))</f>
        <v>0.0480281220684482</v>
      </c>
    </row>
    <row r="14" customFormat="false" ht="13.5" hidden="false" customHeight="true" outlineLevel="0" collapsed="false">
      <c r="A14" s="1" t="s">
        <v>1986</v>
      </c>
      <c r="B14" s="95" t="n">
        <v>1920</v>
      </c>
      <c r="C14" s="95" t="n">
        <v>92</v>
      </c>
      <c r="D14" s="1" t="s">
        <v>1987</v>
      </c>
      <c r="E14" s="23" t="n">
        <v>0</v>
      </c>
      <c r="F14" s="95" t="n">
        <v>0</v>
      </c>
      <c r="G14" s="23" t="n">
        <f aca="false">1-E14*IF(F14=1,sib_winter,1)</f>
        <v>1</v>
      </c>
      <c r="H14" s="95" t="n">
        <v>60</v>
      </c>
      <c r="I14" s="95" t="n">
        <v>10</v>
      </c>
      <c r="J14" s="95" t="n">
        <v>100</v>
      </c>
      <c r="K14" s="95" t="n">
        <v>0</v>
      </c>
      <c r="L14" s="95" t="n">
        <v>35</v>
      </c>
      <c r="M14" s="95" t="n">
        <f aca="false">SUM(H14:L14)</f>
        <v>205</v>
      </c>
      <c r="N14" s="23" t="n">
        <v>0.35</v>
      </c>
      <c r="O14" s="23" t="n">
        <v>0</v>
      </c>
      <c r="P14" s="95" t="n">
        <f aca="false">H14*N14+I14*O14+J14*sib_sw+K14+L14*sib_pw</f>
        <v>147.5</v>
      </c>
      <c r="Q14" s="95" t="n">
        <f aca="false">M14-P14</f>
        <v>57.5</v>
      </c>
      <c r="R14" s="23" t="n">
        <v>0.35</v>
      </c>
      <c r="S14" s="96" t="n">
        <v>2.5</v>
      </c>
      <c r="T14" s="95" t="n">
        <f aca="false">P14*(R14*S14*sib_ammo+(1-R14)*sib_loc_kg)</f>
        <v>272.875</v>
      </c>
      <c r="U14" s="95" t="n">
        <f aca="false">H14*N14*sib_jp_kg</f>
        <v>18.9</v>
      </c>
      <c r="V14" s="95" t="n">
        <v>30</v>
      </c>
      <c r="W14" s="95" t="n">
        <v>0</v>
      </c>
      <c r="X14" s="95" t="n">
        <v>0</v>
      </c>
      <c r="Y14" s="95" t="n">
        <v>130.434782608696</v>
      </c>
      <c r="Z14" s="95" t="n">
        <f aca="false">Y14*sib_amur</f>
        <v>130.434782608696</v>
      </c>
      <c r="AA14" s="97" t="n">
        <v>15000</v>
      </c>
      <c r="AB14" s="95" t="n">
        <v>0</v>
      </c>
      <c r="AC14" s="95" t="n">
        <v>100</v>
      </c>
      <c r="AD14" s="23" t="n">
        <v>1</v>
      </c>
      <c r="AE14" s="95" t="n">
        <f aca="false">(J14*sib_sw+K14+L14*sib_pw)*sib_bread+P14*sib_horses*sib_oats+AC14*sib_relief_kg</f>
        <v>329.7875</v>
      </c>
      <c r="AF14" s="95" t="n">
        <f aca="false">sib_surplus*AD14*sib_harvest*1000000/365*sib_callmax</f>
        <v>821.917808219178</v>
      </c>
      <c r="AG14" s="95" t="n">
        <f aca="false">MAX(0,AE14-AF14)</f>
        <v>0</v>
      </c>
      <c r="AH14" s="95" t="n">
        <f aca="false">AE14-AG14</f>
        <v>329.7875</v>
      </c>
      <c r="AI14" s="95" t="n">
        <f aca="false">I14*O14*sib_cn_kg</f>
        <v>0</v>
      </c>
      <c r="AJ14" s="95" t="n">
        <f aca="false">Q14*sib_loc_kg+H14*(1-N14)*sib_jp_kg</f>
        <v>121.35</v>
      </c>
      <c r="AK14" s="95" t="n">
        <f aca="false">T14+U14+V14+W14+X14+AB14</f>
        <v>321.775</v>
      </c>
      <c r="AL14" s="95" t="n">
        <f aca="false">AI14+AG14</f>
        <v>0</v>
      </c>
      <c r="AM14" s="95" t="n">
        <f aca="false">AK14+AJ14</f>
        <v>443.125</v>
      </c>
      <c r="AN14" s="95" t="n">
        <f aca="false">AK14+AL14+sib_e2*AJ14</f>
        <v>394.585</v>
      </c>
      <c r="AO14" s="95" t="n">
        <f aca="false">AK14+AL14+sib_e3*AJ14</f>
        <v>358.18</v>
      </c>
      <c r="AP14" s="95" t="n">
        <f aca="false">AK14+AL14+Z14</f>
        <v>452.209782608696</v>
      </c>
      <c r="AQ14" s="95" t="n">
        <f aca="false">AK14+AL14+Z14</f>
        <v>452.209782608696</v>
      </c>
      <c r="AR14" s="95" t="n">
        <f aca="false">H14+I14+L14</f>
        <v>105</v>
      </c>
      <c r="AS14" s="95" t="n">
        <f aca="false">H14*N14+I14*O14+L14*sib_pw</f>
        <v>52.5</v>
      </c>
      <c r="AT14" s="96" t="n">
        <f aca="false">(MAX(0,AR14-AR13)+AR14*sib_rot*C14/365)*1000/sib_mtrain/C14</f>
        <v>0.0479452054794521</v>
      </c>
      <c r="AU14" s="96" t="n">
        <f aca="false">(MAX(0,AS14-AS13)+AS14*sib_rot*C14/365)*1000/sib_mtrain/C14</f>
        <v>0.023972602739726</v>
      </c>
      <c r="AV14" s="95" t="n">
        <v>0</v>
      </c>
      <c r="AW14" s="95" t="n">
        <v>0</v>
      </c>
      <c r="AX14" s="95" t="n">
        <f aca="false">(SUM(AV$6:AV14)+SUM(AW$6:AW14))*0.9</f>
        <v>855</v>
      </c>
      <c r="AY14" s="23" t="n">
        <v>0.78</v>
      </c>
      <c r="AZ14" s="23" t="n">
        <f aca="false">1-(1-AY14)*sib_sick</f>
        <v>0.78</v>
      </c>
      <c r="BA14" s="95" t="n">
        <f aca="false">sib_loco0*AZ14+AX14</f>
        <v>1869</v>
      </c>
      <c r="BB14" s="23" t="n">
        <f aca="false">AX14/BA14</f>
        <v>0.457463884430177</v>
      </c>
      <c r="BC14" s="95" t="n">
        <v>18</v>
      </c>
      <c r="BD14" s="95" t="n">
        <v>16</v>
      </c>
      <c r="BE14" s="95" t="n">
        <v>17</v>
      </c>
      <c r="BF14" s="95" t="n">
        <v>24</v>
      </c>
      <c r="BG14" s="95" t="n">
        <v>24</v>
      </c>
      <c r="BH14" s="96" t="n">
        <f aca="false">BC$6+(BC14-BC$6)*sib_works</f>
        <v>18</v>
      </c>
      <c r="BI14" s="96" t="n">
        <f aca="false">BD$6+(BD14-BD$6)*sib_works</f>
        <v>16</v>
      </c>
      <c r="BJ14" s="96" t="n">
        <f aca="false">BE$6+(BE14-BE$6)*sib_works</f>
        <v>17</v>
      </c>
      <c r="BK14" s="96" t="n">
        <f aca="false">BF$6+(BF14-BF$6)*sib_works</f>
        <v>24</v>
      </c>
      <c r="BL14" s="96" t="n">
        <f aca="false">BG$6+(BG14-BG$6)*sib_works</f>
        <v>24</v>
      </c>
      <c r="BM14" s="95" t="n">
        <v>0</v>
      </c>
      <c r="BN14" s="96" t="n">
        <f aca="false">(BH14*G14-sib_pass)*(1-sib_civ)*(1-sib_fuel-BM14*sib_strike)-AT14</f>
        <v>10.2560547945205</v>
      </c>
      <c r="BO14" s="96" t="n">
        <f aca="false">(BI14*G14-sib_pass)*(1-sib_civ)*(1-sib_fuel-BM14*sib_strike)-AT14</f>
        <v>8.96805479452055</v>
      </c>
      <c r="BP14" s="96" t="n">
        <f aca="false">(BJ14*G14-sib_pass)*(1-sib_civ)*(1-sib_fuel-BM14*sib_strike)-AU14</f>
        <v>9.63602739726028</v>
      </c>
      <c r="BQ14" s="96" t="n">
        <f aca="false">(BK14*G14-sib_pass)*(1-sib_civ)*(1-sib_fuel-BM14*sib_strike)-AU14</f>
        <v>14.1440273972603</v>
      </c>
      <c r="BR14" s="96" t="n">
        <f aca="false">(BL14*G14-sib_pass)*(1-sib_civ)*(1-sib_fuel-BM14*sib_strike)-AU14</f>
        <v>14.1440273972603</v>
      </c>
      <c r="BS14" s="96" t="n">
        <f aca="false">AM14/(sib_net1*(1+sib_decup*BB14))</f>
        <v>0.734552523747439</v>
      </c>
      <c r="BT14" s="96" t="n">
        <f aca="false">AN14/(sib_net2*(1+sib_decup*BB14))</f>
        <v>0.809825089357777</v>
      </c>
      <c r="BU14" s="96" t="n">
        <f aca="false">AO14/(sib_net3a*(1+sib_decup*BB14))</f>
        <v>0.686102125369922</v>
      </c>
      <c r="BV14" s="96" t="n">
        <f aca="false">AP14/(sib_net3b*(1+sib_decup*BB14))</f>
        <v>1.02578490256592</v>
      </c>
      <c r="BW14" s="96" t="n">
        <f aca="false">AQ14/(sib_net4*(1+sib_decup*BB14))</f>
        <v>0.812079714531355</v>
      </c>
      <c r="BX14" s="23" t="n">
        <f aca="false">BS14/BN14</f>
        <v>0.0716213532848796</v>
      </c>
      <c r="BY14" s="23" t="n">
        <f aca="false">BT14/BO14</f>
        <v>0.0903010862347292</v>
      </c>
      <c r="BZ14" s="23" t="n">
        <f aca="false">BU14/BP14</f>
        <v>0.0712017615853806</v>
      </c>
      <c r="CA14" s="23" t="n">
        <f aca="false">BV14/BQ14</f>
        <v>0.0725242445984387</v>
      </c>
      <c r="CB14" s="23" t="n">
        <f aca="false">BW14/BR14</f>
        <v>0.0574150269737639</v>
      </c>
      <c r="CC14" s="23" t="n">
        <f aca="false">MAX(BX14:CB14,DW14)</f>
        <v>0.0903010862347292</v>
      </c>
      <c r="CD14" s="1" t="str">
        <f aca="false">IF(DW14&gt;=MAX(BX14:CB14),"Ob-Chelyabinsk",CHOOSE(MATCH(CC14,BX14:CB14,0),"Vladivostok-Harbin","Harbin-Manzhouli","Manzhouli-Kitaisky (branch)","Kitaisky-Irkutsk","Irkutsk-Ob"))</f>
        <v>Harbin-Manzhouli</v>
      </c>
      <c r="CE14" s="96" t="n">
        <f aca="false">MIN(BN14-BS14,BO14-BT14,BP14-BU14,BQ14-BV14,BR14-BW14,DU14-DV14)</f>
        <v>8.15822970516277</v>
      </c>
      <c r="CF14" s="97" t="n">
        <f aca="false">2*(sib_L1*(BS14+AT14+(BH14*G14-sib_pass)*(sib_civ*sib_civused+(1-sib_civ)*sib_fuel)+sib_pass)+sib_L2*(BT14+AT14+(BI14*G14-sib_pass)*(sib_civ*sib_civused+(1-sib_civ)*sib_fuel)+sib_pass)+sib_L3a*(BU14+AU14+(BJ14*G14-sib_pass)*(sib_civ*sib_civused+(1-sib_civ)*sib_fuel)+sib_pass)+sib_L3b*(BV14+AU14+(BK14*G14-sib_pass)*(sib_civ*sib_civused+(1-sib_civ)*sib_fuel)+sib_pass)+sib_L4*(BW14+AU14+(BL14*G14-sib_pass)*(sib_civ*sib_civused+(1-sib_civ)*sib_fuel)+sib_pass)+sib_L5*(DV14+AU14+(DT14*G14-sib_pass)*(sib_civ*sib_civused+(1-sib_civ)*sib_fuel)+sib_pass))</f>
        <v>101183.342239173</v>
      </c>
      <c r="CG14" s="95" t="n">
        <f aca="false">CF14/sib_kmloco*sib_helper</f>
        <v>790.494861243536</v>
      </c>
      <c r="CH14" s="23" t="n">
        <f aca="false">CG14/BA14</f>
        <v>0.422950701574926</v>
      </c>
      <c r="CI14" s="97" t="n">
        <v>0</v>
      </c>
      <c r="CJ14" s="97" t="n">
        <v>0</v>
      </c>
      <c r="CK14" s="97" t="n">
        <v>0</v>
      </c>
      <c r="CL14" s="97" t="n">
        <f aca="false">(sib_wag0+SUM(CI$6:CI14)+SUM(CJ$6:CJ14))*sib_wserv*(1-sib_civ)</f>
        <v>27370</v>
      </c>
      <c r="CM14" s="97" t="n">
        <f aca="false">AK14/sib_wload*(2*(sib_L1+sib_L2+sib_L3a+sib_L3b+sib_L4/2)/sib_wagkm+sib_term)+AL14/sib_wload*(2*(sib_L2+sib_L3a+sib_L3b+sib_L4/2)/sib_wagkm+sib_term)+AJ14/sib_wload*((sib_L1+sib_L2)/sib_wagkm+sib_term-2)+Z14/sib_wload*(2*(sib_L3b+sib_L4/2)/sib_wagkm+sib_term)+AU14*40*(2*(sib_L1+sib_L2+sib_L3a+sib_L3b+sib_L4/2)/sib_wagkm+sib_term)+K14*1000/sib_czw+CK14+DR14/sib_wload*(2*(sib_L4/2+sib_L5/2)/sib_wagkm)</f>
        <v>2308.39996258355</v>
      </c>
      <c r="CN14" s="23" t="n">
        <f aca="false">CM14/CL14</f>
        <v>0.0843405174491615</v>
      </c>
      <c r="CO14" s="95" t="n">
        <v>0</v>
      </c>
      <c r="CP14" s="95" t="n">
        <f aca="false">MIN(CO14,AK14+AJ14)</f>
        <v>0</v>
      </c>
      <c r="CQ14" s="23" t="n">
        <f aca="false">(AK14+AJ14+Z14-CP14)*365/1000000+sib_civport</f>
        <v>1.00934932065217</v>
      </c>
      <c r="CR14" s="23" t="n">
        <v>3</v>
      </c>
      <c r="CS14" s="23" t="n">
        <f aca="false">CQ14/(CR14*IF(OR(RIGHT(A14,2)="Q1",C14=365),sib_portwin,1))</f>
        <v>0.336449773550725</v>
      </c>
      <c r="CT14" s="96" t="n">
        <f aca="false">(AK14+AJ14+Z14-CP14)*sib_pacship*365/(sib_dwt*0.9*sib_voy)</f>
        <v>2.62432196828936</v>
      </c>
      <c r="CU14" s="23" t="n">
        <f aca="false">CT14/sib_ships</f>
        <v>0.065608049207234</v>
      </c>
      <c r="CV14" s="97" t="n">
        <f aca="false">CV13+(AB14+Z14)*C14+AA14</f>
        <v>137526.086956522</v>
      </c>
      <c r="CW14" s="96" t="n">
        <f aca="false">IF(C14=365,sib_surge/sib_mtrain/sib_surge_d,0)</f>
        <v>0</v>
      </c>
      <c r="CX14" s="95" t="n">
        <f aca="false">(CC14&gt;sib_util_max)+(CH14&gt;1)+(CN14&gt;1)+(CS14&gt;sib_util_max)+(CU14&gt;1)+(CV14&lt;0)+(CW14&gt;0)*(CE14&lt;CW14)</f>
        <v>0</v>
      </c>
      <c r="CY14" s="1" t="str">
        <f aca="false">IF(CX14=0,"OK","Check")</f>
        <v>OK</v>
      </c>
      <c r="CZ14" s="95" t="n">
        <v>0</v>
      </c>
      <c r="DA14" s="23" t="n">
        <v>1</v>
      </c>
      <c r="DB14" s="23" t="n">
        <v>1.5</v>
      </c>
      <c r="DC14" s="23" t="n">
        <f aca="false">INDEX(Paths!$B$6:$B$92,MATCH(B14,Paths!$A$6:$A$92,0))*sib_cost</f>
        <v>2.05</v>
      </c>
      <c r="DD14" s="96" t="n">
        <f aca="false">L14*sib_c_pac/1000*C14/365*DC14</f>
        <v>23.5104109589041</v>
      </c>
      <c r="DE14" s="96" t="n">
        <f aca="false">K14*sib_c_cz/1000*C14/365*DC14</f>
        <v>0</v>
      </c>
      <c r="DF14" s="96" t="n">
        <f aca="false">J14*sib_c_sib/1000*C14/365*DC14</f>
        <v>5.16712328767123</v>
      </c>
      <c r="DG14" s="96" t="n">
        <f aca="false">((MAX(0,T14-CP14)+V14+AB14+Z14+AA14/C14)*sib_pst_w+Q14*sib_loc_kg*sib_pst_e)*C14*sib_c_store/1000000*DC14</f>
        <v>24.1885035</v>
      </c>
      <c r="DH14" s="96" t="n">
        <f aca="false">((AW14*sib_c_loco+CJ14*sib_c_wag+MAX(0,AZ14-AZ13)*sib_loco0*sib_c_rep+CZ14*sib_c_arm)/1000000+DA14)*DC14</f>
        <v>2.6896</v>
      </c>
      <c r="DI14" s="96" t="n">
        <f aca="false">2*(sib_L1*(BS14+AT14)+sib_L2*(BT14+AT14)+sib_L3a*(BU14+AU14)+sib_L3b*(BV14+AU14)+sib_L4*(BW14+AU14)+sib_L5*(DV14+AU14))*C14*sib_c_tkm*sib_prail/1000000*DC14</f>
        <v>2.02417592073627</v>
      </c>
      <c r="DJ14" s="96" t="n">
        <f aca="false">CT14*sib_c_ship*C14/365*DC14</f>
        <v>0.610208782051282</v>
      </c>
      <c r="DK14" s="96" t="n">
        <f aca="false">DB14*DC14</f>
        <v>3.075</v>
      </c>
      <c r="DL14" s="96" t="n">
        <f aca="false">AA14*sib_c_kara/1000000*DC14</f>
        <v>0.46125</v>
      </c>
      <c r="DM14" s="96" t="n">
        <f aca="false">(AC14*sib_c_ref/1000*C14/365+AH14*C14*sib_c_grain/1000000)*DC14</f>
        <v>1.40661219253425</v>
      </c>
      <c r="DN14" s="96" t="n">
        <f aca="false">Z14*C14*sib_c_amur/1000000*DC14</f>
        <v>0.295200000000001</v>
      </c>
      <c r="DO14" s="96" t="n">
        <f aca="false">sib_fed*sib_c_fed/1000000*C14/365*DC14</f>
        <v>0.775068493150685</v>
      </c>
      <c r="DP14" s="96" t="n">
        <f aca="false">SUM(DD14:DO14)</f>
        <v>64.2031531350478</v>
      </c>
      <c r="DQ14" s="98" t="n">
        <v>0.8</v>
      </c>
      <c r="DR14" s="99" t="n">
        <f aca="false">AQ14*DQ14</f>
        <v>361.767826086957</v>
      </c>
      <c r="DS14" s="98" t="n">
        <v>24</v>
      </c>
      <c r="DT14" s="99" t="n">
        <f aca="false">DS$6+(DS14-DS$6)*sib_works</f>
        <v>24</v>
      </c>
      <c r="DU14" s="99" t="n">
        <f aca="false">(DT14*G14-sib_pass)*(1-sib_civ)*(1-sib_fuel-BM14*sib_strike)-AU14</f>
        <v>14.1440273972603</v>
      </c>
      <c r="DV14" s="99" t="n">
        <f aca="false">DR14/(sib_net5*(1+sib_decup*BB14))</f>
        <v>0.649663771625084</v>
      </c>
      <c r="DW14" s="99" t="n">
        <f aca="false">IF(DV14=0,0,IF(DU14&lt;=0,9.99,DV14/DU14))</f>
        <v>0.0459320215790112</v>
      </c>
    </row>
    <row r="15" customFormat="false" ht="13.5" hidden="false" customHeight="true" outlineLevel="0" collapsed="false">
      <c r="A15" s="1" t="s">
        <v>1988</v>
      </c>
      <c r="B15" s="95" t="n">
        <v>1920</v>
      </c>
      <c r="C15" s="95" t="n">
        <v>92</v>
      </c>
      <c r="D15" s="1" t="s">
        <v>1989</v>
      </c>
      <c r="E15" s="23" t="n">
        <v>0.15</v>
      </c>
      <c r="F15" s="95" t="n">
        <v>1</v>
      </c>
      <c r="G15" s="23" t="n">
        <f aca="false">1-E15*IF(F15=1,sib_winter,1)</f>
        <v>0.85</v>
      </c>
      <c r="H15" s="95" t="n">
        <v>55</v>
      </c>
      <c r="I15" s="95" t="n">
        <v>10</v>
      </c>
      <c r="J15" s="95" t="n">
        <v>80</v>
      </c>
      <c r="K15" s="95" t="n">
        <v>0</v>
      </c>
      <c r="L15" s="95" t="n">
        <v>30</v>
      </c>
      <c r="M15" s="95" t="n">
        <f aca="false">SUM(H15:L15)</f>
        <v>175</v>
      </c>
      <c r="N15" s="23" t="n">
        <v>0.35</v>
      </c>
      <c r="O15" s="23" t="n">
        <v>0</v>
      </c>
      <c r="P15" s="95" t="n">
        <f aca="false">H15*N15+I15*O15+J15*sib_sw+K15+L15*sib_pw</f>
        <v>122.25</v>
      </c>
      <c r="Q15" s="95" t="n">
        <f aca="false">M15-P15</f>
        <v>52.75</v>
      </c>
      <c r="R15" s="23" t="n">
        <v>0.35</v>
      </c>
      <c r="S15" s="96" t="n">
        <v>2.5</v>
      </c>
      <c r="T15" s="95" t="n">
        <f aca="false">P15*(R15*S15*sib_ammo+(1-R15)*sib_loc_kg)</f>
        <v>226.1625</v>
      </c>
      <c r="U15" s="95" t="n">
        <f aca="false">H15*N15*sib_jp_kg</f>
        <v>17.325</v>
      </c>
      <c r="V15" s="95" t="n">
        <v>30</v>
      </c>
      <c r="W15" s="95" t="n">
        <v>0</v>
      </c>
      <c r="X15" s="95" t="n">
        <v>0</v>
      </c>
      <c r="Y15" s="95" t="n">
        <v>0</v>
      </c>
      <c r="Z15" s="95" t="n">
        <f aca="false">Y15*sib_amur</f>
        <v>0</v>
      </c>
      <c r="AA15" s="97" t="n">
        <v>0</v>
      </c>
      <c r="AB15" s="95" t="n">
        <v>-50</v>
      </c>
      <c r="AC15" s="95" t="n">
        <v>100</v>
      </c>
      <c r="AD15" s="23" t="n">
        <v>1</v>
      </c>
      <c r="AE15" s="95" t="n">
        <f aca="false">(J15*sib_sw+K15+L15*sib_pw)*sib_bread+P15*sib_horses*sib_oats+AC15*sib_relief_kg</f>
        <v>280.23125</v>
      </c>
      <c r="AF15" s="95" t="n">
        <f aca="false">sib_surplus*AD15*sib_harvest*1000000/365*sib_callmax</f>
        <v>821.917808219178</v>
      </c>
      <c r="AG15" s="95" t="n">
        <f aca="false">MAX(0,AE15-AF15)</f>
        <v>0</v>
      </c>
      <c r="AH15" s="95" t="n">
        <f aca="false">AE15-AG15</f>
        <v>280.23125</v>
      </c>
      <c r="AI15" s="95" t="n">
        <f aca="false">I15*O15*sib_cn_kg</f>
        <v>0</v>
      </c>
      <c r="AJ15" s="95" t="n">
        <f aca="false">Q15*sib_loc_kg+H15*(1-N15)*sib_jp_kg</f>
        <v>111.3</v>
      </c>
      <c r="AK15" s="95" t="n">
        <f aca="false">T15+U15+V15+W15+X15+AB15</f>
        <v>223.4875</v>
      </c>
      <c r="AL15" s="95" t="n">
        <f aca="false">AI15+AG15</f>
        <v>0</v>
      </c>
      <c r="AM15" s="95" t="n">
        <f aca="false">AK15+AJ15</f>
        <v>334.7875</v>
      </c>
      <c r="AN15" s="95" t="n">
        <f aca="false">AK15+AL15+sib_e2*AJ15</f>
        <v>290.2675</v>
      </c>
      <c r="AO15" s="95" t="n">
        <f aca="false">AK15+AL15+sib_e3*AJ15</f>
        <v>256.8775</v>
      </c>
      <c r="AP15" s="95" t="n">
        <f aca="false">AK15+AL15+Z15</f>
        <v>223.4875</v>
      </c>
      <c r="AQ15" s="95" t="n">
        <f aca="false">AK15+AL15+Z15</f>
        <v>223.4875</v>
      </c>
      <c r="AR15" s="95" t="n">
        <f aca="false">H15+I15+L15</f>
        <v>95</v>
      </c>
      <c r="AS15" s="95" t="n">
        <f aca="false">H15*N15+I15*O15+L15*sib_pw</f>
        <v>46.25</v>
      </c>
      <c r="AT15" s="96" t="n">
        <f aca="false">(MAX(0,AR15-AR14)+AR15*sib_rot*C15/365)*1000/sib_mtrain/C15</f>
        <v>0.04337899543379</v>
      </c>
      <c r="AU15" s="96" t="n">
        <f aca="false">(MAX(0,AS15-AS14)+AS15*sib_rot*C15/365)*1000/sib_mtrain/C15</f>
        <v>0.0211187214611872</v>
      </c>
      <c r="AV15" s="95" t="n">
        <v>0</v>
      </c>
      <c r="AW15" s="95" t="n">
        <v>0</v>
      </c>
      <c r="AX15" s="95" t="n">
        <f aca="false">(SUM(AV$6:AV15)+SUM(AW$6:AW15))*0.9</f>
        <v>855</v>
      </c>
      <c r="AY15" s="23" t="n">
        <v>0.78</v>
      </c>
      <c r="AZ15" s="23" t="n">
        <f aca="false">1-(1-AY15)*sib_sick</f>
        <v>0.78</v>
      </c>
      <c r="BA15" s="95" t="n">
        <f aca="false">sib_loco0*AZ15+AX15</f>
        <v>1869</v>
      </c>
      <c r="BB15" s="23" t="n">
        <f aca="false">AX15/BA15</f>
        <v>0.457463884430177</v>
      </c>
      <c r="BC15" s="95" t="n">
        <v>18</v>
      </c>
      <c r="BD15" s="95" t="n">
        <v>16</v>
      </c>
      <c r="BE15" s="95" t="n">
        <v>17</v>
      </c>
      <c r="BF15" s="95" t="n">
        <v>24</v>
      </c>
      <c r="BG15" s="95" t="n">
        <v>24</v>
      </c>
      <c r="BH15" s="96" t="n">
        <f aca="false">BC$6+(BC15-BC$6)*sib_works</f>
        <v>18</v>
      </c>
      <c r="BI15" s="96" t="n">
        <f aca="false">BD$6+(BD15-BD$6)*sib_works</f>
        <v>16</v>
      </c>
      <c r="BJ15" s="96" t="n">
        <f aca="false">BE$6+(BE15-BE$6)*sib_works</f>
        <v>17</v>
      </c>
      <c r="BK15" s="96" t="n">
        <f aca="false">BF$6+(BF15-BF$6)*sib_works</f>
        <v>24</v>
      </c>
      <c r="BL15" s="96" t="n">
        <f aca="false">BG$6+(BG15-BG$6)*sib_works</f>
        <v>24</v>
      </c>
      <c r="BM15" s="95" t="n">
        <v>0</v>
      </c>
      <c r="BN15" s="96" t="n">
        <f aca="false">(BH15*G15-sib_pass)*(1-sib_civ)*(1-sib_fuel-BM15*sib_strike)-AT15</f>
        <v>8.52182100456621</v>
      </c>
      <c r="BO15" s="96" t="n">
        <f aca="false">(BI15*G15-sib_pass)*(1-sib_civ)*(1-sib_fuel-BM15*sib_strike)-AT15</f>
        <v>7.42702100456621</v>
      </c>
      <c r="BP15" s="96" t="n">
        <f aca="false">(BJ15*G15-sib_pass)*(1-sib_civ)*(1-sib_fuel-BM15*sib_strike)-AU15</f>
        <v>7.99668127853881</v>
      </c>
      <c r="BQ15" s="96" t="n">
        <f aca="false">(BK15*G15-sib_pass)*(1-sib_civ)*(1-sib_fuel-BM15*sib_strike)-AU15</f>
        <v>11.8284812785388</v>
      </c>
      <c r="BR15" s="96" t="n">
        <f aca="false">(BL15*G15-sib_pass)*(1-sib_civ)*(1-sib_fuel-BM15*sib_strike)-AU15</f>
        <v>11.8284812785388</v>
      </c>
      <c r="BS15" s="96" t="n">
        <f aca="false">AM15/(sib_net1*(1+sib_decup*BB15))</f>
        <v>0.554965310113615</v>
      </c>
      <c r="BT15" s="96" t="n">
        <f aca="false">AN15/(sib_net2*(1+sib_decup*BB15))</f>
        <v>0.595729447711288</v>
      </c>
      <c r="BU15" s="96" t="n">
        <f aca="false">AO15/(sib_net3a*(1+sib_decup*BB15))</f>
        <v>0.492054829163304</v>
      </c>
      <c r="BV15" s="96" t="n">
        <f aca="false">AP15/(sib_net3b*(1+sib_decup*BB15))</f>
        <v>0.506955205811138</v>
      </c>
      <c r="BW15" s="96" t="n">
        <f aca="false">AQ15/(sib_net4*(1+sib_decup*BB15))</f>
        <v>0.401339537933818</v>
      </c>
      <c r="BX15" s="23" t="n">
        <f aca="false">BS15/BN15</f>
        <v>0.0651228545889723</v>
      </c>
      <c r="BY15" s="23" t="n">
        <f aca="false">BT15/BO15</f>
        <v>0.0802110896609862</v>
      </c>
      <c r="BZ15" s="23" t="n">
        <f aca="false">BU15/BP15</f>
        <v>0.0615323797490669</v>
      </c>
      <c r="CA15" s="23" t="n">
        <f aca="false">BV15/BQ15</f>
        <v>0.0428588585358748</v>
      </c>
      <c r="CB15" s="23" t="n">
        <f aca="false">BW15/BR15</f>
        <v>0.0339299296742342</v>
      </c>
      <c r="CC15" s="23" t="n">
        <f aca="false">MAX(BX15:CB15,DW15)</f>
        <v>0.0802110896609862</v>
      </c>
      <c r="CD15" s="1" t="str">
        <f aca="false">IF(DW15&gt;=MAX(BX15:CB15),"Ob-Chelyabinsk",CHOOSE(MATCH(CC15,BX15:CB15,0),"Vladivostok-Harbin","Harbin-Manzhouli","Manzhouli-Kitaisky (branch)","Kitaisky-Irkutsk","Irkutsk-Ob"))</f>
        <v>Harbin-Manzhouli</v>
      </c>
      <c r="CE15" s="96" t="n">
        <f aca="false">MIN(BN15-BS15,BO15-BT15,BP15-BU15,BQ15-BV15,BR15-BW15,DU15-DV15)</f>
        <v>6.83129155685492</v>
      </c>
      <c r="CF15" s="97" t="n">
        <f aca="false">2*(sib_L1*(BS15+AT15+(BH15*G15-sib_pass)*(sib_civ*sib_civused+(1-sib_civ)*sib_fuel)+sib_pass)+sib_L2*(BT15+AT15+(BI15*G15-sib_pass)*(sib_civ*sib_civused+(1-sib_civ)*sib_fuel)+sib_pass)+sib_L3a*(BU15+AU15+(BJ15*G15-sib_pass)*(sib_civ*sib_civused+(1-sib_civ)*sib_fuel)+sib_pass)+sib_L3b*(BV15+AU15+(BK15*G15-sib_pass)*(sib_civ*sib_civused+(1-sib_civ)*sib_fuel)+sib_pass)+sib_L4*(BW15+AU15+(BL15*G15-sib_pass)*(sib_civ*sib_civused+(1-sib_civ)*sib_fuel)+sib_pass)+sib_L5*(DV15+AU15+(DT15*G15-sib_pass)*(sib_civ*sib_civused+(1-sib_civ)*sib_fuel)+sib_pass))</f>
        <v>86022.9158661876</v>
      </c>
      <c r="CG15" s="95" t="n">
        <f aca="false">CF15/sib_kmloco*sib_helper</f>
        <v>672.054030204591</v>
      </c>
      <c r="CH15" s="23" t="n">
        <f aca="false">CG15/BA15</f>
        <v>0.359579470414441</v>
      </c>
      <c r="CI15" s="97" t="n">
        <v>0</v>
      </c>
      <c r="CJ15" s="97" t="n">
        <v>0</v>
      </c>
      <c r="CK15" s="97" t="n">
        <v>0</v>
      </c>
      <c r="CL15" s="97" t="n">
        <f aca="false">(sib_wag0+SUM(CI$6:CI15)+SUM(CJ$6:CJ15))*sib_wserv*(1-sib_civ)</f>
        <v>27370</v>
      </c>
      <c r="CM15" s="97" t="n">
        <f aca="false">AK15/sib_wload*(2*(sib_L1+sib_L2+sib_L3a+sib_L3b+sib_L4/2)/sib_wagkm+sib_term)+AL15/sib_wload*(2*(sib_L2+sib_L3a+sib_L3b+sib_L4/2)/sib_wagkm+sib_term)+AJ15/sib_wload*((sib_L1+sib_L2)/sib_wagkm+sib_term-2)+Z15/sib_wload*(2*(sib_L3b+sib_L4/2)/sib_wagkm+sib_term)+AU15*40*(2*(sib_L1+sib_L2+sib_L3a+sib_L3b+sib_L4/2)/sib_wagkm+sib_term)+K15*1000/sib_czw+CK15+DR15/sib_wload*(2*(sib_L4/2+sib_L5/2)/sib_wagkm)</f>
        <v>1341.03655312024</v>
      </c>
      <c r="CN15" s="23" t="n">
        <f aca="false">CM15/CL15</f>
        <v>0.0489965857917517</v>
      </c>
      <c r="CO15" s="95" t="n">
        <v>0</v>
      </c>
      <c r="CP15" s="95" t="n">
        <f aca="false">MIN(CO15,AK15+AJ15)</f>
        <v>0</v>
      </c>
      <c r="CQ15" s="23" t="n">
        <f aca="false">(AK15+AJ15+Z15-CP15)*365/1000000+sib_civport</f>
        <v>0.9221974375</v>
      </c>
      <c r="CR15" s="23" t="n">
        <v>3</v>
      </c>
      <c r="CS15" s="23" t="n">
        <f aca="false">CQ15/(CR15*IF(OR(RIGHT(A15,2)="Q1",C15=365),sib_portwin,1))</f>
        <v>0.307399145833333</v>
      </c>
      <c r="CT15" s="96" t="n">
        <f aca="false">(AK15+AJ15+Z15-CP15)*sib_pacship*365/(sib_dwt*0.9*sib_voy)</f>
        <v>1.53181972934473</v>
      </c>
      <c r="CU15" s="23" t="n">
        <f aca="false">CT15/sib_ships</f>
        <v>0.0382954932336182</v>
      </c>
      <c r="CV15" s="97" t="n">
        <f aca="false">CV14+(AB15+Z15)*C15+AA15</f>
        <v>132926.086956522</v>
      </c>
      <c r="CW15" s="96" t="n">
        <f aca="false">IF(C15=365,sib_surge/sib_mtrain/sib_surge_d,0)</f>
        <v>0</v>
      </c>
      <c r="CX15" s="95" t="n">
        <f aca="false">(CC15&gt;sib_util_max)+(CH15&gt;1)+(CN15&gt;1)+(CS15&gt;sib_util_max)+(CU15&gt;1)+(CV15&lt;0)+(CW15&gt;0)*(CE15&lt;CW15)</f>
        <v>0</v>
      </c>
      <c r="CY15" s="1" t="str">
        <f aca="false">IF(CX15=0,"OK","Check")</f>
        <v>OK</v>
      </c>
      <c r="CZ15" s="95" t="n">
        <v>0</v>
      </c>
      <c r="DA15" s="23" t="n">
        <v>1</v>
      </c>
      <c r="DB15" s="23" t="n">
        <v>1.5</v>
      </c>
      <c r="DC15" s="23" t="n">
        <f aca="false">INDEX(Paths!$B$6:$B$92,MATCH(B15,Paths!$A$6:$A$92,0))*sib_cost</f>
        <v>2.05</v>
      </c>
      <c r="DD15" s="96" t="n">
        <f aca="false">L15*sib_c_pac/1000*C15/365*DC15</f>
        <v>20.1517808219178</v>
      </c>
      <c r="DE15" s="96" t="n">
        <f aca="false">K15*sib_c_cz/1000*C15/365*DC15</f>
        <v>0</v>
      </c>
      <c r="DF15" s="96" t="n">
        <f aca="false">J15*sib_c_sib/1000*C15/365*DC15</f>
        <v>4.13369863013699</v>
      </c>
      <c r="DG15" s="96" t="n">
        <f aca="false">((MAX(0,T15-CP15)+V15+AB15+Z15+AA15/C15)*sib_pst_w+Q15*sib_loc_kg*sib_pst_e)*C15*sib_c_store/1000000*DC15</f>
        <v>8.6875761</v>
      </c>
      <c r="DH15" s="96" t="n">
        <f aca="false">((AW15*sib_c_loco+CJ15*sib_c_wag+MAX(0,AZ15-AZ14)*sib_loco0*sib_c_rep+CZ15*sib_c_arm)/1000000+DA15)*DC15</f>
        <v>2.05</v>
      </c>
      <c r="DI15" s="96" t="n">
        <f aca="false">2*(sib_L1*(BS15+AT15)+sib_L2*(BT15+AT15)+sib_L3a*(BU15+AU15)+sib_L3b*(BV15+AU15)+sib_L4*(BW15+AU15)+sib_L5*(DV15+AU15))*C15*sib_c_tkm*sib_prail/1000000*DC15</f>
        <v>1.18142086961911</v>
      </c>
      <c r="DJ15" s="96" t="n">
        <f aca="false">CT15*sib_c_ship*C15/365*DC15</f>
        <v>0.356179562820513</v>
      </c>
      <c r="DK15" s="96" t="n">
        <f aca="false">DB15*DC15</f>
        <v>3.075</v>
      </c>
      <c r="DL15" s="96" t="n">
        <f aca="false">AA15*sib_c_kara/1000000*DC15</f>
        <v>0</v>
      </c>
      <c r="DM15" s="96" t="n">
        <f aca="false">(AC15*sib_c_ref/1000*C15/365+AH15*C15*sib_c_grain/1000000)*DC15</f>
        <v>1.35053434003425</v>
      </c>
      <c r="DN15" s="96" t="n">
        <f aca="false">Z15*C15*sib_c_amur/1000000*DC15</f>
        <v>0</v>
      </c>
      <c r="DO15" s="96" t="n">
        <f aca="false">sib_fed*sib_c_fed/1000000*C15/365*DC15</f>
        <v>0.775068493150685</v>
      </c>
      <c r="DP15" s="96" t="n">
        <f aca="false">SUM(DD15:DO15)</f>
        <v>41.7612588176793</v>
      </c>
      <c r="DQ15" s="98" t="n">
        <v>0.8</v>
      </c>
      <c r="DR15" s="99" t="n">
        <f aca="false">AQ15*DQ15</f>
        <v>178.79</v>
      </c>
      <c r="DS15" s="98" t="n">
        <v>24</v>
      </c>
      <c r="DT15" s="99" t="n">
        <f aca="false">DS$6+(DS15-DS$6)*sib_works</f>
        <v>24</v>
      </c>
      <c r="DU15" s="99" t="n">
        <f aca="false">(DT15*G15-sib_pass)*(1-sib_civ)*(1-sib_fuel-BM15*sib_strike)-AU15</f>
        <v>11.8284812785388</v>
      </c>
      <c r="DV15" s="99" t="n">
        <f aca="false">DR15/(sib_net5*(1+sib_decup*BB15))</f>
        <v>0.321071630347054</v>
      </c>
      <c r="DW15" s="99" t="n">
        <f aca="false">IF(DV15=0,0,IF(DU15&lt;=0,9.99,DV15/DU15))</f>
        <v>0.0271439437393874</v>
      </c>
    </row>
    <row r="16" customFormat="false" ht="13.5" hidden="false" customHeight="true" outlineLevel="0" collapsed="false">
      <c r="A16" s="1" t="s">
        <v>1990</v>
      </c>
      <c r="B16" s="95" t="n">
        <v>1921</v>
      </c>
      <c r="C16" s="95" t="n">
        <v>90</v>
      </c>
      <c r="D16" s="1" t="s">
        <v>1991</v>
      </c>
      <c r="E16" s="23" t="n">
        <v>0.3</v>
      </c>
      <c r="F16" s="95" t="n">
        <v>1</v>
      </c>
      <c r="G16" s="23" t="n">
        <f aca="false">1-E16*IF(F16=1,sib_winter,1)</f>
        <v>0.7</v>
      </c>
      <c r="H16" s="95" t="n">
        <v>50</v>
      </c>
      <c r="I16" s="95" t="n">
        <v>10</v>
      </c>
      <c r="J16" s="95" t="n">
        <v>70</v>
      </c>
      <c r="K16" s="95" t="n">
        <v>0</v>
      </c>
      <c r="L16" s="95" t="n">
        <v>25</v>
      </c>
      <c r="M16" s="95" t="n">
        <f aca="false">SUM(H16:L16)</f>
        <v>155</v>
      </c>
      <c r="N16" s="23" t="n">
        <v>0.35</v>
      </c>
      <c r="O16" s="23" t="n">
        <v>0</v>
      </c>
      <c r="P16" s="95" t="n">
        <f aca="false">H16*N16+I16*O16+J16*sib_sw+K16+L16*sib_pw</f>
        <v>106.5</v>
      </c>
      <c r="Q16" s="95" t="n">
        <f aca="false">M16-P16</f>
        <v>48.5</v>
      </c>
      <c r="R16" s="23" t="n">
        <v>0.35</v>
      </c>
      <c r="S16" s="96" t="n">
        <v>2.5</v>
      </c>
      <c r="T16" s="95" t="n">
        <f aca="false">P16*(R16*S16*sib_ammo+(1-R16)*sib_loc_kg)</f>
        <v>197.025</v>
      </c>
      <c r="U16" s="95" t="n">
        <f aca="false">H16*N16*sib_jp_kg</f>
        <v>15.75</v>
      </c>
      <c r="V16" s="95" t="n">
        <v>30</v>
      </c>
      <c r="W16" s="95" t="n">
        <v>0</v>
      </c>
      <c r="X16" s="95" t="n">
        <v>0</v>
      </c>
      <c r="Y16" s="95" t="n">
        <v>0</v>
      </c>
      <c r="Z16" s="95" t="n">
        <f aca="false">Y16*sib_amur</f>
        <v>0</v>
      </c>
      <c r="AA16" s="97" t="n">
        <v>0</v>
      </c>
      <c r="AB16" s="95" t="n">
        <v>-100</v>
      </c>
      <c r="AC16" s="95" t="n">
        <v>100</v>
      </c>
      <c r="AD16" s="23" t="n">
        <v>1</v>
      </c>
      <c r="AE16" s="95" t="n">
        <f aca="false">(J16*sib_sw+K16+L16*sib_pw)*sib_bread+P16*sib_horses*sib_oats+AC16*sib_relief_kg</f>
        <v>249.9125</v>
      </c>
      <c r="AF16" s="95" t="n">
        <f aca="false">sib_surplus*AD16*sib_harvest*1000000/365*sib_callmax</f>
        <v>821.917808219178</v>
      </c>
      <c r="AG16" s="95" t="n">
        <f aca="false">MAX(0,AE16-AF16)</f>
        <v>0</v>
      </c>
      <c r="AH16" s="95" t="n">
        <f aca="false">AE16-AG16</f>
        <v>249.9125</v>
      </c>
      <c r="AI16" s="95" t="n">
        <f aca="false">I16*O16*sib_cn_kg</f>
        <v>0</v>
      </c>
      <c r="AJ16" s="95" t="n">
        <f aca="false">Q16*sib_loc_kg+H16*(1-N16)*sib_jp_kg</f>
        <v>102</v>
      </c>
      <c r="AK16" s="95" t="n">
        <f aca="false">T16+U16+V16+W16+X16+AB16</f>
        <v>142.775</v>
      </c>
      <c r="AL16" s="95" t="n">
        <f aca="false">AI16+AG16</f>
        <v>0</v>
      </c>
      <c r="AM16" s="95" t="n">
        <f aca="false">AK16+AJ16</f>
        <v>244.775</v>
      </c>
      <c r="AN16" s="95" t="n">
        <f aca="false">AK16+AL16+sib_e2*AJ16</f>
        <v>203.975</v>
      </c>
      <c r="AO16" s="95" t="n">
        <f aca="false">AK16+AL16+sib_e3*AJ16</f>
        <v>173.375</v>
      </c>
      <c r="AP16" s="95" t="n">
        <f aca="false">AK16+AL16+Z16</f>
        <v>142.775</v>
      </c>
      <c r="AQ16" s="95" t="n">
        <f aca="false">AK16+AL16+Z16</f>
        <v>142.775</v>
      </c>
      <c r="AR16" s="95" t="n">
        <f aca="false">H16+I16+L16</f>
        <v>85</v>
      </c>
      <c r="AS16" s="95" t="n">
        <f aca="false">H16*N16+I16*O16+L16*sib_pw</f>
        <v>40</v>
      </c>
      <c r="AT16" s="96" t="n">
        <f aca="false">(MAX(0,AR16-AR15)+AR16*sib_rot*C16/365)*1000/sib_mtrain/C16</f>
        <v>0.0388127853881279</v>
      </c>
      <c r="AU16" s="96" t="n">
        <f aca="false">(MAX(0,AS16-AS15)+AS16*sib_rot*C16/365)*1000/sib_mtrain/C16</f>
        <v>0.0182648401826484</v>
      </c>
      <c r="AV16" s="95" t="n">
        <v>0</v>
      </c>
      <c r="AW16" s="95" t="n">
        <v>0</v>
      </c>
      <c r="AX16" s="95" t="n">
        <f aca="false">(SUM(AV$6:AV16)+SUM(AW$6:AW16))*0.9</f>
        <v>855</v>
      </c>
      <c r="AY16" s="23" t="n">
        <v>0.8</v>
      </c>
      <c r="AZ16" s="23" t="n">
        <f aca="false">1-(1-AY16)*sib_sick</f>
        <v>0.8</v>
      </c>
      <c r="BA16" s="95" t="n">
        <f aca="false">sib_loco0*AZ16+AX16</f>
        <v>1895</v>
      </c>
      <c r="BB16" s="23" t="n">
        <f aca="false">AX16/BA16</f>
        <v>0.451187335092348</v>
      </c>
      <c r="BC16" s="95" t="n">
        <v>18</v>
      </c>
      <c r="BD16" s="95" t="n">
        <v>16</v>
      </c>
      <c r="BE16" s="95" t="n">
        <v>18</v>
      </c>
      <c r="BF16" s="95" t="n">
        <v>24</v>
      </c>
      <c r="BG16" s="95" t="n">
        <v>24</v>
      </c>
      <c r="BH16" s="96" t="n">
        <f aca="false">BC$6+(BC16-BC$6)*sib_works</f>
        <v>18</v>
      </c>
      <c r="BI16" s="96" t="n">
        <f aca="false">BD$6+(BD16-BD$6)*sib_works</f>
        <v>16</v>
      </c>
      <c r="BJ16" s="96" t="n">
        <f aca="false">BE$6+(BE16-BE$6)*sib_works</f>
        <v>18</v>
      </c>
      <c r="BK16" s="96" t="n">
        <f aca="false">BF$6+(BF16-BF$6)*sib_works</f>
        <v>24</v>
      </c>
      <c r="BL16" s="96" t="n">
        <f aca="false">BG$6+(BG16-BG$6)*sib_works</f>
        <v>24</v>
      </c>
      <c r="BM16" s="95" t="n">
        <v>0</v>
      </c>
      <c r="BN16" s="96" t="n">
        <f aca="false">(BH16*G16-sib_pass)*(1-sib_civ)*(1-sib_fuel-BM16*sib_strike)-AT16</f>
        <v>6.78758721461187</v>
      </c>
      <c r="BO16" s="96" t="n">
        <f aca="false">(BI16*G16-sib_pass)*(1-sib_civ)*(1-sib_fuel-BM16*sib_strike)-AT16</f>
        <v>5.88598721461187</v>
      </c>
      <c r="BP16" s="96" t="n">
        <f aca="false">(BJ16*G16-sib_pass)*(1-sib_civ)*(1-sib_fuel-BM16*sib_strike)-AU16</f>
        <v>6.80813515981735</v>
      </c>
      <c r="BQ16" s="96" t="n">
        <f aca="false">(BK16*G16-sib_pass)*(1-sib_civ)*(1-sib_fuel-BM16*sib_strike)-AU16</f>
        <v>9.51293515981735</v>
      </c>
      <c r="BR16" s="96" t="n">
        <f aca="false">(BL16*G16-sib_pass)*(1-sib_civ)*(1-sib_fuel-BM16*sib_strike)-AU16</f>
        <v>9.51293515981735</v>
      </c>
      <c r="BS16" s="96" t="n">
        <f aca="false">AM16/(sib_net1*(1+sib_decup*BB16))</f>
        <v>0.40652459224722</v>
      </c>
      <c r="BT16" s="96" t="n">
        <f aca="false">AN16/(sib_net2*(1+sib_decup*BB16))</f>
        <v>0.419421567191306</v>
      </c>
      <c r="BU16" s="96" t="n">
        <f aca="false">AO16/(sib_net3a*(1+sib_decup*BB16))</f>
        <v>0.332733913131543</v>
      </c>
      <c r="BV16" s="96" t="n">
        <f aca="false">AP16/(sib_net3b*(1+sib_decup*BB16))</f>
        <v>0.324482798942211</v>
      </c>
      <c r="BW16" s="96" t="n">
        <f aca="false">AQ16/(sib_net4*(1+sib_decup*BB16))</f>
        <v>0.256882215829251</v>
      </c>
      <c r="BX16" s="23" t="n">
        <f aca="false">BS16/BN16</f>
        <v>0.0598923563548591</v>
      </c>
      <c r="BY16" s="23" t="n">
        <f aca="false">BT16/BO16</f>
        <v>0.0712576415643749</v>
      </c>
      <c r="BZ16" s="23" t="n">
        <f aca="false">BU16/BP16</f>
        <v>0.0488729887584179</v>
      </c>
      <c r="CA16" s="23" t="n">
        <f aca="false">BV16/BQ16</f>
        <v>0.0341096405568733</v>
      </c>
      <c r="CB16" s="23" t="n">
        <f aca="false">BW16/BR16</f>
        <v>0.027003465440858</v>
      </c>
      <c r="CC16" s="23" t="n">
        <f aca="false">MAX(BX16:CB16,DW16)</f>
        <v>0.0712576415643749</v>
      </c>
      <c r="CD16" s="1" t="str">
        <f aca="false">IF(DW16&gt;=MAX(BX16:CB16),"Ob-Chelyabinsk",CHOOSE(MATCH(CC16,BX16:CB16,0),"Vladivostok-Harbin","Harbin-Manzhouli","Manzhouli-Kitaisky (branch)","Kitaisky-Irkutsk","Irkutsk-Ob"))</f>
        <v>Harbin-Manzhouli</v>
      </c>
      <c r="CE16" s="96" t="n">
        <f aca="false">MIN(BN16-BS16,BO16-BT16,BP16-BU16,BQ16-BV16,BR16-BW16,DU16-DV16)</f>
        <v>5.46656564742057</v>
      </c>
      <c r="CF16" s="97" t="n">
        <f aca="false">2*(sib_L1*(BS16+AT16+(BH16*G16-sib_pass)*(sib_civ*sib_civused+(1-sib_civ)*sib_fuel)+sib_pass)+sib_L2*(BT16+AT16+(BI16*G16-sib_pass)*(sib_civ*sib_civused+(1-sib_civ)*sib_fuel)+sib_pass)+sib_L3a*(BU16+AU16+(BJ16*G16-sib_pass)*(sib_civ*sib_civused+(1-sib_civ)*sib_fuel)+sib_pass)+sib_L3b*(BV16+AU16+(BK16*G16-sib_pass)*(sib_civ*sib_civused+(1-sib_civ)*sib_fuel)+sib_pass)+sib_L4*(BW16+AU16+(BL16*G16-sib_pass)*(sib_civ*sib_civused+(1-sib_civ)*sib_fuel)+sib_pass)+sib_L5*(DV16+AU16+(DT16*G16-sib_pass)*(sib_civ*sib_civused+(1-sib_civ)*sib_fuel)+sib_pass))</f>
        <v>73071.9934795303</v>
      </c>
      <c r="CG16" s="95" t="n">
        <f aca="false">CF16/sib_kmloco*sib_helper</f>
        <v>570.87494905883</v>
      </c>
      <c r="CH16" s="23" t="n">
        <f aca="false">CG16/BA16</f>
        <v>0.301253271271151</v>
      </c>
      <c r="CI16" s="97" t="n">
        <v>0</v>
      </c>
      <c r="CJ16" s="97" t="n">
        <v>0</v>
      </c>
      <c r="CK16" s="97" t="n">
        <v>0</v>
      </c>
      <c r="CL16" s="97" t="n">
        <f aca="false">(sib_wag0+SUM(CI$6:CI16)+SUM(CJ$6:CJ16))*sib_wserv*(1-sib_civ)</f>
        <v>27370</v>
      </c>
      <c r="CM16" s="97" t="n">
        <f aca="false">AK16/sib_wload*(2*(sib_L1+sib_L2+sib_L3a+sib_L3b+sib_L4/2)/sib_wagkm+sib_term)+AL16/sib_wload*(2*(sib_L2+sib_L3a+sib_L3b+sib_L4/2)/sib_wagkm+sib_term)+AJ16/sib_wload*((sib_L1+sib_L2)/sib_wagkm+sib_term-2)+Z16/sib_wload*(2*(sib_L3b+sib_L4/2)/sib_wagkm+sib_term)+AU16*40*(2*(sib_L1+sib_L2+sib_L3a+sib_L3b+sib_L4/2)/sib_wagkm+sib_term)+K16*1000/sib_czw+CK16+DR16/sib_wload*(2*(sib_L4/2+sib_L5/2)/sib_wagkm)</f>
        <v>821.567510806697</v>
      </c>
      <c r="CN16" s="23" t="n">
        <f aca="false">CM16/CL16</f>
        <v>0.0300170811401789</v>
      </c>
      <c r="CO16" s="95" t="n">
        <v>0</v>
      </c>
      <c r="CP16" s="95" t="n">
        <f aca="false">MIN(CO16,AK16+AJ16)</f>
        <v>0</v>
      </c>
      <c r="CQ16" s="23" t="n">
        <f aca="false">(AK16+AJ16+Z16-CP16)*365/1000000+sib_civport</f>
        <v>0.889342875</v>
      </c>
      <c r="CR16" s="23" t="n">
        <v>3</v>
      </c>
      <c r="CS16" s="23" t="n">
        <f aca="false">CQ16/(CR16*IF(OR(RIGHT(A16,2)="Q1",C16=365),sib_portwin,1))</f>
        <v>0.348761911764706</v>
      </c>
      <c r="CT16" s="96" t="n">
        <f aca="false">(AK16+AJ16+Z16-CP16)*sib_pacship*365/(sib_dwt*0.9*sib_voy)</f>
        <v>1.11996766381766</v>
      </c>
      <c r="CU16" s="23" t="n">
        <f aca="false">CT16/sib_ships</f>
        <v>0.0279991915954416</v>
      </c>
      <c r="CV16" s="97" t="n">
        <f aca="false">CV15+(AB16+Z16)*C16+AA16</f>
        <v>123926.086956522</v>
      </c>
      <c r="CW16" s="96" t="n">
        <f aca="false">IF(C16=365,sib_surge/sib_mtrain/sib_surge_d,0)</f>
        <v>0</v>
      </c>
      <c r="CX16" s="95" t="n">
        <f aca="false">(CC16&gt;sib_util_max)+(CH16&gt;1)+(CN16&gt;1)+(CS16&gt;sib_util_max)+(CU16&gt;1)+(CV16&lt;0)+(CW16&gt;0)*(CE16&lt;CW16)</f>
        <v>0</v>
      </c>
      <c r="CY16" s="1" t="str">
        <f aca="false">IF(CX16=0,"OK","Check")</f>
        <v>OK</v>
      </c>
      <c r="CZ16" s="95" t="n">
        <v>0</v>
      </c>
      <c r="DA16" s="23" t="n">
        <v>0.75</v>
      </c>
      <c r="DB16" s="23" t="n">
        <v>1.5</v>
      </c>
      <c r="DC16" s="23" t="n">
        <f aca="false">INDEX(Paths!$B$6:$B$92,MATCH(B16,Paths!$A$6:$A$92,0))*sib_cost</f>
        <v>1.7</v>
      </c>
      <c r="DD16" s="96" t="n">
        <f aca="false">L16*sib_c_pac/1000*C16/365*DC16</f>
        <v>13.6232876712329</v>
      </c>
      <c r="DE16" s="96" t="n">
        <f aca="false">K16*sib_c_cz/1000*C16/365*DC16</f>
        <v>0</v>
      </c>
      <c r="DF16" s="96" t="n">
        <f aca="false">J16*sib_c_sib/1000*C16/365*DC16</f>
        <v>2.93424657534247</v>
      </c>
      <c r="DG16" s="96" t="n">
        <f aca="false">((MAX(0,T16-CP16)+V16+AB16+Z16+AA16/C16)*sib_pst_w+Q16*sib_loc_kg*sib_pst_e)*C16*sib_c_store/1000000*DC16</f>
        <v>4.4708895</v>
      </c>
      <c r="DH16" s="96" t="n">
        <f aca="false">((AW16*sib_c_loco+CJ16*sib_c_wag+MAX(0,AZ16-AZ15)*sib_loco0*sib_c_rep+CZ16*sib_c_arm)/1000000+DA16)*DC16</f>
        <v>1.5402</v>
      </c>
      <c r="DI16" s="96" t="n">
        <f aca="false">2*(sib_L1*(BS16+AT16)+sib_L2*(BT16+AT16)+sib_L3a*(BU16+AU16)+sib_L3b*(BV16+AU16)+sib_L4*(BW16+AU16)+sib_L5*(DV16+AU16))*C16*sib_c_tkm*sib_prail/1000000*DC16</f>
        <v>0.605813101470858</v>
      </c>
      <c r="DJ16" s="96" t="n">
        <f aca="false">CT16*sib_c_ship*C16/365*DC16</f>
        <v>0.211259653846154</v>
      </c>
      <c r="DK16" s="96" t="n">
        <f aca="false">DB16*DC16</f>
        <v>2.55</v>
      </c>
      <c r="DL16" s="96" t="n">
        <f aca="false">AA16*sib_c_kara/1000000*DC16</f>
        <v>0</v>
      </c>
      <c r="DM16" s="96" t="n">
        <f aca="false">(AC16*sib_c_ref/1000*C16/365+AH16*C16*sib_c_grain/1000000)*DC16</f>
        <v>1.06777583938356</v>
      </c>
      <c r="DN16" s="96" t="n">
        <f aca="false">Z16*C16*sib_c_amur/1000000*DC16</f>
        <v>0</v>
      </c>
      <c r="DO16" s="96" t="n">
        <f aca="false">sib_fed*sib_c_fed/1000000*C16/365*DC16</f>
        <v>0.628767123287671</v>
      </c>
      <c r="DP16" s="96" t="n">
        <f aca="false">SUM(DD16:DO16)</f>
        <v>27.6322394645636</v>
      </c>
      <c r="DQ16" s="98" t="n">
        <v>0.4</v>
      </c>
      <c r="DR16" s="99" t="n">
        <f aca="false">AQ16*DQ16</f>
        <v>57.11</v>
      </c>
      <c r="DS16" s="98" t="n">
        <v>24</v>
      </c>
      <c r="DT16" s="99" t="n">
        <f aca="false">DS$6+(DS16-DS$6)*sib_works</f>
        <v>24</v>
      </c>
      <c r="DU16" s="99" t="n">
        <f aca="false">(DT16*G16-sib_pass)*(1-sib_civ)*(1-sib_fuel-BM16*sib_strike)-AU16</f>
        <v>9.51293515981735</v>
      </c>
      <c r="DV16" s="99" t="n">
        <f aca="false">DR16/(sib_net5*(1+sib_decup*BB16))</f>
        <v>0.1027528863317</v>
      </c>
      <c r="DW16" s="99" t="n">
        <f aca="false">IF(DV16=0,0,IF(DU16&lt;=0,9.99,DV16/DU16))</f>
        <v>0.0108013861763432</v>
      </c>
    </row>
    <row r="17" customFormat="false" ht="13.5" hidden="false" customHeight="true" outlineLevel="0" collapsed="false">
      <c r="A17" s="1" t="s">
        <v>1992</v>
      </c>
      <c r="B17" s="95" t="n">
        <v>1921</v>
      </c>
      <c r="C17" s="95" t="n">
        <v>91</v>
      </c>
      <c r="D17" s="1" t="s">
        <v>1993</v>
      </c>
      <c r="E17" s="23" t="n">
        <v>0.08</v>
      </c>
      <c r="F17" s="95" t="n">
        <v>0</v>
      </c>
      <c r="G17" s="23" t="n">
        <f aca="false">1-E17*IF(F17=1,sib_winter,1)</f>
        <v>0.92</v>
      </c>
      <c r="H17" s="95" t="n">
        <v>50</v>
      </c>
      <c r="I17" s="95" t="n">
        <v>10</v>
      </c>
      <c r="J17" s="95" t="n">
        <v>70</v>
      </c>
      <c r="K17" s="95" t="n">
        <v>0</v>
      </c>
      <c r="L17" s="95" t="n">
        <v>25</v>
      </c>
      <c r="M17" s="95" t="n">
        <f aca="false">SUM(H17:L17)</f>
        <v>155</v>
      </c>
      <c r="N17" s="23" t="n">
        <v>0.35</v>
      </c>
      <c r="O17" s="23" t="n">
        <v>0</v>
      </c>
      <c r="P17" s="95" t="n">
        <f aca="false">H17*N17+I17*O17+J17*sib_sw+K17+L17*sib_pw</f>
        <v>106.5</v>
      </c>
      <c r="Q17" s="95" t="n">
        <f aca="false">M17-P17</f>
        <v>48.5</v>
      </c>
      <c r="R17" s="23" t="n">
        <v>0.45</v>
      </c>
      <c r="S17" s="96" t="n">
        <v>4</v>
      </c>
      <c r="T17" s="95" t="n">
        <f aca="false">P17*(R17*S17*sib_ammo+(1-R17)*sib_loc_kg)</f>
        <v>279.5625</v>
      </c>
      <c r="U17" s="95" t="n">
        <f aca="false">H17*N17*sib_jp_kg</f>
        <v>15.75</v>
      </c>
      <c r="V17" s="95" t="n">
        <v>30</v>
      </c>
      <c r="W17" s="95" t="n">
        <v>0</v>
      </c>
      <c r="X17" s="95" t="n">
        <v>0</v>
      </c>
      <c r="Y17" s="95" t="n">
        <v>87.912087912088</v>
      </c>
      <c r="Z17" s="95" t="n">
        <f aca="false">Y17*sib_amur</f>
        <v>87.912087912088</v>
      </c>
      <c r="AA17" s="97" t="n">
        <v>0</v>
      </c>
      <c r="AB17" s="95" t="n">
        <v>0</v>
      </c>
      <c r="AC17" s="95" t="n">
        <v>100</v>
      </c>
      <c r="AD17" s="23" t="n">
        <v>1</v>
      </c>
      <c r="AE17" s="95" t="n">
        <f aca="false">(J17*sib_sw+K17+L17*sib_pw)*sib_bread+P17*sib_horses*sib_oats+AC17*sib_relief_kg</f>
        <v>249.9125</v>
      </c>
      <c r="AF17" s="95" t="n">
        <f aca="false">sib_surplus*AD17*sib_harvest*1000000/365*sib_callmax</f>
        <v>821.917808219178</v>
      </c>
      <c r="AG17" s="95" t="n">
        <f aca="false">MAX(0,AE17-AF17)</f>
        <v>0</v>
      </c>
      <c r="AH17" s="95" t="n">
        <f aca="false">AE17-AG17</f>
        <v>249.9125</v>
      </c>
      <c r="AI17" s="95" t="n">
        <f aca="false">I17*O17*sib_cn_kg</f>
        <v>0</v>
      </c>
      <c r="AJ17" s="95" t="n">
        <f aca="false">Q17*sib_loc_kg+H17*(1-N17)*sib_jp_kg</f>
        <v>102</v>
      </c>
      <c r="AK17" s="95" t="n">
        <f aca="false">T17+U17+V17+W17+X17+AB17</f>
        <v>325.3125</v>
      </c>
      <c r="AL17" s="95" t="n">
        <f aca="false">AI17+AG17</f>
        <v>0</v>
      </c>
      <c r="AM17" s="95" t="n">
        <f aca="false">AK17+AJ17</f>
        <v>427.3125</v>
      </c>
      <c r="AN17" s="95" t="n">
        <f aca="false">AK17+AL17+sib_e2*AJ17</f>
        <v>386.5125</v>
      </c>
      <c r="AO17" s="95" t="n">
        <f aca="false">AK17+AL17+sib_e3*AJ17</f>
        <v>355.9125</v>
      </c>
      <c r="AP17" s="95" t="n">
        <f aca="false">AK17+AL17+Z17</f>
        <v>413.224587912088</v>
      </c>
      <c r="AQ17" s="95" t="n">
        <f aca="false">AK17+AL17+Z17</f>
        <v>413.224587912088</v>
      </c>
      <c r="AR17" s="95" t="n">
        <f aca="false">H17+I17+L17</f>
        <v>85</v>
      </c>
      <c r="AS17" s="95" t="n">
        <f aca="false">H17*N17+I17*O17+L17*sib_pw</f>
        <v>40</v>
      </c>
      <c r="AT17" s="96" t="n">
        <f aca="false">(MAX(0,AR17-AR16)+AR17*sib_rot*C17/365)*1000/sib_mtrain/C17</f>
        <v>0.0388127853881279</v>
      </c>
      <c r="AU17" s="96" t="n">
        <f aca="false">(MAX(0,AS17-AS16)+AS17*sib_rot*C17/365)*1000/sib_mtrain/C17</f>
        <v>0.0182648401826484</v>
      </c>
      <c r="AV17" s="95" t="n">
        <v>0</v>
      </c>
      <c r="AW17" s="95" t="n">
        <v>0</v>
      </c>
      <c r="AX17" s="95" t="n">
        <f aca="false">(SUM(AV$6:AV17)+SUM(AW$6:AW17))*0.9</f>
        <v>855</v>
      </c>
      <c r="AY17" s="23" t="n">
        <v>0.8</v>
      </c>
      <c r="AZ17" s="23" t="n">
        <f aca="false">1-(1-AY17)*sib_sick</f>
        <v>0.8</v>
      </c>
      <c r="BA17" s="95" t="n">
        <f aca="false">sib_loco0*AZ17+AX17</f>
        <v>1895</v>
      </c>
      <c r="BB17" s="23" t="n">
        <f aca="false">AX17/BA17</f>
        <v>0.451187335092348</v>
      </c>
      <c r="BC17" s="95" t="n">
        <v>18</v>
      </c>
      <c r="BD17" s="95" t="n">
        <v>16</v>
      </c>
      <c r="BE17" s="95" t="n">
        <v>18</v>
      </c>
      <c r="BF17" s="95" t="n">
        <v>24</v>
      </c>
      <c r="BG17" s="95" t="n">
        <v>24</v>
      </c>
      <c r="BH17" s="96" t="n">
        <f aca="false">BC$6+(BC17-BC$6)*sib_works</f>
        <v>18</v>
      </c>
      <c r="BI17" s="96" t="n">
        <f aca="false">BD$6+(BD17-BD$6)*sib_works</f>
        <v>16</v>
      </c>
      <c r="BJ17" s="96" t="n">
        <f aca="false">BE$6+(BE17-BE$6)*sib_works</f>
        <v>18</v>
      </c>
      <c r="BK17" s="96" t="n">
        <f aca="false">BF$6+(BF17-BF$6)*sib_works</f>
        <v>24</v>
      </c>
      <c r="BL17" s="96" t="n">
        <f aca="false">BG$6+(BG17-BG$6)*sib_works</f>
        <v>24</v>
      </c>
      <c r="BM17" s="95" t="n">
        <v>0</v>
      </c>
      <c r="BN17" s="96" t="n">
        <f aca="false">(BH17*G17-sib_pass)*(1-sib_civ)*(1-sib_fuel-BM17*sib_strike)-AT17</f>
        <v>9.33782721461187</v>
      </c>
      <c r="BO17" s="96" t="n">
        <f aca="false">(BI17*G17-sib_pass)*(1-sib_civ)*(1-sib_fuel-BM17*sib_strike)-AT17</f>
        <v>8.15286721461187</v>
      </c>
      <c r="BP17" s="96" t="n">
        <f aca="false">(BJ17*G17-sib_pass)*(1-sib_civ)*(1-sib_fuel-BM17*sib_strike)-AU17</f>
        <v>9.35837515981735</v>
      </c>
      <c r="BQ17" s="96" t="n">
        <f aca="false">(BK17*G17-sib_pass)*(1-sib_civ)*(1-sib_fuel-BM17*sib_strike)-AU17</f>
        <v>12.9132551598174</v>
      </c>
      <c r="BR17" s="96" t="n">
        <f aca="false">(BL17*G17-sib_pass)*(1-sib_civ)*(1-sib_fuel-BM17*sib_strike)-AU17</f>
        <v>12.9132551598174</v>
      </c>
      <c r="BS17" s="96" t="n">
        <f aca="false">AM17/(sib_net1*(1+sib_decup*BB17))</f>
        <v>0.709684566743499</v>
      </c>
      <c r="BT17" s="96" t="n">
        <f aca="false">AN17/(sib_net2*(1+sib_decup*BB17))</f>
        <v>0.794762487996224</v>
      </c>
      <c r="BU17" s="96" t="n">
        <f aca="false">AO17/(sib_net3a*(1+sib_decup*BB17))</f>
        <v>0.6830521058828</v>
      </c>
      <c r="BV17" s="96" t="n">
        <f aca="false">AP17/(sib_net3b*(1+sib_decup*BB17))</f>
        <v>0.939129895832297</v>
      </c>
      <c r="BW17" s="96" t="n">
        <f aca="false">AQ17/(sib_net4*(1+sib_decup*BB17))</f>
        <v>0.743477834200569</v>
      </c>
      <c r="BX17" s="23" t="n">
        <f aca="false">BS17/BN17</f>
        <v>0.0760010386177399</v>
      </c>
      <c r="BY17" s="23" t="n">
        <f aca="false">BT17/BO17</f>
        <v>0.0974825747893724</v>
      </c>
      <c r="BZ17" s="23" t="n">
        <f aca="false">BU17/BP17</f>
        <v>0.0729883226754644</v>
      </c>
      <c r="CA17" s="23" t="n">
        <f aca="false">BV17/BQ17</f>
        <v>0.0727260388034941</v>
      </c>
      <c r="CB17" s="23" t="n">
        <f aca="false">BW17/BR17</f>
        <v>0.0575747807194328</v>
      </c>
      <c r="CC17" s="23" t="n">
        <f aca="false">MAX(BX17:CB17,DW17)</f>
        <v>0.0974825747893724</v>
      </c>
      <c r="CD17" s="1" t="str">
        <f aca="false">IF(DW17&gt;=MAX(BX17:CB17),"Ob-Chelyabinsk",CHOOSE(MATCH(CC17,BX17:CB17,0),"Vladivostok-Harbin","Harbin-Manzhouli","Manzhouli-Kitaisky (branch)","Kitaisky-Irkutsk","Irkutsk-Ob"))</f>
        <v>Harbin-Manzhouli</v>
      </c>
      <c r="CE17" s="96" t="n">
        <f aca="false">MIN(BN17-BS17,BO17-BT17,BP17-BU17,BQ17-BV17,BR17-BW17,DU17-DV17)</f>
        <v>7.35810472661565</v>
      </c>
      <c r="CF17" s="97" t="n">
        <f aca="false">2*(sib_L1*(BS17+AT17+(BH17*G17-sib_pass)*(sib_civ*sib_civused+(1-sib_civ)*sib_fuel)+sib_pass)+sib_L2*(BT17+AT17+(BI17*G17-sib_pass)*(sib_civ*sib_civused+(1-sib_civ)*sib_fuel)+sib_pass)+sib_L3a*(BU17+AU17+(BJ17*G17-sib_pass)*(sib_civ*sib_civused+(1-sib_civ)*sib_fuel)+sib_pass)+sib_L3b*(BV17+AU17+(BK17*G17-sib_pass)*(sib_civ*sib_civused+(1-sib_civ)*sib_fuel)+sib_pass)+sib_L4*(BW17+AU17+(BL17*G17-sib_pass)*(sib_civ*sib_civused+(1-sib_civ)*sib_fuel)+sib_pass)+sib_L5*(DV17+AU17+(DT17*G17-sib_pass)*(sib_civ*sib_civused+(1-sib_civ)*sib_fuel)+sib_pass))</f>
        <v>93984.01668202</v>
      </c>
      <c r="CG17" s="95" t="n">
        <f aca="false">CF17/sib_kmloco*sib_helper</f>
        <v>734.250130328281</v>
      </c>
      <c r="CH17" s="23" t="n">
        <f aca="false">CG17/BA17</f>
        <v>0.387467087244476</v>
      </c>
      <c r="CI17" s="97" t="n">
        <v>0</v>
      </c>
      <c r="CJ17" s="97" t="n">
        <v>0</v>
      </c>
      <c r="CK17" s="97" t="n">
        <v>0</v>
      </c>
      <c r="CL17" s="97" t="n">
        <f aca="false">(sib_wag0+SUM(CI$6:CI17)+SUM(CJ$6:CJ17))*sib_wserv*(1-sib_civ)</f>
        <v>27370</v>
      </c>
      <c r="CM17" s="97" t="n">
        <f aca="false">AK17/sib_wload*(2*(sib_L1+sib_L2+sib_L3a+sib_L3b+sib_L4/2)/sib_wagkm+sib_term)+AL17/sib_wload*(2*(sib_L2+sib_L3a+sib_L3b+sib_L4/2)/sib_wagkm+sib_term)+AJ17/sib_wload*((sib_L1+sib_L2)/sib_wagkm+sib_term-2)+Z17/sib_wload*(2*(sib_L3b+sib_L4/2)/sib_wagkm+sib_term)+AU17*40*(2*(sib_L1+sib_L2+sib_L3a+sib_L3b+sib_L4/2)/sib_wagkm+sib_term)+K17*1000/sib_czw+CK17+DR17/sib_wload*(2*(sib_L4/2+sib_L5/2)/sib_wagkm)</f>
        <v>1908.42706428655</v>
      </c>
      <c r="CN17" s="23" t="n">
        <f aca="false">CM17/CL17</f>
        <v>0.069726966177806</v>
      </c>
      <c r="CO17" s="95" t="n">
        <v>0</v>
      </c>
      <c r="CP17" s="95" t="n">
        <f aca="false">MIN(CO17,AK17+AJ17)</f>
        <v>0</v>
      </c>
      <c r="CQ17" s="23" t="n">
        <f aca="false">(AK17+AJ17+Z17-CP17)*365/1000000+sib_civport</f>
        <v>0.988056974587912</v>
      </c>
      <c r="CR17" s="23" t="n">
        <v>3</v>
      </c>
      <c r="CS17" s="23" t="n">
        <f aca="false">CQ17/(CR17*IF(OR(RIGHT(A17,2)="Q1",C17=365),sib_portwin,1))</f>
        <v>0.329352324862637</v>
      </c>
      <c r="CT17" s="96" t="n">
        <f aca="false">(AK17+AJ17+Z17-CP17)*sib_pacship*365/(sib_dwt*0.9*sib_voy)</f>
        <v>2.3574093680536</v>
      </c>
      <c r="CU17" s="23" t="n">
        <f aca="false">CT17/sib_ships</f>
        <v>0.05893523420134</v>
      </c>
      <c r="CV17" s="97" t="n">
        <f aca="false">CV16+(AB17+Z17)*C17+AA17</f>
        <v>131926.086956522</v>
      </c>
      <c r="CW17" s="96" t="n">
        <f aca="false">IF(C17=365,sib_surge/sib_mtrain/sib_surge_d,0)</f>
        <v>0</v>
      </c>
      <c r="CX17" s="95" t="n">
        <f aca="false">(CC17&gt;sib_util_max)+(CH17&gt;1)+(CN17&gt;1)+(CS17&gt;sib_util_max)+(CU17&gt;1)+(CV17&lt;0)+(CW17&gt;0)*(CE17&lt;CW17)</f>
        <v>0</v>
      </c>
      <c r="CY17" s="1" t="str">
        <f aca="false">IF(CX17=0,"OK","Check")</f>
        <v>OK</v>
      </c>
      <c r="CZ17" s="95" t="n">
        <v>0</v>
      </c>
      <c r="DA17" s="23" t="n">
        <v>0.75</v>
      </c>
      <c r="DB17" s="23" t="n">
        <v>1.5</v>
      </c>
      <c r="DC17" s="23" t="n">
        <f aca="false">INDEX(Paths!$B$6:$B$92,MATCH(B17,Paths!$A$6:$A$92,0))*sib_cost</f>
        <v>1.7</v>
      </c>
      <c r="DD17" s="96" t="n">
        <f aca="false">L17*sib_c_pac/1000*C17/365*DC17</f>
        <v>13.7746575342466</v>
      </c>
      <c r="DE17" s="96" t="n">
        <f aca="false">K17*sib_c_cz/1000*C17/365*DC17</f>
        <v>0</v>
      </c>
      <c r="DF17" s="96" t="n">
        <f aca="false">J17*sib_c_sib/1000*C17/365*DC17</f>
        <v>2.96684931506849</v>
      </c>
      <c r="DG17" s="96" t="n">
        <f aca="false">((MAX(0,T17-CP17)+V17+AB17+Z17+AA17/C17)*sib_pst_w+Q17*sib_loc_kg*sib_pst_e)*C17*sib_c_store/1000000*DC17</f>
        <v>13.3066618125</v>
      </c>
      <c r="DH17" s="96" t="n">
        <f aca="false">((AW17*sib_c_loco+CJ17*sib_c_wag+MAX(0,AZ17-AZ16)*sib_loco0*sib_c_rep+CZ17*sib_c_arm)/1000000+DA17)*DC17</f>
        <v>1.275</v>
      </c>
      <c r="DI17" s="96" t="n">
        <f aca="false">2*(sib_L1*(BS17+AT17)+sib_L2*(BT17+AT17)+sib_L3a*(BU17+AU17)+sib_L3b*(BV17+AU17)+sib_L4*(BW17+AU17)+sib_L5*(DV17+AU17))*C17*sib_c_tkm*sib_prail/1000000*DC17</f>
        <v>1.40699897998035</v>
      </c>
      <c r="DJ17" s="96" t="n">
        <f aca="false">CT17*sib_c_ship*C17/365*DC17</f>
        <v>0.449619323717949</v>
      </c>
      <c r="DK17" s="96" t="n">
        <f aca="false">DB17*DC17</f>
        <v>2.55</v>
      </c>
      <c r="DL17" s="96" t="n">
        <f aca="false">AA17*sib_c_kara/1000000*DC17</f>
        <v>0</v>
      </c>
      <c r="DM17" s="96" t="n">
        <f aca="false">(AC17*sib_c_ref/1000*C17/365+AH17*C17*sib_c_grain/1000000)*DC17</f>
        <v>1.07964001537671</v>
      </c>
      <c r="DN17" s="96" t="n">
        <f aca="false">Z17*C17*sib_c_amur/1000000*DC17</f>
        <v>0.1632</v>
      </c>
      <c r="DO17" s="96" t="n">
        <f aca="false">sib_fed*sib_c_fed/1000000*C17/365*DC17</f>
        <v>0.635753424657534</v>
      </c>
      <c r="DP17" s="96" t="n">
        <f aca="false">SUM(DD17:DO17)</f>
        <v>37.6083804055476</v>
      </c>
      <c r="DQ17" s="98" t="n">
        <v>0.4</v>
      </c>
      <c r="DR17" s="99" t="n">
        <f aca="false">AQ17*DQ17</f>
        <v>165.289835164835</v>
      </c>
      <c r="DS17" s="98" t="n">
        <v>24</v>
      </c>
      <c r="DT17" s="99" t="n">
        <f aca="false">DS$6+(DS17-DS$6)*sib_works</f>
        <v>24</v>
      </c>
      <c r="DU17" s="99" t="n">
        <f aca="false">(DT17*G17-sib_pass)*(1-sib_civ)*(1-sib_fuel-BM17*sib_strike)-AU17</f>
        <v>12.9132551598174</v>
      </c>
      <c r="DV17" s="99" t="n">
        <f aca="false">DR17/(sib_net5*(1+sib_decup*BB17))</f>
        <v>0.297391133680227</v>
      </c>
      <c r="DW17" s="99" t="n">
        <f aca="false">IF(DV17=0,0,IF(DU17&lt;=0,9.99,DV17/DU17))</f>
        <v>0.0230299122877731</v>
      </c>
    </row>
    <row r="18" customFormat="false" ht="13.5" hidden="false" customHeight="true" outlineLevel="0" collapsed="false">
      <c r="A18" s="1" t="s">
        <v>1994</v>
      </c>
      <c r="B18" s="95" t="n">
        <v>1921</v>
      </c>
      <c r="C18" s="95" t="n">
        <v>92</v>
      </c>
      <c r="D18" s="1" t="s">
        <v>1995</v>
      </c>
      <c r="E18" s="23" t="n">
        <v>0</v>
      </c>
      <c r="F18" s="95" t="n">
        <v>0</v>
      </c>
      <c r="G18" s="23" t="n">
        <f aca="false">1-E18*IF(F18=1,sib_winter,1)</f>
        <v>1</v>
      </c>
      <c r="H18" s="95" t="n">
        <v>45</v>
      </c>
      <c r="I18" s="95" t="n">
        <v>10</v>
      </c>
      <c r="J18" s="95" t="n">
        <v>70</v>
      </c>
      <c r="K18" s="95" t="n">
        <v>0</v>
      </c>
      <c r="L18" s="95" t="n">
        <v>20</v>
      </c>
      <c r="M18" s="95" t="n">
        <f aca="false">SUM(H18:L18)</f>
        <v>145</v>
      </c>
      <c r="N18" s="23" t="n">
        <v>0.35</v>
      </c>
      <c r="O18" s="23" t="n">
        <v>0</v>
      </c>
      <c r="P18" s="95" t="n">
        <f aca="false">H18*N18+I18*O18+J18*sib_sw+K18+L18*sib_pw</f>
        <v>100.25</v>
      </c>
      <c r="Q18" s="95" t="n">
        <f aca="false">M18-P18</f>
        <v>44.75</v>
      </c>
      <c r="R18" s="23" t="n">
        <v>0.45</v>
      </c>
      <c r="S18" s="96" t="n">
        <v>4</v>
      </c>
      <c r="T18" s="95" t="n">
        <f aca="false">P18*(R18*S18*sib_ammo+(1-R18)*sib_loc_kg)</f>
        <v>263.15625</v>
      </c>
      <c r="U18" s="95" t="n">
        <f aca="false">H18*N18*sib_jp_kg</f>
        <v>14.175</v>
      </c>
      <c r="V18" s="95" t="n">
        <v>20</v>
      </c>
      <c r="W18" s="95" t="n">
        <v>0</v>
      </c>
      <c r="X18" s="95" t="n">
        <v>0</v>
      </c>
      <c r="Y18" s="95" t="n">
        <v>130.434782608696</v>
      </c>
      <c r="Z18" s="95" t="n">
        <f aca="false">Y18*sib_amur</f>
        <v>130.434782608696</v>
      </c>
      <c r="AA18" s="97" t="n">
        <v>10000</v>
      </c>
      <c r="AB18" s="95" t="n">
        <v>0</v>
      </c>
      <c r="AC18" s="95" t="n">
        <v>100</v>
      </c>
      <c r="AD18" s="23" t="n">
        <v>1</v>
      </c>
      <c r="AE18" s="95" t="n">
        <f aca="false">(J18*sib_sw+K18+L18*sib_pw)*sib_bread+P18*sib_horses*sib_oats+AC18*sib_relief_kg</f>
        <v>238.83125</v>
      </c>
      <c r="AF18" s="95" t="n">
        <f aca="false">sib_surplus*AD18*sib_harvest*1000000/365*sib_callmax</f>
        <v>821.917808219178</v>
      </c>
      <c r="AG18" s="95" t="n">
        <f aca="false">MAX(0,AE18-AF18)</f>
        <v>0</v>
      </c>
      <c r="AH18" s="95" t="n">
        <f aca="false">AE18-AG18</f>
        <v>238.83125</v>
      </c>
      <c r="AI18" s="95" t="n">
        <f aca="false">I18*O18*sib_cn_kg</f>
        <v>0</v>
      </c>
      <c r="AJ18" s="95" t="n">
        <f aca="false">Q18*sib_loc_kg+H18*(1-N18)*sib_jp_kg</f>
        <v>93.45</v>
      </c>
      <c r="AK18" s="95" t="n">
        <f aca="false">T18+U18+V18+W18+X18+AB18</f>
        <v>297.33125</v>
      </c>
      <c r="AL18" s="95" t="n">
        <f aca="false">AI18+AG18</f>
        <v>0</v>
      </c>
      <c r="AM18" s="95" t="n">
        <f aca="false">AK18+AJ18</f>
        <v>390.78125</v>
      </c>
      <c r="AN18" s="95" t="n">
        <f aca="false">AK18+AL18+sib_e2*AJ18</f>
        <v>353.40125</v>
      </c>
      <c r="AO18" s="95" t="n">
        <f aca="false">AK18+AL18+sib_e3*AJ18</f>
        <v>325.36625</v>
      </c>
      <c r="AP18" s="95" t="n">
        <f aca="false">AK18+AL18+Z18</f>
        <v>427.766032608696</v>
      </c>
      <c r="AQ18" s="95" t="n">
        <f aca="false">AK18+AL18+Z18</f>
        <v>427.766032608696</v>
      </c>
      <c r="AR18" s="95" t="n">
        <f aca="false">H18+I18+L18</f>
        <v>75</v>
      </c>
      <c r="AS18" s="95" t="n">
        <f aca="false">H18*N18+I18*O18+L18*sib_pw</f>
        <v>33.75</v>
      </c>
      <c r="AT18" s="96" t="n">
        <f aca="false">(MAX(0,AR18-AR17)+AR18*sib_rot*C18/365)*1000/sib_mtrain/C18</f>
        <v>0.0342465753424658</v>
      </c>
      <c r="AU18" s="96" t="n">
        <f aca="false">(MAX(0,AS18-AS17)+AS18*sib_rot*C18/365)*1000/sib_mtrain/C18</f>
        <v>0.0154109589041096</v>
      </c>
      <c r="AV18" s="95" t="n">
        <v>0</v>
      </c>
      <c r="AW18" s="95" t="n">
        <v>0</v>
      </c>
      <c r="AX18" s="95" t="n">
        <f aca="false">(SUM(AV$6:AV18)+SUM(AW$6:AW18))*0.9</f>
        <v>855</v>
      </c>
      <c r="AY18" s="23" t="n">
        <v>0.8</v>
      </c>
      <c r="AZ18" s="23" t="n">
        <f aca="false">1-(1-AY18)*sib_sick</f>
        <v>0.8</v>
      </c>
      <c r="BA18" s="95" t="n">
        <f aca="false">sib_loco0*AZ18+AX18</f>
        <v>1895</v>
      </c>
      <c r="BB18" s="23" t="n">
        <f aca="false">AX18/BA18</f>
        <v>0.451187335092348</v>
      </c>
      <c r="BC18" s="95" t="n">
        <v>18</v>
      </c>
      <c r="BD18" s="95" t="n">
        <v>16</v>
      </c>
      <c r="BE18" s="95" t="n">
        <v>18</v>
      </c>
      <c r="BF18" s="95" t="n">
        <v>24</v>
      </c>
      <c r="BG18" s="95" t="n">
        <v>24</v>
      </c>
      <c r="BH18" s="96" t="n">
        <f aca="false">BC$6+(BC18-BC$6)*sib_works</f>
        <v>18</v>
      </c>
      <c r="BI18" s="96" t="n">
        <f aca="false">BD$6+(BD18-BD$6)*sib_works</f>
        <v>16</v>
      </c>
      <c r="BJ18" s="96" t="n">
        <f aca="false">BE$6+(BE18-BE$6)*sib_works</f>
        <v>18</v>
      </c>
      <c r="BK18" s="96" t="n">
        <f aca="false">BF$6+(BF18-BF$6)*sib_works</f>
        <v>24</v>
      </c>
      <c r="BL18" s="96" t="n">
        <f aca="false">BG$6+(BG18-BG$6)*sib_works</f>
        <v>24</v>
      </c>
      <c r="BM18" s="95" t="n">
        <v>0</v>
      </c>
      <c r="BN18" s="96" t="n">
        <f aca="false">(BH18*G18-sib_pass)*(1-sib_civ)*(1-sib_fuel-BM18*sib_strike)-AT18</f>
        <v>10.2697534246575</v>
      </c>
      <c r="BO18" s="96" t="n">
        <f aca="false">(BI18*G18-sib_pass)*(1-sib_civ)*(1-sib_fuel-BM18*sib_strike)-AT18</f>
        <v>8.98175342465753</v>
      </c>
      <c r="BP18" s="96" t="n">
        <f aca="false">(BJ18*G18-sib_pass)*(1-sib_civ)*(1-sib_fuel-BM18*sib_strike)-AU18</f>
        <v>10.2885890410959</v>
      </c>
      <c r="BQ18" s="96" t="n">
        <f aca="false">(BK18*G18-sib_pass)*(1-sib_civ)*(1-sib_fuel-BM18*sib_strike)-AU18</f>
        <v>14.1525890410959</v>
      </c>
      <c r="BR18" s="96" t="n">
        <f aca="false">(BL18*G18-sib_pass)*(1-sib_civ)*(1-sib_fuel-BM18*sib_strike)-AU18</f>
        <v>14.1525890410959</v>
      </c>
      <c r="BS18" s="96" t="n">
        <f aca="false">AM18/(sib_net1*(1+sib_decup*BB18))</f>
        <v>0.649013127623772</v>
      </c>
      <c r="BT18" s="96" t="n">
        <f aca="false">AN18/(sib_net2*(1+sib_decup*BB18))</f>
        <v>0.72667780915488</v>
      </c>
      <c r="BU18" s="96" t="n">
        <f aca="false">AO18/(sib_net3a*(1+sib_decup*BB18))</f>
        <v>0.624429044345702</v>
      </c>
      <c r="BV18" s="96" t="n">
        <f aca="false">AP18/(sib_net3b*(1+sib_decup*BB18))</f>
        <v>0.972178039245491</v>
      </c>
      <c r="BW18" s="96" t="n">
        <f aca="false">AQ18/(sib_net4*(1+sib_decup*BB18))</f>
        <v>0.769640947736014</v>
      </c>
      <c r="BX18" s="23" t="n">
        <f aca="false">BS18/BN18</f>
        <v>0.0631965638109188</v>
      </c>
      <c r="BY18" s="23" t="n">
        <f aca="false">BT18/BO18</f>
        <v>0.080906007412755</v>
      </c>
      <c r="BZ18" s="23" t="n">
        <f aca="false">BU18/BP18</f>
        <v>0.0606914166608787</v>
      </c>
      <c r="CA18" s="23" t="n">
        <f aca="false">BV18/BQ18</f>
        <v>0.0686925930246761</v>
      </c>
      <c r="CB18" s="23" t="n">
        <f aca="false">BW18/BR18</f>
        <v>0.0543816361445353</v>
      </c>
      <c r="CC18" s="23" t="n">
        <f aca="false">MAX(BX18:CB18,DW18)</f>
        <v>0.080906007412755</v>
      </c>
      <c r="CD18" s="1" t="str">
        <f aca="false">IF(DW18&gt;=MAX(BX18:CB18),"Ob-Chelyabinsk",CHOOSE(MATCH(CC18,BX18:CB18,0),"Vladivostok-Harbin","Harbin-Manzhouli","Manzhouli-Kitaisky (branch)","Kitaisky-Irkutsk","Irkutsk-Ob"))</f>
        <v>Harbin-Manzhouli</v>
      </c>
      <c r="CE18" s="96" t="n">
        <f aca="false">MIN(BN18-BS18,BO18-BT18,BP18-BU18,BQ18-BV18,BR18-BW18,DU18-DV18)</f>
        <v>8.25507561550265</v>
      </c>
      <c r="CF18" s="97" t="n">
        <f aca="false">2*(sib_L1*(BS18+AT18+(BH18*G18-sib_pass)*(sib_civ*sib_civused+(1-sib_civ)*sib_fuel)+sib_pass)+sib_L2*(BT18+AT18+(BI18*G18-sib_pass)*(sib_civ*sib_civused+(1-sib_civ)*sib_fuel)+sib_pass)+sib_L3a*(BU18+AU18+(BJ18*G18-sib_pass)*(sib_civ*sib_civused+(1-sib_civ)*sib_fuel)+sib_pass)+sib_L3b*(BV18+AU18+(BK18*G18-sib_pass)*(sib_civ*sib_civused+(1-sib_civ)*sib_fuel)+sib_pass)+sib_L4*(BW18+AU18+(BL18*G18-sib_pass)*(sib_civ*sib_civused+(1-sib_civ)*sib_fuel)+sib_pass)+sib_L5*(DV18+AU18+(DT18*G18-sib_pass)*(sib_civ*sib_civused+(1-sib_civ)*sib_fuel)+sib_pass))</f>
        <v>99677.8244979173</v>
      </c>
      <c r="CG18" s="95" t="n">
        <f aca="false">CF18/sib_kmloco*sib_helper</f>
        <v>778.733003889979</v>
      </c>
      <c r="CH18" s="23" t="n">
        <f aca="false">CG18/BA18</f>
        <v>0.410940899150385</v>
      </c>
      <c r="CI18" s="97" t="n">
        <v>0</v>
      </c>
      <c r="CJ18" s="97" t="n">
        <v>0</v>
      </c>
      <c r="CK18" s="97" t="n">
        <v>0</v>
      </c>
      <c r="CL18" s="97" t="n">
        <f aca="false">(sib_wag0+SUM(CI$6:CI18)+SUM(CJ$6:CJ18))*sib_wserv*(1-sib_civ)</f>
        <v>27370</v>
      </c>
      <c r="CM18" s="97" t="n">
        <f aca="false">AK18/sib_wload*(2*(sib_L1+sib_L2+sib_L3a+sib_L3b+sib_L4/2)/sib_wagkm+sib_term)+AL18/sib_wload*(2*(sib_L2+sib_L3a+sib_L3b+sib_L4/2)/sib_wagkm+sib_term)+AJ18/sib_wload*((sib_L1+sib_L2)/sib_wagkm+sib_term-2)+Z18/sib_wload*(2*(sib_L3b+sib_L4/2)/sib_wagkm+sib_term)+AU18*40*(2*(sib_L1+sib_L2+sib_L3a+sib_L3b+sib_L4/2)/sib_wagkm+sib_term)+K18*1000/sib_czw+CK18+DR18/sib_wload*(2*(sib_L4/2+sib_L5/2)/sib_wagkm)</f>
        <v>1880.77574699557</v>
      </c>
      <c r="CN18" s="23" t="n">
        <f aca="false">CM18/CL18</f>
        <v>0.0687166878697686</v>
      </c>
      <c r="CO18" s="95" t="n">
        <v>0</v>
      </c>
      <c r="CP18" s="95" t="n">
        <f aca="false">MIN(CO18,AK18+AJ18)</f>
        <v>0</v>
      </c>
      <c r="CQ18" s="23" t="n">
        <f aca="false">(AK18+AJ18+Z18-CP18)*365/1000000+sib_civport</f>
        <v>0.990243851902174</v>
      </c>
      <c r="CR18" s="23" t="n">
        <v>3</v>
      </c>
      <c r="CS18" s="23" t="n">
        <f aca="false">CQ18/(CR18*IF(OR(RIGHT(A18,2)="Q1",C18=365),sib_portwin,1))</f>
        <v>0.330081283967391</v>
      </c>
      <c r="CT18" s="96" t="n">
        <f aca="false">(AK18+AJ18+Z18-CP18)*sib_pacship*365/(sib_dwt*0.9*sib_voy)</f>
        <v>2.38482321472811</v>
      </c>
      <c r="CU18" s="23" t="n">
        <f aca="false">CT18/sib_ships</f>
        <v>0.0596205803682027</v>
      </c>
      <c r="CV18" s="97" t="n">
        <f aca="false">CV17+(AB18+Z18)*C18+AA18</f>
        <v>153926.086956522</v>
      </c>
      <c r="CW18" s="96" t="n">
        <f aca="false">IF(C18=365,sib_surge/sib_mtrain/sib_surge_d,0)</f>
        <v>0</v>
      </c>
      <c r="CX18" s="95" t="n">
        <f aca="false">(CC18&gt;sib_util_max)+(CH18&gt;1)+(CN18&gt;1)+(CS18&gt;sib_util_max)+(CU18&gt;1)+(CV18&lt;0)+(CW18&gt;0)*(CE18&lt;CW18)</f>
        <v>0</v>
      </c>
      <c r="CY18" s="1" t="str">
        <f aca="false">IF(CX18=0,"OK","Check")</f>
        <v>OK</v>
      </c>
      <c r="CZ18" s="95" t="n">
        <v>0</v>
      </c>
      <c r="DA18" s="23" t="n">
        <v>0.75</v>
      </c>
      <c r="DB18" s="23" t="n">
        <v>1.5</v>
      </c>
      <c r="DC18" s="23" t="n">
        <f aca="false">INDEX(Paths!$B$6:$B$92,MATCH(B18,Paths!$A$6:$A$92,0))*sib_cost</f>
        <v>1.7</v>
      </c>
      <c r="DD18" s="96" t="n">
        <f aca="false">L18*sib_c_pac/1000*C18/365*DC18</f>
        <v>11.1408219178082</v>
      </c>
      <c r="DE18" s="96" t="n">
        <f aca="false">K18*sib_c_cz/1000*C18/365*DC18</f>
        <v>0</v>
      </c>
      <c r="DF18" s="96" t="n">
        <f aca="false">J18*sib_c_sib/1000*C18/365*DC18</f>
        <v>2.99945205479452</v>
      </c>
      <c r="DG18" s="96" t="n">
        <f aca="false">((MAX(0,T18-CP18)+V18+AB18+Z18+AA18/C18)*sib_pst_w+Q18*sib_loc_kg*sib_pst_e)*C18*sib_c_store/1000000*DC18</f>
        <v>17.521426125</v>
      </c>
      <c r="DH18" s="96" t="n">
        <f aca="false">((AW18*sib_c_loco+CJ18*sib_c_wag+MAX(0,AZ18-AZ17)*sib_loco0*sib_c_rep+CZ18*sib_c_arm)/1000000+DA18)*DC18</f>
        <v>1.275</v>
      </c>
      <c r="DI18" s="96" t="n">
        <f aca="false">2*(sib_L1*(BS18+AT18)+sib_L2*(BT18+AT18)+sib_L3a*(BU18+AU18)+sib_L3b*(BV18+AU18)+sib_L4*(BW18+AU18)+sib_L5*(DV18+AU18))*C18*sib_c_tkm*sib_prail/1000000*DC18</f>
        <v>1.40376300092523</v>
      </c>
      <c r="DJ18" s="96" t="n">
        <f aca="false">CT18*sib_c_ship*C18/365*DC18</f>
        <v>0.459846185897436</v>
      </c>
      <c r="DK18" s="96" t="n">
        <f aca="false">DB18*DC18</f>
        <v>2.55</v>
      </c>
      <c r="DL18" s="96" t="n">
        <f aca="false">AA18*sib_c_kara/1000000*DC18</f>
        <v>0.255</v>
      </c>
      <c r="DM18" s="96" t="n">
        <f aca="false">(AC18*sib_c_ref/1000*C18/365+AH18*C18*sib_c_grain/1000000)*DC18</f>
        <v>1.08110554636986</v>
      </c>
      <c r="DN18" s="96" t="n">
        <f aca="false">Z18*C18*sib_c_amur/1000000*DC18</f>
        <v>0.244800000000001</v>
      </c>
      <c r="DO18" s="96" t="n">
        <f aca="false">sib_fed*sib_c_fed/1000000*C18/365*DC18</f>
        <v>0.642739726027397</v>
      </c>
      <c r="DP18" s="96" t="n">
        <f aca="false">SUM(DD18:DO18)</f>
        <v>39.5739545568227</v>
      </c>
      <c r="DQ18" s="98" t="n">
        <v>0.4</v>
      </c>
      <c r="DR18" s="99" t="n">
        <f aca="false">AQ18*DQ18</f>
        <v>171.106413043478</v>
      </c>
      <c r="DS18" s="98" t="n">
        <v>24</v>
      </c>
      <c r="DT18" s="99" t="n">
        <f aca="false">DS$6+(DS18-DS$6)*sib_works</f>
        <v>24</v>
      </c>
      <c r="DU18" s="99" t="n">
        <f aca="false">(DT18*G18-sib_pass)*(1-sib_civ)*(1-sib_fuel-BM18*sib_strike)-AU18</f>
        <v>14.1525890410959</v>
      </c>
      <c r="DV18" s="99" t="n">
        <f aca="false">DR18/(sib_net5*(1+sib_decup*BB18))</f>
        <v>0.307856379094406</v>
      </c>
      <c r="DW18" s="99" t="n">
        <f aca="false">IF(DV18=0,0,IF(DU18&lt;=0,9.99,DV18/DU18))</f>
        <v>0.0217526544578141</v>
      </c>
    </row>
    <row r="19" customFormat="false" ht="13.5" hidden="false" customHeight="true" outlineLevel="0" collapsed="false">
      <c r="A19" s="1" t="s">
        <v>1996</v>
      </c>
      <c r="B19" s="95" t="n">
        <v>1921</v>
      </c>
      <c r="C19" s="95" t="n">
        <v>92</v>
      </c>
      <c r="D19" s="1" t="s">
        <v>1997</v>
      </c>
      <c r="E19" s="23" t="n">
        <v>0.15</v>
      </c>
      <c r="F19" s="95" t="n">
        <v>1</v>
      </c>
      <c r="G19" s="23" t="n">
        <f aca="false">1-E19*IF(F19=1,sib_winter,1)</f>
        <v>0.85</v>
      </c>
      <c r="H19" s="95" t="n">
        <v>40</v>
      </c>
      <c r="I19" s="95" t="n">
        <v>8</v>
      </c>
      <c r="J19" s="95" t="n">
        <v>60</v>
      </c>
      <c r="K19" s="95" t="n">
        <v>0</v>
      </c>
      <c r="L19" s="95" t="n">
        <v>15</v>
      </c>
      <c r="M19" s="95" t="n">
        <f aca="false">SUM(H19:L19)</f>
        <v>123</v>
      </c>
      <c r="N19" s="23" t="n">
        <v>0.3</v>
      </c>
      <c r="O19" s="23" t="n">
        <v>0</v>
      </c>
      <c r="P19" s="95" t="n">
        <f aca="false">H19*N19+I19*O19+J19*sib_sw+K19+L19*sib_pw</f>
        <v>82.5</v>
      </c>
      <c r="Q19" s="95" t="n">
        <f aca="false">M19-P19</f>
        <v>40.5</v>
      </c>
      <c r="R19" s="23" t="n">
        <v>0.35</v>
      </c>
      <c r="S19" s="96" t="n">
        <v>2.5</v>
      </c>
      <c r="T19" s="95" t="n">
        <f aca="false">P19*(R19*S19*sib_ammo+(1-R19)*sib_loc_kg)</f>
        <v>152.625</v>
      </c>
      <c r="U19" s="95" t="n">
        <f aca="false">H19*N19*sib_jp_kg</f>
        <v>10.8</v>
      </c>
      <c r="V19" s="95" t="n">
        <v>10</v>
      </c>
      <c r="W19" s="95" t="n">
        <v>0</v>
      </c>
      <c r="X19" s="95" t="n">
        <v>0</v>
      </c>
      <c r="Y19" s="95" t="n">
        <v>0</v>
      </c>
      <c r="Z19" s="95" t="n">
        <f aca="false">Y19*sib_amur</f>
        <v>0</v>
      </c>
      <c r="AA19" s="97" t="n">
        <v>0</v>
      </c>
      <c r="AB19" s="95" t="n">
        <v>-50</v>
      </c>
      <c r="AC19" s="95" t="n">
        <v>50</v>
      </c>
      <c r="AD19" s="23" t="n">
        <v>1</v>
      </c>
      <c r="AE19" s="95" t="n">
        <f aca="false">(J19*sib_sw+K19+L19*sib_pw)*sib_bread+P19*sib_horses*sib_oats+AC19*sib_relief_kg</f>
        <v>181.2625</v>
      </c>
      <c r="AF19" s="95" t="n">
        <f aca="false">sib_surplus*AD19*sib_harvest*1000000/365*sib_callmax</f>
        <v>821.917808219178</v>
      </c>
      <c r="AG19" s="95" t="n">
        <f aca="false">MAX(0,AE19-AF19)</f>
        <v>0</v>
      </c>
      <c r="AH19" s="95" t="n">
        <f aca="false">AE19-AG19</f>
        <v>181.2625</v>
      </c>
      <c r="AI19" s="95" t="n">
        <f aca="false">I19*O19*sib_cn_kg</f>
        <v>0</v>
      </c>
      <c r="AJ19" s="95" t="n">
        <f aca="false">Q19*sib_loc_kg+H19*(1-N19)*sib_jp_kg</f>
        <v>85.95</v>
      </c>
      <c r="AK19" s="95" t="n">
        <f aca="false">T19+U19+V19+W19+X19+AB19</f>
        <v>123.425</v>
      </c>
      <c r="AL19" s="95" t="n">
        <f aca="false">AI19+AG19</f>
        <v>0</v>
      </c>
      <c r="AM19" s="95" t="n">
        <f aca="false">AK19+AJ19</f>
        <v>209.375</v>
      </c>
      <c r="AN19" s="95" t="n">
        <f aca="false">AK19+AL19+sib_e2*AJ19</f>
        <v>174.995</v>
      </c>
      <c r="AO19" s="95" t="n">
        <f aca="false">AK19+AL19+sib_e3*AJ19</f>
        <v>149.21</v>
      </c>
      <c r="AP19" s="95" t="n">
        <f aca="false">AK19+AL19+Z19</f>
        <v>123.425</v>
      </c>
      <c r="AQ19" s="95" t="n">
        <f aca="false">AK19+AL19+Z19</f>
        <v>123.425</v>
      </c>
      <c r="AR19" s="95" t="n">
        <f aca="false">H19+I19+L19</f>
        <v>63</v>
      </c>
      <c r="AS19" s="95" t="n">
        <f aca="false">H19*N19+I19*O19+L19*sib_pw</f>
        <v>25.5</v>
      </c>
      <c r="AT19" s="96" t="n">
        <f aca="false">(MAX(0,AR19-AR18)+AR19*sib_rot*C19/365)*1000/sib_mtrain/C19</f>
        <v>0.0287671232876712</v>
      </c>
      <c r="AU19" s="96" t="n">
        <f aca="false">(MAX(0,AS19-AS18)+AS19*sib_rot*C19/365)*1000/sib_mtrain/C19</f>
        <v>0.0116438356164384</v>
      </c>
      <c r="AV19" s="95" t="n">
        <v>0</v>
      </c>
      <c r="AW19" s="95" t="n">
        <v>0</v>
      </c>
      <c r="AX19" s="95" t="n">
        <f aca="false">(SUM(AV$6:AV19)+SUM(AW$6:AW19))*0.9</f>
        <v>855</v>
      </c>
      <c r="AY19" s="23" t="n">
        <v>0.8</v>
      </c>
      <c r="AZ19" s="23" t="n">
        <f aca="false">1-(1-AY19)*sib_sick</f>
        <v>0.8</v>
      </c>
      <c r="BA19" s="95" t="n">
        <f aca="false">sib_loco0*AZ19+AX19</f>
        <v>1895</v>
      </c>
      <c r="BB19" s="23" t="n">
        <f aca="false">AX19/BA19</f>
        <v>0.451187335092348</v>
      </c>
      <c r="BC19" s="95" t="n">
        <v>18</v>
      </c>
      <c r="BD19" s="95" t="n">
        <v>16</v>
      </c>
      <c r="BE19" s="95" t="n">
        <v>18</v>
      </c>
      <c r="BF19" s="95" t="n">
        <v>24</v>
      </c>
      <c r="BG19" s="95" t="n">
        <v>24</v>
      </c>
      <c r="BH19" s="96" t="n">
        <f aca="false">BC$6+(BC19-BC$6)*sib_works</f>
        <v>18</v>
      </c>
      <c r="BI19" s="96" t="n">
        <f aca="false">BD$6+(BD19-BD$6)*sib_works</f>
        <v>16</v>
      </c>
      <c r="BJ19" s="96" t="n">
        <f aca="false">BE$6+(BE19-BE$6)*sib_works</f>
        <v>18</v>
      </c>
      <c r="BK19" s="96" t="n">
        <f aca="false">BF$6+(BF19-BF$6)*sib_works</f>
        <v>24</v>
      </c>
      <c r="BL19" s="96" t="n">
        <f aca="false">BG$6+(BG19-BG$6)*sib_works</f>
        <v>24</v>
      </c>
      <c r="BM19" s="95" t="n">
        <v>0</v>
      </c>
      <c r="BN19" s="96" t="n">
        <f aca="false">(BH19*G19-sib_pass)*(1-sib_civ)*(1-sib_fuel-BM19*sib_strike)-AT19</f>
        <v>8.53643287671233</v>
      </c>
      <c r="BO19" s="96" t="n">
        <f aca="false">(BI19*G19-sib_pass)*(1-sib_civ)*(1-sib_fuel-BM19*sib_strike)-AT19</f>
        <v>7.44163287671233</v>
      </c>
      <c r="BP19" s="96" t="n">
        <f aca="false">(BJ19*G19-sib_pass)*(1-sib_civ)*(1-sib_fuel-BM19*sib_strike)-AU19</f>
        <v>8.55355616438356</v>
      </c>
      <c r="BQ19" s="96" t="n">
        <f aca="false">(BK19*G19-sib_pass)*(1-sib_civ)*(1-sib_fuel-BM19*sib_strike)-AU19</f>
        <v>11.8379561643836</v>
      </c>
      <c r="BR19" s="96" t="n">
        <f aca="false">(BL19*G19-sib_pass)*(1-sib_civ)*(1-sib_fuel-BM19*sib_strike)-AU19</f>
        <v>11.8379561643836</v>
      </c>
      <c r="BS19" s="96" t="n">
        <f aca="false">AM19/(sib_net1*(1+sib_decup*BB19))</f>
        <v>0.34773194362889</v>
      </c>
      <c r="BT19" s="96" t="n">
        <f aca="false">AN19/(sib_net2*(1+sib_decup*BB19))</f>
        <v>0.359831730117135</v>
      </c>
      <c r="BU19" s="96" t="n">
        <f aca="false">AO19/(sib_net3a*(1+sib_decup*BB19))</f>
        <v>0.286357474712949</v>
      </c>
      <c r="BV19" s="96" t="n">
        <f aca="false">AP19/(sib_net3b*(1+sib_decup*BB19))</f>
        <v>0.280506317348573</v>
      </c>
      <c r="BW19" s="96" t="n">
        <f aca="false">AQ19/(sib_net4*(1+sib_decup*BB19))</f>
        <v>0.222067501234287</v>
      </c>
      <c r="BX19" s="23" t="n">
        <f aca="false">BS19/BN19</f>
        <v>0.0407350410471234</v>
      </c>
      <c r="BY19" s="23" t="n">
        <f aca="false">BT19/BO19</f>
        <v>0.0483538675017393</v>
      </c>
      <c r="BZ19" s="23" t="n">
        <f aca="false">BU19/BP19</f>
        <v>0.0334781778724179</v>
      </c>
      <c r="CA19" s="23" t="n">
        <f aca="false">BV19/BQ19</f>
        <v>0.0236955022854808</v>
      </c>
      <c r="CB19" s="23" t="n">
        <f aca="false">BW19/BR19</f>
        <v>0.018758939309339</v>
      </c>
      <c r="CC19" s="23" t="n">
        <f aca="false">MAX(BX19:CB19,DW19)</f>
        <v>0.0483538675017393</v>
      </c>
      <c r="CD19" s="1" t="str">
        <f aca="false">IF(DW19&gt;=MAX(BX19:CB19),"Ob-Chelyabinsk",CHOOSE(MATCH(CC19,BX19:CB19,0),"Vladivostok-Harbin","Harbin-Manzhouli","Manzhouli-Kitaisky (branch)","Kitaisky-Irkutsk","Irkutsk-Ob"))</f>
        <v>Harbin-Manzhouli</v>
      </c>
      <c r="CE19" s="96" t="n">
        <f aca="false">MIN(BN19-BS19,BO19-BT19,BP19-BU19,BQ19-BV19,BR19-BW19,DU19-DV19)</f>
        <v>7.08180114659519</v>
      </c>
      <c r="CF19" s="97" t="n">
        <f aca="false">2*(sib_L1*(BS19+AT19+(BH19*G19-sib_pass)*(sib_civ*sib_civused+(1-sib_civ)*sib_fuel)+sib_pass)+sib_L2*(BT19+AT19+(BI19*G19-sib_pass)*(sib_civ*sib_civused+(1-sib_civ)*sib_fuel)+sib_pass)+sib_L3a*(BU19+AU19+(BJ19*G19-sib_pass)*(sib_civ*sib_civused+(1-sib_civ)*sib_fuel)+sib_pass)+sib_L3b*(BV19+AU19+(BK19*G19-sib_pass)*(sib_civ*sib_civused+(1-sib_civ)*sib_fuel)+sib_pass)+sib_L4*(BW19+AU19+(BL19*G19-sib_pass)*(sib_civ*sib_civused+(1-sib_civ)*sib_fuel)+sib_pass)+sib_L5*(DV19+AU19+(DT19*G19-sib_pass)*(sib_civ*sib_civused+(1-sib_civ)*sib_fuel)+sib_pass))</f>
        <v>83381.3709777089</v>
      </c>
      <c r="CG19" s="95" t="n">
        <f aca="false">CF19/sib_kmloco*sib_helper</f>
        <v>651.416960763351</v>
      </c>
      <c r="CH19" s="23" t="n">
        <f aca="false">CG19/BA19</f>
        <v>0.343755652117863</v>
      </c>
      <c r="CI19" s="97" t="n">
        <v>0</v>
      </c>
      <c r="CJ19" s="97" t="n">
        <v>0</v>
      </c>
      <c r="CK19" s="97" t="n">
        <v>0</v>
      </c>
      <c r="CL19" s="97" t="n">
        <f aca="false">(sib_wag0+SUM(CI$6:CI19)+SUM(CJ$6:CJ19))*sib_wserv*(1-sib_civ)</f>
        <v>27370</v>
      </c>
      <c r="CM19" s="97" t="n">
        <f aca="false">AK19/sib_wload*(2*(sib_L1+sib_L2+sib_L3a+sib_L3b+sib_L4/2)/sib_wagkm+sib_term)+AL19/sib_wload*(2*(sib_L2+sib_L3a+sib_L3b+sib_L4/2)/sib_wagkm+sib_term)+AJ19/sib_wload*((sib_L1+sib_L2)/sib_wagkm+sib_term-2)+Z19/sib_wload*(2*(sib_L3b+sib_L4/2)/sib_wagkm+sib_term)+AU19*40*(2*(sib_L1+sib_L2+sib_L3a+sib_L3b+sib_L4/2)/sib_wagkm+sib_term)+K19*1000/sib_czw+CK19+DR19/sib_wload*(2*(sib_L4/2+sib_L5/2)/sib_wagkm)</f>
        <v>697.596985083714</v>
      </c>
      <c r="CN19" s="23" t="n">
        <f aca="false">CM19/CL19</f>
        <v>0.0254876501674722</v>
      </c>
      <c r="CO19" s="95" t="n">
        <v>0</v>
      </c>
      <c r="CP19" s="95" t="n">
        <f aca="false">MIN(CO19,AK19+AJ19)</f>
        <v>0</v>
      </c>
      <c r="CQ19" s="23" t="n">
        <f aca="false">(AK19+AJ19+Z19-CP19)*365/1000000+sib_civport</f>
        <v>0.876421875</v>
      </c>
      <c r="CR19" s="23" t="n">
        <v>3</v>
      </c>
      <c r="CS19" s="23" t="n">
        <f aca="false">CQ19/(CR19*IF(OR(RIGHT(A19,2)="Q1",C19=365),sib_portwin,1))</f>
        <v>0.292140625</v>
      </c>
      <c r="CT19" s="96" t="n">
        <f aca="false">(AK19+AJ19+Z19-CP19)*sib_pacship*365/(sib_dwt*0.9*sib_voy)</f>
        <v>0.957995014245014</v>
      </c>
      <c r="CU19" s="23" t="n">
        <f aca="false">CT19/sib_ships</f>
        <v>0.0239498753561254</v>
      </c>
      <c r="CV19" s="97" t="n">
        <f aca="false">CV18+(AB19+Z19)*C19+AA19</f>
        <v>149326.086956522</v>
      </c>
      <c r="CW19" s="96" t="n">
        <f aca="false">IF(C19=365,sib_surge/sib_mtrain/sib_surge_d,0)</f>
        <v>0</v>
      </c>
      <c r="CX19" s="95" t="n">
        <f aca="false">(CC19&gt;sib_util_max)+(CH19&gt;1)+(CN19&gt;1)+(CS19&gt;sib_util_max)+(CU19&gt;1)+(CV19&lt;0)+(CW19&gt;0)*(CE19&lt;CW19)</f>
        <v>0</v>
      </c>
      <c r="CY19" s="1" t="str">
        <f aca="false">IF(CX19=0,"OK","Check")</f>
        <v>OK</v>
      </c>
      <c r="CZ19" s="95" t="n">
        <v>0</v>
      </c>
      <c r="DA19" s="23" t="n">
        <v>0.75</v>
      </c>
      <c r="DB19" s="23" t="n">
        <v>1</v>
      </c>
      <c r="DC19" s="23" t="n">
        <f aca="false">INDEX(Paths!$B$6:$B$92,MATCH(B19,Paths!$A$6:$A$92,0))*sib_cost</f>
        <v>1.7</v>
      </c>
      <c r="DD19" s="96" t="n">
        <f aca="false">L19*sib_c_pac/1000*C19/365*DC19</f>
        <v>8.35561643835616</v>
      </c>
      <c r="DE19" s="96" t="n">
        <f aca="false">K19*sib_c_cz/1000*C19/365*DC19</f>
        <v>0</v>
      </c>
      <c r="DF19" s="96" t="n">
        <f aca="false">J19*sib_c_sib/1000*C19/365*DC19</f>
        <v>2.57095890410959</v>
      </c>
      <c r="DG19" s="96" t="n">
        <f aca="false">((MAX(0,T19-CP19)+V19+AB19+Z19+AA19/C19)*sib_pst_w+Q19*sib_loc_kg*sib_pst_e)*C19*sib_c_store/1000000*DC19</f>
        <v>4.031601</v>
      </c>
      <c r="DH19" s="96" t="n">
        <f aca="false">((AW19*sib_c_loco+CJ19*sib_c_wag+MAX(0,AZ19-AZ18)*sib_loco0*sib_c_rep+CZ19*sib_c_arm)/1000000+DA19)*DC19</f>
        <v>1.275</v>
      </c>
      <c r="DI19" s="96" t="n">
        <f aca="false">2*(sib_L1*(BS19+AT19)+sib_L2*(BT19+AT19)+sib_L3a*(BU19+AU19)+sib_L3b*(BV19+AU19)+sib_L4*(BW19+AU19)+sib_L5*(DV19+AU19))*C19*sib_c_tkm*sib_prail/1000000*DC19</f>
        <v>0.524602389161417</v>
      </c>
      <c r="DJ19" s="96" t="n">
        <f aca="false">CT19*sib_c_ship*C19/365*DC19</f>
        <v>0.184722435897436</v>
      </c>
      <c r="DK19" s="96" t="n">
        <f aca="false">DB19*DC19</f>
        <v>1.7</v>
      </c>
      <c r="DL19" s="96" t="n">
        <f aca="false">AA19*sib_c_kara/1000000*DC19</f>
        <v>0</v>
      </c>
      <c r="DM19" s="96" t="n">
        <f aca="false">(AC19*sib_c_ref/1000*C19/365+AH19*C19*sib_c_grain/1000000)*DC19</f>
        <v>0.598589880684932</v>
      </c>
      <c r="DN19" s="96" t="n">
        <f aca="false">Z19*C19*sib_c_amur/1000000*DC19</f>
        <v>0</v>
      </c>
      <c r="DO19" s="96" t="n">
        <f aca="false">sib_fed*sib_c_fed/1000000*C19/365*DC19</f>
        <v>0.642739726027397</v>
      </c>
      <c r="DP19" s="96" t="n">
        <f aca="false">SUM(DD19:DO19)</f>
        <v>19.8838307742369</v>
      </c>
      <c r="DQ19" s="98" t="n">
        <v>0.4</v>
      </c>
      <c r="DR19" s="99" t="n">
        <f aca="false">AQ19*DQ19</f>
        <v>49.37</v>
      </c>
      <c r="DS19" s="98" t="n">
        <v>24</v>
      </c>
      <c r="DT19" s="99" t="n">
        <f aca="false">DS$6+(DS19-DS$6)*sib_works</f>
        <v>24</v>
      </c>
      <c r="DU19" s="99" t="n">
        <f aca="false">(DT19*G19-sib_pass)*(1-sib_civ)*(1-sib_fuel-BM19*sib_strike)-AU19</f>
        <v>11.8379561643836</v>
      </c>
      <c r="DV19" s="99" t="n">
        <f aca="false">DR19/(sib_net5*(1+sib_decup*BB19))</f>
        <v>0.0888270004937147</v>
      </c>
      <c r="DW19" s="99" t="n">
        <f aca="false">IF(DV19=0,0,IF(DU19&lt;=0,9.99,DV19/DU19))</f>
        <v>0.0075035757237356</v>
      </c>
    </row>
    <row r="20" customFormat="false" ht="13.5" hidden="false" customHeight="true" outlineLevel="0" collapsed="false">
      <c r="A20" s="1" t="s">
        <v>1998</v>
      </c>
      <c r="B20" s="95" t="n">
        <v>1922</v>
      </c>
      <c r="C20" s="95" t="n">
        <v>90</v>
      </c>
      <c r="D20" s="1" t="s">
        <v>1999</v>
      </c>
      <c r="E20" s="23" t="n">
        <v>0.3</v>
      </c>
      <c r="F20" s="95" t="n">
        <v>1</v>
      </c>
      <c r="G20" s="23" t="n">
        <f aca="false">1-E20*IF(F20=1,sib_winter,1)</f>
        <v>0.7</v>
      </c>
      <c r="H20" s="95" t="n">
        <v>35</v>
      </c>
      <c r="I20" s="95" t="n">
        <v>8</v>
      </c>
      <c r="J20" s="95" t="n">
        <v>50</v>
      </c>
      <c r="K20" s="95" t="n">
        <v>0</v>
      </c>
      <c r="L20" s="95" t="n">
        <v>10</v>
      </c>
      <c r="M20" s="95" t="n">
        <f aca="false">SUM(H20:L20)</f>
        <v>103</v>
      </c>
      <c r="N20" s="23" t="n">
        <v>0.2</v>
      </c>
      <c r="O20" s="23" t="n">
        <v>0</v>
      </c>
      <c r="P20" s="95" t="n">
        <f aca="false">H20*N20+I20*O20+J20*sib_sw+K20+L20*sib_pw</f>
        <v>63.5</v>
      </c>
      <c r="Q20" s="95" t="n">
        <f aca="false">M20-P20</f>
        <v>39.5</v>
      </c>
      <c r="R20" s="23" t="n">
        <v>0.3</v>
      </c>
      <c r="S20" s="96" t="n">
        <v>2</v>
      </c>
      <c r="T20" s="95" t="n">
        <f aca="false">P20*(R20*S20*sib_ammo+(1-R20)*sib_loc_kg)</f>
        <v>104.775</v>
      </c>
      <c r="U20" s="95" t="n">
        <f aca="false">H20*N20*sib_jp_kg</f>
        <v>6.3</v>
      </c>
      <c r="V20" s="95" t="n">
        <v>10</v>
      </c>
      <c r="W20" s="95" t="n">
        <v>0</v>
      </c>
      <c r="X20" s="95" t="n">
        <v>0</v>
      </c>
      <c r="Y20" s="95" t="n">
        <v>0</v>
      </c>
      <c r="Z20" s="95" t="n">
        <f aca="false">Y20*sib_amur</f>
        <v>0</v>
      </c>
      <c r="AA20" s="97" t="n">
        <v>0</v>
      </c>
      <c r="AB20" s="95" t="n">
        <v>0</v>
      </c>
      <c r="AC20" s="95" t="n">
        <v>30</v>
      </c>
      <c r="AD20" s="23" t="n">
        <v>1</v>
      </c>
      <c r="AE20" s="95" t="n">
        <f aca="false">(J20*sib_sw+K20+L20*sib_pw)*sib_bread+P20*sib_horses*sib_oats+AC20*sib_relief_kg</f>
        <v>137.2875</v>
      </c>
      <c r="AF20" s="95" t="n">
        <f aca="false">sib_surplus*AD20*sib_harvest*1000000/365*sib_callmax</f>
        <v>821.917808219178</v>
      </c>
      <c r="AG20" s="95" t="n">
        <f aca="false">MAX(0,AE20-AF20)</f>
        <v>0</v>
      </c>
      <c r="AH20" s="95" t="n">
        <f aca="false">AE20-AG20</f>
        <v>137.2875</v>
      </c>
      <c r="AI20" s="95" t="n">
        <f aca="false">I20*O20*sib_cn_kg</f>
        <v>0</v>
      </c>
      <c r="AJ20" s="95" t="n">
        <f aca="false">Q20*sib_loc_kg+H20*(1-N20)*sib_jp_kg</f>
        <v>84.45</v>
      </c>
      <c r="AK20" s="95" t="n">
        <f aca="false">T20+U20+V20+W20+X20+AB20</f>
        <v>121.075</v>
      </c>
      <c r="AL20" s="95" t="n">
        <f aca="false">AI20+AG20</f>
        <v>0</v>
      </c>
      <c r="AM20" s="95" t="n">
        <f aca="false">AK20+AJ20</f>
        <v>205.525</v>
      </c>
      <c r="AN20" s="95" t="n">
        <f aca="false">AK20+AL20+sib_e2*AJ20</f>
        <v>171.745</v>
      </c>
      <c r="AO20" s="95" t="n">
        <f aca="false">AK20+AL20+sib_e3*AJ20</f>
        <v>146.41</v>
      </c>
      <c r="AP20" s="95" t="n">
        <f aca="false">AK20+AL20+Z20</f>
        <v>121.075</v>
      </c>
      <c r="AQ20" s="95" t="n">
        <f aca="false">AK20+AL20+Z20</f>
        <v>121.075</v>
      </c>
      <c r="AR20" s="95" t="n">
        <f aca="false">H20+I20+L20</f>
        <v>53</v>
      </c>
      <c r="AS20" s="95" t="n">
        <f aca="false">H20*N20+I20*O20+L20*sib_pw</f>
        <v>16</v>
      </c>
      <c r="AT20" s="96" t="n">
        <f aca="false">(MAX(0,AR20-AR19)+AR20*sib_rot*C20/365)*1000/sib_mtrain/C20</f>
        <v>0.0242009132420091</v>
      </c>
      <c r="AU20" s="96" t="n">
        <f aca="false">(MAX(0,AS20-AS19)+AS20*sib_rot*C20/365)*1000/sib_mtrain/C20</f>
        <v>0.00730593607305936</v>
      </c>
      <c r="AV20" s="95" t="n">
        <v>0</v>
      </c>
      <c r="AW20" s="95" t="n">
        <v>0</v>
      </c>
      <c r="AX20" s="95" t="n">
        <f aca="false">(SUM(AV$6:AV20)+SUM(AW$6:AW20))*0.9</f>
        <v>855</v>
      </c>
      <c r="AY20" s="23" t="n">
        <v>0.82</v>
      </c>
      <c r="AZ20" s="23" t="n">
        <f aca="false">1-(1-AY20)*sib_sick</f>
        <v>0.82</v>
      </c>
      <c r="BA20" s="95" t="n">
        <f aca="false">sib_loco0*AZ20+AX20</f>
        <v>1921</v>
      </c>
      <c r="BB20" s="23" t="n">
        <f aca="false">AX20/BA20</f>
        <v>0.445080687142113</v>
      </c>
      <c r="BC20" s="95" t="n">
        <v>18</v>
      </c>
      <c r="BD20" s="95" t="n">
        <v>16</v>
      </c>
      <c r="BE20" s="95" t="n">
        <v>18</v>
      </c>
      <c r="BF20" s="95" t="n">
        <v>24</v>
      </c>
      <c r="BG20" s="95" t="n">
        <v>24</v>
      </c>
      <c r="BH20" s="96" t="n">
        <f aca="false">BC$6+(BC20-BC$6)*sib_works</f>
        <v>18</v>
      </c>
      <c r="BI20" s="96" t="n">
        <f aca="false">BD$6+(BD20-BD$6)*sib_works</f>
        <v>16</v>
      </c>
      <c r="BJ20" s="96" t="n">
        <f aca="false">BE$6+(BE20-BE$6)*sib_works</f>
        <v>18</v>
      </c>
      <c r="BK20" s="96" t="n">
        <f aca="false">BF$6+(BF20-BF$6)*sib_works</f>
        <v>24</v>
      </c>
      <c r="BL20" s="96" t="n">
        <f aca="false">BG$6+(BG20-BG$6)*sib_works</f>
        <v>24</v>
      </c>
      <c r="BM20" s="95" t="n">
        <v>0</v>
      </c>
      <c r="BN20" s="96" t="n">
        <f aca="false">(BH20*G20-sib_pass)*(1-sib_civ)*(1-sib_fuel-BM20*sib_strike)-AT20</f>
        <v>6.80219908675799</v>
      </c>
      <c r="BO20" s="96" t="n">
        <f aca="false">(BI20*G20-sib_pass)*(1-sib_civ)*(1-sib_fuel-BM20*sib_strike)-AT20</f>
        <v>5.90059908675799</v>
      </c>
      <c r="BP20" s="96" t="n">
        <f aca="false">(BJ20*G20-sib_pass)*(1-sib_civ)*(1-sib_fuel-BM20*sib_strike)-AU20</f>
        <v>6.81909406392694</v>
      </c>
      <c r="BQ20" s="96" t="n">
        <f aca="false">(BK20*G20-sib_pass)*(1-sib_civ)*(1-sib_fuel-BM20*sib_strike)-AU20</f>
        <v>9.52389406392694</v>
      </c>
      <c r="BR20" s="96" t="n">
        <f aca="false">(BL20*G20-sib_pass)*(1-sib_civ)*(1-sib_fuel-BM20*sib_strike)-AU20</f>
        <v>9.52389406392694</v>
      </c>
      <c r="BS20" s="96" t="n">
        <f aca="false">AM20/(sib_net1*(1+sib_decup*BB20))</f>
        <v>0.341969048010879</v>
      </c>
      <c r="BT20" s="96" t="n">
        <f aca="false">AN20/(sib_net2*(1+sib_decup*BB20))</f>
        <v>0.35380201178546</v>
      </c>
      <c r="BU20" s="96" t="n">
        <f aca="false">AO20/(sib_net3a*(1+sib_decup*BB20))</f>
        <v>0.281503444306822</v>
      </c>
      <c r="BV20" s="96" t="n">
        <f aca="false">AP20/(sib_net3b*(1+sib_decup*BB20))</f>
        <v>0.275674355069071</v>
      </c>
      <c r="BW20" s="96" t="n">
        <f aca="false">AQ20/(sib_net4*(1+sib_decup*BB20))</f>
        <v>0.218242197763015</v>
      </c>
      <c r="BX20" s="23" t="n">
        <f aca="false">BS20/BN20</f>
        <v>0.0502733077419916</v>
      </c>
      <c r="BY20" s="23" t="n">
        <f aca="false">BT20/BO20</f>
        <v>0.0599603542934234</v>
      </c>
      <c r="BZ20" s="23" t="n">
        <f aca="false">BU20/BP20</f>
        <v>0.0412816485104638</v>
      </c>
      <c r="CA20" s="23" t="n">
        <f aca="false">BV20/BQ20</f>
        <v>0.0289455503409289</v>
      </c>
      <c r="CB20" s="23" t="n">
        <f aca="false">BW20/BR20</f>
        <v>0.0229152273532354</v>
      </c>
      <c r="CC20" s="23" t="n">
        <f aca="false">MAX(BX20:CB20,DW20)</f>
        <v>0.0599603542934234</v>
      </c>
      <c r="CD20" s="1" t="str">
        <f aca="false">IF(DW20&gt;=MAX(BX20:CB20),"Ob-Chelyabinsk",CHOOSE(MATCH(CC20,BX20:CB20,0),"Vladivostok-Harbin","Harbin-Manzhouli","Manzhouli-Kitaisky (branch)","Kitaisky-Irkutsk","Irkutsk-Ob"))</f>
        <v>Harbin-Manzhouli</v>
      </c>
      <c r="CE20" s="96" t="n">
        <f aca="false">MIN(BN20-BS20,BO20-BT20,BP20-BU20,BQ20-BV20,BR20-BW20,DU20-DV20)</f>
        <v>5.54679707497253</v>
      </c>
      <c r="CF20" s="97" t="n">
        <f aca="false">2*(sib_L1*(BS20+AT20+(BH20*G20-sib_pass)*(sib_civ*sib_civused+(1-sib_civ)*sib_fuel)+sib_pass)+sib_L2*(BT20+AT20+(BI20*G20-sib_pass)*(sib_civ*sib_civused+(1-sib_civ)*sib_fuel)+sib_pass)+sib_L3a*(BU20+AU20+(BJ20*G20-sib_pass)*(sib_civ*sib_civused+(1-sib_civ)*sib_fuel)+sib_pass)+sib_L3b*(BV20+AU20+(BK20*G20-sib_pass)*(sib_civ*sib_civused+(1-sib_civ)*sib_fuel)+sib_pass)+sib_L4*(BW20+AU20+(BL20*G20-sib_pass)*(sib_civ*sib_civused+(1-sib_civ)*sib_fuel)+sib_pass)+sib_L5*(DV20+AU20+(DT20*G20-sib_pass)*(sib_civ*sib_civused+(1-sib_civ)*sib_fuel)+sib_pass))</f>
        <v>72321.1794686364</v>
      </c>
      <c r="CG20" s="95" t="n">
        <f aca="false">CF20/sib_kmloco*sib_helper</f>
        <v>565.009214598722</v>
      </c>
      <c r="CH20" s="23" t="n">
        <f aca="false">CG20/BA20</f>
        <v>0.294122443830673</v>
      </c>
      <c r="CI20" s="97" t="n">
        <v>0</v>
      </c>
      <c r="CJ20" s="97" t="n">
        <v>0</v>
      </c>
      <c r="CK20" s="97" t="n">
        <v>0</v>
      </c>
      <c r="CL20" s="97" t="n">
        <f aca="false">(sib_wag0+SUM(CI$6:CI20)+SUM(CJ$6:CJ20))*sib_wserv*(1-sib_civ)</f>
        <v>27370</v>
      </c>
      <c r="CM20" s="97" t="n">
        <f aca="false">AK20/sib_wload*(2*(sib_L1+sib_L2+sib_L3a+sib_L3b+sib_L4/2)/sib_wagkm+sib_term)+AL20/sib_wload*(2*(sib_L2+sib_L3a+sib_L3b+sib_L4/2)/sib_wagkm+sib_term)+AJ20/sib_wload*((sib_L1+sib_L2)/sib_wagkm+sib_term-2)+Z20/sib_wload*(2*(sib_L3b+sib_L4/2)/sib_wagkm+sib_term)+AU20*40*(2*(sib_L1+sib_L2+sib_L3a+sib_L3b+sib_L4/2)/sib_wagkm+sib_term)+K20*1000/sib_czw+CK20+DR20/sib_wload*(2*(sib_L4/2+sib_L5/2)/sib_wagkm)</f>
        <v>656.991212100457</v>
      </c>
      <c r="CN20" s="23" t="n">
        <f aca="false">CM20/CL20</f>
        <v>0.0240040632846349</v>
      </c>
      <c r="CO20" s="95" t="n">
        <v>0</v>
      </c>
      <c r="CP20" s="95" t="n">
        <f aca="false">MIN(CO20,AK20+AJ20)</f>
        <v>0</v>
      </c>
      <c r="CQ20" s="23" t="n">
        <f aca="false">(AK20+AJ20+Z20-CP20)*365/1000000+sib_civport</f>
        <v>0.875016625</v>
      </c>
      <c r="CR20" s="23" t="n">
        <v>3</v>
      </c>
      <c r="CS20" s="23" t="n">
        <f aca="false">CQ20/(CR20*IF(OR(RIGHT(A20,2)="Q1",C20=365),sib_portwin,1))</f>
        <v>0.343143774509804</v>
      </c>
      <c r="CT20" s="96" t="n">
        <f aca="false">(AK20+AJ20+Z20-CP20)*sib_pacship*365/(sib_dwt*0.9*sib_voy)</f>
        <v>0.940379344729345</v>
      </c>
      <c r="CU20" s="23" t="n">
        <f aca="false">CT20/sib_ships</f>
        <v>0.0235094836182336</v>
      </c>
      <c r="CV20" s="97" t="n">
        <f aca="false">CV19+(AB20+Z20)*C20+AA20</f>
        <v>149326.086956522</v>
      </c>
      <c r="CW20" s="96" t="n">
        <f aca="false">IF(C20=365,sib_surge/sib_mtrain/sib_surge_d,0)</f>
        <v>0</v>
      </c>
      <c r="CX20" s="95" t="n">
        <f aca="false">(CC20&gt;sib_util_max)+(CH20&gt;1)+(CN20&gt;1)+(CS20&gt;sib_util_max)+(CU20&gt;1)+(CV20&lt;0)+(CW20&gt;0)*(CE20&lt;CW20)</f>
        <v>0</v>
      </c>
      <c r="CY20" s="1" t="str">
        <f aca="false">IF(CX20=0,"OK","Check")</f>
        <v>OK</v>
      </c>
      <c r="CZ20" s="95" t="n">
        <v>0</v>
      </c>
      <c r="DA20" s="23" t="n">
        <v>0.5</v>
      </c>
      <c r="DB20" s="23" t="n">
        <v>1</v>
      </c>
      <c r="DC20" s="23" t="n">
        <f aca="false">INDEX(Paths!$B$6:$B$92,MATCH(B20,Paths!$A$6:$A$92,0))*sib_cost</f>
        <v>1.58</v>
      </c>
      <c r="DD20" s="96" t="n">
        <f aca="false">L20*sib_c_pac/1000*C20/365*DC20</f>
        <v>5.06465753424658</v>
      </c>
      <c r="DE20" s="96" t="n">
        <f aca="false">K20*sib_c_cz/1000*C20/365*DC20</f>
        <v>0</v>
      </c>
      <c r="DF20" s="96" t="n">
        <f aca="false">J20*sib_c_sib/1000*C20/365*DC20</f>
        <v>1.94794520547945</v>
      </c>
      <c r="DG20" s="96" t="n">
        <f aca="false">((MAX(0,T20-CP20)+V20+AB20+Z20+AA20/C20)*sib_pst_w+Q20*sib_loc_kg*sib_pst_e)*C20*sib_c_store/1000000*DC20</f>
        <v>3.7222983</v>
      </c>
      <c r="DH20" s="96" t="n">
        <f aca="false">((AW20*sib_c_loco+CJ20*sib_c_wag+MAX(0,AZ20-AZ19)*sib_loco0*sib_c_rep+CZ20*sib_c_arm)/1000000+DA20)*DC20</f>
        <v>1.03648</v>
      </c>
      <c r="DI20" s="96" t="n">
        <f aca="false">2*(sib_L1*(BS20+AT20)+sib_L2*(BT20+AT20)+sib_L3a*(BU20+AU20)+sib_L3b*(BV20+AU20)+sib_L4*(BW20+AU20)+sib_L5*(DV20+AU20))*C20*sib_c_tkm*sib_prail/1000000*DC20</f>
        <v>0.452013441276901</v>
      </c>
      <c r="DJ20" s="96" t="n">
        <f aca="false">CT20*sib_c_ship*C20/365*DC20</f>
        <v>0.164862669230769</v>
      </c>
      <c r="DK20" s="96" t="n">
        <f aca="false">DB20*DC20</f>
        <v>1.58</v>
      </c>
      <c r="DL20" s="96" t="n">
        <f aca="false">AA20*sib_c_kara/1000000*DC20</f>
        <v>0</v>
      </c>
      <c r="DM20" s="96" t="n">
        <f aca="false">(AC20*sib_c_ref/1000*C20/365+AH20*C20*sib_c_grain/1000000)*DC20</f>
        <v>0.350887119657534</v>
      </c>
      <c r="DN20" s="96" t="n">
        <f aca="false">Z20*C20*sib_c_amur/1000000*DC20</f>
        <v>0</v>
      </c>
      <c r="DO20" s="96" t="n">
        <f aca="false">sib_fed*sib_c_fed/1000000*C20/365*DC20</f>
        <v>0.584383561643836</v>
      </c>
      <c r="DP20" s="96" t="n">
        <f aca="false">SUM(DD20:DO20)</f>
        <v>14.9035278315351</v>
      </c>
      <c r="DQ20" s="98" t="n">
        <v>0.3</v>
      </c>
      <c r="DR20" s="99" t="n">
        <f aca="false">AQ20*DQ20</f>
        <v>36.3225</v>
      </c>
      <c r="DS20" s="98" t="n">
        <v>24</v>
      </c>
      <c r="DT20" s="99" t="n">
        <f aca="false">DS$6+(DS20-DS$6)*sib_works</f>
        <v>24</v>
      </c>
      <c r="DU20" s="99" t="n">
        <f aca="false">(DT20*G20-sib_pass)*(1-sib_civ)*(1-sib_fuel-BM20*sib_strike)-AU20</f>
        <v>9.52389406392694</v>
      </c>
      <c r="DV20" s="99" t="n">
        <f aca="false">DR20/(sib_net5*(1+sib_decup*BB20))</f>
        <v>0.0654726593289044</v>
      </c>
      <c r="DW20" s="99" t="n">
        <f aca="false">IF(DV20=0,0,IF(DU20&lt;=0,9.99,DV20/DU20))</f>
        <v>0.00687456820597062</v>
      </c>
    </row>
    <row r="21" customFormat="false" ht="13.5" hidden="false" customHeight="true" outlineLevel="0" collapsed="false">
      <c r="A21" s="1" t="s">
        <v>2000</v>
      </c>
      <c r="B21" s="95" t="n">
        <v>1922</v>
      </c>
      <c r="C21" s="95" t="n">
        <v>91</v>
      </c>
      <c r="D21" s="1" t="s">
        <v>1999</v>
      </c>
      <c r="E21" s="23" t="n">
        <v>0.08</v>
      </c>
      <c r="F21" s="95" t="n">
        <v>0</v>
      </c>
      <c r="G21" s="23" t="n">
        <f aca="false">1-E21*IF(F21=1,sib_winter,1)</f>
        <v>0.92</v>
      </c>
      <c r="H21" s="95" t="n">
        <v>30</v>
      </c>
      <c r="I21" s="95" t="n">
        <v>8</v>
      </c>
      <c r="J21" s="95" t="n">
        <v>40</v>
      </c>
      <c r="K21" s="95" t="n">
        <v>0</v>
      </c>
      <c r="L21" s="95" t="n">
        <v>8</v>
      </c>
      <c r="M21" s="95" t="n">
        <f aca="false">SUM(H21:L21)</f>
        <v>86</v>
      </c>
      <c r="N21" s="23" t="n">
        <v>0.1</v>
      </c>
      <c r="O21" s="23" t="n">
        <v>0</v>
      </c>
      <c r="P21" s="95" t="n">
        <f aca="false">H21*N21+I21*O21+J21*sib_sw+K21+L21*sib_pw</f>
        <v>48.2</v>
      </c>
      <c r="Q21" s="95" t="n">
        <f aca="false">M21-P21</f>
        <v>37.8</v>
      </c>
      <c r="R21" s="23" t="n">
        <v>0.3</v>
      </c>
      <c r="S21" s="96" t="n">
        <v>2</v>
      </c>
      <c r="T21" s="95" t="n">
        <f aca="false">P21*(R21*S21*sib_ammo+(1-R21)*sib_loc_kg)</f>
        <v>79.53</v>
      </c>
      <c r="U21" s="95" t="n">
        <f aca="false">H21*N21*sib_jp_kg</f>
        <v>2.7</v>
      </c>
      <c r="V21" s="95" t="n">
        <v>10</v>
      </c>
      <c r="W21" s="95" t="n">
        <v>0</v>
      </c>
      <c r="X21" s="95" t="n">
        <v>0</v>
      </c>
      <c r="Y21" s="95" t="n">
        <v>0</v>
      </c>
      <c r="Z21" s="95" t="n">
        <f aca="false">Y21*sib_amur</f>
        <v>0</v>
      </c>
      <c r="AA21" s="97" t="n">
        <v>0</v>
      </c>
      <c r="AB21" s="95" t="n">
        <v>0</v>
      </c>
      <c r="AC21" s="95" t="n">
        <v>30</v>
      </c>
      <c r="AD21" s="23" t="n">
        <v>1</v>
      </c>
      <c r="AE21" s="95" t="n">
        <f aca="false">(J21*sib_sw+K21+L21*sib_pw)*sib_bread+P21*sib_horses*sib_oats+AC21*sib_relief_kg</f>
        <v>109.905</v>
      </c>
      <c r="AF21" s="95" t="n">
        <f aca="false">sib_surplus*AD21*sib_harvest*1000000/365*sib_callmax</f>
        <v>821.917808219178</v>
      </c>
      <c r="AG21" s="95" t="n">
        <f aca="false">MAX(0,AE21-AF21)</f>
        <v>0</v>
      </c>
      <c r="AH21" s="95" t="n">
        <f aca="false">AE21-AG21</f>
        <v>109.905</v>
      </c>
      <c r="AI21" s="95" t="n">
        <f aca="false">I21*O21*sib_cn_kg</f>
        <v>0</v>
      </c>
      <c r="AJ21" s="95" t="n">
        <f aca="false">Q21*sib_loc_kg+H21*(1-N21)*sib_jp_kg</f>
        <v>81</v>
      </c>
      <c r="AK21" s="95" t="n">
        <f aca="false">T21+U21+V21+W21+X21+AB21</f>
        <v>92.23</v>
      </c>
      <c r="AL21" s="95" t="n">
        <f aca="false">AI21+AG21</f>
        <v>0</v>
      </c>
      <c r="AM21" s="95" t="n">
        <f aca="false">AK21+AJ21</f>
        <v>173.23</v>
      </c>
      <c r="AN21" s="95" t="n">
        <f aca="false">AK21+AL21+sib_e2*AJ21</f>
        <v>140.83</v>
      </c>
      <c r="AO21" s="95" t="n">
        <f aca="false">AK21+AL21+sib_e3*AJ21</f>
        <v>116.53</v>
      </c>
      <c r="AP21" s="95" t="n">
        <f aca="false">AK21+AL21+Z21</f>
        <v>92.23</v>
      </c>
      <c r="AQ21" s="95" t="n">
        <f aca="false">AK21+AL21+Z21</f>
        <v>92.23</v>
      </c>
      <c r="AR21" s="95" t="n">
        <f aca="false">H21+I21+L21</f>
        <v>46</v>
      </c>
      <c r="AS21" s="95" t="n">
        <f aca="false">H21*N21+I21*O21+L21*sib_pw</f>
        <v>10.2</v>
      </c>
      <c r="AT21" s="96" t="n">
        <f aca="false">(MAX(0,AR21-AR20)+AR21*sib_rot*C21/365)*1000/sib_mtrain/C21</f>
        <v>0.0210045662100457</v>
      </c>
      <c r="AU21" s="96" t="n">
        <f aca="false">(MAX(0,AS21-AS20)+AS21*sib_rot*C21/365)*1000/sib_mtrain/C21</f>
        <v>0.00465753424657534</v>
      </c>
      <c r="AV21" s="95" t="n">
        <v>0</v>
      </c>
      <c r="AW21" s="95" t="n">
        <v>0</v>
      </c>
      <c r="AX21" s="95" t="n">
        <f aca="false">(SUM(AV$6:AV21)+SUM(AW$6:AW21))*0.9</f>
        <v>855</v>
      </c>
      <c r="AY21" s="23" t="n">
        <v>0.82</v>
      </c>
      <c r="AZ21" s="23" t="n">
        <f aca="false">1-(1-AY21)*sib_sick</f>
        <v>0.82</v>
      </c>
      <c r="BA21" s="95" t="n">
        <f aca="false">sib_loco0*AZ21+AX21</f>
        <v>1921</v>
      </c>
      <c r="BB21" s="23" t="n">
        <f aca="false">AX21/BA21</f>
        <v>0.445080687142113</v>
      </c>
      <c r="BC21" s="95" t="n">
        <v>18</v>
      </c>
      <c r="BD21" s="95" t="n">
        <v>16</v>
      </c>
      <c r="BE21" s="95" t="n">
        <v>18</v>
      </c>
      <c r="BF21" s="95" t="n">
        <v>24</v>
      </c>
      <c r="BG21" s="95" t="n">
        <v>24</v>
      </c>
      <c r="BH21" s="96" t="n">
        <f aca="false">BC$6+(BC21-BC$6)*sib_works</f>
        <v>18</v>
      </c>
      <c r="BI21" s="96" t="n">
        <f aca="false">BD$6+(BD21-BD$6)*sib_works</f>
        <v>16</v>
      </c>
      <c r="BJ21" s="96" t="n">
        <f aca="false">BE$6+(BE21-BE$6)*sib_works</f>
        <v>18</v>
      </c>
      <c r="BK21" s="96" t="n">
        <f aca="false">BF$6+(BF21-BF$6)*sib_works</f>
        <v>24</v>
      </c>
      <c r="BL21" s="96" t="n">
        <f aca="false">BG$6+(BG21-BG$6)*sib_works</f>
        <v>24</v>
      </c>
      <c r="BM21" s="95" t="n">
        <v>0</v>
      </c>
      <c r="BN21" s="96" t="n">
        <f aca="false">(BH21*G21-sib_pass)*(1-sib_civ)*(1-sib_fuel-BM21*sib_strike)-AT21</f>
        <v>9.35563543378996</v>
      </c>
      <c r="BO21" s="96" t="n">
        <f aca="false">(BI21*G21-sib_pass)*(1-sib_civ)*(1-sib_fuel-BM21*sib_strike)-AT21</f>
        <v>8.17067543378995</v>
      </c>
      <c r="BP21" s="96" t="n">
        <f aca="false">(BJ21*G21-sib_pass)*(1-sib_civ)*(1-sib_fuel-BM21*sib_strike)-AU21</f>
        <v>9.37198246575342</v>
      </c>
      <c r="BQ21" s="96" t="n">
        <f aca="false">(BK21*G21-sib_pass)*(1-sib_civ)*(1-sib_fuel-BM21*sib_strike)-AU21</f>
        <v>12.9268624657534</v>
      </c>
      <c r="BR21" s="96" t="n">
        <f aca="false">(BL21*G21-sib_pass)*(1-sib_civ)*(1-sib_fuel-BM21*sib_strike)-AU21</f>
        <v>12.9268624657534</v>
      </c>
      <c r="BS21" s="96" t="n">
        <f aca="false">AM21/(sib_net1*(1+sib_decup*BB21))</f>
        <v>0.288234025967277</v>
      </c>
      <c r="BT21" s="96" t="n">
        <f aca="false">AN21/(sib_net2*(1+sib_decup*BB21))</f>
        <v>0.290115795625761</v>
      </c>
      <c r="BU21" s="96" t="n">
        <f aca="false">AO21/(sib_net3a*(1+sib_decup*BB21))</f>
        <v>0.224052977017103</v>
      </c>
      <c r="BV21" s="96" t="n">
        <f aca="false">AP21/(sib_net3b*(1+sib_decup*BB21))</f>
        <v>0.209997487243613</v>
      </c>
      <c r="BW21" s="96" t="n">
        <f aca="false">AQ21/(sib_net4*(1+sib_decup*BB21))</f>
        <v>0.166248010734527</v>
      </c>
      <c r="BX21" s="23" t="n">
        <f aca="false">BS21/BN21</f>
        <v>0.0308085995876085</v>
      </c>
      <c r="BY21" s="23" t="n">
        <f aca="false">BT21/BO21</f>
        <v>0.0355069538591611</v>
      </c>
      <c r="BZ21" s="23" t="n">
        <f aca="false">BU21/BP21</f>
        <v>0.0239066790655899</v>
      </c>
      <c r="CA21" s="23" t="n">
        <f aca="false">BV21/BQ21</f>
        <v>0.0162450469168331</v>
      </c>
      <c r="CB21" s="23" t="n">
        <f aca="false">BW21/BR21</f>
        <v>0.0128606621424929</v>
      </c>
      <c r="CC21" s="23" t="n">
        <f aca="false">MAX(BX21:CB21,DW21)</f>
        <v>0.0355069538591611</v>
      </c>
      <c r="CD21" s="1" t="str">
        <f aca="false">IF(DW21&gt;=MAX(BX21:CB21),"Ob-Chelyabinsk",CHOOSE(MATCH(CC21,BX21:CB21,0),"Vladivostok-Harbin","Harbin-Manzhouli","Manzhouli-Kitaisky (branch)","Kitaisky-Irkutsk","Irkutsk-Ob"))</f>
        <v>Harbin-Manzhouli</v>
      </c>
      <c r="CE21" s="96" t="n">
        <f aca="false">MIN(BN21-BS21,BO21-BT21,BP21-BU21,BQ21-BV21,BR21-BW21,DU21-DV21)</f>
        <v>7.88055963816419</v>
      </c>
      <c r="CF21" s="97" t="n">
        <f aca="false">2*(sib_L1*(BS21+AT21+(BH21*G21-sib_pass)*(sib_civ*sib_civused+(1-sib_civ)*sib_fuel)+sib_pass)+sib_L2*(BT21+AT21+(BI21*G21-sib_pass)*(sib_civ*sib_civused+(1-sib_civ)*sib_fuel)+sib_pass)+sib_L3a*(BU21+AU21+(BJ21*G21-sib_pass)*(sib_civ*sib_civused+(1-sib_civ)*sib_fuel)+sib_pass)+sib_L3b*(BV21+AU21+(BK21*G21-sib_pass)*(sib_civ*sib_civused+(1-sib_civ)*sib_fuel)+sib_pass)+sib_L4*(BW21+AU21+(BL21*G21-sib_pass)*(sib_civ*sib_civused+(1-sib_civ)*sib_fuel)+sib_pass)+sib_L5*(DV21+AU21+(DT21*G21-sib_pass)*(sib_civ*sib_civused+(1-sib_civ)*sib_fuel)+sib_pass))</f>
        <v>87656.0691120687</v>
      </c>
      <c r="CG21" s="95" t="n">
        <f aca="false">CF21/sib_kmloco*sib_helper</f>
        <v>684.813039938037</v>
      </c>
      <c r="CH21" s="23" t="n">
        <f aca="false">CG21/BA21</f>
        <v>0.356487787578364</v>
      </c>
      <c r="CI21" s="97" t="n">
        <v>0</v>
      </c>
      <c r="CJ21" s="97" t="n">
        <v>0</v>
      </c>
      <c r="CK21" s="97" t="n">
        <v>0</v>
      </c>
      <c r="CL21" s="97" t="n">
        <f aca="false">(sib_wag0+SUM(CI$6:CI21)+SUM(CJ$6:CJ21))*sib_wserv*(1-sib_civ)</f>
        <v>27370</v>
      </c>
      <c r="CM21" s="97" t="n">
        <f aca="false">AK21/sib_wload*(2*(sib_L1+sib_L2+sib_L3a+sib_L3b+sib_L4/2)/sib_wagkm+sib_term)+AL21/sib_wload*(2*(sib_L2+sib_L3a+sib_L3b+sib_L4/2)/sib_wagkm+sib_term)+AJ21/sib_wload*((sib_L1+sib_L2)/sib_wagkm+sib_term-2)+Z21/sib_wload*(2*(sib_L3b+sib_L4/2)/sib_wagkm+sib_term)+AU21*40*(2*(sib_L1+sib_L2+sib_L3a+sib_L3b+sib_L4/2)/sib_wagkm+sib_term)+K21*1000/sib_czw+CK21+DR21/sib_wload*(2*(sib_L4/2+sib_L5/2)/sib_wagkm)</f>
        <v>517.644551811263</v>
      </c>
      <c r="CN21" s="23" t="n">
        <f aca="false">CM21/CL21</f>
        <v>0.0189128444213103</v>
      </c>
      <c r="CO21" s="95" t="n">
        <v>0</v>
      </c>
      <c r="CP21" s="95" t="n">
        <f aca="false">MIN(CO21,AK21+AJ21)</f>
        <v>0</v>
      </c>
      <c r="CQ21" s="23" t="n">
        <f aca="false">(AK21+AJ21+Z21-CP21)*365/1000000+sib_civport</f>
        <v>0.86322895</v>
      </c>
      <c r="CR21" s="23" t="n">
        <v>3</v>
      </c>
      <c r="CS21" s="23" t="n">
        <f aca="false">CQ21/(CR21*IF(OR(RIGHT(A21,2)="Q1",C21=365),sib_portwin,1))</f>
        <v>0.287742983333333</v>
      </c>
      <c r="CT21" s="96" t="n">
        <f aca="false">(AK21+AJ21+Z21-CP21)*sib_pacship*365/(sib_dwt*0.9*sib_voy)</f>
        <v>0.792613618233618</v>
      </c>
      <c r="CU21" s="23" t="n">
        <f aca="false">CT21/sib_ships</f>
        <v>0.0198153404558405</v>
      </c>
      <c r="CV21" s="97" t="n">
        <f aca="false">CV20+(AB21+Z21)*C21+AA21</f>
        <v>149326.086956522</v>
      </c>
      <c r="CW21" s="96" t="n">
        <f aca="false">IF(C21=365,sib_surge/sib_mtrain/sib_surge_d,0)</f>
        <v>0</v>
      </c>
      <c r="CX21" s="95" t="n">
        <f aca="false">(CC21&gt;sib_util_max)+(CH21&gt;1)+(CN21&gt;1)+(CS21&gt;sib_util_max)+(CU21&gt;1)+(CV21&lt;0)+(CW21&gt;0)*(CE21&lt;CW21)</f>
        <v>0</v>
      </c>
      <c r="CY21" s="1" t="str">
        <f aca="false">IF(CX21=0,"OK","Check")</f>
        <v>OK</v>
      </c>
      <c r="CZ21" s="95" t="n">
        <v>0</v>
      </c>
      <c r="DA21" s="23" t="n">
        <v>0.5</v>
      </c>
      <c r="DB21" s="23" t="n">
        <v>1</v>
      </c>
      <c r="DC21" s="23" t="n">
        <f aca="false">INDEX(Paths!$B$6:$B$92,MATCH(B21,Paths!$A$6:$A$92,0))*sib_cost</f>
        <v>1.58</v>
      </c>
      <c r="DD21" s="96" t="n">
        <f aca="false">L21*sib_c_pac/1000*C21/365*DC21</f>
        <v>4.09674520547945</v>
      </c>
      <c r="DE21" s="96" t="n">
        <f aca="false">K21*sib_c_cz/1000*C21/365*DC21</f>
        <v>0</v>
      </c>
      <c r="DF21" s="96" t="n">
        <f aca="false">J21*sib_c_sib/1000*C21/365*DC21</f>
        <v>1.57567123287671</v>
      </c>
      <c r="DG21" s="96" t="n">
        <f aca="false">((MAX(0,T21-CP21)+V21+AB21+Z21+AA21/C21)*sib_pst_w+Q21*sib_loc_kg*sib_pst_e)*C21*sib_c_store/1000000*DC21</f>
        <v>2.988582324</v>
      </c>
      <c r="DH21" s="96" t="n">
        <f aca="false">((AW21*sib_c_loco+CJ21*sib_c_wag+MAX(0,AZ21-AZ20)*sib_loco0*sib_c_rep+CZ21*sib_c_arm)/1000000+DA21)*DC21</f>
        <v>0.79</v>
      </c>
      <c r="DI21" s="96" t="n">
        <f aca="false">2*(sib_L1*(BS21+AT21)+sib_L2*(BT21+AT21)+sib_L3a*(BU21+AU21)+sib_L3b*(BV21+AU21)+sib_L4*(BW21+AU21)+sib_L5*(DV21+AU21))*C21*sib_c_tkm*sib_prail/1000000*DC21</f>
        <v>0.361455811251019</v>
      </c>
      <c r="DJ21" s="96" t="n">
        <f aca="false">CT21*sib_c_ship*C21/365*DC21</f>
        <v>0.140501078666667</v>
      </c>
      <c r="DK21" s="96" t="n">
        <f aca="false">DB21*DC21</f>
        <v>1.58</v>
      </c>
      <c r="DL21" s="96" t="n">
        <f aca="false">AA21*sib_c_kara/1000000*DC21</f>
        <v>0</v>
      </c>
      <c r="DM21" s="96" t="n">
        <f aca="false">(AC21*sib_c_ref/1000*C21/365+AH21*C21*sib_c_grain/1000000)*DC21</f>
        <v>0.331163530331507</v>
      </c>
      <c r="DN21" s="96" t="n">
        <f aca="false">Z21*C21*sib_c_amur/1000000*DC21</f>
        <v>0</v>
      </c>
      <c r="DO21" s="96" t="n">
        <f aca="false">sib_fed*sib_c_fed/1000000*C21/365*DC21</f>
        <v>0.590876712328767</v>
      </c>
      <c r="DP21" s="96" t="n">
        <f aca="false">SUM(DD21:DO21)</f>
        <v>12.4549958949341</v>
      </c>
      <c r="DQ21" s="98" t="n">
        <v>0.3</v>
      </c>
      <c r="DR21" s="99" t="n">
        <f aca="false">AQ21*DQ21</f>
        <v>27.669</v>
      </c>
      <c r="DS21" s="98" t="n">
        <v>24</v>
      </c>
      <c r="DT21" s="99" t="n">
        <f aca="false">DS$6+(DS21-DS$6)*sib_works</f>
        <v>24</v>
      </c>
      <c r="DU21" s="99" t="n">
        <f aca="false">(DT21*G21-sib_pass)*(1-sib_civ)*(1-sib_fuel-BM21*sib_strike)-AU21</f>
        <v>12.9268624657534</v>
      </c>
      <c r="DV21" s="99" t="n">
        <f aca="false">DR21/(sib_net5*(1+sib_decup*BB21))</f>
        <v>0.0498744032203581</v>
      </c>
      <c r="DW21" s="99" t="n">
        <f aca="false">IF(DV21=0,0,IF(DU21&lt;=0,9.99,DV21/DU21))</f>
        <v>0.00385819864274786</v>
      </c>
    </row>
    <row r="22" customFormat="false" ht="13.5" hidden="false" customHeight="true" outlineLevel="0" collapsed="false">
      <c r="A22" s="1" t="s">
        <v>2001</v>
      </c>
      <c r="B22" s="95" t="n">
        <v>1922</v>
      </c>
      <c r="C22" s="95" t="n">
        <v>92</v>
      </c>
      <c r="D22" s="1" t="s">
        <v>1999</v>
      </c>
      <c r="E22" s="23" t="n">
        <v>0</v>
      </c>
      <c r="F22" s="95" t="n">
        <v>0</v>
      </c>
      <c r="G22" s="23" t="n">
        <f aca="false">1-E22*IF(F22=1,sib_winter,1)</f>
        <v>1</v>
      </c>
      <c r="H22" s="95" t="n">
        <v>25</v>
      </c>
      <c r="I22" s="95" t="n">
        <v>6</v>
      </c>
      <c r="J22" s="95" t="n">
        <v>30</v>
      </c>
      <c r="K22" s="95" t="n">
        <v>0</v>
      </c>
      <c r="L22" s="95" t="n">
        <v>6</v>
      </c>
      <c r="M22" s="95" t="n">
        <f aca="false">SUM(H22:L22)</f>
        <v>67</v>
      </c>
      <c r="N22" s="23" t="n">
        <v>0</v>
      </c>
      <c r="O22" s="23" t="n">
        <v>0</v>
      </c>
      <c r="P22" s="95" t="n">
        <f aca="false">H22*N22+I22*O22+J22*sib_sw+K22+L22*sib_pw</f>
        <v>33.9</v>
      </c>
      <c r="Q22" s="95" t="n">
        <f aca="false">M22-P22</f>
        <v>33.1</v>
      </c>
      <c r="R22" s="23" t="n">
        <v>0.3</v>
      </c>
      <c r="S22" s="96" t="n">
        <v>2</v>
      </c>
      <c r="T22" s="95" t="n">
        <f aca="false">P22*(R22*S22*sib_ammo+(1-R22)*sib_loc_kg)</f>
        <v>55.935</v>
      </c>
      <c r="U22" s="95" t="n">
        <f aca="false">H22*N22*sib_jp_kg</f>
        <v>0</v>
      </c>
      <c r="V22" s="95" t="n">
        <v>10</v>
      </c>
      <c r="W22" s="95" t="n">
        <v>0</v>
      </c>
      <c r="X22" s="95" t="n">
        <v>0</v>
      </c>
      <c r="Y22" s="95" t="n">
        <v>0</v>
      </c>
      <c r="Z22" s="95" t="n">
        <f aca="false">Y22*sib_amur</f>
        <v>0</v>
      </c>
      <c r="AA22" s="97" t="n">
        <v>0</v>
      </c>
      <c r="AB22" s="95" t="n">
        <v>0</v>
      </c>
      <c r="AC22" s="95" t="n">
        <v>20</v>
      </c>
      <c r="AD22" s="23" t="n">
        <v>1</v>
      </c>
      <c r="AE22" s="95" t="n">
        <f aca="false">(J22*sib_sw+K22+L22*sib_pw)*sib_bread+P22*sib_horses*sib_oats+AC22*sib_relief_kg</f>
        <v>78.6475</v>
      </c>
      <c r="AF22" s="95" t="n">
        <f aca="false">sib_surplus*AD22*sib_harvest*1000000/365*sib_callmax</f>
        <v>821.917808219178</v>
      </c>
      <c r="AG22" s="95" t="n">
        <f aca="false">MAX(0,AE22-AF22)</f>
        <v>0</v>
      </c>
      <c r="AH22" s="95" t="n">
        <f aca="false">AE22-AG22</f>
        <v>78.6475</v>
      </c>
      <c r="AI22" s="95" t="n">
        <f aca="false">I22*O22*sib_cn_kg</f>
        <v>0</v>
      </c>
      <c r="AJ22" s="95" t="n">
        <f aca="false">Q22*sib_loc_kg+H22*(1-N22)*sib_jp_kg</f>
        <v>72.15</v>
      </c>
      <c r="AK22" s="95" t="n">
        <f aca="false">T22+U22+V22+W22+X22+AB22</f>
        <v>65.935</v>
      </c>
      <c r="AL22" s="95" t="n">
        <f aca="false">AI22+AG22</f>
        <v>0</v>
      </c>
      <c r="AM22" s="95" t="n">
        <f aca="false">AK22+AJ22</f>
        <v>138.085</v>
      </c>
      <c r="AN22" s="95" t="n">
        <f aca="false">AK22+AL22+sib_e2*AJ22</f>
        <v>109.225</v>
      </c>
      <c r="AO22" s="95" t="n">
        <f aca="false">AK22+AL22+sib_e3*AJ22</f>
        <v>87.58</v>
      </c>
      <c r="AP22" s="95" t="n">
        <f aca="false">AK22+AL22+Z22</f>
        <v>65.935</v>
      </c>
      <c r="AQ22" s="95" t="n">
        <f aca="false">AK22+AL22+Z22</f>
        <v>65.935</v>
      </c>
      <c r="AR22" s="95" t="n">
        <f aca="false">H22+I22+L22</f>
        <v>37</v>
      </c>
      <c r="AS22" s="95" t="n">
        <f aca="false">H22*N22+I22*O22+L22*sib_pw</f>
        <v>5.4</v>
      </c>
      <c r="AT22" s="96" t="n">
        <f aca="false">(MAX(0,AR22-AR21)+AR22*sib_rot*C22/365)*1000/sib_mtrain/C22</f>
        <v>0.0168949771689498</v>
      </c>
      <c r="AU22" s="96" t="n">
        <f aca="false">(MAX(0,AS22-AS21)+AS22*sib_rot*C22/365)*1000/sib_mtrain/C22</f>
        <v>0.00246575342465754</v>
      </c>
      <c r="AV22" s="95" t="n">
        <v>0</v>
      </c>
      <c r="AW22" s="95" t="n">
        <v>0</v>
      </c>
      <c r="AX22" s="95" t="n">
        <f aca="false">(SUM(AV$6:AV22)+SUM(AW$6:AW22))*0.9</f>
        <v>855</v>
      </c>
      <c r="AY22" s="23" t="n">
        <v>0.82</v>
      </c>
      <c r="AZ22" s="23" t="n">
        <f aca="false">1-(1-AY22)*sib_sick</f>
        <v>0.82</v>
      </c>
      <c r="BA22" s="95" t="n">
        <f aca="false">sib_loco0*AZ22+AX22</f>
        <v>1921</v>
      </c>
      <c r="BB22" s="23" t="n">
        <f aca="false">AX22/BA22</f>
        <v>0.445080687142113</v>
      </c>
      <c r="BC22" s="95" t="n">
        <v>18</v>
      </c>
      <c r="BD22" s="95" t="n">
        <v>16</v>
      </c>
      <c r="BE22" s="95" t="n">
        <v>18</v>
      </c>
      <c r="BF22" s="95" t="n">
        <v>24</v>
      </c>
      <c r="BG22" s="95" t="n">
        <v>24</v>
      </c>
      <c r="BH22" s="96" t="n">
        <f aca="false">BC$6+(BC22-BC$6)*sib_works</f>
        <v>18</v>
      </c>
      <c r="BI22" s="96" t="n">
        <f aca="false">BD$6+(BD22-BD$6)*sib_works</f>
        <v>16</v>
      </c>
      <c r="BJ22" s="96" t="n">
        <f aca="false">BE$6+(BE22-BE$6)*sib_works</f>
        <v>18</v>
      </c>
      <c r="BK22" s="96" t="n">
        <f aca="false">BF$6+(BF22-BF$6)*sib_works</f>
        <v>24</v>
      </c>
      <c r="BL22" s="96" t="n">
        <f aca="false">BG$6+(BG22-BG$6)*sib_works</f>
        <v>24</v>
      </c>
      <c r="BM22" s="95" t="n">
        <v>0</v>
      </c>
      <c r="BN22" s="96" t="n">
        <f aca="false">(BH22*G22-sib_pass)*(1-sib_civ)*(1-sib_fuel-BM22*sib_strike)-AT22</f>
        <v>10.2871050228311</v>
      </c>
      <c r="BO22" s="96" t="n">
        <f aca="false">(BI22*G22-sib_pass)*(1-sib_civ)*(1-sib_fuel-BM22*sib_strike)-AT22</f>
        <v>8.99910502283105</v>
      </c>
      <c r="BP22" s="96" t="n">
        <f aca="false">(BJ22*G22-sib_pass)*(1-sib_civ)*(1-sib_fuel-BM22*sib_strike)-AU22</f>
        <v>10.3015342465753</v>
      </c>
      <c r="BQ22" s="96" t="n">
        <f aca="false">(BK22*G22-sib_pass)*(1-sib_civ)*(1-sib_fuel-BM22*sib_strike)-AU22</f>
        <v>14.1655342465753</v>
      </c>
      <c r="BR22" s="96" t="n">
        <f aca="false">(BL22*G22-sib_pass)*(1-sib_civ)*(1-sib_fuel-BM22*sib_strike)-AU22</f>
        <v>14.1655342465753</v>
      </c>
      <c r="BS22" s="96" t="n">
        <f aca="false">AM22/(sib_net1*(1+sib_decup*BB22))</f>
        <v>0.229756944384295</v>
      </c>
      <c r="BT22" s="96" t="n">
        <f aca="false">AN22/(sib_net2*(1+sib_decup*BB22))</f>
        <v>0.225008150090348</v>
      </c>
      <c r="BU22" s="96" t="n">
        <f aca="false">AO22/(sib_net3a*(1+sib_decup*BB22))</f>
        <v>0.16839062668118</v>
      </c>
      <c r="BV22" s="96" t="n">
        <f aca="false">AP22/(sib_net3b*(1+sib_decup*BB22))</f>
        <v>0.15012668677662</v>
      </c>
      <c r="BW22" s="96" t="n">
        <f aca="false">AQ22/(sib_net4*(1+sib_decup*BB22))</f>
        <v>0.118850293698157</v>
      </c>
      <c r="BX22" s="23" t="n">
        <f aca="false">BS22/BN22</f>
        <v>0.0223344608492259</v>
      </c>
      <c r="BY22" s="23" t="n">
        <f aca="false">BT22/BO22</f>
        <v>0.0250033919505878</v>
      </c>
      <c r="BZ22" s="23" t="n">
        <f aca="false">BU22/BP22</f>
        <v>0.0163461696724602</v>
      </c>
      <c r="CA22" s="23" t="n">
        <f aca="false">BV22/BQ22</f>
        <v>0.0105980250489256</v>
      </c>
      <c r="CB22" s="23" t="n">
        <f aca="false">BW22/BR22</f>
        <v>0.0083901031637328</v>
      </c>
      <c r="CC22" s="23" t="n">
        <f aca="false">MAX(BX22:CB22,DW22)</f>
        <v>0.0250033919505878</v>
      </c>
      <c r="CD22" s="1" t="str">
        <f aca="false">IF(DW22&gt;=MAX(BX22:CB22),"Ob-Chelyabinsk",CHOOSE(MATCH(CC22,BX22:CB22,0),"Vladivostok-Harbin","Harbin-Manzhouli","Manzhouli-Kitaisky (branch)","Kitaisky-Irkutsk","Irkutsk-Ob"))</f>
        <v>Harbin-Manzhouli</v>
      </c>
      <c r="CE22" s="96" t="n">
        <f aca="false">MIN(BN22-BS22,BO22-BT22,BP22-BU22,BQ22-BV22,BR22-BW22,DU22-DV22)</f>
        <v>8.7740968727407</v>
      </c>
      <c r="CF22" s="97" t="n">
        <f aca="false">2*(sib_L1*(BS22+AT22+(BH22*G22-sib_pass)*(sib_civ*sib_civused+(1-sib_civ)*sib_fuel)+sib_pass)+sib_L2*(BT22+AT22+(BI22*G22-sib_pass)*(sib_civ*sib_civused+(1-sib_civ)*sib_fuel)+sib_pass)+sib_L3a*(BU22+AU22+(BJ22*G22-sib_pass)*(sib_civ*sib_civused+(1-sib_civ)*sib_fuel)+sib_pass)+sib_L3b*(BV22+AU22+(BK22*G22-sib_pass)*(sib_civ*sib_civused+(1-sib_civ)*sib_fuel)+sib_pass)+sib_L4*(BW22+AU22+(BL22*G22-sib_pass)*(sib_civ*sib_civused+(1-sib_civ)*sib_fuel)+sib_pass)+sib_L5*(DV22+AU22+(DT22*G22-sib_pass)*(sib_civ*sib_civused+(1-sib_civ)*sib_fuel)+sib_pass))</f>
        <v>92849.795816181</v>
      </c>
      <c r="CG22" s="95" t="n">
        <f aca="false">CF22/sib_kmloco*sib_helper</f>
        <v>725.389029813914</v>
      </c>
      <c r="CH22" s="23" t="n">
        <f aca="false">CG22/BA22</f>
        <v>0.377610114426816</v>
      </c>
      <c r="CI22" s="97" t="n">
        <v>0</v>
      </c>
      <c r="CJ22" s="97" t="n">
        <v>0</v>
      </c>
      <c r="CK22" s="97" t="n">
        <v>0</v>
      </c>
      <c r="CL22" s="97" t="n">
        <f aca="false">(sib_wag0+SUM(CI$6:CI22)+SUM(CJ$6:CJ22))*sib_wserv*(1-sib_civ)</f>
        <v>27370</v>
      </c>
      <c r="CM22" s="97" t="n">
        <f aca="false">AK22/sib_wload*(2*(sib_L1+sib_L2+sib_L3a+sib_L3b+sib_L4/2)/sib_wagkm+sib_term)+AL22/sib_wload*(2*(sib_L2+sib_L3a+sib_L3b+sib_L4/2)/sib_wagkm+sib_term)+AJ22/sib_wload*((sib_L1+sib_L2)/sib_wagkm+sib_term-2)+Z22/sib_wload*(2*(sib_L3b+sib_L4/2)/sib_wagkm+sib_term)+AU22*40*(2*(sib_L1+sib_L2+sib_L3a+sib_L3b+sib_L4/2)/sib_wagkm+sib_term)+K22*1000/sib_czw+CK22+DR22/sib_wload*(2*(sib_L4/2+sib_L5/2)/sib_wagkm)</f>
        <v>384.524889847793</v>
      </c>
      <c r="CN22" s="23" t="n">
        <f aca="false">CM22/CL22</f>
        <v>0.0140491373711287</v>
      </c>
      <c r="CO22" s="95" t="n">
        <v>0</v>
      </c>
      <c r="CP22" s="95" t="n">
        <f aca="false">MIN(CO22,AK22+AJ22)</f>
        <v>0</v>
      </c>
      <c r="CQ22" s="23" t="n">
        <f aca="false">(AK22+AJ22+Z22-CP22)*365/1000000+sib_civport</f>
        <v>0.850401025</v>
      </c>
      <c r="CR22" s="23" t="n">
        <v>3</v>
      </c>
      <c r="CS22" s="23" t="n">
        <f aca="false">CQ22/(CR22*IF(OR(RIGHT(A22,2)="Q1",C22=365),sib_portwin,1))</f>
        <v>0.283467008333333</v>
      </c>
      <c r="CT22" s="96" t="n">
        <f aca="false">(AK22+AJ22+Z22-CP22)*sib_pacship*365/(sib_dwt*0.9*sib_voy)</f>
        <v>0.631807720797721</v>
      </c>
      <c r="CU22" s="23" t="n">
        <f aca="false">CT22/sib_ships</f>
        <v>0.015795193019943</v>
      </c>
      <c r="CV22" s="97" t="n">
        <f aca="false">CV21+(AB22+Z22)*C22+AA22</f>
        <v>149326.086956522</v>
      </c>
      <c r="CW22" s="96" t="n">
        <f aca="false">IF(C22=365,sib_surge/sib_mtrain/sib_surge_d,0)</f>
        <v>0</v>
      </c>
      <c r="CX22" s="95" t="n">
        <f aca="false">(CC22&gt;sib_util_max)+(CH22&gt;1)+(CN22&gt;1)+(CS22&gt;sib_util_max)+(CU22&gt;1)+(CV22&lt;0)+(CW22&gt;0)*(CE22&lt;CW22)</f>
        <v>0</v>
      </c>
      <c r="CY22" s="1" t="str">
        <f aca="false">IF(CX22=0,"OK","Check")</f>
        <v>OK</v>
      </c>
      <c r="CZ22" s="95" t="n">
        <v>0</v>
      </c>
      <c r="DA22" s="23" t="n">
        <v>0.5</v>
      </c>
      <c r="DB22" s="23" t="n">
        <v>1</v>
      </c>
      <c r="DC22" s="23" t="n">
        <f aca="false">INDEX(Paths!$B$6:$B$92,MATCH(B22,Paths!$A$6:$A$92,0))*sib_cost</f>
        <v>1.58</v>
      </c>
      <c r="DD22" s="96" t="n">
        <f aca="false">L22*sib_c_pac/1000*C22/365*DC22</f>
        <v>3.10632328767123</v>
      </c>
      <c r="DE22" s="96" t="n">
        <f aca="false">K22*sib_c_cz/1000*C22/365*DC22</f>
        <v>0</v>
      </c>
      <c r="DF22" s="96" t="n">
        <f aca="false">J22*sib_c_sib/1000*C22/365*DC22</f>
        <v>1.1947397260274</v>
      </c>
      <c r="DG22" s="96" t="n">
        <f aca="false">((MAX(0,T22-CP22)+V22+AB22+Z22+AA22/C22)*sib_pst_w+Q22*sib_loc_kg*sib_pst_e)*C22*sib_c_store/1000000*DC22</f>
        <v>2.265304776</v>
      </c>
      <c r="DH22" s="96" t="n">
        <f aca="false">((AW22*sib_c_loco+CJ22*sib_c_wag+MAX(0,AZ22-AZ21)*sib_loco0*sib_c_rep+CZ22*sib_c_arm)/1000000+DA22)*DC22</f>
        <v>0.79</v>
      </c>
      <c r="DI22" s="96" t="n">
        <f aca="false">2*(sib_L1*(BS22+AT22)+sib_L2*(BT22+AT22)+sib_L3a*(BU22+AU22)+sib_L3b*(BV22+AU22)+sib_L4*(BW22+AU22)+sib_L5*(DV22+AU22))*C22*sib_c_tkm*sib_prail/1000000*DC22</f>
        <v>0.272450708774466</v>
      </c>
      <c r="DJ22" s="96" t="n">
        <f aca="false">CT22*sib_c_ship*C22/365*DC22</f>
        <v>0.11322686748718</v>
      </c>
      <c r="DK22" s="96" t="n">
        <f aca="false">DB22*DC22</f>
        <v>1.58</v>
      </c>
      <c r="DL22" s="96" t="n">
        <f aca="false">AA22*sib_c_kara/1000000*DC22</f>
        <v>0</v>
      </c>
      <c r="DM22" s="96" t="n">
        <f aca="false">(AC22*sib_c_ref/1000*C22/365+AH22*C22*sib_c_grain/1000000)*DC22</f>
        <v>0.227891833736986</v>
      </c>
      <c r="DN22" s="96" t="n">
        <f aca="false">Z22*C22*sib_c_amur/1000000*DC22</f>
        <v>0</v>
      </c>
      <c r="DO22" s="96" t="n">
        <f aca="false">sib_fed*sib_c_fed/1000000*C22/365*DC22</f>
        <v>0.597369863013699</v>
      </c>
      <c r="DP22" s="96" t="n">
        <f aca="false">SUM(DD22:DO22)</f>
        <v>10.147307062711</v>
      </c>
      <c r="DQ22" s="98" t="n">
        <v>0.3</v>
      </c>
      <c r="DR22" s="99" t="n">
        <f aca="false">AQ22*DQ22</f>
        <v>19.7805</v>
      </c>
      <c r="DS22" s="98" t="n">
        <v>24</v>
      </c>
      <c r="DT22" s="99" t="n">
        <f aca="false">DS$6+(DS22-DS$6)*sib_works</f>
        <v>24</v>
      </c>
      <c r="DU22" s="99" t="n">
        <f aca="false">(DT22*G22-sib_pass)*(1-sib_civ)*(1-sib_fuel-BM22*sib_strike)-AU22</f>
        <v>14.1655342465753</v>
      </c>
      <c r="DV22" s="99" t="n">
        <f aca="false">DR22/(sib_net5*(1+sib_decup*BB22))</f>
        <v>0.0356550881094471</v>
      </c>
      <c r="DW22" s="99" t="n">
        <f aca="false">IF(DV22=0,0,IF(DU22&lt;=0,9.99,DV22/DU22))</f>
        <v>0.00251703094911984</v>
      </c>
    </row>
    <row r="23" customFormat="false" ht="13.5" hidden="false" customHeight="true" outlineLevel="0" collapsed="false">
      <c r="A23" s="1" t="s">
        <v>2002</v>
      </c>
      <c r="B23" s="95" t="n">
        <v>1922</v>
      </c>
      <c r="C23" s="95" t="n">
        <v>92</v>
      </c>
      <c r="D23" s="1" t="s">
        <v>2003</v>
      </c>
      <c r="E23" s="23" t="n">
        <v>0.15</v>
      </c>
      <c r="F23" s="95" t="n">
        <v>1</v>
      </c>
      <c r="G23" s="23" t="n">
        <f aca="false">1-E23*IF(F23=1,sib_winter,1)</f>
        <v>0.85</v>
      </c>
      <c r="H23" s="95" t="n">
        <v>20</v>
      </c>
      <c r="I23" s="95" t="n">
        <v>6</v>
      </c>
      <c r="J23" s="95" t="n">
        <v>20</v>
      </c>
      <c r="K23" s="95" t="n">
        <v>0</v>
      </c>
      <c r="L23" s="95" t="n">
        <v>5</v>
      </c>
      <c r="M23" s="95" t="n">
        <f aca="false">SUM(H23:L23)</f>
        <v>51</v>
      </c>
      <c r="N23" s="23" t="n">
        <v>0</v>
      </c>
      <c r="O23" s="23" t="n">
        <v>0</v>
      </c>
      <c r="P23" s="95" t="n">
        <f aca="false">H23*N23+I23*O23+J23*sib_sw+K23+L23*sib_pw</f>
        <v>23.5</v>
      </c>
      <c r="Q23" s="95" t="n">
        <f aca="false">M23-P23</f>
        <v>27.5</v>
      </c>
      <c r="R23" s="23" t="n">
        <v>0.3</v>
      </c>
      <c r="S23" s="96" t="n">
        <v>2</v>
      </c>
      <c r="T23" s="95" t="n">
        <f aca="false">P23*(R23*S23*sib_ammo+(1-R23)*sib_loc_kg)</f>
        <v>38.775</v>
      </c>
      <c r="U23" s="95" t="n">
        <f aca="false">H23*N23*sib_jp_kg</f>
        <v>0</v>
      </c>
      <c r="V23" s="95" t="n">
        <v>10</v>
      </c>
      <c r="W23" s="95" t="n">
        <v>0</v>
      </c>
      <c r="X23" s="95" t="n">
        <v>0</v>
      </c>
      <c r="Y23" s="95" t="n">
        <v>0</v>
      </c>
      <c r="Z23" s="95" t="n">
        <f aca="false">Y23*sib_amur</f>
        <v>0</v>
      </c>
      <c r="AA23" s="97" t="n">
        <v>0</v>
      </c>
      <c r="AB23" s="95" t="n">
        <v>0</v>
      </c>
      <c r="AC23" s="95" t="n">
        <v>20</v>
      </c>
      <c r="AD23" s="23" t="n">
        <v>1</v>
      </c>
      <c r="AE23" s="95" t="n">
        <f aca="false">(J23*sib_sw+K23+L23*sib_pw)*sib_bread+P23*sib_horses*sib_oats+AC23*sib_relief_kg</f>
        <v>57.5875</v>
      </c>
      <c r="AF23" s="95" t="n">
        <f aca="false">sib_surplus*AD23*sib_harvest*1000000/365*sib_callmax</f>
        <v>821.917808219178</v>
      </c>
      <c r="AG23" s="95" t="n">
        <f aca="false">MAX(0,AE23-AF23)</f>
        <v>0</v>
      </c>
      <c r="AH23" s="95" t="n">
        <f aca="false">AE23-AG23</f>
        <v>57.5875</v>
      </c>
      <c r="AI23" s="95" t="n">
        <f aca="false">I23*O23*sib_cn_kg</f>
        <v>0</v>
      </c>
      <c r="AJ23" s="95" t="n">
        <f aca="false">Q23*sib_loc_kg+H23*(1-N23)*sib_jp_kg</f>
        <v>59.25</v>
      </c>
      <c r="AK23" s="95" t="n">
        <f aca="false">T23+U23+V23+W23+X23+AB23</f>
        <v>48.775</v>
      </c>
      <c r="AL23" s="95" t="n">
        <f aca="false">AI23+AG23</f>
        <v>0</v>
      </c>
      <c r="AM23" s="95" t="n">
        <f aca="false">AK23+AJ23</f>
        <v>108.025</v>
      </c>
      <c r="AN23" s="95" t="n">
        <f aca="false">AK23+AL23+sib_e2*AJ23</f>
        <v>84.325</v>
      </c>
      <c r="AO23" s="95" t="n">
        <f aca="false">AK23+AL23+sib_e3*AJ23</f>
        <v>66.55</v>
      </c>
      <c r="AP23" s="95" t="n">
        <f aca="false">AK23+AL23+Z23</f>
        <v>48.775</v>
      </c>
      <c r="AQ23" s="95" t="n">
        <f aca="false">AK23+AL23+Z23</f>
        <v>48.775</v>
      </c>
      <c r="AR23" s="95" t="n">
        <f aca="false">H23+I23+L23</f>
        <v>31</v>
      </c>
      <c r="AS23" s="95" t="n">
        <f aca="false">H23*N23+I23*O23+L23*sib_pw</f>
        <v>4.5</v>
      </c>
      <c r="AT23" s="96" t="n">
        <f aca="false">(MAX(0,AR23-AR22)+AR23*sib_rot*C23/365)*1000/sib_mtrain/C23</f>
        <v>0.0141552511415525</v>
      </c>
      <c r="AU23" s="96" t="n">
        <f aca="false">(MAX(0,AS23-AS22)+AS23*sib_rot*C23/365)*1000/sib_mtrain/C23</f>
        <v>0.00205479452054795</v>
      </c>
      <c r="AV23" s="95" t="n">
        <v>0</v>
      </c>
      <c r="AW23" s="95" t="n">
        <v>0</v>
      </c>
      <c r="AX23" s="95" t="n">
        <f aca="false">(SUM(AV$6:AV23)+SUM(AW$6:AW23))*0.9</f>
        <v>855</v>
      </c>
      <c r="AY23" s="23" t="n">
        <v>0.82</v>
      </c>
      <c r="AZ23" s="23" t="n">
        <f aca="false">1-(1-AY23)*sib_sick</f>
        <v>0.82</v>
      </c>
      <c r="BA23" s="95" t="n">
        <f aca="false">sib_loco0*AZ23+AX23</f>
        <v>1921</v>
      </c>
      <c r="BB23" s="23" t="n">
        <f aca="false">AX23/BA23</f>
        <v>0.445080687142113</v>
      </c>
      <c r="BC23" s="95" t="n">
        <v>18</v>
      </c>
      <c r="BD23" s="95" t="n">
        <v>16</v>
      </c>
      <c r="BE23" s="95" t="n">
        <v>18</v>
      </c>
      <c r="BF23" s="95" t="n">
        <v>24</v>
      </c>
      <c r="BG23" s="95" t="n">
        <v>24</v>
      </c>
      <c r="BH23" s="96" t="n">
        <f aca="false">BC$6+(BC23-BC$6)*sib_works</f>
        <v>18</v>
      </c>
      <c r="BI23" s="96" t="n">
        <f aca="false">BD$6+(BD23-BD$6)*sib_works</f>
        <v>16</v>
      </c>
      <c r="BJ23" s="96" t="n">
        <f aca="false">BE$6+(BE23-BE$6)*sib_works</f>
        <v>18</v>
      </c>
      <c r="BK23" s="96" t="n">
        <f aca="false">BF$6+(BF23-BF$6)*sib_works</f>
        <v>24</v>
      </c>
      <c r="BL23" s="96" t="n">
        <f aca="false">BG$6+(BG23-BG$6)*sib_works</f>
        <v>24</v>
      </c>
      <c r="BM23" s="95" t="n">
        <v>0</v>
      </c>
      <c r="BN23" s="96" t="n">
        <f aca="false">(BH23*G23-sib_pass)*(1-sib_civ)*(1-sib_fuel-BM23*sib_strike)-AT23</f>
        <v>8.55104474885845</v>
      </c>
      <c r="BO23" s="96" t="n">
        <f aca="false">(BI23*G23-sib_pass)*(1-sib_civ)*(1-sib_fuel-BM23*sib_strike)-AT23</f>
        <v>7.45624474885845</v>
      </c>
      <c r="BP23" s="96" t="n">
        <f aca="false">(BJ23*G23-sib_pass)*(1-sib_civ)*(1-sib_fuel-BM23*sib_strike)-AU23</f>
        <v>8.56314520547945</v>
      </c>
      <c r="BQ23" s="96" t="n">
        <f aca="false">(BK23*G23-sib_pass)*(1-sib_civ)*(1-sib_fuel-BM23*sib_strike)-AU23</f>
        <v>11.8475452054795</v>
      </c>
      <c r="BR23" s="96" t="n">
        <f aca="false">(BL23*G23-sib_pass)*(1-sib_civ)*(1-sib_fuel-BM23*sib_strike)-AU23</f>
        <v>11.8475452054795</v>
      </c>
      <c r="BS23" s="96" t="n">
        <f aca="false">AM23/(sib_net1*(1+sib_decup*BB23))</f>
        <v>0.179740695347891</v>
      </c>
      <c r="BT23" s="96" t="n">
        <f aca="false">AN23/(sib_net2*(1+sib_decup*BB23))</f>
        <v>0.173713090010241</v>
      </c>
      <c r="BU23" s="96" t="n">
        <f aca="false">AO23/(sib_net3a*(1+sib_decup*BB23))</f>
        <v>0.127956111048556</v>
      </c>
      <c r="BV23" s="96" t="n">
        <f aca="false">AP23/(sib_net3b*(1+sib_decup*BB23))</f>
        <v>0.111055268787891</v>
      </c>
      <c r="BW23" s="96" t="n">
        <f aca="false">AQ23/(sib_net4*(1+sib_decup*BB23))</f>
        <v>0.0879187544570807</v>
      </c>
      <c r="BX23" s="23" t="n">
        <f aca="false">BS23/BN23</f>
        <v>0.0210197350881465</v>
      </c>
      <c r="BY23" s="23" t="n">
        <f aca="false">BT23/BO23</f>
        <v>0.0232976646906389</v>
      </c>
      <c r="BZ23" s="23" t="n">
        <f aca="false">BU23/BP23</f>
        <v>0.0149426534267664</v>
      </c>
      <c r="CA23" s="23" t="n">
        <f aca="false">BV23/BQ23</f>
        <v>0.00937369445414977</v>
      </c>
      <c r="CB23" s="23" t="n">
        <f aca="false">BW23/BR23</f>
        <v>0.00742084144286856</v>
      </c>
      <c r="CC23" s="23" t="n">
        <f aca="false">MAX(BX23:CB23,DW23)</f>
        <v>0.0232976646906389</v>
      </c>
      <c r="CD23" s="1" t="str">
        <f aca="false">IF(DW23&gt;=MAX(BX23:CB23),"Ob-Chelyabinsk",CHOOSE(MATCH(CC23,BX23:CB23,0),"Vladivostok-Harbin","Harbin-Manzhouli","Manzhouli-Kitaisky (branch)","Kitaisky-Irkutsk","Irkutsk-Ob"))</f>
        <v>Harbin-Manzhouli</v>
      </c>
      <c r="CE23" s="96" t="n">
        <f aca="false">MIN(BN23-BS23,BO23-BT23,BP23-BU23,BQ23-BV23,BR23-BW23,DU23-DV23)</f>
        <v>7.28253165884821</v>
      </c>
      <c r="CF23" s="97" t="n">
        <f aca="false">2*(sib_L1*(BS23+AT23+(BH23*G23-sib_pass)*(sib_civ*sib_civused+(1-sib_civ)*sib_fuel)+sib_pass)+sib_L2*(BT23+AT23+(BI23*G23-sib_pass)*(sib_civ*sib_civused+(1-sib_civ)*sib_fuel)+sib_pass)+sib_L3a*(BU23+AU23+(BJ23*G23-sib_pass)*(sib_civ*sib_civused+(1-sib_civ)*sib_fuel)+sib_pass)+sib_L3b*(BV23+AU23+(BK23*G23-sib_pass)*(sib_civ*sib_civused+(1-sib_civ)*sib_fuel)+sib_pass)+sib_L4*(BW23+AU23+(BL23*G23-sib_pass)*(sib_civ*sib_civused+(1-sib_civ)*sib_fuel)+sib_pass)+sib_L5*(DV23+AU23+(DT23*G23-sib_pass)*(sib_civ*sib_civused+(1-sib_civ)*sib_fuel)+sib_pass))</f>
        <v>81528.3099118924</v>
      </c>
      <c r="CG23" s="95" t="n">
        <f aca="false">CF23/sib_kmloco*sib_helper</f>
        <v>636.939921186659</v>
      </c>
      <c r="CH23" s="23" t="n">
        <f aca="false">CG23/BA23</f>
        <v>0.331566851216376</v>
      </c>
      <c r="CI23" s="97" t="n">
        <v>0</v>
      </c>
      <c r="CJ23" s="97" t="n">
        <v>0</v>
      </c>
      <c r="CK23" s="97" t="n">
        <v>0</v>
      </c>
      <c r="CL23" s="97" t="n">
        <f aca="false">(sib_wag0+SUM(CI$6:CI23)+SUM(CJ$6:CJ23))*sib_wserv*(1-sib_civ)</f>
        <v>27370</v>
      </c>
      <c r="CM23" s="97" t="n">
        <f aca="false">AK23/sib_wload*(2*(sib_L1+sib_L2+sib_L3a+sib_L3b+sib_L4/2)/sib_wagkm+sib_term)+AL23/sib_wload*(2*(sib_L2+sib_L3a+sib_L3b+sib_L4/2)/sib_wagkm+sib_term)+AJ23/sib_wload*((sib_L1+sib_L2)/sib_wagkm+sib_term-2)+Z23/sib_wload*(2*(sib_L3b+sib_L4/2)/sib_wagkm+sib_term)+AU23*40*(2*(sib_L1+sib_L2+sib_L3a+sib_L3b+sib_L4/2)/sib_wagkm+sib_term)+K23*1000/sib_czw+CK23+DR23/sib_wload*(2*(sib_L4/2+sib_L5/2)/sib_wagkm)</f>
        <v>291.839581354642</v>
      </c>
      <c r="CN23" s="23" t="n">
        <f aca="false">CM23/CL23</f>
        <v>0.0106627541598335</v>
      </c>
      <c r="CO23" s="95" t="n">
        <v>0</v>
      </c>
      <c r="CP23" s="95" t="n">
        <f aca="false">MIN(CO23,AK23+AJ23)</f>
        <v>0</v>
      </c>
      <c r="CQ23" s="23" t="n">
        <f aca="false">(AK23+AJ23+Z23-CP23)*365/1000000+sib_civport</f>
        <v>0.839429125</v>
      </c>
      <c r="CR23" s="23" t="n">
        <v>3</v>
      </c>
      <c r="CS23" s="23" t="n">
        <f aca="false">CQ23/(CR23*IF(OR(RIGHT(A23,2)="Q1",C23=365),sib_portwin,1))</f>
        <v>0.279809708333333</v>
      </c>
      <c r="CT23" s="96" t="n">
        <f aca="false">(AK23+AJ23+Z23-CP23)*sib_pacship*365/(sib_dwt*0.9*sib_voy)</f>
        <v>0.494268233618234</v>
      </c>
      <c r="CU23" s="23" t="n">
        <f aca="false">CT23/sib_ships</f>
        <v>0.0123567058404558</v>
      </c>
      <c r="CV23" s="97" t="n">
        <f aca="false">CV22+(AB23+Z23)*C23+AA23</f>
        <v>149326.086956522</v>
      </c>
      <c r="CW23" s="96" t="n">
        <f aca="false">IF(C23=365,sib_surge/sib_mtrain/sib_surge_d,0)</f>
        <v>0</v>
      </c>
      <c r="CX23" s="95" t="n">
        <f aca="false">(CC23&gt;sib_util_max)+(CH23&gt;1)+(CN23&gt;1)+(CS23&gt;sib_util_max)+(CU23&gt;1)+(CV23&lt;0)+(CW23&gt;0)*(CE23&lt;CW23)</f>
        <v>0</v>
      </c>
      <c r="CY23" s="1" t="str">
        <f aca="false">IF(CX23=0,"OK","Check")</f>
        <v>OK</v>
      </c>
      <c r="CZ23" s="95" t="n">
        <v>0</v>
      </c>
      <c r="DA23" s="23" t="n">
        <v>0.5</v>
      </c>
      <c r="DB23" s="23" t="n">
        <v>1</v>
      </c>
      <c r="DC23" s="23" t="n">
        <f aca="false">INDEX(Paths!$B$6:$B$92,MATCH(B23,Paths!$A$6:$A$92,0))*sib_cost</f>
        <v>1.58</v>
      </c>
      <c r="DD23" s="96" t="n">
        <f aca="false">L23*sib_c_pac/1000*C23/365*DC23</f>
        <v>2.58860273972603</v>
      </c>
      <c r="DE23" s="96" t="n">
        <f aca="false">K23*sib_c_cz/1000*C23/365*DC23</f>
        <v>0</v>
      </c>
      <c r="DF23" s="96" t="n">
        <f aca="false">J23*sib_c_sib/1000*C23/365*DC23</f>
        <v>0.796493150684932</v>
      </c>
      <c r="DG23" s="96" t="n">
        <f aca="false">((MAX(0,T23-CP23)+V23+AB23+Z23+AA23/C23)*sib_pst_w+Q23*sib_loc_kg*sib_pst_e)*C23*sib_c_store/1000000*DC23</f>
        <v>1.69874964</v>
      </c>
      <c r="DH23" s="96" t="n">
        <f aca="false">((AW23*sib_c_loco+CJ23*sib_c_wag+MAX(0,AZ23-AZ22)*sib_loco0*sib_c_rep+CZ23*sib_c_arm)/1000000+DA23)*DC23</f>
        <v>0.79</v>
      </c>
      <c r="DI23" s="96" t="n">
        <f aca="false">2*(sib_L1*(BS23+AT23)+sib_L2*(BT23+AT23)+sib_L3a*(BU23+AU23)+sib_L3b*(BV23+AU23)+sib_L4*(BW23+AU23)+sib_L5*(DV23+AU23))*C23*sib_c_tkm*sib_prail/1000000*DC23</f>
        <v>0.207436237491261</v>
      </c>
      <c r="DJ23" s="96" t="n">
        <f aca="false">CT23*sib_c_ship*C23/365*DC23</f>
        <v>0.0885782841025641</v>
      </c>
      <c r="DK23" s="96" t="n">
        <f aca="false">DB23*DC23</f>
        <v>1.58</v>
      </c>
      <c r="DL23" s="96" t="n">
        <f aca="false">AA23*sib_c_kara/1000000*DC23</f>
        <v>0</v>
      </c>
      <c r="DM23" s="96" t="n">
        <f aca="false">(AC23*sib_c_ref/1000*C23/365+AH23*C23*sib_c_grain/1000000)*DC23</f>
        <v>0.209524144136986</v>
      </c>
      <c r="DN23" s="96" t="n">
        <f aca="false">Z23*C23*sib_c_amur/1000000*DC23</f>
        <v>0</v>
      </c>
      <c r="DO23" s="96" t="n">
        <f aca="false">sib_fed*sib_c_fed/1000000*C23/365*DC23</f>
        <v>0.597369863013699</v>
      </c>
      <c r="DP23" s="96" t="n">
        <f aca="false">SUM(DD23:DO23)</f>
        <v>8.55675405915547</v>
      </c>
      <c r="DQ23" s="98" t="n">
        <v>0.3</v>
      </c>
      <c r="DR23" s="99" t="n">
        <f aca="false">AQ23*DQ23</f>
        <v>14.6325</v>
      </c>
      <c r="DS23" s="98" t="n">
        <v>24</v>
      </c>
      <c r="DT23" s="99" t="n">
        <f aca="false">DS$6+(DS23-DS$6)*sib_works</f>
        <v>24</v>
      </c>
      <c r="DU23" s="99" t="n">
        <f aca="false">(DT23*G23-sib_pass)*(1-sib_civ)*(1-sib_fuel-BM23*sib_strike)-AU23</f>
        <v>11.8475452054795</v>
      </c>
      <c r="DV23" s="99" t="n">
        <f aca="false">DR23/(sib_net5*(1+sib_decup*BB23))</f>
        <v>0.0263756263371242</v>
      </c>
      <c r="DW23" s="99" t="n">
        <f aca="false">IF(DV23=0,0,IF(DU23&lt;=0,9.99,DV23/DU23))</f>
        <v>0.00222625243286057</v>
      </c>
    </row>
    <row r="24" customFormat="false" ht="13.5" hidden="false" customHeight="true" outlineLevel="0" collapsed="false">
      <c r="A24" s="52" t="s">
        <v>2004</v>
      </c>
      <c r="B24" s="95" t="n">
        <v>1923</v>
      </c>
      <c r="C24" s="95" t="n">
        <v>365</v>
      </c>
      <c r="D24" s="1" t="s">
        <v>2005</v>
      </c>
      <c r="E24" s="23" t="n">
        <v>0.3</v>
      </c>
      <c r="F24" s="95" t="n">
        <v>1</v>
      </c>
      <c r="G24" s="23" t="n">
        <f aca="false">1-E24*IF(F24=1,sib_winter,1)</f>
        <v>0.7</v>
      </c>
      <c r="H24" s="95" t="n">
        <v>15</v>
      </c>
      <c r="I24" s="95" t="n">
        <v>6</v>
      </c>
      <c r="J24" s="95" t="n">
        <v>0</v>
      </c>
      <c r="K24" s="95" t="n">
        <v>0</v>
      </c>
      <c r="L24" s="95" t="n">
        <v>3</v>
      </c>
      <c r="M24" s="95" t="n">
        <f aca="false">SUM(H24:L24)</f>
        <v>24</v>
      </c>
      <c r="N24" s="23" t="n">
        <v>0</v>
      </c>
      <c r="O24" s="23" t="n">
        <v>0</v>
      </c>
      <c r="P24" s="95" t="n">
        <f aca="false">H24*N24+I24*O24+J24*sib_sw+K24+L24*sib_pw</f>
        <v>2.7</v>
      </c>
      <c r="Q24" s="95" t="n">
        <f aca="false">M24-P24</f>
        <v>21.3</v>
      </c>
      <c r="R24" s="23" t="n">
        <v>0.2</v>
      </c>
      <c r="S24" s="96" t="n">
        <v>2</v>
      </c>
      <c r="T24" s="95" t="n">
        <f aca="false">P24*(R24*S24*sib_ammo+(1-R24)*sib_loc_kg)</f>
        <v>4.32</v>
      </c>
      <c r="U24" s="95" t="n">
        <f aca="false">H24*N24*sib_jp_kg</f>
        <v>0</v>
      </c>
      <c r="V24" s="95" t="n">
        <v>0</v>
      </c>
      <c r="W24" s="95" t="n">
        <v>40</v>
      </c>
      <c r="X24" s="95" t="n">
        <v>0</v>
      </c>
      <c r="Y24" s="95" t="n">
        <v>0</v>
      </c>
      <c r="Z24" s="95" t="n">
        <f aca="false">Y24*sib_amur</f>
        <v>0</v>
      </c>
      <c r="AA24" s="97" t="n">
        <v>0</v>
      </c>
      <c r="AB24" s="95" t="n">
        <f aca="false">-(AA24+Z24*C24)/C24</f>
        <v>-0</v>
      </c>
      <c r="AC24" s="95" t="n">
        <v>10</v>
      </c>
      <c r="AD24" s="23" t="n">
        <v>1.05</v>
      </c>
      <c r="AE24" s="95" t="n">
        <f aca="false">(J24*sib_sw+K24+L24*sib_pw)*sib_bread+P24*sib_horses*sib_oats+AC24*sib_relief_kg</f>
        <v>10.4675</v>
      </c>
      <c r="AF24" s="95" t="n">
        <f aca="false">sib_surplus*AD24*sib_harvest*1000000/365*sib_callmax</f>
        <v>863.013698630137</v>
      </c>
      <c r="AG24" s="95" t="n">
        <f aca="false">MAX(0,AE24-AF24)</f>
        <v>0</v>
      </c>
      <c r="AH24" s="95" t="n">
        <f aca="false">AE24-AG24</f>
        <v>10.4675</v>
      </c>
      <c r="AI24" s="95" t="n">
        <f aca="false">I24*O24*sib_cn_kg</f>
        <v>0</v>
      </c>
      <c r="AJ24" s="95" t="n">
        <f aca="false">Q24*sib_loc_kg+H24*(1-N24)*sib_jp_kg</f>
        <v>45.45</v>
      </c>
      <c r="AK24" s="95" t="n">
        <f aca="false">T24+U24+V24+W24+X24+AB24</f>
        <v>44.32</v>
      </c>
      <c r="AL24" s="95" t="n">
        <f aca="false">AI24+AG24</f>
        <v>0</v>
      </c>
      <c r="AM24" s="95" t="n">
        <f aca="false">AK24+AJ24</f>
        <v>89.77</v>
      </c>
      <c r="AN24" s="95" t="n">
        <f aca="false">AK24+AL24+sib_e2*AJ24</f>
        <v>71.59</v>
      </c>
      <c r="AO24" s="95" t="n">
        <f aca="false">AK24+AL24+sib_e3*AJ24</f>
        <v>57.955</v>
      </c>
      <c r="AP24" s="95" t="n">
        <f aca="false">AK24+AL24+Z24</f>
        <v>44.32</v>
      </c>
      <c r="AQ24" s="95" t="n">
        <f aca="false">AK24+AL24+Z24</f>
        <v>44.32</v>
      </c>
      <c r="AR24" s="95" t="n">
        <f aca="false">H24+I24+L24</f>
        <v>24</v>
      </c>
      <c r="AS24" s="95" t="n">
        <f aca="false">H24*N24+I24*O24+L24*sib_pw</f>
        <v>2.7</v>
      </c>
      <c r="AT24" s="96" t="n">
        <f aca="false">(MAX(0,AR24-AR23)+AR24*sib_rot*C24/365)*1000/sib_mtrain/C24</f>
        <v>0.010958904109589</v>
      </c>
      <c r="AU24" s="96" t="n">
        <f aca="false">(MAX(0,AS24-AS23)+AS24*sib_rot*C24/365)*1000/sib_mtrain/C24</f>
        <v>0.00123287671232877</v>
      </c>
      <c r="AV24" s="95" t="n">
        <v>0</v>
      </c>
      <c r="AW24" s="95" t="n">
        <v>0</v>
      </c>
      <c r="AX24" s="95" t="n">
        <f aca="false">(SUM(AV$6:AV24)+SUM(AW$6:AW24))*0.9</f>
        <v>855</v>
      </c>
      <c r="AY24" s="23" t="n">
        <v>0.85</v>
      </c>
      <c r="AZ24" s="23" t="n">
        <f aca="false">1-(1-AY24)*sib_sick</f>
        <v>0.85</v>
      </c>
      <c r="BA24" s="95" t="n">
        <f aca="false">sib_loco0*AZ24+AX24</f>
        <v>1960</v>
      </c>
      <c r="BB24" s="23" t="n">
        <f aca="false">AX24/BA24</f>
        <v>0.436224489795918</v>
      </c>
      <c r="BC24" s="95" t="n">
        <v>18</v>
      </c>
      <c r="BD24" s="95" t="n">
        <v>16</v>
      </c>
      <c r="BE24" s="95" t="n">
        <v>18</v>
      </c>
      <c r="BF24" s="95" t="n">
        <v>24</v>
      </c>
      <c r="BG24" s="95" t="n">
        <v>24</v>
      </c>
      <c r="BH24" s="96" t="n">
        <f aca="false">BC$6+(BC24-BC$6)*sib_works</f>
        <v>18</v>
      </c>
      <c r="BI24" s="96" t="n">
        <f aca="false">BD$6+(BD24-BD$6)*sib_works</f>
        <v>16</v>
      </c>
      <c r="BJ24" s="96" t="n">
        <f aca="false">BE$6+(BE24-BE$6)*sib_works</f>
        <v>18</v>
      </c>
      <c r="BK24" s="96" t="n">
        <f aca="false">BF$6+(BF24-BF$6)*sib_works</f>
        <v>24</v>
      </c>
      <c r="BL24" s="96" t="n">
        <f aca="false">BG$6+(BG24-BG$6)*sib_works</f>
        <v>24</v>
      </c>
      <c r="BM24" s="95" t="n">
        <v>0</v>
      </c>
      <c r="BN24" s="96" t="n">
        <f aca="false">(BH24*G24-sib_pass)*(1-sib_civ)*(1-sib_fuel-BM24*sib_strike)-AT24</f>
        <v>6.81544109589041</v>
      </c>
      <c r="BO24" s="96" t="n">
        <f aca="false">(BI24*G24-sib_pass)*(1-sib_civ)*(1-sib_fuel-BM24*sib_strike)-AT24</f>
        <v>5.91384109589041</v>
      </c>
      <c r="BP24" s="96" t="n">
        <f aca="false">(BJ24*G24-sib_pass)*(1-sib_civ)*(1-sib_fuel-BM24*sib_strike)-AU24</f>
        <v>6.82516712328767</v>
      </c>
      <c r="BQ24" s="96" t="n">
        <f aca="false">(BK24*G24-sib_pass)*(1-sib_civ)*(1-sib_fuel-BM24*sib_strike)-AU24</f>
        <v>9.52996712328767</v>
      </c>
      <c r="BR24" s="96" t="n">
        <f aca="false">(BL24*G24-sib_pass)*(1-sib_civ)*(1-sib_fuel-BM24*sib_strike)-AU24</f>
        <v>9.52996712328767</v>
      </c>
      <c r="BS24" s="96" t="n">
        <f aca="false">AM24/(sib_net1*(1+sib_decup*BB24))</f>
        <v>0.14976821783948</v>
      </c>
      <c r="BT24" s="96" t="n">
        <f aca="false">AN24/(sib_net2*(1+sib_decup*BB24))</f>
        <v>0.147875032274722</v>
      </c>
      <c r="BU24" s="96" t="n">
        <f aca="false">AO24/(sib_net3a*(1+sib_decup*BB24))</f>
        <v>0.111730097254497</v>
      </c>
      <c r="BV24" s="96" t="n">
        <f aca="false">AP24/(sib_net3b*(1+sib_decup*BB24))</f>
        <v>0.101183089404378</v>
      </c>
      <c r="BW24" s="96" t="n">
        <f aca="false">AQ24/(sib_net4*(1+sib_decup*BB24))</f>
        <v>0.0801032791117996</v>
      </c>
      <c r="BX24" s="23" t="n">
        <f aca="false">BS24/BN24</f>
        <v>0.021974838566177</v>
      </c>
      <c r="BY24" s="23" t="n">
        <f aca="false">BT24/BO24</f>
        <v>0.0250049045750455</v>
      </c>
      <c r="BZ24" s="23" t="n">
        <f aca="false">BU24/BP24</f>
        <v>0.0163703093618427</v>
      </c>
      <c r="CA24" s="23" t="n">
        <f aca="false">BV24/BQ24</f>
        <v>0.0106173597553264</v>
      </c>
      <c r="CB24" s="23" t="n">
        <f aca="false">BW24/BR24</f>
        <v>0.00840540980630009</v>
      </c>
      <c r="CC24" s="23" t="n">
        <f aca="false">MAX(BX24:CB24,DW24)</f>
        <v>0.0250049045750455</v>
      </c>
      <c r="CD24" s="1" t="str">
        <f aca="false">IF(DW24&gt;=MAX(BX24:CB24),"Ob-Chelyabinsk",CHOOSE(MATCH(CC24,BX24:CB24,0),"Vladivostok-Harbin","Harbin-Manzhouli","Manzhouli-Kitaisky (branch)","Kitaisky-Irkutsk","Irkutsk-Ob"))</f>
        <v>Harbin-Manzhouli</v>
      </c>
      <c r="CE24" s="96" t="n">
        <f aca="false">MIN(BN24-BS24,BO24-BT24,BP24-BU24,BQ24-BV24,BR24-BW24,DU24-DV24)</f>
        <v>5.76596606361569</v>
      </c>
      <c r="CF24" s="97" t="n">
        <f aca="false">2*(sib_L1*(BS24+AT24+(BH24*G24-sib_pass)*(sib_civ*sib_civused+(1-sib_civ)*sib_fuel)+sib_pass)+sib_L2*(BT24+AT24+(BI24*G24-sib_pass)*(sib_civ*sib_civused+(1-sib_civ)*sib_fuel)+sib_pass)+sib_L3a*(BU24+AU24+(BJ24*G24-sib_pass)*(sib_civ*sib_civused+(1-sib_civ)*sib_fuel)+sib_pass)+sib_L3b*(BV24+AU24+(BK24*G24-sib_pass)*(sib_civ*sib_civused+(1-sib_civ)*sib_fuel)+sib_pass)+sib_L4*(BW24+AU24+(BL24*G24-sib_pass)*(sib_civ*sib_civused+(1-sib_civ)*sib_fuel)+sib_pass)+sib_L5*(DV24+AU24+(DT24*G24-sib_pass)*(sib_civ*sib_civused+(1-sib_civ)*sib_fuel)+sib_pass))</f>
        <v>70434.9666299774</v>
      </c>
      <c r="CG24" s="95" t="n">
        <f aca="false">CF24/sib_kmloco*sib_helper</f>
        <v>550.273176796699</v>
      </c>
      <c r="CH24" s="23" t="n">
        <f aca="false">CG24/BA24</f>
        <v>0.280751620814642</v>
      </c>
      <c r="CI24" s="97" t="n">
        <v>0</v>
      </c>
      <c r="CJ24" s="97" t="n">
        <v>0</v>
      </c>
      <c r="CK24" s="97" t="n">
        <v>0</v>
      </c>
      <c r="CL24" s="97" t="n">
        <f aca="false">(sib_wag0+SUM(CI$6:CI24)+SUM(CJ$6:CJ24))*sib_wserv*(1-sib_civ)</f>
        <v>27370</v>
      </c>
      <c r="CM24" s="97" t="n">
        <f aca="false">AK24/sib_wload*(2*(sib_L1+sib_L2+sib_L3a+sib_L3b+sib_L4/2)/sib_wagkm+sib_term)+AL24/sib_wload*(2*(sib_L2+sib_L3a+sib_L3b+sib_L4/2)/sib_wagkm+sib_term)+AJ24/sib_wload*((sib_L1+sib_L2)/sib_wagkm+sib_term-2)+Z24/sib_wload*(2*(sib_L3b+sib_L4/2)/sib_wagkm+sib_term)+AU24*40*(2*(sib_L1+sib_L2+sib_L3a+sib_L3b+sib_L4/2)/sib_wagkm+sib_term)+K24*1000/sib_czw+CK24+DR24/sib_wload*(2*(sib_L4/2+sib_L5/2)/sib_wagkm)</f>
        <v>247.487281035008</v>
      </c>
      <c r="CN24" s="23" t="n">
        <f aca="false">CM24/CL24</f>
        <v>0.00904228282919282</v>
      </c>
      <c r="CO24" s="95" t="n">
        <v>0</v>
      </c>
      <c r="CP24" s="95" t="n">
        <f aca="false">MIN(CO24,AK24+AJ24)</f>
        <v>0</v>
      </c>
      <c r="CQ24" s="23" t="n">
        <f aca="false">(AK24+AJ24+Z24-CP24)*365/1000000+sib_civport</f>
        <v>0.83276605</v>
      </c>
      <c r="CR24" s="23" t="n">
        <v>3</v>
      </c>
      <c r="CS24" s="23" t="n">
        <f aca="false">CQ24/(CR24*IF(OR(RIGHT(A24,2)="Q1",C24=365),sib_portwin,1))</f>
        <v>0.326574921568628</v>
      </c>
      <c r="CT24" s="96" t="n">
        <f aca="false">(AK24+AJ24+Z24-CP24)*sib_pacship*365/(sib_dwt*0.9*sib_voy)</f>
        <v>0.410742507122507</v>
      </c>
      <c r="CU24" s="23" t="n">
        <f aca="false">CT24/sib_ships</f>
        <v>0.0102685626780627</v>
      </c>
      <c r="CV24" s="97" t="n">
        <f aca="false">CV23+(AB24+Z24)*C24+AA24</f>
        <v>149326.086956522</v>
      </c>
      <c r="CW24" s="96" t="n">
        <f aca="false">IF(C24=365,sib_surge/sib_mtrain/sib_surge_d,0)</f>
        <v>1.85185185185185</v>
      </c>
      <c r="CX24" s="95" t="n">
        <f aca="false">(CC24&gt;sib_util_max)+(CH24&gt;1)+(CN24&gt;1)+(CS24&gt;sib_util_max)+(CU24&gt;1)+(CV24&lt;0)+(CW24&gt;0)*(CE24&lt;CW24)</f>
        <v>0</v>
      </c>
      <c r="CY24" s="1" t="str">
        <f aca="false">IF(CX24=0,"OK","Check")</f>
        <v>OK</v>
      </c>
      <c r="CZ24" s="95" t="n">
        <v>0</v>
      </c>
      <c r="DA24" s="23" t="n">
        <v>2</v>
      </c>
      <c r="DB24" s="23" t="n">
        <v>0.5</v>
      </c>
      <c r="DC24" s="23" t="n">
        <f aca="false">INDEX(Paths!$B$6:$B$92,MATCH(B24,Paths!$A$6:$A$92,0))*sib_cost</f>
        <v>1.62</v>
      </c>
      <c r="DD24" s="96" t="n">
        <f aca="false">L24*sib_c_pac/1000*C24/365*DC24</f>
        <v>6.318</v>
      </c>
      <c r="DE24" s="96" t="n">
        <f aca="false">K24*sib_c_cz/1000*C24/365*DC24</f>
        <v>0</v>
      </c>
      <c r="DF24" s="96" t="n">
        <f aca="false">J24*sib_c_sib/1000*C24/365*DC24</f>
        <v>0</v>
      </c>
      <c r="DG24" s="96" t="n">
        <f aca="false">((MAX(0,T24-CP24)+V24+AB24+Z24+AA24/C24)*sib_pst_w+Q24*sib_loc_kg*sib_pst_e)*C24*sib_c_store/1000000*DC24</f>
        <v>1.197648585</v>
      </c>
      <c r="DH24" s="96" t="n">
        <f aca="false">((AW24*sib_c_loco+CJ24*sib_c_wag+MAX(0,AZ24-AZ23)*sib_loco0*sib_c_rep+CZ24*sib_c_arm)/1000000+DA24)*DC24</f>
        <v>3.61908</v>
      </c>
      <c r="DI24" s="96" t="n">
        <f aca="false">2*(sib_L1*(BS24+AT24)+sib_L2*(BT24+AT24)+sib_L3a*(BU24+AU24)+sib_L3b*(BV24+AU24)+sib_L4*(BW24+AU24)+sib_L5*(DV24+AU24))*C24*sib_c_tkm*sib_prail/1000000*DC24</f>
        <v>0.719644521674686</v>
      </c>
      <c r="DJ24" s="96" t="n">
        <f aca="false">CT24*sib_c_ship*C24/365*DC24</f>
        <v>0.299431287692308</v>
      </c>
      <c r="DK24" s="96" t="n">
        <f aca="false">DB24*DC24</f>
        <v>0.81</v>
      </c>
      <c r="DL24" s="96" t="n">
        <f aca="false">AA24*sib_c_kara/1000000*DC24</f>
        <v>0</v>
      </c>
      <c r="DM24" s="96" t="n">
        <f aca="false">(AC24*sib_c_ref/1000*C24/365+AH24*C24*sib_c_grain/1000000)*DC24</f>
        <v>0.3611365965</v>
      </c>
      <c r="DN24" s="96" t="n">
        <f aca="false">Z24*C24*sib_c_amur/1000000*DC24</f>
        <v>0</v>
      </c>
      <c r="DO24" s="96" t="n">
        <f aca="false">sib_fed*sib_c_fed/1000000*C24/365*DC24</f>
        <v>2.43</v>
      </c>
      <c r="DP24" s="96" t="n">
        <f aca="false">SUM(DD24:DO24)</f>
        <v>15.754940990867</v>
      </c>
      <c r="DQ24" s="98" t="n">
        <v>0.2</v>
      </c>
      <c r="DR24" s="99" t="n">
        <f aca="false">AQ24*DQ24</f>
        <v>8.864</v>
      </c>
      <c r="DS24" s="98" t="n">
        <v>24</v>
      </c>
      <c r="DT24" s="99" t="n">
        <f aca="false">DS$6+(DS24-DS$6)*sib_works</f>
        <v>24</v>
      </c>
      <c r="DU24" s="99" t="n">
        <f aca="false">(DT24*G24-sib_pass)*(1-sib_civ)*(1-sib_fuel-BM24*sib_strike)-AU24</f>
        <v>9.52996712328767</v>
      </c>
      <c r="DV24" s="99" t="n">
        <f aca="false">DR24/(sib_net5*(1+sib_decup*BB24))</f>
        <v>0.0160206558223599</v>
      </c>
      <c r="DW24" s="99" t="n">
        <f aca="false">IF(DV24=0,0,IF(DU24&lt;=0,9.99,DV24/DU24))</f>
        <v>0.00168108196126002</v>
      </c>
    </row>
    <row r="25" customFormat="false" ht="13.5" hidden="false" customHeight="true" outlineLevel="0" collapsed="false">
      <c r="A25" s="52" t="s">
        <v>2006</v>
      </c>
      <c r="B25" s="95" t="n">
        <v>1924</v>
      </c>
      <c r="C25" s="95" t="n">
        <v>365</v>
      </c>
      <c r="D25" s="1" t="s">
        <v>2005</v>
      </c>
      <c r="E25" s="23" t="n">
        <v>0.3</v>
      </c>
      <c r="F25" s="95" t="n">
        <v>1</v>
      </c>
      <c r="G25" s="23" t="n">
        <f aca="false">1-E25*IF(F25=1,sib_winter,1)</f>
        <v>0.7</v>
      </c>
      <c r="H25" s="95" t="n">
        <v>15</v>
      </c>
      <c r="I25" s="95" t="n">
        <v>6</v>
      </c>
      <c r="J25" s="95" t="n">
        <v>0</v>
      </c>
      <c r="K25" s="95" t="n">
        <v>0</v>
      </c>
      <c r="L25" s="95" t="n">
        <v>3</v>
      </c>
      <c r="M25" s="95" t="n">
        <f aca="false">SUM(H25:L25)</f>
        <v>24</v>
      </c>
      <c r="N25" s="23" t="n">
        <v>0</v>
      </c>
      <c r="O25" s="23" t="n">
        <v>0</v>
      </c>
      <c r="P25" s="95" t="n">
        <f aca="false">H25*N25+I25*O25+J25*sib_sw+K25+L25*sib_pw</f>
        <v>2.7</v>
      </c>
      <c r="Q25" s="95" t="n">
        <f aca="false">M25-P25</f>
        <v>21.3</v>
      </c>
      <c r="R25" s="23" t="n">
        <v>0.2</v>
      </c>
      <c r="S25" s="96" t="n">
        <v>2</v>
      </c>
      <c r="T25" s="95" t="n">
        <f aca="false">P25*(R25*S25*sib_ammo+(1-R25)*sib_loc_kg)</f>
        <v>4.32</v>
      </c>
      <c r="U25" s="95" t="n">
        <f aca="false">H25*N25*sib_jp_kg</f>
        <v>0</v>
      </c>
      <c r="V25" s="95" t="n">
        <v>0</v>
      </c>
      <c r="W25" s="95" t="n">
        <v>40</v>
      </c>
      <c r="X25" s="95" t="n">
        <v>0</v>
      </c>
      <c r="Y25" s="95" t="n">
        <v>0</v>
      </c>
      <c r="Z25" s="95" t="n">
        <f aca="false">Y25*sib_amur</f>
        <v>0</v>
      </c>
      <c r="AA25" s="97" t="n">
        <v>0</v>
      </c>
      <c r="AB25" s="95" t="n">
        <f aca="false">-(AA25+Z25*C25)/C25</f>
        <v>-0</v>
      </c>
      <c r="AC25" s="95" t="n">
        <v>10</v>
      </c>
      <c r="AD25" s="23" t="n">
        <v>1.1</v>
      </c>
      <c r="AE25" s="95" t="n">
        <f aca="false">(J25*sib_sw+K25+L25*sib_pw)*sib_bread+P25*sib_horses*sib_oats+AC25*sib_relief_kg</f>
        <v>10.4675</v>
      </c>
      <c r="AF25" s="95" t="n">
        <f aca="false">sib_surplus*AD25*sib_harvest*1000000/365*sib_callmax</f>
        <v>904.109589041096</v>
      </c>
      <c r="AG25" s="95" t="n">
        <f aca="false">MAX(0,AE25-AF25)</f>
        <v>0</v>
      </c>
      <c r="AH25" s="95" t="n">
        <f aca="false">AE25-AG25</f>
        <v>10.4675</v>
      </c>
      <c r="AI25" s="95" t="n">
        <f aca="false">I25*O25*sib_cn_kg</f>
        <v>0</v>
      </c>
      <c r="AJ25" s="95" t="n">
        <f aca="false">Q25*sib_loc_kg+H25*(1-N25)*sib_jp_kg</f>
        <v>45.45</v>
      </c>
      <c r="AK25" s="95" t="n">
        <f aca="false">T25+U25+V25+W25+X25+AB25</f>
        <v>44.32</v>
      </c>
      <c r="AL25" s="95" t="n">
        <f aca="false">AI25+AG25</f>
        <v>0</v>
      </c>
      <c r="AM25" s="95" t="n">
        <f aca="false">AK25+AJ25</f>
        <v>89.77</v>
      </c>
      <c r="AN25" s="95" t="n">
        <f aca="false">AK25+AL25+sib_e2*AJ25</f>
        <v>71.59</v>
      </c>
      <c r="AO25" s="95" t="n">
        <f aca="false">AK25+AL25+sib_e3*AJ25</f>
        <v>57.955</v>
      </c>
      <c r="AP25" s="95" t="n">
        <f aca="false">AK25+AL25+Z25</f>
        <v>44.32</v>
      </c>
      <c r="AQ25" s="95" t="n">
        <f aca="false">AK25+AL25+Z25</f>
        <v>44.32</v>
      </c>
      <c r="AR25" s="95" t="n">
        <f aca="false">H25+I25+L25</f>
        <v>24</v>
      </c>
      <c r="AS25" s="95" t="n">
        <f aca="false">H25*N25+I25*O25+L25*sib_pw</f>
        <v>2.7</v>
      </c>
      <c r="AT25" s="96" t="n">
        <f aca="false">(MAX(0,AR25-AR24)+AR25*sib_rot*C25/365)*1000/sib_mtrain/C25</f>
        <v>0.010958904109589</v>
      </c>
      <c r="AU25" s="96" t="n">
        <f aca="false">(MAX(0,AS25-AS24)+AS25*sib_rot*C25/365)*1000/sib_mtrain/C25</f>
        <v>0.00123287671232877</v>
      </c>
      <c r="AV25" s="95" t="n">
        <v>0</v>
      </c>
      <c r="AW25" s="95" t="n">
        <v>0</v>
      </c>
      <c r="AX25" s="95" t="n">
        <f aca="false">(SUM(AV$6:AV25)+SUM(AW$6:AW25))*0.9</f>
        <v>855</v>
      </c>
      <c r="AY25" s="23" t="n">
        <v>0.85</v>
      </c>
      <c r="AZ25" s="23" t="n">
        <f aca="false">1-(1-AY25)*sib_sick</f>
        <v>0.85</v>
      </c>
      <c r="BA25" s="95" t="n">
        <f aca="false">sib_loco0*AZ25+AX25</f>
        <v>1960</v>
      </c>
      <c r="BB25" s="23" t="n">
        <f aca="false">AX25/BA25</f>
        <v>0.436224489795918</v>
      </c>
      <c r="BC25" s="95" t="n">
        <v>18</v>
      </c>
      <c r="BD25" s="95" t="n">
        <v>16</v>
      </c>
      <c r="BE25" s="95" t="n">
        <v>18</v>
      </c>
      <c r="BF25" s="95" t="n">
        <v>24</v>
      </c>
      <c r="BG25" s="95" t="n">
        <v>24</v>
      </c>
      <c r="BH25" s="96" t="n">
        <f aca="false">BC$6+(BC25-BC$6)*sib_works</f>
        <v>18</v>
      </c>
      <c r="BI25" s="96" t="n">
        <f aca="false">BD$6+(BD25-BD$6)*sib_works</f>
        <v>16</v>
      </c>
      <c r="BJ25" s="96" t="n">
        <f aca="false">BE$6+(BE25-BE$6)*sib_works</f>
        <v>18</v>
      </c>
      <c r="BK25" s="96" t="n">
        <f aca="false">BF$6+(BF25-BF$6)*sib_works</f>
        <v>24</v>
      </c>
      <c r="BL25" s="96" t="n">
        <f aca="false">BG$6+(BG25-BG$6)*sib_works</f>
        <v>24</v>
      </c>
      <c r="BM25" s="95" t="n">
        <v>0</v>
      </c>
      <c r="BN25" s="96" t="n">
        <f aca="false">(BH25*G25-sib_pass)*(1-sib_civ)*(1-sib_fuel-BM25*sib_strike)-AT25</f>
        <v>6.81544109589041</v>
      </c>
      <c r="BO25" s="96" t="n">
        <f aca="false">(BI25*G25-sib_pass)*(1-sib_civ)*(1-sib_fuel-BM25*sib_strike)-AT25</f>
        <v>5.91384109589041</v>
      </c>
      <c r="BP25" s="96" t="n">
        <f aca="false">(BJ25*G25-sib_pass)*(1-sib_civ)*(1-sib_fuel-BM25*sib_strike)-AU25</f>
        <v>6.82516712328767</v>
      </c>
      <c r="BQ25" s="96" t="n">
        <f aca="false">(BK25*G25-sib_pass)*(1-sib_civ)*(1-sib_fuel-BM25*sib_strike)-AU25</f>
        <v>9.52996712328767</v>
      </c>
      <c r="BR25" s="96" t="n">
        <f aca="false">(BL25*G25-sib_pass)*(1-sib_civ)*(1-sib_fuel-BM25*sib_strike)-AU25</f>
        <v>9.52996712328767</v>
      </c>
      <c r="BS25" s="96" t="n">
        <f aca="false">AM25/(sib_net1*(1+sib_decup*BB25))</f>
        <v>0.14976821783948</v>
      </c>
      <c r="BT25" s="96" t="n">
        <f aca="false">AN25/(sib_net2*(1+sib_decup*BB25))</f>
        <v>0.147875032274722</v>
      </c>
      <c r="BU25" s="96" t="n">
        <f aca="false">AO25/(sib_net3a*(1+sib_decup*BB25))</f>
        <v>0.111730097254497</v>
      </c>
      <c r="BV25" s="96" t="n">
        <f aca="false">AP25/(sib_net3b*(1+sib_decup*BB25))</f>
        <v>0.101183089404378</v>
      </c>
      <c r="BW25" s="96" t="n">
        <f aca="false">AQ25/(sib_net4*(1+sib_decup*BB25))</f>
        <v>0.0801032791117996</v>
      </c>
      <c r="BX25" s="23" t="n">
        <f aca="false">BS25/BN25</f>
        <v>0.021974838566177</v>
      </c>
      <c r="BY25" s="23" t="n">
        <f aca="false">BT25/BO25</f>
        <v>0.0250049045750455</v>
      </c>
      <c r="BZ25" s="23" t="n">
        <f aca="false">BU25/BP25</f>
        <v>0.0163703093618427</v>
      </c>
      <c r="CA25" s="23" t="n">
        <f aca="false">BV25/BQ25</f>
        <v>0.0106173597553264</v>
      </c>
      <c r="CB25" s="23" t="n">
        <f aca="false">BW25/BR25</f>
        <v>0.00840540980630009</v>
      </c>
      <c r="CC25" s="23" t="n">
        <f aca="false">MAX(BX25:CB25,DW25)</f>
        <v>0.0250049045750455</v>
      </c>
      <c r="CD25" s="1" t="str">
        <f aca="false">IF(DW25&gt;=MAX(BX25:CB25),"Ob-Chelyabinsk",CHOOSE(MATCH(CC25,BX25:CB25,0),"Vladivostok-Harbin","Harbin-Manzhouli","Manzhouli-Kitaisky (branch)","Kitaisky-Irkutsk","Irkutsk-Ob"))</f>
        <v>Harbin-Manzhouli</v>
      </c>
      <c r="CE25" s="96" t="n">
        <f aca="false">MIN(BN25-BS25,BO25-BT25,BP25-BU25,BQ25-BV25,BR25-BW25,DU25-DV25)</f>
        <v>5.76596606361569</v>
      </c>
      <c r="CF25" s="97" t="n">
        <f aca="false">2*(sib_L1*(BS25+AT25+(BH25*G25-sib_pass)*(sib_civ*sib_civused+(1-sib_civ)*sib_fuel)+sib_pass)+sib_L2*(BT25+AT25+(BI25*G25-sib_pass)*(sib_civ*sib_civused+(1-sib_civ)*sib_fuel)+sib_pass)+sib_L3a*(BU25+AU25+(BJ25*G25-sib_pass)*(sib_civ*sib_civused+(1-sib_civ)*sib_fuel)+sib_pass)+sib_L3b*(BV25+AU25+(BK25*G25-sib_pass)*(sib_civ*sib_civused+(1-sib_civ)*sib_fuel)+sib_pass)+sib_L4*(BW25+AU25+(BL25*G25-sib_pass)*(sib_civ*sib_civused+(1-sib_civ)*sib_fuel)+sib_pass)+sib_L5*(DV25+AU25+(DT25*G25-sib_pass)*(sib_civ*sib_civused+(1-sib_civ)*sib_fuel)+sib_pass))</f>
        <v>70434.9666299774</v>
      </c>
      <c r="CG25" s="95" t="n">
        <f aca="false">CF25/sib_kmloco*sib_helper</f>
        <v>550.273176796699</v>
      </c>
      <c r="CH25" s="23" t="n">
        <f aca="false">CG25/BA25</f>
        <v>0.280751620814642</v>
      </c>
      <c r="CI25" s="97" t="n">
        <v>0</v>
      </c>
      <c r="CJ25" s="97" t="n">
        <v>0</v>
      </c>
      <c r="CK25" s="97" t="n">
        <v>0</v>
      </c>
      <c r="CL25" s="97" t="n">
        <f aca="false">(sib_wag0+SUM(CI$6:CI25)+SUM(CJ$6:CJ25))*sib_wserv*(1-sib_civ)</f>
        <v>27370</v>
      </c>
      <c r="CM25" s="97" t="n">
        <f aca="false">AK25/sib_wload*(2*(sib_L1+sib_L2+sib_L3a+sib_L3b+sib_L4/2)/sib_wagkm+sib_term)+AL25/sib_wload*(2*(sib_L2+sib_L3a+sib_L3b+sib_L4/2)/sib_wagkm+sib_term)+AJ25/sib_wload*((sib_L1+sib_L2)/sib_wagkm+sib_term-2)+Z25/sib_wload*(2*(sib_L3b+sib_L4/2)/sib_wagkm+sib_term)+AU25*40*(2*(sib_L1+sib_L2+sib_L3a+sib_L3b+sib_L4/2)/sib_wagkm+sib_term)+K25*1000/sib_czw+CK25+DR25/sib_wload*(2*(sib_L4/2+sib_L5/2)/sib_wagkm)</f>
        <v>247.487281035008</v>
      </c>
      <c r="CN25" s="23" t="n">
        <f aca="false">CM25/CL25</f>
        <v>0.00904228282919282</v>
      </c>
      <c r="CO25" s="95" t="n">
        <v>0</v>
      </c>
      <c r="CP25" s="95" t="n">
        <f aca="false">MIN(CO25,AK25+AJ25)</f>
        <v>0</v>
      </c>
      <c r="CQ25" s="23" t="n">
        <f aca="false">(AK25+AJ25+Z25-CP25)*365/1000000+sib_civport</f>
        <v>0.83276605</v>
      </c>
      <c r="CR25" s="23" t="n">
        <v>3</v>
      </c>
      <c r="CS25" s="23" t="n">
        <f aca="false">CQ25/(CR25*IF(OR(RIGHT(A25,2)="Q1",C25=365),sib_portwin,1))</f>
        <v>0.326574921568628</v>
      </c>
      <c r="CT25" s="96" t="n">
        <f aca="false">(AK25+AJ25+Z25-CP25)*sib_pacship*365/(sib_dwt*0.9*sib_voy)</f>
        <v>0.410742507122507</v>
      </c>
      <c r="CU25" s="23" t="n">
        <f aca="false">CT25/sib_ships</f>
        <v>0.0102685626780627</v>
      </c>
      <c r="CV25" s="97" t="n">
        <f aca="false">CV24+(AB25+Z25)*C25+AA25</f>
        <v>149326.086956522</v>
      </c>
      <c r="CW25" s="96" t="n">
        <f aca="false">IF(C25=365,sib_surge/sib_mtrain/sib_surge_d,0)</f>
        <v>1.85185185185185</v>
      </c>
      <c r="CX25" s="95" t="n">
        <f aca="false">(CC25&gt;sib_util_max)+(CH25&gt;1)+(CN25&gt;1)+(CS25&gt;sib_util_max)+(CU25&gt;1)+(CV25&lt;0)+(CW25&gt;0)*(CE25&lt;CW25)</f>
        <v>0</v>
      </c>
      <c r="CY25" s="1" t="str">
        <f aca="false">IF(CX25=0,"OK","Check")</f>
        <v>OK</v>
      </c>
      <c r="CZ25" s="95" t="n">
        <v>0</v>
      </c>
      <c r="DA25" s="23" t="n">
        <v>2</v>
      </c>
      <c r="DB25" s="23" t="n">
        <v>0.5</v>
      </c>
      <c r="DC25" s="23" t="n">
        <f aca="false">INDEX(Paths!$B$6:$B$92,MATCH(B25,Paths!$A$6:$A$92,0))*sib_cost</f>
        <v>1.62</v>
      </c>
      <c r="DD25" s="96" t="n">
        <f aca="false">L25*sib_c_pac/1000*C25/365*DC25</f>
        <v>6.318</v>
      </c>
      <c r="DE25" s="96" t="n">
        <f aca="false">K25*sib_c_cz/1000*C25/365*DC25</f>
        <v>0</v>
      </c>
      <c r="DF25" s="96" t="n">
        <f aca="false">J25*sib_c_sib/1000*C25/365*DC25</f>
        <v>0</v>
      </c>
      <c r="DG25" s="96" t="n">
        <f aca="false">((MAX(0,T25-CP25)+V25+AB25+Z25+AA25/C25)*sib_pst_w+Q25*sib_loc_kg*sib_pst_e)*C25*sib_c_store/1000000*DC25</f>
        <v>1.197648585</v>
      </c>
      <c r="DH25" s="96" t="n">
        <f aca="false">((AW25*sib_c_loco+CJ25*sib_c_wag+MAX(0,AZ25-AZ24)*sib_loco0*sib_c_rep+CZ25*sib_c_arm)/1000000+DA25)*DC25</f>
        <v>3.24</v>
      </c>
      <c r="DI25" s="96" t="n">
        <f aca="false">2*(sib_L1*(BS25+AT25)+sib_L2*(BT25+AT25)+sib_L3a*(BU25+AU25)+sib_L3b*(BV25+AU25)+sib_L4*(BW25+AU25)+sib_L5*(DV25+AU25))*C25*sib_c_tkm*sib_prail/1000000*DC25</f>
        <v>0.719644521674686</v>
      </c>
      <c r="DJ25" s="96" t="n">
        <f aca="false">CT25*sib_c_ship*C25/365*DC25</f>
        <v>0.299431287692308</v>
      </c>
      <c r="DK25" s="96" t="n">
        <f aca="false">DB25*DC25</f>
        <v>0.81</v>
      </c>
      <c r="DL25" s="96" t="n">
        <f aca="false">AA25*sib_c_kara/1000000*DC25</f>
        <v>0</v>
      </c>
      <c r="DM25" s="96" t="n">
        <f aca="false">(AC25*sib_c_ref/1000*C25/365+AH25*C25*sib_c_grain/1000000)*DC25</f>
        <v>0.3611365965</v>
      </c>
      <c r="DN25" s="96" t="n">
        <f aca="false">Z25*C25*sib_c_amur/1000000*DC25</f>
        <v>0</v>
      </c>
      <c r="DO25" s="96" t="n">
        <f aca="false">sib_fed*sib_c_fed/1000000*C25/365*DC25</f>
        <v>2.43</v>
      </c>
      <c r="DP25" s="96" t="n">
        <f aca="false">SUM(DD25:DO25)</f>
        <v>15.375860990867</v>
      </c>
      <c r="DQ25" s="98" t="n">
        <v>0.2</v>
      </c>
      <c r="DR25" s="99" t="n">
        <f aca="false">AQ25*DQ25</f>
        <v>8.864</v>
      </c>
      <c r="DS25" s="98" t="n">
        <v>24</v>
      </c>
      <c r="DT25" s="99" t="n">
        <f aca="false">DS$6+(DS25-DS$6)*sib_works</f>
        <v>24</v>
      </c>
      <c r="DU25" s="99" t="n">
        <f aca="false">(DT25*G25-sib_pass)*(1-sib_civ)*(1-sib_fuel-BM25*sib_strike)-AU25</f>
        <v>9.52996712328767</v>
      </c>
      <c r="DV25" s="99" t="n">
        <f aca="false">DR25/(sib_net5*(1+sib_decup*BB25))</f>
        <v>0.0160206558223599</v>
      </c>
      <c r="DW25" s="99" t="n">
        <f aca="false">IF(DV25=0,0,IF(DU25&lt;=0,9.99,DV25/DU25))</f>
        <v>0.00168108196126002</v>
      </c>
    </row>
    <row r="26" customFormat="false" ht="13.5" hidden="false" customHeight="true" outlineLevel="0" collapsed="false">
      <c r="A26" s="52" t="s">
        <v>2007</v>
      </c>
      <c r="B26" s="95" t="n">
        <v>1925</v>
      </c>
      <c r="C26" s="95" t="n">
        <v>365</v>
      </c>
      <c r="D26" s="1" t="s">
        <v>2005</v>
      </c>
      <c r="E26" s="23" t="n">
        <v>0.3</v>
      </c>
      <c r="F26" s="95" t="n">
        <v>1</v>
      </c>
      <c r="G26" s="23" t="n">
        <f aca="false">1-E26*IF(F26=1,sib_winter,1)</f>
        <v>0.7</v>
      </c>
      <c r="H26" s="95" t="n">
        <v>15</v>
      </c>
      <c r="I26" s="95" t="n">
        <v>6</v>
      </c>
      <c r="J26" s="95" t="n">
        <v>0</v>
      </c>
      <c r="K26" s="95" t="n">
        <v>0</v>
      </c>
      <c r="L26" s="95" t="n">
        <v>3</v>
      </c>
      <c r="M26" s="95" t="n">
        <f aca="false">SUM(H26:L26)</f>
        <v>24</v>
      </c>
      <c r="N26" s="23" t="n">
        <v>0</v>
      </c>
      <c r="O26" s="23" t="n">
        <v>0</v>
      </c>
      <c r="P26" s="95" t="n">
        <f aca="false">H26*N26+I26*O26+J26*sib_sw+K26+L26*sib_pw</f>
        <v>2.7</v>
      </c>
      <c r="Q26" s="95" t="n">
        <f aca="false">M26-P26</f>
        <v>21.3</v>
      </c>
      <c r="R26" s="23" t="n">
        <v>0.2</v>
      </c>
      <c r="S26" s="96" t="n">
        <v>2</v>
      </c>
      <c r="T26" s="95" t="n">
        <f aca="false">P26*(R26*S26*sib_ammo+(1-R26)*sib_loc_kg)</f>
        <v>4.32</v>
      </c>
      <c r="U26" s="95" t="n">
        <f aca="false">H26*N26*sib_jp_kg</f>
        <v>0</v>
      </c>
      <c r="V26" s="95" t="n">
        <v>0</v>
      </c>
      <c r="W26" s="95" t="n">
        <v>40</v>
      </c>
      <c r="X26" s="95" t="n">
        <v>0</v>
      </c>
      <c r="Y26" s="95" t="n">
        <v>0</v>
      </c>
      <c r="Z26" s="95" t="n">
        <f aca="false">Y26*sib_amur</f>
        <v>0</v>
      </c>
      <c r="AA26" s="97" t="n">
        <v>0</v>
      </c>
      <c r="AB26" s="95" t="n">
        <f aca="false">-(AA26+Z26*C26)/C26</f>
        <v>-0</v>
      </c>
      <c r="AC26" s="95" t="n">
        <v>10</v>
      </c>
      <c r="AD26" s="23" t="n">
        <v>1.1</v>
      </c>
      <c r="AE26" s="95" t="n">
        <f aca="false">(J26*sib_sw+K26+L26*sib_pw)*sib_bread+P26*sib_horses*sib_oats+AC26*sib_relief_kg</f>
        <v>10.4675</v>
      </c>
      <c r="AF26" s="95" t="n">
        <f aca="false">sib_surplus*AD26*sib_harvest*1000000/365*sib_callmax</f>
        <v>904.109589041096</v>
      </c>
      <c r="AG26" s="95" t="n">
        <f aca="false">MAX(0,AE26-AF26)</f>
        <v>0</v>
      </c>
      <c r="AH26" s="95" t="n">
        <f aca="false">AE26-AG26</f>
        <v>10.4675</v>
      </c>
      <c r="AI26" s="95" t="n">
        <f aca="false">I26*O26*sib_cn_kg</f>
        <v>0</v>
      </c>
      <c r="AJ26" s="95" t="n">
        <f aca="false">Q26*sib_loc_kg+H26*(1-N26)*sib_jp_kg</f>
        <v>45.45</v>
      </c>
      <c r="AK26" s="95" t="n">
        <f aca="false">T26+U26+V26+W26+X26+AB26</f>
        <v>44.32</v>
      </c>
      <c r="AL26" s="95" t="n">
        <f aca="false">AI26+AG26</f>
        <v>0</v>
      </c>
      <c r="AM26" s="95" t="n">
        <f aca="false">AK26+AJ26</f>
        <v>89.77</v>
      </c>
      <c r="AN26" s="95" t="n">
        <f aca="false">AK26+AL26+sib_e2*AJ26</f>
        <v>71.59</v>
      </c>
      <c r="AO26" s="95" t="n">
        <f aca="false">AK26+AL26+sib_e3*AJ26</f>
        <v>57.955</v>
      </c>
      <c r="AP26" s="95" t="n">
        <f aca="false">AK26+AL26+Z26</f>
        <v>44.32</v>
      </c>
      <c r="AQ26" s="95" t="n">
        <f aca="false">AK26+AL26+Z26</f>
        <v>44.32</v>
      </c>
      <c r="AR26" s="95" t="n">
        <f aca="false">H26+I26+L26</f>
        <v>24</v>
      </c>
      <c r="AS26" s="95" t="n">
        <f aca="false">H26*N26+I26*O26+L26*sib_pw</f>
        <v>2.7</v>
      </c>
      <c r="AT26" s="96" t="n">
        <f aca="false">(MAX(0,AR26-AR25)+AR26*sib_rot*C26/365)*1000/sib_mtrain/C26</f>
        <v>0.010958904109589</v>
      </c>
      <c r="AU26" s="96" t="n">
        <f aca="false">(MAX(0,AS26-AS25)+AS26*sib_rot*C26/365)*1000/sib_mtrain/C26</f>
        <v>0.00123287671232877</v>
      </c>
      <c r="AV26" s="95" t="n">
        <v>0</v>
      </c>
      <c r="AW26" s="95" t="n">
        <v>0</v>
      </c>
      <c r="AX26" s="95" t="n">
        <f aca="false">(SUM(AV$6:AV26)+SUM(AW$6:AW26))*0.9</f>
        <v>855</v>
      </c>
      <c r="AY26" s="23" t="n">
        <v>0.85</v>
      </c>
      <c r="AZ26" s="23" t="n">
        <f aca="false">1-(1-AY26)*sib_sick</f>
        <v>0.85</v>
      </c>
      <c r="BA26" s="95" t="n">
        <f aca="false">sib_loco0*AZ26+AX26</f>
        <v>1960</v>
      </c>
      <c r="BB26" s="23" t="n">
        <f aca="false">AX26/BA26</f>
        <v>0.436224489795918</v>
      </c>
      <c r="BC26" s="95" t="n">
        <v>18</v>
      </c>
      <c r="BD26" s="95" t="n">
        <v>16</v>
      </c>
      <c r="BE26" s="95" t="n">
        <v>18</v>
      </c>
      <c r="BF26" s="95" t="n">
        <v>24</v>
      </c>
      <c r="BG26" s="95" t="n">
        <v>24</v>
      </c>
      <c r="BH26" s="96" t="n">
        <f aca="false">BC$6+(BC26-BC$6)*sib_works</f>
        <v>18</v>
      </c>
      <c r="BI26" s="96" t="n">
        <f aca="false">BD$6+(BD26-BD$6)*sib_works</f>
        <v>16</v>
      </c>
      <c r="BJ26" s="96" t="n">
        <f aca="false">BE$6+(BE26-BE$6)*sib_works</f>
        <v>18</v>
      </c>
      <c r="BK26" s="96" t="n">
        <f aca="false">BF$6+(BF26-BF$6)*sib_works</f>
        <v>24</v>
      </c>
      <c r="BL26" s="96" t="n">
        <f aca="false">BG$6+(BG26-BG$6)*sib_works</f>
        <v>24</v>
      </c>
      <c r="BM26" s="95" t="n">
        <v>0</v>
      </c>
      <c r="BN26" s="96" t="n">
        <f aca="false">(BH26*G26-sib_pass)*(1-sib_civ)*(1-sib_fuel-BM26*sib_strike)-AT26</f>
        <v>6.81544109589041</v>
      </c>
      <c r="BO26" s="96" t="n">
        <f aca="false">(BI26*G26-sib_pass)*(1-sib_civ)*(1-sib_fuel-BM26*sib_strike)-AT26</f>
        <v>5.91384109589041</v>
      </c>
      <c r="BP26" s="96" t="n">
        <f aca="false">(BJ26*G26-sib_pass)*(1-sib_civ)*(1-sib_fuel-BM26*sib_strike)-AU26</f>
        <v>6.82516712328767</v>
      </c>
      <c r="BQ26" s="96" t="n">
        <f aca="false">(BK26*G26-sib_pass)*(1-sib_civ)*(1-sib_fuel-BM26*sib_strike)-AU26</f>
        <v>9.52996712328767</v>
      </c>
      <c r="BR26" s="96" t="n">
        <f aca="false">(BL26*G26-sib_pass)*(1-sib_civ)*(1-sib_fuel-BM26*sib_strike)-AU26</f>
        <v>9.52996712328767</v>
      </c>
      <c r="BS26" s="96" t="n">
        <f aca="false">AM26/(sib_net1*(1+sib_decup*BB26))</f>
        <v>0.14976821783948</v>
      </c>
      <c r="BT26" s="96" t="n">
        <f aca="false">AN26/(sib_net2*(1+sib_decup*BB26))</f>
        <v>0.147875032274722</v>
      </c>
      <c r="BU26" s="96" t="n">
        <f aca="false">AO26/(sib_net3a*(1+sib_decup*BB26))</f>
        <v>0.111730097254497</v>
      </c>
      <c r="BV26" s="96" t="n">
        <f aca="false">AP26/(sib_net3b*(1+sib_decup*BB26))</f>
        <v>0.101183089404378</v>
      </c>
      <c r="BW26" s="96" t="n">
        <f aca="false">AQ26/(sib_net4*(1+sib_decup*BB26))</f>
        <v>0.0801032791117996</v>
      </c>
      <c r="BX26" s="23" t="n">
        <f aca="false">BS26/BN26</f>
        <v>0.021974838566177</v>
      </c>
      <c r="BY26" s="23" t="n">
        <f aca="false">BT26/BO26</f>
        <v>0.0250049045750455</v>
      </c>
      <c r="BZ26" s="23" t="n">
        <f aca="false">BU26/BP26</f>
        <v>0.0163703093618427</v>
      </c>
      <c r="CA26" s="23" t="n">
        <f aca="false">BV26/BQ26</f>
        <v>0.0106173597553264</v>
      </c>
      <c r="CB26" s="23" t="n">
        <f aca="false">BW26/BR26</f>
        <v>0.00840540980630009</v>
      </c>
      <c r="CC26" s="23" t="n">
        <f aca="false">MAX(BX26:CB26,DW26)</f>
        <v>0.0250049045750455</v>
      </c>
      <c r="CD26" s="1" t="str">
        <f aca="false">IF(DW26&gt;=MAX(BX26:CB26),"Ob-Chelyabinsk",CHOOSE(MATCH(CC26,BX26:CB26,0),"Vladivostok-Harbin","Harbin-Manzhouli","Manzhouli-Kitaisky (branch)","Kitaisky-Irkutsk","Irkutsk-Ob"))</f>
        <v>Harbin-Manzhouli</v>
      </c>
      <c r="CE26" s="96" t="n">
        <f aca="false">MIN(BN26-BS26,BO26-BT26,BP26-BU26,BQ26-BV26,BR26-BW26,DU26-DV26)</f>
        <v>5.76596606361569</v>
      </c>
      <c r="CF26" s="97" t="n">
        <f aca="false">2*(sib_L1*(BS26+AT26+(BH26*G26-sib_pass)*(sib_civ*sib_civused+(1-sib_civ)*sib_fuel)+sib_pass)+sib_L2*(BT26+AT26+(BI26*G26-sib_pass)*(sib_civ*sib_civused+(1-sib_civ)*sib_fuel)+sib_pass)+sib_L3a*(BU26+AU26+(BJ26*G26-sib_pass)*(sib_civ*sib_civused+(1-sib_civ)*sib_fuel)+sib_pass)+sib_L3b*(BV26+AU26+(BK26*G26-sib_pass)*(sib_civ*sib_civused+(1-sib_civ)*sib_fuel)+sib_pass)+sib_L4*(BW26+AU26+(BL26*G26-sib_pass)*(sib_civ*sib_civused+(1-sib_civ)*sib_fuel)+sib_pass)+sib_L5*(DV26+AU26+(DT26*G26-sib_pass)*(sib_civ*sib_civused+(1-sib_civ)*sib_fuel)+sib_pass))</f>
        <v>70434.9666299774</v>
      </c>
      <c r="CG26" s="95" t="n">
        <f aca="false">CF26/sib_kmloco*sib_helper</f>
        <v>550.273176796699</v>
      </c>
      <c r="CH26" s="23" t="n">
        <f aca="false">CG26/BA26</f>
        <v>0.280751620814642</v>
      </c>
      <c r="CI26" s="97" t="n">
        <v>0</v>
      </c>
      <c r="CJ26" s="97" t="n">
        <v>0</v>
      </c>
      <c r="CK26" s="97" t="n">
        <v>0</v>
      </c>
      <c r="CL26" s="97" t="n">
        <f aca="false">(sib_wag0+SUM(CI$6:CI26)+SUM(CJ$6:CJ26))*sib_wserv*(1-sib_civ)</f>
        <v>27370</v>
      </c>
      <c r="CM26" s="97" t="n">
        <f aca="false">AK26/sib_wload*(2*(sib_L1+sib_L2+sib_L3a+sib_L3b+sib_L4/2)/sib_wagkm+sib_term)+AL26/sib_wload*(2*(sib_L2+sib_L3a+sib_L3b+sib_L4/2)/sib_wagkm+sib_term)+AJ26/sib_wload*((sib_L1+sib_L2)/sib_wagkm+sib_term-2)+Z26/sib_wload*(2*(sib_L3b+sib_L4/2)/sib_wagkm+sib_term)+AU26*40*(2*(sib_L1+sib_L2+sib_L3a+sib_L3b+sib_L4/2)/sib_wagkm+sib_term)+K26*1000/sib_czw+CK26+DR26/sib_wload*(2*(sib_L4/2+sib_L5/2)/sib_wagkm)</f>
        <v>247.487281035008</v>
      </c>
      <c r="CN26" s="23" t="n">
        <f aca="false">CM26/CL26</f>
        <v>0.00904228282919282</v>
      </c>
      <c r="CO26" s="95" t="n">
        <v>0</v>
      </c>
      <c r="CP26" s="95" t="n">
        <f aca="false">MIN(CO26,AK26+AJ26)</f>
        <v>0</v>
      </c>
      <c r="CQ26" s="23" t="n">
        <f aca="false">(AK26+AJ26+Z26-CP26)*365/1000000+sib_civport</f>
        <v>0.83276605</v>
      </c>
      <c r="CR26" s="23" t="n">
        <v>3</v>
      </c>
      <c r="CS26" s="23" t="n">
        <f aca="false">CQ26/(CR26*IF(OR(RIGHT(A26,2)="Q1",C26=365),sib_portwin,1))</f>
        <v>0.326574921568628</v>
      </c>
      <c r="CT26" s="96" t="n">
        <f aca="false">(AK26+AJ26+Z26-CP26)*sib_pacship*365/(sib_dwt*0.9*sib_voy)</f>
        <v>0.410742507122507</v>
      </c>
      <c r="CU26" s="23" t="n">
        <f aca="false">CT26/sib_ships</f>
        <v>0.0102685626780627</v>
      </c>
      <c r="CV26" s="97" t="n">
        <f aca="false">CV25+(AB26+Z26)*C26+AA26</f>
        <v>149326.086956522</v>
      </c>
      <c r="CW26" s="96" t="n">
        <f aca="false">IF(C26=365,sib_surge/sib_mtrain/sib_surge_d,0)</f>
        <v>1.85185185185185</v>
      </c>
      <c r="CX26" s="95" t="n">
        <f aca="false">(CC26&gt;sib_util_max)+(CH26&gt;1)+(CN26&gt;1)+(CS26&gt;sib_util_max)+(CU26&gt;1)+(CV26&lt;0)+(CW26&gt;0)*(CE26&lt;CW26)</f>
        <v>0</v>
      </c>
      <c r="CY26" s="1" t="str">
        <f aca="false">IF(CX26=0,"OK","Check")</f>
        <v>OK</v>
      </c>
      <c r="CZ26" s="95" t="n">
        <v>0</v>
      </c>
      <c r="DA26" s="23" t="n">
        <v>2</v>
      </c>
      <c r="DB26" s="23" t="n">
        <v>0.5</v>
      </c>
      <c r="DC26" s="23" t="n">
        <f aca="false">INDEX(Paths!$B$6:$B$92,MATCH(B26,Paths!$A$6:$A$92,0))*sib_cost</f>
        <v>1.65</v>
      </c>
      <c r="DD26" s="96" t="n">
        <f aca="false">L26*sib_c_pac/1000*C26/365*DC26</f>
        <v>6.435</v>
      </c>
      <c r="DE26" s="96" t="n">
        <f aca="false">K26*sib_c_cz/1000*C26/365*DC26</f>
        <v>0</v>
      </c>
      <c r="DF26" s="96" t="n">
        <f aca="false">J26*sib_c_sib/1000*C26/365*DC26</f>
        <v>0</v>
      </c>
      <c r="DG26" s="96" t="n">
        <f aca="false">((MAX(0,T26-CP26)+V26+AB26+Z26+AA26/C26)*sib_pst_w+Q26*sib_loc_kg*sib_pst_e)*C26*sib_c_store/1000000*DC26</f>
        <v>1.2198272625</v>
      </c>
      <c r="DH26" s="96" t="n">
        <f aca="false">((AW26*sib_c_loco+CJ26*sib_c_wag+MAX(0,AZ26-AZ25)*sib_loco0*sib_c_rep+CZ26*sib_c_arm)/1000000+DA26)*DC26</f>
        <v>3.3</v>
      </c>
      <c r="DI26" s="96" t="n">
        <f aca="false">2*(sib_L1*(BS26+AT26)+sib_L2*(BT26+AT26)+sib_L3a*(BU26+AU26)+sib_L3b*(BV26+AU26)+sib_L4*(BW26+AU26)+sib_L5*(DV26+AU26))*C26*sib_c_tkm*sib_prail/1000000*DC26</f>
        <v>0.732971272076069</v>
      </c>
      <c r="DJ26" s="96" t="n">
        <f aca="false">CT26*sib_c_ship*C26/365*DC26</f>
        <v>0.304976311538462</v>
      </c>
      <c r="DK26" s="96" t="n">
        <f aca="false">DB26*DC26</f>
        <v>0.825</v>
      </c>
      <c r="DL26" s="96" t="n">
        <f aca="false">AA26*sib_c_kara/1000000*DC26</f>
        <v>0</v>
      </c>
      <c r="DM26" s="96" t="n">
        <f aca="false">(AC26*sib_c_ref/1000*C26/365+AH26*C26*sib_c_grain/1000000)*DC26</f>
        <v>0.36782431125</v>
      </c>
      <c r="DN26" s="96" t="n">
        <f aca="false">Z26*C26*sib_c_amur/1000000*DC26</f>
        <v>0</v>
      </c>
      <c r="DO26" s="96" t="n">
        <f aca="false">sib_fed*sib_c_fed/1000000*C26/365*DC26</f>
        <v>2.475</v>
      </c>
      <c r="DP26" s="96" t="n">
        <f aca="false">SUM(DD26:DO26)</f>
        <v>15.6605991573645</v>
      </c>
      <c r="DQ26" s="98" t="n">
        <v>0.2</v>
      </c>
      <c r="DR26" s="99" t="n">
        <f aca="false">AQ26*DQ26</f>
        <v>8.864</v>
      </c>
      <c r="DS26" s="98" t="n">
        <v>24</v>
      </c>
      <c r="DT26" s="99" t="n">
        <f aca="false">DS$6+(DS26-DS$6)*sib_works</f>
        <v>24</v>
      </c>
      <c r="DU26" s="99" t="n">
        <f aca="false">(DT26*G26-sib_pass)*(1-sib_civ)*(1-sib_fuel-BM26*sib_strike)-AU26</f>
        <v>9.52996712328767</v>
      </c>
      <c r="DV26" s="99" t="n">
        <f aca="false">DR26/(sib_net5*(1+sib_decup*BB26))</f>
        <v>0.0160206558223599</v>
      </c>
      <c r="DW26" s="99" t="n">
        <f aca="false">IF(DV26=0,0,IF(DU26&lt;=0,9.99,DV26/DU26))</f>
        <v>0.00168108196126002</v>
      </c>
    </row>
    <row r="27" customFormat="false" ht="13.5" hidden="false" customHeight="true" outlineLevel="0" collapsed="false">
      <c r="A27" s="52" t="s">
        <v>2008</v>
      </c>
      <c r="B27" s="95" t="n">
        <v>1926</v>
      </c>
      <c r="C27" s="95" t="n">
        <v>365</v>
      </c>
      <c r="D27" s="1" t="s">
        <v>2005</v>
      </c>
      <c r="E27" s="23" t="n">
        <v>0.3</v>
      </c>
      <c r="F27" s="95" t="n">
        <v>1</v>
      </c>
      <c r="G27" s="23" t="n">
        <f aca="false">1-E27*IF(F27=1,sib_winter,1)</f>
        <v>0.7</v>
      </c>
      <c r="H27" s="95" t="n">
        <v>15</v>
      </c>
      <c r="I27" s="95" t="n">
        <v>6</v>
      </c>
      <c r="J27" s="95" t="n">
        <v>0</v>
      </c>
      <c r="K27" s="95" t="n">
        <v>0</v>
      </c>
      <c r="L27" s="95" t="n">
        <v>3</v>
      </c>
      <c r="M27" s="95" t="n">
        <f aca="false">SUM(H27:L27)</f>
        <v>24</v>
      </c>
      <c r="N27" s="23" t="n">
        <v>0</v>
      </c>
      <c r="O27" s="23" t="n">
        <v>0</v>
      </c>
      <c r="P27" s="95" t="n">
        <f aca="false">H27*N27+I27*O27+J27*sib_sw+K27+L27*sib_pw</f>
        <v>2.7</v>
      </c>
      <c r="Q27" s="95" t="n">
        <f aca="false">M27-P27</f>
        <v>21.3</v>
      </c>
      <c r="R27" s="23" t="n">
        <v>0.2</v>
      </c>
      <c r="S27" s="96" t="n">
        <v>2</v>
      </c>
      <c r="T27" s="95" t="n">
        <f aca="false">P27*(R27*S27*sib_ammo+(1-R27)*sib_loc_kg)</f>
        <v>4.32</v>
      </c>
      <c r="U27" s="95" t="n">
        <f aca="false">H27*N27*sib_jp_kg</f>
        <v>0</v>
      </c>
      <c r="V27" s="95" t="n">
        <v>0</v>
      </c>
      <c r="W27" s="95" t="n">
        <v>40</v>
      </c>
      <c r="X27" s="95" t="n">
        <v>0</v>
      </c>
      <c r="Y27" s="95" t="n">
        <v>0</v>
      </c>
      <c r="Z27" s="95" t="n">
        <f aca="false">Y27*sib_amur</f>
        <v>0</v>
      </c>
      <c r="AA27" s="97" t="n">
        <v>0</v>
      </c>
      <c r="AB27" s="95" t="n">
        <f aca="false">-(AA27+Z27*C27)/C27</f>
        <v>-0</v>
      </c>
      <c r="AC27" s="95" t="n">
        <v>10</v>
      </c>
      <c r="AD27" s="23" t="n">
        <v>1.15</v>
      </c>
      <c r="AE27" s="95" t="n">
        <f aca="false">(J27*sib_sw+K27+L27*sib_pw)*sib_bread+P27*sib_horses*sib_oats+AC27*sib_relief_kg</f>
        <v>10.4675</v>
      </c>
      <c r="AF27" s="95" t="n">
        <f aca="false">sib_surplus*AD27*sib_harvest*1000000/365*sib_callmax</f>
        <v>945.205479452055</v>
      </c>
      <c r="AG27" s="95" t="n">
        <f aca="false">MAX(0,AE27-AF27)</f>
        <v>0</v>
      </c>
      <c r="AH27" s="95" t="n">
        <f aca="false">AE27-AG27</f>
        <v>10.4675</v>
      </c>
      <c r="AI27" s="95" t="n">
        <f aca="false">I27*O27*sib_cn_kg</f>
        <v>0</v>
      </c>
      <c r="AJ27" s="95" t="n">
        <f aca="false">Q27*sib_loc_kg+H27*(1-N27)*sib_jp_kg</f>
        <v>45.45</v>
      </c>
      <c r="AK27" s="95" t="n">
        <f aca="false">T27+U27+V27+W27+X27+AB27</f>
        <v>44.32</v>
      </c>
      <c r="AL27" s="95" t="n">
        <f aca="false">AI27+AG27</f>
        <v>0</v>
      </c>
      <c r="AM27" s="95" t="n">
        <f aca="false">AK27+AJ27</f>
        <v>89.77</v>
      </c>
      <c r="AN27" s="95" t="n">
        <f aca="false">AK27+AL27+sib_e2*AJ27</f>
        <v>71.59</v>
      </c>
      <c r="AO27" s="95" t="n">
        <f aca="false">AK27+AL27+sib_e3*AJ27</f>
        <v>57.955</v>
      </c>
      <c r="AP27" s="95" t="n">
        <f aca="false">AK27+AL27+Z27</f>
        <v>44.32</v>
      </c>
      <c r="AQ27" s="95" t="n">
        <f aca="false">AK27+AL27+Z27</f>
        <v>44.32</v>
      </c>
      <c r="AR27" s="95" t="n">
        <f aca="false">H27+I27+L27</f>
        <v>24</v>
      </c>
      <c r="AS27" s="95" t="n">
        <f aca="false">H27*N27+I27*O27+L27*sib_pw</f>
        <v>2.7</v>
      </c>
      <c r="AT27" s="96" t="n">
        <f aca="false">(MAX(0,AR27-AR26)+AR27*sib_rot*C27/365)*1000/sib_mtrain/C27</f>
        <v>0.010958904109589</v>
      </c>
      <c r="AU27" s="96" t="n">
        <f aca="false">(MAX(0,AS27-AS26)+AS27*sib_rot*C27/365)*1000/sib_mtrain/C27</f>
        <v>0.00123287671232877</v>
      </c>
      <c r="AV27" s="95" t="n">
        <v>0</v>
      </c>
      <c r="AW27" s="95" t="n">
        <v>0</v>
      </c>
      <c r="AX27" s="95" t="n">
        <f aca="false">(SUM(AV$6:AV27)+SUM(AW$6:AW27))*0.9</f>
        <v>855</v>
      </c>
      <c r="AY27" s="23" t="n">
        <v>0.85</v>
      </c>
      <c r="AZ27" s="23" t="n">
        <f aca="false">1-(1-AY27)*sib_sick</f>
        <v>0.85</v>
      </c>
      <c r="BA27" s="95" t="n">
        <f aca="false">sib_loco0*AZ27+AX27</f>
        <v>1960</v>
      </c>
      <c r="BB27" s="23" t="n">
        <f aca="false">AX27/BA27</f>
        <v>0.436224489795918</v>
      </c>
      <c r="BC27" s="95" t="n">
        <v>18</v>
      </c>
      <c r="BD27" s="95" t="n">
        <v>16</v>
      </c>
      <c r="BE27" s="95" t="n">
        <v>18</v>
      </c>
      <c r="BF27" s="95" t="n">
        <v>24</v>
      </c>
      <c r="BG27" s="95" t="n">
        <v>24</v>
      </c>
      <c r="BH27" s="96" t="n">
        <f aca="false">BC$6+(BC27-BC$6)*sib_works</f>
        <v>18</v>
      </c>
      <c r="BI27" s="96" t="n">
        <f aca="false">BD$6+(BD27-BD$6)*sib_works</f>
        <v>16</v>
      </c>
      <c r="BJ27" s="96" t="n">
        <f aca="false">BE$6+(BE27-BE$6)*sib_works</f>
        <v>18</v>
      </c>
      <c r="BK27" s="96" t="n">
        <f aca="false">BF$6+(BF27-BF$6)*sib_works</f>
        <v>24</v>
      </c>
      <c r="BL27" s="96" t="n">
        <f aca="false">BG$6+(BG27-BG$6)*sib_works</f>
        <v>24</v>
      </c>
      <c r="BM27" s="95" t="n">
        <v>0</v>
      </c>
      <c r="BN27" s="96" t="n">
        <f aca="false">(BH27*G27-sib_pass)*(1-sib_civ)*(1-sib_fuel-BM27*sib_strike)-AT27</f>
        <v>6.81544109589041</v>
      </c>
      <c r="BO27" s="96" t="n">
        <f aca="false">(BI27*G27-sib_pass)*(1-sib_civ)*(1-sib_fuel-BM27*sib_strike)-AT27</f>
        <v>5.91384109589041</v>
      </c>
      <c r="BP27" s="96" t="n">
        <f aca="false">(BJ27*G27-sib_pass)*(1-sib_civ)*(1-sib_fuel-BM27*sib_strike)-AU27</f>
        <v>6.82516712328767</v>
      </c>
      <c r="BQ27" s="96" t="n">
        <f aca="false">(BK27*G27-sib_pass)*(1-sib_civ)*(1-sib_fuel-BM27*sib_strike)-AU27</f>
        <v>9.52996712328767</v>
      </c>
      <c r="BR27" s="96" t="n">
        <f aca="false">(BL27*G27-sib_pass)*(1-sib_civ)*(1-sib_fuel-BM27*sib_strike)-AU27</f>
        <v>9.52996712328767</v>
      </c>
      <c r="BS27" s="96" t="n">
        <f aca="false">AM27/(sib_net1*(1+sib_decup*BB27))</f>
        <v>0.14976821783948</v>
      </c>
      <c r="BT27" s="96" t="n">
        <f aca="false">AN27/(sib_net2*(1+sib_decup*BB27))</f>
        <v>0.147875032274722</v>
      </c>
      <c r="BU27" s="96" t="n">
        <f aca="false">AO27/(sib_net3a*(1+sib_decup*BB27))</f>
        <v>0.111730097254497</v>
      </c>
      <c r="BV27" s="96" t="n">
        <f aca="false">AP27/(sib_net3b*(1+sib_decup*BB27))</f>
        <v>0.101183089404378</v>
      </c>
      <c r="BW27" s="96" t="n">
        <f aca="false">AQ27/(sib_net4*(1+sib_decup*BB27))</f>
        <v>0.0801032791117996</v>
      </c>
      <c r="BX27" s="23" t="n">
        <f aca="false">BS27/BN27</f>
        <v>0.021974838566177</v>
      </c>
      <c r="BY27" s="23" t="n">
        <f aca="false">BT27/BO27</f>
        <v>0.0250049045750455</v>
      </c>
      <c r="BZ27" s="23" t="n">
        <f aca="false">BU27/BP27</f>
        <v>0.0163703093618427</v>
      </c>
      <c r="CA27" s="23" t="n">
        <f aca="false">BV27/BQ27</f>
        <v>0.0106173597553264</v>
      </c>
      <c r="CB27" s="23" t="n">
        <f aca="false">BW27/BR27</f>
        <v>0.00840540980630009</v>
      </c>
      <c r="CC27" s="23" t="n">
        <f aca="false">MAX(BX27:CB27,DW27)</f>
        <v>0.0250049045750455</v>
      </c>
      <c r="CD27" s="1" t="str">
        <f aca="false">IF(DW27&gt;=MAX(BX27:CB27),"Ob-Chelyabinsk",CHOOSE(MATCH(CC27,BX27:CB27,0),"Vladivostok-Harbin","Harbin-Manzhouli","Manzhouli-Kitaisky (branch)","Kitaisky-Irkutsk","Irkutsk-Ob"))</f>
        <v>Harbin-Manzhouli</v>
      </c>
      <c r="CE27" s="96" t="n">
        <f aca="false">MIN(BN27-BS27,BO27-BT27,BP27-BU27,BQ27-BV27,BR27-BW27,DU27-DV27)</f>
        <v>5.76596606361569</v>
      </c>
      <c r="CF27" s="97" t="n">
        <f aca="false">2*(sib_L1*(BS27+AT27+(BH27*G27-sib_pass)*(sib_civ*sib_civused+(1-sib_civ)*sib_fuel)+sib_pass)+sib_L2*(BT27+AT27+(BI27*G27-sib_pass)*(sib_civ*sib_civused+(1-sib_civ)*sib_fuel)+sib_pass)+sib_L3a*(BU27+AU27+(BJ27*G27-sib_pass)*(sib_civ*sib_civused+(1-sib_civ)*sib_fuel)+sib_pass)+sib_L3b*(BV27+AU27+(BK27*G27-sib_pass)*(sib_civ*sib_civused+(1-sib_civ)*sib_fuel)+sib_pass)+sib_L4*(BW27+AU27+(BL27*G27-sib_pass)*(sib_civ*sib_civused+(1-sib_civ)*sib_fuel)+sib_pass)+sib_L5*(DV27+AU27+(DT27*G27-sib_pass)*(sib_civ*sib_civused+(1-sib_civ)*sib_fuel)+sib_pass))</f>
        <v>70434.9666299774</v>
      </c>
      <c r="CG27" s="95" t="n">
        <f aca="false">CF27/sib_kmloco*sib_helper</f>
        <v>550.273176796699</v>
      </c>
      <c r="CH27" s="23" t="n">
        <f aca="false">CG27/BA27</f>
        <v>0.280751620814642</v>
      </c>
      <c r="CI27" s="97" t="n">
        <v>0</v>
      </c>
      <c r="CJ27" s="97" t="n">
        <v>0</v>
      </c>
      <c r="CK27" s="97" t="n">
        <v>0</v>
      </c>
      <c r="CL27" s="97" t="n">
        <f aca="false">(sib_wag0+SUM(CI$6:CI27)+SUM(CJ$6:CJ27))*sib_wserv*(1-sib_civ)</f>
        <v>27370</v>
      </c>
      <c r="CM27" s="97" t="n">
        <f aca="false">AK27/sib_wload*(2*(sib_L1+sib_L2+sib_L3a+sib_L3b+sib_L4/2)/sib_wagkm+sib_term)+AL27/sib_wload*(2*(sib_L2+sib_L3a+sib_L3b+sib_L4/2)/sib_wagkm+sib_term)+AJ27/sib_wload*((sib_L1+sib_L2)/sib_wagkm+sib_term-2)+Z27/sib_wload*(2*(sib_L3b+sib_L4/2)/sib_wagkm+sib_term)+AU27*40*(2*(sib_L1+sib_L2+sib_L3a+sib_L3b+sib_L4/2)/sib_wagkm+sib_term)+K27*1000/sib_czw+CK27+DR27/sib_wload*(2*(sib_L4/2+sib_L5/2)/sib_wagkm)</f>
        <v>247.487281035008</v>
      </c>
      <c r="CN27" s="23" t="n">
        <f aca="false">CM27/CL27</f>
        <v>0.00904228282919282</v>
      </c>
      <c r="CO27" s="95" t="n">
        <v>0</v>
      </c>
      <c r="CP27" s="95" t="n">
        <f aca="false">MIN(CO27,AK27+AJ27)</f>
        <v>0</v>
      </c>
      <c r="CQ27" s="23" t="n">
        <f aca="false">(AK27+AJ27+Z27-CP27)*365/1000000+sib_civport</f>
        <v>0.83276605</v>
      </c>
      <c r="CR27" s="23" t="n">
        <v>3</v>
      </c>
      <c r="CS27" s="23" t="n">
        <f aca="false">CQ27/(CR27*IF(OR(RIGHT(A27,2)="Q1",C27=365),sib_portwin,1))</f>
        <v>0.326574921568628</v>
      </c>
      <c r="CT27" s="96" t="n">
        <f aca="false">(AK27+AJ27+Z27-CP27)*sib_pacship*365/(sib_dwt*0.9*sib_voy)</f>
        <v>0.410742507122507</v>
      </c>
      <c r="CU27" s="23" t="n">
        <f aca="false">CT27/sib_ships</f>
        <v>0.0102685626780627</v>
      </c>
      <c r="CV27" s="97" t="n">
        <f aca="false">CV26+(AB27+Z27)*C27+AA27</f>
        <v>149326.086956522</v>
      </c>
      <c r="CW27" s="96" t="n">
        <f aca="false">IF(C27=365,sib_surge/sib_mtrain/sib_surge_d,0)</f>
        <v>1.85185185185185</v>
      </c>
      <c r="CX27" s="95" t="n">
        <f aca="false">(CC27&gt;sib_util_max)+(CH27&gt;1)+(CN27&gt;1)+(CS27&gt;sib_util_max)+(CU27&gt;1)+(CV27&lt;0)+(CW27&gt;0)*(CE27&lt;CW27)</f>
        <v>0</v>
      </c>
      <c r="CY27" s="1" t="str">
        <f aca="false">IF(CX27=0,"OK","Check")</f>
        <v>OK</v>
      </c>
      <c r="CZ27" s="95" t="n">
        <v>0</v>
      </c>
      <c r="DA27" s="23" t="n">
        <v>2</v>
      </c>
      <c r="DB27" s="23" t="n">
        <v>0.5</v>
      </c>
      <c r="DC27" s="23" t="n">
        <f aca="false">INDEX(Paths!$B$6:$B$92,MATCH(B27,Paths!$A$6:$A$92,0))*sib_cost</f>
        <v>1.62</v>
      </c>
      <c r="DD27" s="96" t="n">
        <f aca="false">L27*sib_c_pac/1000*C27/365*DC27</f>
        <v>6.318</v>
      </c>
      <c r="DE27" s="96" t="n">
        <f aca="false">K27*sib_c_cz/1000*C27/365*DC27</f>
        <v>0</v>
      </c>
      <c r="DF27" s="96" t="n">
        <f aca="false">J27*sib_c_sib/1000*C27/365*DC27</f>
        <v>0</v>
      </c>
      <c r="DG27" s="96" t="n">
        <f aca="false">((MAX(0,T27-CP27)+V27+AB27+Z27+AA27/C27)*sib_pst_w+Q27*sib_loc_kg*sib_pst_e)*C27*sib_c_store/1000000*DC27</f>
        <v>1.197648585</v>
      </c>
      <c r="DH27" s="96" t="n">
        <f aca="false">((AW27*sib_c_loco+CJ27*sib_c_wag+MAX(0,AZ27-AZ26)*sib_loco0*sib_c_rep+CZ27*sib_c_arm)/1000000+DA27)*DC27</f>
        <v>3.24</v>
      </c>
      <c r="DI27" s="96" t="n">
        <f aca="false">2*(sib_L1*(BS27+AT27)+sib_L2*(BT27+AT27)+sib_L3a*(BU27+AU27)+sib_L3b*(BV27+AU27)+sib_L4*(BW27+AU27)+sib_L5*(DV27+AU27))*C27*sib_c_tkm*sib_prail/1000000*DC27</f>
        <v>0.719644521674686</v>
      </c>
      <c r="DJ27" s="96" t="n">
        <f aca="false">CT27*sib_c_ship*C27/365*DC27</f>
        <v>0.299431287692308</v>
      </c>
      <c r="DK27" s="96" t="n">
        <f aca="false">DB27*DC27</f>
        <v>0.81</v>
      </c>
      <c r="DL27" s="96" t="n">
        <f aca="false">AA27*sib_c_kara/1000000*DC27</f>
        <v>0</v>
      </c>
      <c r="DM27" s="96" t="n">
        <f aca="false">(AC27*sib_c_ref/1000*C27/365+AH27*C27*sib_c_grain/1000000)*DC27</f>
        <v>0.3611365965</v>
      </c>
      <c r="DN27" s="96" t="n">
        <f aca="false">Z27*C27*sib_c_amur/1000000*DC27</f>
        <v>0</v>
      </c>
      <c r="DO27" s="96" t="n">
        <f aca="false">sib_fed*sib_c_fed/1000000*C27/365*DC27</f>
        <v>2.43</v>
      </c>
      <c r="DP27" s="96" t="n">
        <f aca="false">SUM(DD27:DO27)</f>
        <v>15.375860990867</v>
      </c>
      <c r="DQ27" s="98" t="n">
        <v>0.2</v>
      </c>
      <c r="DR27" s="99" t="n">
        <f aca="false">AQ27*DQ27</f>
        <v>8.864</v>
      </c>
      <c r="DS27" s="98" t="n">
        <v>24</v>
      </c>
      <c r="DT27" s="99" t="n">
        <f aca="false">DS$6+(DS27-DS$6)*sib_works</f>
        <v>24</v>
      </c>
      <c r="DU27" s="99" t="n">
        <f aca="false">(DT27*G27-sib_pass)*(1-sib_civ)*(1-sib_fuel-BM27*sib_strike)-AU27</f>
        <v>9.52996712328767</v>
      </c>
      <c r="DV27" s="99" t="n">
        <f aca="false">DR27/(sib_net5*(1+sib_decup*BB27))</f>
        <v>0.0160206558223599</v>
      </c>
      <c r="DW27" s="99" t="n">
        <f aca="false">IF(DV27=0,0,IF(DU27&lt;=0,9.99,DV27/DU27))</f>
        <v>0.00168108196126002</v>
      </c>
    </row>
    <row r="28" customFormat="false" ht="13.5" hidden="false" customHeight="true" outlineLevel="0" collapsed="false">
      <c r="A28" s="52" t="s">
        <v>2009</v>
      </c>
      <c r="B28" s="95" t="n">
        <v>1927</v>
      </c>
      <c r="C28" s="95" t="n">
        <v>365</v>
      </c>
      <c r="D28" s="1" t="s">
        <v>2005</v>
      </c>
      <c r="E28" s="23" t="n">
        <v>0.3</v>
      </c>
      <c r="F28" s="95" t="n">
        <v>1</v>
      </c>
      <c r="G28" s="23" t="n">
        <f aca="false">1-E28*IF(F28=1,sib_winter,1)</f>
        <v>0.7</v>
      </c>
      <c r="H28" s="95" t="n">
        <v>15</v>
      </c>
      <c r="I28" s="95" t="n">
        <v>6</v>
      </c>
      <c r="J28" s="95" t="n">
        <v>0</v>
      </c>
      <c r="K28" s="95" t="n">
        <v>0</v>
      </c>
      <c r="L28" s="95" t="n">
        <v>3</v>
      </c>
      <c r="M28" s="95" t="n">
        <f aca="false">SUM(H28:L28)</f>
        <v>24</v>
      </c>
      <c r="N28" s="23" t="n">
        <v>0</v>
      </c>
      <c r="O28" s="23" t="n">
        <v>0</v>
      </c>
      <c r="P28" s="95" t="n">
        <f aca="false">H28*N28+I28*O28+J28*sib_sw+K28+L28*sib_pw</f>
        <v>2.7</v>
      </c>
      <c r="Q28" s="95" t="n">
        <f aca="false">M28-P28</f>
        <v>21.3</v>
      </c>
      <c r="R28" s="23" t="n">
        <v>0.2</v>
      </c>
      <c r="S28" s="96" t="n">
        <v>2</v>
      </c>
      <c r="T28" s="95" t="n">
        <f aca="false">P28*(R28*S28*sib_ammo+(1-R28)*sib_loc_kg)</f>
        <v>4.32</v>
      </c>
      <c r="U28" s="95" t="n">
        <f aca="false">H28*N28*sib_jp_kg</f>
        <v>0</v>
      </c>
      <c r="V28" s="95" t="n">
        <v>0</v>
      </c>
      <c r="W28" s="95" t="n">
        <v>40</v>
      </c>
      <c r="X28" s="95" t="n">
        <v>0</v>
      </c>
      <c r="Y28" s="95" t="n">
        <v>0</v>
      </c>
      <c r="Z28" s="95" t="n">
        <f aca="false">Y28*sib_amur</f>
        <v>0</v>
      </c>
      <c r="AA28" s="97" t="n">
        <v>0</v>
      </c>
      <c r="AB28" s="95" t="n">
        <f aca="false">-(AA28+Z28*C28)/C28</f>
        <v>-0</v>
      </c>
      <c r="AC28" s="95" t="n">
        <v>10</v>
      </c>
      <c r="AD28" s="23" t="n">
        <v>1.15</v>
      </c>
      <c r="AE28" s="95" t="n">
        <f aca="false">(J28*sib_sw+K28+L28*sib_pw)*sib_bread+P28*sib_horses*sib_oats+AC28*sib_relief_kg</f>
        <v>10.4675</v>
      </c>
      <c r="AF28" s="95" t="n">
        <f aca="false">sib_surplus*AD28*sib_harvest*1000000/365*sib_callmax</f>
        <v>945.205479452055</v>
      </c>
      <c r="AG28" s="95" t="n">
        <f aca="false">MAX(0,AE28-AF28)</f>
        <v>0</v>
      </c>
      <c r="AH28" s="95" t="n">
        <f aca="false">AE28-AG28</f>
        <v>10.4675</v>
      </c>
      <c r="AI28" s="95" t="n">
        <f aca="false">I28*O28*sib_cn_kg</f>
        <v>0</v>
      </c>
      <c r="AJ28" s="95" t="n">
        <f aca="false">Q28*sib_loc_kg+H28*(1-N28)*sib_jp_kg</f>
        <v>45.45</v>
      </c>
      <c r="AK28" s="95" t="n">
        <f aca="false">T28+U28+V28+W28+X28+AB28</f>
        <v>44.32</v>
      </c>
      <c r="AL28" s="95" t="n">
        <f aca="false">AI28+AG28</f>
        <v>0</v>
      </c>
      <c r="AM28" s="95" t="n">
        <f aca="false">AK28+AJ28</f>
        <v>89.77</v>
      </c>
      <c r="AN28" s="95" t="n">
        <f aca="false">AK28+AL28+sib_e2*AJ28</f>
        <v>71.59</v>
      </c>
      <c r="AO28" s="95" t="n">
        <f aca="false">AK28+AL28+sib_e3*AJ28</f>
        <v>57.955</v>
      </c>
      <c r="AP28" s="95" t="n">
        <f aca="false">AK28+AL28+Z28</f>
        <v>44.32</v>
      </c>
      <c r="AQ28" s="95" t="n">
        <f aca="false">AK28+AL28+Z28</f>
        <v>44.32</v>
      </c>
      <c r="AR28" s="95" t="n">
        <f aca="false">H28+I28+L28</f>
        <v>24</v>
      </c>
      <c r="AS28" s="95" t="n">
        <f aca="false">H28*N28+I28*O28+L28*sib_pw</f>
        <v>2.7</v>
      </c>
      <c r="AT28" s="96" t="n">
        <f aca="false">(MAX(0,AR28-AR27)+AR28*sib_rot*C28/365)*1000/sib_mtrain/C28</f>
        <v>0.010958904109589</v>
      </c>
      <c r="AU28" s="96" t="n">
        <f aca="false">(MAX(0,AS28-AS27)+AS28*sib_rot*C28/365)*1000/sib_mtrain/C28</f>
        <v>0.00123287671232877</v>
      </c>
      <c r="AV28" s="95" t="n">
        <v>0</v>
      </c>
      <c r="AW28" s="95" t="n">
        <v>0</v>
      </c>
      <c r="AX28" s="95" t="n">
        <f aca="false">(SUM(AV$6:AV28)+SUM(AW$6:AW28))*0.9</f>
        <v>855</v>
      </c>
      <c r="AY28" s="23" t="n">
        <v>0.85</v>
      </c>
      <c r="AZ28" s="23" t="n">
        <f aca="false">1-(1-AY28)*sib_sick</f>
        <v>0.85</v>
      </c>
      <c r="BA28" s="95" t="n">
        <f aca="false">sib_loco0*AZ28+AX28</f>
        <v>1960</v>
      </c>
      <c r="BB28" s="23" t="n">
        <f aca="false">AX28/BA28</f>
        <v>0.436224489795918</v>
      </c>
      <c r="BC28" s="95" t="n">
        <v>18</v>
      </c>
      <c r="BD28" s="95" t="n">
        <v>16</v>
      </c>
      <c r="BE28" s="95" t="n">
        <v>18</v>
      </c>
      <c r="BF28" s="95" t="n">
        <v>24</v>
      </c>
      <c r="BG28" s="95" t="n">
        <v>24</v>
      </c>
      <c r="BH28" s="96" t="n">
        <f aca="false">BC$6+(BC28-BC$6)*sib_works</f>
        <v>18</v>
      </c>
      <c r="BI28" s="96" t="n">
        <f aca="false">BD$6+(BD28-BD$6)*sib_works</f>
        <v>16</v>
      </c>
      <c r="BJ28" s="96" t="n">
        <f aca="false">BE$6+(BE28-BE$6)*sib_works</f>
        <v>18</v>
      </c>
      <c r="BK28" s="96" t="n">
        <f aca="false">BF$6+(BF28-BF$6)*sib_works</f>
        <v>24</v>
      </c>
      <c r="BL28" s="96" t="n">
        <f aca="false">BG$6+(BG28-BG$6)*sib_works</f>
        <v>24</v>
      </c>
      <c r="BM28" s="95" t="n">
        <v>0</v>
      </c>
      <c r="BN28" s="96" t="n">
        <f aca="false">(BH28*G28-sib_pass)*(1-sib_civ)*(1-sib_fuel-BM28*sib_strike)-AT28</f>
        <v>6.81544109589041</v>
      </c>
      <c r="BO28" s="96" t="n">
        <f aca="false">(BI28*G28-sib_pass)*(1-sib_civ)*(1-sib_fuel-BM28*sib_strike)-AT28</f>
        <v>5.91384109589041</v>
      </c>
      <c r="BP28" s="96" t="n">
        <f aca="false">(BJ28*G28-sib_pass)*(1-sib_civ)*(1-sib_fuel-BM28*sib_strike)-AU28</f>
        <v>6.82516712328767</v>
      </c>
      <c r="BQ28" s="96" t="n">
        <f aca="false">(BK28*G28-sib_pass)*(1-sib_civ)*(1-sib_fuel-BM28*sib_strike)-AU28</f>
        <v>9.52996712328767</v>
      </c>
      <c r="BR28" s="96" t="n">
        <f aca="false">(BL28*G28-sib_pass)*(1-sib_civ)*(1-sib_fuel-BM28*sib_strike)-AU28</f>
        <v>9.52996712328767</v>
      </c>
      <c r="BS28" s="96" t="n">
        <f aca="false">AM28/(sib_net1*(1+sib_decup*BB28))</f>
        <v>0.14976821783948</v>
      </c>
      <c r="BT28" s="96" t="n">
        <f aca="false">AN28/(sib_net2*(1+sib_decup*BB28))</f>
        <v>0.147875032274722</v>
      </c>
      <c r="BU28" s="96" t="n">
        <f aca="false">AO28/(sib_net3a*(1+sib_decup*BB28))</f>
        <v>0.111730097254497</v>
      </c>
      <c r="BV28" s="96" t="n">
        <f aca="false">AP28/(sib_net3b*(1+sib_decup*BB28))</f>
        <v>0.101183089404378</v>
      </c>
      <c r="BW28" s="96" t="n">
        <f aca="false">AQ28/(sib_net4*(1+sib_decup*BB28))</f>
        <v>0.0801032791117996</v>
      </c>
      <c r="BX28" s="23" t="n">
        <f aca="false">BS28/BN28</f>
        <v>0.021974838566177</v>
      </c>
      <c r="BY28" s="23" t="n">
        <f aca="false">BT28/BO28</f>
        <v>0.0250049045750455</v>
      </c>
      <c r="BZ28" s="23" t="n">
        <f aca="false">BU28/BP28</f>
        <v>0.0163703093618427</v>
      </c>
      <c r="CA28" s="23" t="n">
        <f aca="false">BV28/BQ28</f>
        <v>0.0106173597553264</v>
      </c>
      <c r="CB28" s="23" t="n">
        <f aca="false">BW28/BR28</f>
        <v>0.00840540980630009</v>
      </c>
      <c r="CC28" s="23" t="n">
        <f aca="false">MAX(BX28:CB28,DW28)</f>
        <v>0.0250049045750455</v>
      </c>
      <c r="CD28" s="1" t="str">
        <f aca="false">IF(DW28&gt;=MAX(BX28:CB28),"Ob-Chelyabinsk",CHOOSE(MATCH(CC28,BX28:CB28,0),"Vladivostok-Harbin","Harbin-Manzhouli","Manzhouli-Kitaisky (branch)","Kitaisky-Irkutsk","Irkutsk-Ob"))</f>
        <v>Harbin-Manzhouli</v>
      </c>
      <c r="CE28" s="96" t="n">
        <f aca="false">MIN(BN28-BS28,BO28-BT28,BP28-BU28,BQ28-BV28,BR28-BW28,DU28-DV28)</f>
        <v>5.76596606361569</v>
      </c>
      <c r="CF28" s="97" t="n">
        <f aca="false">2*(sib_L1*(BS28+AT28+(BH28*G28-sib_pass)*(sib_civ*sib_civused+(1-sib_civ)*sib_fuel)+sib_pass)+sib_L2*(BT28+AT28+(BI28*G28-sib_pass)*(sib_civ*sib_civused+(1-sib_civ)*sib_fuel)+sib_pass)+sib_L3a*(BU28+AU28+(BJ28*G28-sib_pass)*(sib_civ*sib_civused+(1-sib_civ)*sib_fuel)+sib_pass)+sib_L3b*(BV28+AU28+(BK28*G28-sib_pass)*(sib_civ*sib_civused+(1-sib_civ)*sib_fuel)+sib_pass)+sib_L4*(BW28+AU28+(BL28*G28-sib_pass)*(sib_civ*sib_civused+(1-sib_civ)*sib_fuel)+sib_pass)+sib_L5*(DV28+AU28+(DT28*G28-sib_pass)*(sib_civ*sib_civused+(1-sib_civ)*sib_fuel)+sib_pass))</f>
        <v>70434.9666299774</v>
      </c>
      <c r="CG28" s="95" t="n">
        <f aca="false">CF28/sib_kmloco*sib_helper</f>
        <v>550.273176796699</v>
      </c>
      <c r="CH28" s="23" t="n">
        <f aca="false">CG28/BA28</f>
        <v>0.280751620814642</v>
      </c>
      <c r="CI28" s="97" t="n">
        <v>0</v>
      </c>
      <c r="CJ28" s="97" t="n">
        <v>0</v>
      </c>
      <c r="CK28" s="97" t="n">
        <v>0</v>
      </c>
      <c r="CL28" s="97" t="n">
        <f aca="false">(sib_wag0+SUM(CI$6:CI28)+SUM(CJ$6:CJ28))*sib_wserv*(1-sib_civ)</f>
        <v>27370</v>
      </c>
      <c r="CM28" s="97" t="n">
        <f aca="false">AK28/sib_wload*(2*(sib_L1+sib_L2+sib_L3a+sib_L3b+sib_L4/2)/sib_wagkm+sib_term)+AL28/sib_wload*(2*(sib_L2+sib_L3a+sib_L3b+sib_L4/2)/sib_wagkm+sib_term)+AJ28/sib_wload*((sib_L1+sib_L2)/sib_wagkm+sib_term-2)+Z28/sib_wload*(2*(sib_L3b+sib_L4/2)/sib_wagkm+sib_term)+AU28*40*(2*(sib_L1+sib_L2+sib_L3a+sib_L3b+sib_L4/2)/sib_wagkm+sib_term)+K28*1000/sib_czw+CK28+DR28/sib_wload*(2*(sib_L4/2+sib_L5/2)/sib_wagkm)</f>
        <v>247.487281035008</v>
      </c>
      <c r="CN28" s="23" t="n">
        <f aca="false">CM28/CL28</f>
        <v>0.00904228282919282</v>
      </c>
      <c r="CO28" s="95" t="n">
        <v>0</v>
      </c>
      <c r="CP28" s="95" t="n">
        <f aca="false">MIN(CO28,AK28+AJ28)</f>
        <v>0</v>
      </c>
      <c r="CQ28" s="23" t="n">
        <f aca="false">(AK28+AJ28+Z28-CP28)*365/1000000+sib_civport</f>
        <v>0.83276605</v>
      </c>
      <c r="CR28" s="23" t="n">
        <v>3</v>
      </c>
      <c r="CS28" s="23" t="n">
        <f aca="false">CQ28/(CR28*IF(OR(RIGHT(A28,2)="Q1",C28=365),sib_portwin,1))</f>
        <v>0.326574921568628</v>
      </c>
      <c r="CT28" s="96" t="n">
        <f aca="false">(AK28+AJ28+Z28-CP28)*sib_pacship*365/(sib_dwt*0.9*sib_voy)</f>
        <v>0.410742507122507</v>
      </c>
      <c r="CU28" s="23" t="n">
        <f aca="false">CT28/sib_ships</f>
        <v>0.0102685626780627</v>
      </c>
      <c r="CV28" s="97" t="n">
        <f aca="false">CV27+(AB28+Z28)*C28+AA28</f>
        <v>149326.086956522</v>
      </c>
      <c r="CW28" s="96" t="n">
        <f aca="false">IF(C28=365,sib_surge/sib_mtrain/sib_surge_d,0)</f>
        <v>1.85185185185185</v>
      </c>
      <c r="CX28" s="95" t="n">
        <f aca="false">(CC28&gt;sib_util_max)+(CH28&gt;1)+(CN28&gt;1)+(CS28&gt;sib_util_max)+(CU28&gt;1)+(CV28&lt;0)+(CW28&gt;0)*(CE28&lt;CW28)</f>
        <v>0</v>
      </c>
      <c r="CY28" s="1" t="str">
        <f aca="false">IF(CX28=0,"OK","Check")</f>
        <v>OK</v>
      </c>
      <c r="CZ28" s="95" t="n">
        <v>0</v>
      </c>
      <c r="DA28" s="23" t="n">
        <v>2</v>
      </c>
      <c r="DB28" s="23" t="n">
        <v>0.5</v>
      </c>
      <c r="DC28" s="23" t="n">
        <f aca="false">INDEX(Paths!$B$6:$B$92,MATCH(B28,Paths!$A$6:$A$92,0))*sib_cost</f>
        <v>1.58</v>
      </c>
      <c r="DD28" s="96" t="n">
        <f aca="false">L28*sib_c_pac/1000*C28/365*DC28</f>
        <v>6.162</v>
      </c>
      <c r="DE28" s="96" t="n">
        <f aca="false">K28*sib_c_cz/1000*C28/365*DC28</f>
        <v>0</v>
      </c>
      <c r="DF28" s="96" t="n">
        <f aca="false">J28*sib_c_sib/1000*C28/365*DC28</f>
        <v>0</v>
      </c>
      <c r="DG28" s="96" t="n">
        <f aca="false">((MAX(0,T28-CP28)+V28+AB28+Z28+AA28/C28)*sib_pst_w+Q28*sib_loc_kg*sib_pst_e)*C28*sib_c_store/1000000*DC28</f>
        <v>1.168077015</v>
      </c>
      <c r="DH28" s="96" t="n">
        <f aca="false">((AW28*sib_c_loco+CJ28*sib_c_wag+MAX(0,AZ28-AZ27)*sib_loco0*sib_c_rep+CZ28*sib_c_arm)/1000000+DA28)*DC28</f>
        <v>3.16</v>
      </c>
      <c r="DI28" s="96" t="n">
        <f aca="false">2*(sib_L1*(BS28+AT28)+sib_L2*(BT28+AT28)+sib_L3a*(BU28+AU28)+sib_L3b*(BV28+AU28)+sib_L4*(BW28+AU28)+sib_L5*(DV28+AU28))*C28*sib_c_tkm*sib_prail/1000000*DC28</f>
        <v>0.701875521139509</v>
      </c>
      <c r="DJ28" s="96" t="n">
        <f aca="false">CT28*sib_c_ship*C28/365*DC28</f>
        <v>0.292037922564103</v>
      </c>
      <c r="DK28" s="96" t="n">
        <f aca="false">DB28*DC28</f>
        <v>0.79</v>
      </c>
      <c r="DL28" s="96" t="n">
        <f aca="false">AA28*sib_c_kara/1000000*DC28</f>
        <v>0</v>
      </c>
      <c r="DM28" s="96" t="n">
        <f aca="false">(AC28*sib_c_ref/1000*C28/365+AH28*C28*sib_c_grain/1000000)*DC28</f>
        <v>0.3522196435</v>
      </c>
      <c r="DN28" s="96" t="n">
        <f aca="false">Z28*C28*sib_c_amur/1000000*DC28</f>
        <v>0</v>
      </c>
      <c r="DO28" s="96" t="n">
        <f aca="false">sib_fed*sib_c_fed/1000000*C28/365*DC28</f>
        <v>2.37</v>
      </c>
      <c r="DP28" s="96" t="n">
        <f aca="false">SUM(DD28:DO28)</f>
        <v>14.9962101022036</v>
      </c>
      <c r="DQ28" s="98" t="n">
        <v>0.2</v>
      </c>
      <c r="DR28" s="99" t="n">
        <f aca="false">AQ28*DQ28</f>
        <v>8.864</v>
      </c>
      <c r="DS28" s="98" t="n">
        <v>24</v>
      </c>
      <c r="DT28" s="99" t="n">
        <f aca="false">DS$6+(DS28-DS$6)*sib_works</f>
        <v>24</v>
      </c>
      <c r="DU28" s="99" t="n">
        <f aca="false">(DT28*G28-sib_pass)*(1-sib_civ)*(1-sib_fuel-BM28*sib_strike)-AU28</f>
        <v>9.52996712328767</v>
      </c>
      <c r="DV28" s="99" t="n">
        <f aca="false">DR28/(sib_net5*(1+sib_decup*BB28))</f>
        <v>0.0160206558223599</v>
      </c>
      <c r="DW28" s="99" t="n">
        <f aca="false">IF(DV28=0,0,IF(DU28&lt;=0,9.99,DV28/DU28))</f>
        <v>0.00168108196126002</v>
      </c>
    </row>
    <row r="29" customFormat="false" ht="13.5" hidden="false" customHeight="true" outlineLevel="0" collapsed="false">
      <c r="A29" s="52" t="s">
        <v>2010</v>
      </c>
      <c r="B29" s="95" t="n">
        <v>1928</v>
      </c>
      <c r="C29" s="95" t="n">
        <v>365</v>
      </c>
      <c r="D29" s="1" t="s">
        <v>2005</v>
      </c>
      <c r="E29" s="23" t="n">
        <v>0.3</v>
      </c>
      <c r="F29" s="95" t="n">
        <v>1</v>
      </c>
      <c r="G29" s="23" t="n">
        <f aca="false">1-E29*IF(F29=1,sib_winter,1)</f>
        <v>0.7</v>
      </c>
      <c r="H29" s="95" t="n">
        <v>15</v>
      </c>
      <c r="I29" s="95" t="n">
        <v>6</v>
      </c>
      <c r="J29" s="95" t="n">
        <v>0</v>
      </c>
      <c r="K29" s="95" t="n">
        <v>0</v>
      </c>
      <c r="L29" s="95" t="n">
        <v>3</v>
      </c>
      <c r="M29" s="95" t="n">
        <f aca="false">SUM(H29:L29)</f>
        <v>24</v>
      </c>
      <c r="N29" s="23" t="n">
        <v>0</v>
      </c>
      <c r="O29" s="23" t="n">
        <v>0</v>
      </c>
      <c r="P29" s="95" t="n">
        <f aca="false">H29*N29+I29*O29+J29*sib_sw+K29+L29*sib_pw</f>
        <v>2.7</v>
      </c>
      <c r="Q29" s="95" t="n">
        <f aca="false">M29-P29</f>
        <v>21.3</v>
      </c>
      <c r="R29" s="23" t="n">
        <v>0.2</v>
      </c>
      <c r="S29" s="96" t="n">
        <v>2</v>
      </c>
      <c r="T29" s="95" t="n">
        <f aca="false">P29*(R29*S29*sib_ammo+(1-R29)*sib_loc_kg)</f>
        <v>4.32</v>
      </c>
      <c r="U29" s="95" t="n">
        <f aca="false">H29*N29*sib_jp_kg</f>
        <v>0</v>
      </c>
      <c r="V29" s="95" t="n">
        <v>0</v>
      </c>
      <c r="W29" s="95" t="n">
        <v>40</v>
      </c>
      <c r="X29" s="95" t="n">
        <v>0</v>
      </c>
      <c r="Y29" s="95" t="n">
        <v>0</v>
      </c>
      <c r="Z29" s="95" t="n">
        <f aca="false">Y29*sib_amur</f>
        <v>0</v>
      </c>
      <c r="AA29" s="97" t="n">
        <v>0</v>
      </c>
      <c r="AB29" s="95" t="n">
        <f aca="false">-(AA29+Z29*C29)/C29</f>
        <v>-0</v>
      </c>
      <c r="AC29" s="95" t="n">
        <v>10</v>
      </c>
      <c r="AD29" s="23" t="n">
        <v>1.2</v>
      </c>
      <c r="AE29" s="95" t="n">
        <f aca="false">(J29*sib_sw+K29+L29*sib_pw)*sib_bread+P29*sib_horses*sib_oats+AC29*sib_relief_kg</f>
        <v>10.4675</v>
      </c>
      <c r="AF29" s="95" t="n">
        <f aca="false">sib_surplus*AD29*sib_harvest*1000000/365*sib_callmax</f>
        <v>986.301369863014</v>
      </c>
      <c r="AG29" s="95" t="n">
        <f aca="false">MAX(0,AE29-AF29)</f>
        <v>0</v>
      </c>
      <c r="AH29" s="95" t="n">
        <f aca="false">AE29-AG29</f>
        <v>10.4675</v>
      </c>
      <c r="AI29" s="95" t="n">
        <f aca="false">I29*O29*sib_cn_kg</f>
        <v>0</v>
      </c>
      <c r="AJ29" s="95" t="n">
        <f aca="false">Q29*sib_loc_kg+H29*(1-N29)*sib_jp_kg</f>
        <v>45.45</v>
      </c>
      <c r="AK29" s="95" t="n">
        <f aca="false">T29+U29+V29+W29+X29+AB29</f>
        <v>44.32</v>
      </c>
      <c r="AL29" s="95" t="n">
        <f aca="false">AI29+AG29</f>
        <v>0</v>
      </c>
      <c r="AM29" s="95" t="n">
        <f aca="false">AK29+AJ29</f>
        <v>89.77</v>
      </c>
      <c r="AN29" s="95" t="n">
        <f aca="false">AK29+AL29+sib_e2*AJ29</f>
        <v>71.59</v>
      </c>
      <c r="AO29" s="95" t="n">
        <f aca="false">AK29+AL29+sib_e3*AJ29</f>
        <v>57.955</v>
      </c>
      <c r="AP29" s="95" t="n">
        <f aca="false">AK29+AL29+Z29</f>
        <v>44.32</v>
      </c>
      <c r="AQ29" s="95" t="n">
        <f aca="false">AK29+AL29+Z29</f>
        <v>44.32</v>
      </c>
      <c r="AR29" s="95" t="n">
        <f aca="false">H29+I29+L29</f>
        <v>24</v>
      </c>
      <c r="AS29" s="95" t="n">
        <f aca="false">H29*N29+I29*O29+L29*sib_pw</f>
        <v>2.7</v>
      </c>
      <c r="AT29" s="96" t="n">
        <f aca="false">(MAX(0,AR29-AR28)+AR29*sib_rot*C29/365)*1000/sib_mtrain/C29</f>
        <v>0.010958904109589</v>
      </c>
      <c r="AU29" s="96" t="n">
        <f aca="false">(MAX(0,AS29-AS28)+AS29*sib_rot*C29/365)*1000/sib_mtrain/C29</f>
        <v>0.00123287671232877</v>
      </c>
      <c r="AV29" s="95" t="n">
        <v>0</v>
      </c>
      <c r="AW29" s="95" t="n">
        <v>0</v>
      </c>
      <c r="AX29" s="95" t="n">
        <f aca="false">(SUM(AV$6:AV29)+SUM(AW$6:AW29))*0.9</f>
        <v>855</v>
      </c>
      <c r="AY29" s="23" t="n">
        <v>0.85</v>
      </c>
      <c r="AZ29" s="23" t="n">
        <f aca="false">1-(1-AY29)*sib_sick</f>
        <v>0.85</v>
      </c>
      <c r="BA29" s="95" t="n">
        <f aca="false">sib_loco0*AZ29+AX29</f>
        <v>1960</v>
      </c>
      <c r="BB29" s="23" t="n">
        <f aca="false">AX29/BA29</f>
        <v>0.436224489795918</v>
      </c>
      <c r="BC29" s="95" t="n">
        <v>18</v>
      </c>
      <c r="BD29" s="95" t="n">
        <v>16</v>
      </c>
      <c r="BE29" s="95" t="n">
        <v>18</v>
      </c>
      <c r="BF29" s="95" t="n">
        <v>24</v>
      </c>
      <c r="BG29" s="95" t="n">
        <v>24</v>
      </c>
      <c r="BH29" s="96" t="n">
        <f aca="false">BC$6+(BC29-BC$6)*sib_works</f>
        <v>18</v>
      </c>
      <c r="BI29" s="96" t="n">
        <f aca="false">BD$6+(BD29-BD$6)*sib_works</f>
        <v>16</v>
      </c>
      <c r="BJ29" s="96" t="n">
        <f aca="false">BE$6+(BE29-BE$6)*sib_works</f>
        <v>18</v>
      </c>
      <c r="BK29" s="96" t="n">
        <f aca="false">BF$6+(BF29-BF$6)*sib_works</f>
        <v>24</v>
      </c>
      <c r="BL29" s="96" t="n">
        <f aca="false">BG$6+(BG29-BG$6)*sib_works</f>
        <v>24</v>
      </c>
      <c r="BM29" s="95" t="n">
        <v>0</v>
      </c>
      <c r="BN29" s="96" t="n">
        <f aca="false">(BH29*G29-sib_pass)*(1-sib_civ)*(1-sib_fuel-BM29*sib_strike)-AT29</f>
        <v>6.81544109589041</v>
      </c>
      <c r="BO29" s="96" t="n">
        <f aca="false">(BI29*G29-sib_pass)*(1-sib_civ)*(1-sib_fuel-BM29*sib_strike)-AT29</f>
        <v>5.91384109589041</v>
      </c>
      <c r="BP29" s="96" t="n">
        <f aca="false">(BJ29*G29-sib_pass)*(1-sib_civ)*(1-sib_fuel-BM29*sib_strike)-AU29</f>
        <v>6.82516712328767</v>
      </c>
      <c r="BQ29" s="96" t="n">
        <f aca="false">(BK29*G29-sib_pass)*(1-sib_civ)*(1-sib_fuel-BM29*sib_strike)-AU29</f>
        <v>9.52996712328767</v>
      </c>
      <c r="BR29" s="96" t="n">
        <f aca="false">(BL29*G29-sib_pass)*(1-sib_civ)*(1-sib_fuel-BM29*sib_strike)-AU29</f>
        <v>9.52996712328767</v>
      </c>
      <c r="BS29" s="96" t="n">
        <f aca="false">AM29/(sib_net1*(1+sib_decup*BB29))</f>
        <v>0.14976821783948</v>
      </c>
      <c r="BT29" s="96" t="n">
        <f aca="false">AN29/(sib_net2*(1+sib_decup*BB29))</f>
        <v>0.147875032274722</v>
      </c>
      <c r="BU29" s="96" t="n">
        <f aca="false">AO29/(sib_net3a*(1+sib_decup*BB29))</f>
        <v>0.111730097254497</v>
      </c>
      <c r="BV29" s="96" t="n">
        <f aca="false">AP29/(sib_net3b*(1+sib_decup*BB29))</f>
        <v>0.101183089404378</v>
      </c>
      <c r="BW29" s="96" t="n">
        <f aca="false">AQ29/(sib_net4*(1+sib_decup*BB29))</f>
        <v>0.0801032791117996</v>
      </c>
      <c r="BX29" s="23" t="n">
        <f aca="false">BS29/BN29</f>
        <v>0.021974838566177</v>
      </c>
      <c r="BY29" s="23" t="n">
        <f aca="false">BT29/BO29</f>
        <v>0.0250049045750455</v>
      </c>
      <c r="BZ29" s="23" t="n">
        <f aca="false">BU29/BP29</f>
        <v>0.0163703093618427</v>
      </c>
      <c r="CA29" s="23" t="n">
        <f aca="false">BV29/BQ29</f>
        <v>0.0106173597553264</v>
      </c>
      <c r="CB29" s="23" t="n">
        <f aca="false">BW29/BR29</f>
        <v>0.00840540980630009</v>
      </c>
      <c r="CC29" s="23" t="n">
        <f aca="false">MAX(BX29:CB29,DW29)</f>
        <v>0.0250049045750455</v>
      </c>
      <c r="CD29" s="1" t="str">
        <f aca="false">IF(DW29&gt;=MAX(BX29:CB29),"Ob-Chelyabinsk",CHOOSE(MATCH(CC29,BX29:CB29,0),"Vladivostok-Harbin","Harbin-Manzhouli","Manzhouli-Kitaisky (branch)","Kitaisky-Irkutsk","Irkutsk-Ob"))</f>
        <v>Harbin-Manzhouli</v>
      </c>
      <c r="CE29" s="96" t="n">
        <f aca="false">MIN(BN29-BS29,BO29-BT29,BP29-BU29,BQ29-BV29,BR29-BW29,DU29-DV29)</f>
        <v>5.76596606361569</v>
      </c>
      <c r="CF29" s="97" t="n">
        <f aca="false">2*(sib_L1*(BS29+AT29+(BH29*G29-sib_pass)*(sib_civ*sib_civused+(1-sib_civ)*sib_fuel)+sib_pass)+sib_L2*(BT29+AT29+(BI29*G29-sib_pass)*(sib_civ*sib_civused+(1-sib_civ)*sib_fuel)+sib_pass)+sib_L3a*(BU29+AU29+(BJ29*G29-sib_pass)*(sib_civ*sib_civused+(1-sib_civ)*sib_fuel)+sib_pass)+sib_L3b*(BV29+AU29+(BK29*G29-sib_pass)*(sib_civ*sib_civused+(1-sib_civ)*sib_fuel)+sib_pass)+sib_L4*(BW29+AU29+(BL29*G29-sib_pass)*(sib_civ*sib_civused+(1-sib_civ)*sib_fuel)+sib_pass)+sib_L5*(DV29+AU29+(DT29*G29-sib_pass)*(sib_civ*sib_civused+(1-sib_civ)*sib_fuel)+sib_pass))</f>
        <v>70434.9666299774</v>
      </c>
      <c r="CG29" s="95" t="n">
        <f aca="false">CF29/sib_kmloco*sib_helper</f>
        <v>550.273176796699</v>
      </c>
      <c r="CH29" s="23" t="n">
        <f aca="false">CG29/BA29</f>
        <v>0.280751620814642</v>
      </c>
      <c r="CI29" s="97" t="n">
        <v>0</v>
      </c>
      <c r="CJ29" s="97" t="n">
        <v>0</v>
      </c>
      <c r="CK29" s="97" t="n">
        <v>0</v>
      </c>
      <c r="CL29" s="97" t="n">
        <f aca="false">(sib_wag0+SUM(CI$6:CI29)+SUM(CJ$6:CJ29))*sib_wserv*(1-sib_civ)</f>
        <v>27370</v>
      </c>
      <c r="CM29" s="97" t="n">
        <f aca="false">AK29/sib_wload*(2*(sib_L1+sib_L2+sib_L3a+sib_L3b+sib_L4/2)/sib_wagkm+sib_term)+AL29/sib_wload*(2*(sib_L2+sib_L3a+sib_L3b+sib_L4/2)/sib_wagkm+sib_term)+AJ29/sib_wload*((sib_L1+sib_L2)/sib_wagkm+sib_term-2)+Z29/sib_wload*(2*(sib_L3b+sib_L4/2)/sib_wagkm+sib_term)+AU29*40*(2*(sib_L1+sib_L2+sib_L3a+sib_L3b+sib_L4/2)/sib_wagkm+sib_term)+K29*1000/sib_czw+CK29+DR29/sib_wload*(2*(sib_L4/2+sib_L5/2)/sib_wagkm)</f>
        <v>247.487281035008</v>
      </c>
      <c r="CN29" s="23" t="n">
        <f aca="false">CM29/CL29</f>
        <v>0.00904228282919282</v>
      </c>
      <c r="CO29" s="95" t="n">
        <v>0</v>
      </c>
      <c r="CP29" s="95" t="n">
        <f aca="false">MIN(CO29,AK29+AJ29)</f>
        <v>0</v>
      </c>
      <c r="CQ29" s="23" t="n">
        <f aca="false">(AK29+AJ29+Z29-CP29)*365/1000000+sib_civport</f>
        <v>0.83276605</v>
      </c>
      <c r="CR29" s="23" t="n">
        <v>3</v>
      </c>
      <c r="CS29" s="23" t="n">
        <f aca="false">CQ29/(CR29*IF(OR(RIGHT(A29,2)="Q1",C29=365),sib_portwin,1))</f>
        <v>0.326574921568628</v>
      </c>
      <c r="CT29" s="96" t="n">
        <f aca="false">(AK29+AJ29+Z29-CP29)*sib_pacship*365/(sib_dwt*0.9*sib_voy)</f>
        <v>0.410742507122507</v>
      </c>
      <c r="CU29" s="23" t="n">
        <f aca="false">CT29/sib_ships</f>
        <v>0.0102685626780627</v>
      </c>
      <c r="CV29" s="97" t="n">
        <f aca="false">CV28+(AB29+Z29)*C29+AA29</f>
        <v>149326.086956522</v>
      </c>
      <c r="CW29" s="96" t="n">
        <f aca="false">IF(C29=365,sib_surge/sib_mtrain/sib_surge_d,0)</f>
        <v>1.85185185185185</v>
      </c>
      <c r="CX29" s="95" t="n">
        <f aca="false">(CC29&gt;sib_util_max)+(CH29&gt;1)+(CN29&gt;1)+(CS29&gt;sib_util_max)+(CU29&gt;1)+(CV29&lt;0)+(CW29&gt;0)*(CE29&lt;CW29)</f>
        <v>0</v>
      </c>
      <c r="CY29" s="1" t="str">
        <f aca="false">IF(CX29=0,"OK","Check")</f>
        <v>OK</v>
      </c>
      <c r="CZ29" s="95" t="n">
        <v>0</v>
      </c>
      <c r="DA29" s="23" t="n">
        <v>2</v>
      </c>
      <c r="DB29" s="23" t="n">
        <v>0.5</v>
      </c>
      <c r="DC29" s="23" t="n">
        <f aca="false">INDEX(Paths!$B$6:$B$92,MATCH(B29,Paths!$A$6:$A$92,0))*sib_cost</f>
        <v>1.6</v>
      </c>
      <c r="DD29" s="96" t="n">
        <f aca="false">L29*sib_c_pac/1000*C29/365*DC29</f>
        <v>6.24</v>
      </c>
      <c r="DE29" s="96" t="n">
        <f aca="false">K29*sib_c_cz/1000*C29/365*DC29</f>
        <v>0</v>
      </c>
      <c r="DF29" s="96" t="n">
        <f aca="false">J29*sib_c_sib/1000*C29/365*DC29</f>
        <v>0</v>
      </c>
      <c r="DG29" s="96" t="n">
        <f aca="false">((MAX(0,T29-CP29)+V29+AB29+Z29+AA29/C29)*sib_pst_w+Q29*sib_loc_kg*sib_pst_e)*C29*sib_c_store/1000000*DC29</f>
        <v>1.1828628</v>
      </c>
      <c r="DH29" s="96" t="n">
        <f aca="false">((AW29*sib_c_loco+CJ29*sib_c_wag+MAX(0,AZ29-AZ28)*sib_loco0*sib_c_rep+CZ29*sib_c_arm)/1000000+DA29)*DC29</f>
        <v>3.2</v>
      </c>
      <c r="DI29" s="96" t="n">
        <f aca="false">2*(sib_L1*(BS29+AT29)+sib_L2*(BT29+AT29)+sib_L3a*(BU29+AU29)+sib_L3b*(BV29+AU29)+sib_L4*(BW29+AU29)+sib_L5*(DV29+AU29))*C29*sib_c_tkm*sib_prail/1000000*DC29</f>
        <v>0.710760021407097</v>
      </c>
      <c r="DJ29" s="96" t="n">
        <f aca="false">CT29*sib_c_ship*C29/365*DC29</f>
        <v>0.295734605128205</v>
      </c>
      <c r="DK29" s="96" t="n">
        <f aca="false">DB29*DC29</f>
        <v>0.8</v>
      </c>
      <c r="DL29" s="96" t="n">
        <f aca="false">AA29*sib_c_kara/1000000*DC29</f>
        <v>0</v>
      </c>
      <c r="DM29" s="96" t="n">
        <f aca="false">(AC29*sib_c_ref/1000*C29/365+AH29*C29*sib_c_grain/1000000)*DC29</f>
        <v>0.35667812</v>
      </c>
      <c r="DN29" s="96" t="n">
        <f aca="false">Z29*C29*sib_c_amur/1000000*DC29</f>
        <v>0</v>
      </c>
      <c r="DO29" s="96" t="n">
        <f aca="false">sib_fed*sib_c_fed/1000000*C29/365*DC29</f>
        <v>2.4</v>
      </c>
      <c r="DP29" s="96" t="n">
        <f aca="false">SUM(DD29:DO29)</f>
        <v>15.1860355465353</v>
      </c>
      <c r="DQ29" s="98" t="n">
        <v>0.2</v>
      </c>
      <c r="DR29" s="99" t="n">
        <f aca="false">AQ29*DQ29</f>
        <v>8.864</v>
      </c>
      <c r="DS29" s="98" t="n">
        <v>24</v>
      </c>
      <c r="DT29" s="99" t="n">
        <f aca="false">DS$6+(DS29-DS$6)*sib_works</f>
        <v>24</v>
      </c>
      <c r="DU29" s="99" t="n">
        <f aca="false">(DT29*G29-sib_pass)*(1-sib_civ)*(1-sib_fuel-BM29*sib_strike)-AU29</f>
        <v>9.52996712328767</v>
      </c>
      <c r="DV29" s="99" t="n">
        <f aca="false">DR29/(sib_net5*(1+sib_decup*BB29))</f>
        <v>0.0160206558223599</v>
      </c>
      <c r="DW29" s="99" t="n">
        <f aca="false">IF(DV29=0,0,IF(DU29&lt;=0,9.99,DV29/DU29))</f>
        <v>0.00168108196126002</v>
      </c>
    </row>
    <row r="30" customFormat="false" ht="13.5" hidden="false" customHeight="true" outlineLevel="0" collapsed="false">
      <c r="A30" s="52" t="s">
        <v>2011</v>
      </c>
      <c r="B30" s="95" t="n">
        <v>1929</v>
      </c>
      <c r="C30" s="95" t="n">
        <v>365</v>
      </c>
      <c r="D30" s="1" t="s">
        <v>2005</v>
      </c>
      <c r="E30" s="23" t="n">
        <v>0.3</v>
      </c>
      <c r="F30" s="95" t="n">
        <v>1</v>
      </c>
      <c r="G30" s="23" t="n">
        <f aca="false">1-E30*IF(F30=1,sib_winter,1)</f>
        <v>0.7</v>
      </c>
      <c r="H30" s="95" t="n">
        <v>15</v>
      </c>
      <c r="I30" s="95" t="n">
        <v>6</v>
      </c>
      <c r="J30" s="95" t="n">
        <v>0</v>
      </c>
      <c r="K30" s="95" t="n">
        <v>0</v>
      </c>
      <c r="L30" s="95" t="n">
        <v>3</v>
      </c>
      <c r="M30" s="95" t="n">
        <f aca="false">SUM(H30:L30)</f>
        <v>24</v>
      </c>
      <c r="N30" s="23" t="n">
        <v>0</v>
      </c>
      <c r="O30" s="23" t="n">
        <v>0</v>
      </c>
      <c r="P30" s="95" t="n">
        <f aca="false">H30*N30+I30*O30+J30*sib_sw+K30+L30*sib_pw</f>
        <v>2.7</v>
      </c>
      <c r="Q30" s="95" t="n">
        <f aca="false">M30-P30</f>
        <v>21.3</v>
      </c>
      <c r="R30" s="23" t="n">
        <v>0.2</v>
      </c>
      <c r="S30" s="96" t="n">
        <v>2</v>
      </c>
      <c r="T30" s="95" t="n">
        <f aca="false">P30*(R30*S30*sib_ammo+(1-R30)*sib_loc_kg)</f>
        <v>4.32</v>
      </c>
      <c r="U30" s="95" t="n">
        <f aca="false">H30*N30*sib_jp_kg</f>
        <v>0</v>
      </c>
      <c r="V30" s="95" t="n">
        <v>0</v>
      </c>
      <c r="W30" s="95" t="n">
        <v>40</v>
      </c>
      <c r="X30" s="95" t="n">
        <v>0</v>
      </c>
      <c r="Y30" s="95" t="n">
        <v>0</v>
      </c>
      <c r="Z30" s="95" t="n">
        <f aca="false">Y30*sib_amur</f>
        <v>0</v>
      </c>
      <c r="AA30" s="97" t="n">
        <v>0</v>
      </c>
      <c r="AB30" s="95" t="n">
        <f aca="false">-(AA30+Z30*C30)/C30</f>
        <v>-0</v>
      </c>
      <c r="AC30" s="95" t="n">
        <v>10</v>
      </c>
      <c r="AD30" s="23" t="n">
        <v>1.2</v>
      </c>
      <c r="AE30" s="95" t="n">
        <f aca="false">(J30*sib_sw+K30+L30*sib_pw)*sib_bread+P30*sib_horses*sib_oats+AC30*sib_relief_kg</f>
        <v>10.4675</v>
      </c>
      <c r="AF30" s="95" t="n">
        <f aca="false">sib_surplus*AD30*sib_harvest*1000000/365*sib_callmax</f>
        <v>986.301369863014</v>
      </c>
      <c r="AG30" s="95" t="n">
        <f aca="false">MAX(0,AE30-AF30)</f>
        <v>0</v>
      </c>
      <c r="AH30" s="95" t="n">
        <f aca="false">AE30-AG30</f>
        <v>10.4675</v>
      </c>
      <c r="AI30" s="95" t="n">
        <f aca="false">I30*O30*sib_cn_kg</f>
        <v>0</v>
      </c>
      <c r="AJ30" s="95" t="n">
        <f aca="false">Q30*sib_loc_kg+H30*(1-N30)*sib_jp_kg</f>
        <v>45.45</v>
      </c>
      <c r="AK30" s="95" t="n">
        <f aca="false">T30+U30+V30+W30+X30+AB30</f>
        <v>44.32</v>
      </c>
      <c r="AL30" s="95" t="n">
        <f aca="false">AI30+AG30</f>
        <v>0</v>
      </c>
      <c r="AM30" s="95" t="n">
        <f aca="false">AK30+AJ30</f>
        <v>89.77</v>
      </c>
      <c r="AN30" s="95" t="n">
        <f aca="false">AK30+AL30+sib_e2*AJ30</f>
        <v>71.59</v>
      </c>
      <c r="AO30" s="95" t="n">
        <f aca="false">AK30+AL30+sib_e3*AJ30</f>
        <v>57.955</v>
      </c>
      <c r="AP30" s="95" t="n">
        <f aca="false">AK30+AL30+Z30</f>
        <v>44.32</v>
      </c>
      <c r="AQ30" s="95" t="n">
        <f aca="false">AK30+AL30+Z30</f>
        <v>44.32</v>
      </c>
      <c r="AR30" s="95" t="n">
        <f aca="false">H30+I30+L30</f>
        <v>24</v>
      </c>
      <c r="AS30" s="95" t="n">
        <f aca="false">H30*N30+I30*O30+L30*sib_pw</f>
        <v>2.7</v>
      </c>
      <c r="AT30" s="96" t="n">
        <f aca="false">(MAX(0,AR30-AR29)+AR30*sib_rot*C30/365)*1000/sib_mtrain/C30</f>
        <v>0.010958904109589</v>
      </c>
      <c r="AU30" s="96" t="n">
        <f aca="false">(MAX(0,AS30-AS29)+AS30*sib_rot*C30/365)*1000/sib_mtrain/C30</f>
        <v>0.00123287671232877</v>
      </c>
      <c r="AV30" s="95" t="n">
        <v>0</v>
      </c>
      <c r="AW30" s="95" t="n">
        <v>0</v>
      </c>
      <c r="AX30" s="95" t="n">
        <f aca="false">(SUM(AV$6:AV30)+SUM(AW$6:AW30))*0.9</f>
        <v>855</v>
      </c>
      <c r="AY30" s="23" t="n">
        <v>0.85</v>
      </c>
      <c r="AZ30" s="23" t="n">
        <f aca="false">1-(1-AY30)*sib_sick</f>
        <v>0.85</v>
      </c>
      <c r="BA30" s="95" t="n">
        <f aca="false">sib_loco0*AZ30+AX30</f>
        <v>1960</v>
      </c>
      <c r="BB30" s="23" t="n">
        <f aca="false">AX30/BA30</f>
        <v>0.436224489795918</v>
      </c>
      <c r="BC30" s="95" t="n">
        <v>18</v>
      </c>
      <c r="BD30" s="95" t="n">
        <v>16</v>
      </c>
      <c r="BE30" s="95" t="n">
        <v>18</v>
      </c>
      <c r="BF30" s="95" t="n">
        <v>24</v>
      </c>
      <c r="BG30" s="95" t="n">
        <v>24</v>
      </c>
      <c r="BH30" s="96" t="n">
        <f aca="false">BC$6+(BC30-BC$6)*sib_works</f>
        <v>18</v>
      </c>
      <c r="BI30" s="96" t="n">
        <f aca="false">BD$6+(BD30-BD$6)*sib_works</f>
        <v>16</v>
      </c>
      <c r="BJ30" s="96" t="n">
        <f aca="false">BE$6+(BE30-BE$6)*sib_works</f>
        <v>18</v>
      </c>
      <c r="BK30" s="96" t="n">
        <f aca="false">BF$6+(BF30-BF$6)*sib_works</f>
        <v>24</v>
      </c>
      <c r="BL30" s="96" t="n">
        <f aca="false">BG$6+(BG30-BG$6)*sib_works</f>
        <v>24</v>
      </c>
      <c r="BM30" s="95" t="n">
        <v>0</v>
      </c>
      <c r="BN30" s="96" t="n">
        <f aca="false">(BH30*G30-sib_pass)*(1-sib_civ)*(1-sib_fuel-BM30*sib_strike)-AT30</f>
        <v>6.81544109589041</v>
      </c>
      <c r="BO30" s="96" t="n">
        <f aca="false">(BI30*G30-sib_pass)*(1-sib_civ)*(1-sib_fuel-BM30*sib_strike)-AT30</f>
        <v>5.91384109589041</v>
      </c>
      <c r="BP30" s="96" t="n">
        <f aca="false">(BJ30*G30-sib_pass)*(1-sib_civ)*(1-sib_fuel-BM30*sib_strike)-AU30</f>
        <v>6.82516712328767</v>
      </c>
      <c r="BQ30" s="96" t="n">
        <f aca="false">(BK30*G30-sib_pass)*(1-sib_civ)*(1-sib_fuel-BM30*sib_strike)-AU30</f>
        <v>9.52996712328767</v>
      </c>
      <c r="BR30" s="96" t="n">
        <f aca="false">(BL30*G30-sib_pass)*(1-sib_civ)*(1-sib_fuel-BM30*sib_strike)-AU30</f>
        <v>9.52996712328767</v>
      </c>
      <c r="BS30" s="96" t="n">
        <f aca="false">AM30/(sib_net1*(1+sib_decup*BB30))</f>
        <v>0.14976821783948</v>
      </c>
      <c r="BT30" s="96" t="n">
        <f aca="false">AN30/(sib_net2*(1+sib_decup*BB30))</f>
        <v>0.147875032274722</v>
      </c>
      <c r="BU30" s="96" t="n">
        <f aca="false">AO30/(sib_net3a*(1+sib_decup*BB30))</f>
        <v>0.111730097254497</v>
      </c>
      <c r="BV30" s="96" t="n">
        <f aca="false">AP30/(sib_net3b*(1+sib_decup*BB30))</f>
        <v>0.101183089404378</v>
      </c>
      <c r="BW30" s="96" t="n">
        <f aca="false">AQ30/(sib_net4*(1+sib_decup*BB30))</f>
        <v>0.0801032791117996</v>
      </c>
      <c r="BX30" s="23" t="n">
        <f aca="false">BS30/BN30</f>
        <v>0.021974838566177</v>
      </c>
      <c r="BY30" s="23" t="n">
        <f aca="false">BT30/BO30</f>
        <v>0.0250049045750455</v>
      </c>
      <c r="BZ30" s="23" t="n">
        <f aca="false">BU30/BP30</f>
        <v>0.0163703093618427</v>
      </c>
      <c r="CA30" s="23" t="n">
        <f aca="false">BV30/BQ30</f>
        <v>0.0106173597553264</v>
      </c>
      <c r="CB30" s="23" t="n">
        <f aca="false">BW30/BR30</f>
        <v>0.00840540980630009</v>
      </c>
      <c r="CC30" s="23" t="n">
        <f aca="false">MAX(BX30:CB30,DW30)</f>
        <v>0.0250049045750455</v>
      </c>
      <c r="CD30" s="1" t="str">
        <f aca="false">IF(DW30&gt;=MAX(BX30:CB30),"Ob-Chelyabinsk",CHOOSE(MATCH(CC30,BX30:CB30,0),"Vladivostok-Harbin","Harbin-Manzhouli","Manzhouli-Kitaisky (branch)","Kitaisky-Irkutsk","Irkutsk-Ob"))</f>
        <v>Harbin-Manzhouli</v>
      </c>
      <c r="CE30" s="96" t="n">
        <f aca="false">MIN(BN30-BS30,BO30-BT30,BP30-BU30,BQ30-BV30,BR30-BW30,DU30-DV30)</f>
        <v>5.76596606361569</v>
      </c>
      <c r="CF30" s="97" t="n">
        <f aca="false">2*(sib_L1*(BS30+AT30+(BH30*G30-sib_pass)*(sib_civ*sib_civused+(1-sib_civ)*sib_fuel)+sib_pass)+sib_L2*(BT30+AT30+(BI30*G30-sib_pass)*(sib_civ*sib_civused+(1-sib_civ)*sib_fuel)+sib_pass)+sib_L3a*(BU30+AU30+(BJ30*G30-sib_pass)*(sib_civ*sib_civused+(1-sib_civ)*sib_fuel)+sib_pass)+sib_L3b*(BV30+AU30+(BK30*G30-sib_pass)*(sib_civ*sib_civused+(1-sib_civ)*sib_fuel)+sib_pass)+sib_L4*(BW30+AU30+(BL30*G30-sib_pass)*(sib_civ*sib_civused+(1-sib_civ)*sib_fuel)+sib_pass)+sib_L5*(DV30+AU30+(DT30*G30-sib_pass)*(sib_civ*sib_civused+(1-sib_civ)*sib_fuel)+sib_pass))</f>
        <v>70434.9666299774</v>
      </c>
      <c r="CG30" s="95" t="n">
        <f aca="false">CF30/sib_kmloco*sib_helper</f>
        <v>550.273176796699</v>
      </c>
      <c r="CH30" s="23" t="n">
        <f aca="false">CG30/BA30</f>
        <v>0.280751620814642</v>
      </c>
      <c r="CI30" s="97" t="n">
        <v>0</v>
      </c>
      <c r="CJ30" s="97" t="n">
        <v>0</v>
      </c>
      <c r="CK30" s="97" t="n">
        <v>0</v>
      </c>
      <c r="CL30" s="97" t="n">
        <f aca="false">(sib_wag0+SUM(CI$6:CI30)+SUM(CJ$6:CJ30))*sib_wserv*(1-sib_civ)</f>
        <v>27370</v>
      </c>
      <c r="CM30" s="97" t="n">
        <f aca="false">AK30/sib_wload*(2*(sib_L1+sib_L2+sib_L3a+sib_L3b+sib_L4/2)/sib_wagkm+sib_term)+AL30/sib_wload*(2*(sib_L2+sib_L3a+sib_L3b+sib_L4/2)/sib_wagkm+sib_term)+AJ30/sib_wload*((sib_L1+sib_L2)/sib_wagkm+sib_term-2)+Z30/sib_wload*(2*(sib_L3b+sib_L4/2)/sib_wagkm+sib_term)+AU30*40*(2*(sib_L1+sib_L2+sib_L3a+sib_L3b+sib_L4/2)/sib_wagkm+sib_term)+K30*1000/sib_czw+CK30+DR30/sib_wload*(2*(sib_L4/2+sib_L5/2)/sib_wagkm)</f>
        <v>247.487281035008</v>
      </c>
      <c r="CN30" s="23" t="n">
        <f aca="false">CM30/CL30</f>
        <v>0.00904228282919282</v>
      </c>
      <c r="CO30" s="95" t="n">
        <v>0</v>
      </c>
      <c r="CP30" s="95" t="n">
        <f aca="false">MIN(CO30,AK30+AJ30)</f>
        <v>0</v>
      </c>
      <c r="CQ30" s="23" t="n">
        <f aca="false">(AK30+AJ30+Z30-CP30)*365/1000000+sib_civport</f>
        <v>0.83276605</v>
      </c>
      <c r="CR30" s="23" t="n">
        <v>3</v>
      </c>
      <c r="CS30" s="23" t="n">
        <f aca="false">CQ30/(CR30*IF(OR(RIGHT(A30,2)="Q1",C30=365),sib_portwin,1))</f>
        <v>0.326574921568628</v>
      </c>
      <c r="CT30" s="96" t="n">
        <f aca="false">(AK30+AJ30+Z30-CP30)*sib_pacship*365/(sib_dwt*0.9*sib_voy)</f>
        <v>0.410742507122507</v>
      </c>
      <c r="CU30" s="23" t="n">
        <f aca="false">CT30/sib_ships</f>
        <v>0.0102685626780627</v>
      </c>
      <c r="CV30" s="97" t="n">
        <f aca="false">CV29+(AB30+Z30)*C30+AA30</f>
        <v>149326.086956522</v>
      </c>
      <c r="CW30" s="96" t="n">
        <f aca="false">IF(C30=365,sib_surge/sib_mtrain/sib_surge_d,0)</f>
        <v>1.85185185185185</v>
      </c>
      <c r="CX30" s="95" t="n">
        <f aca="false">(CC30&gt;sib_util_max)+(CH30&gt;1)+(CN30&gt;1)+(CS30&gt;sib_util_max)+(CU30&gt;1)+(CV30&lt;0)+(CW30&gt;0)*(CE30&lt;CW30)</f>
        <v>0</v>
      </c>
      <c r="CY30" s="1" t="str">
        <f aca="false">IF(CX30=0,"OK","Check")</f>
        <v>OK</v>
      </c>
      <c r="CZ30" s="95" t="n">
        <v>0</v>
      </c>
      <c r="DA30" s="23" t="n">
        <v>2</v>
      </c>
      <c r="DB30" s="23" t="n">
        <v>0.5</v>
      </c>
      <c r="DC30" s="23" t="n">
        <f aca="false">INDEX(Paths!$B$6:$B$92,MATCH(B30,Paths!$A$6:$A$92,0))*sib_cost</f>
        <v>1.6</v>
      </c>
      <c r="DD30" s="96" t="n">
        <f aca="false">L30*sib_c_pac/1000*C30/365*DC30</f>
        <v>6.24</v>
      </c>
      <c r="DE30" s="96" t="n">
        <f aca="false">K30*sib_c_cz/1000*C30/365*DC30</f>
        <v>0</v>
      </c>
      <c r="DF30" s="96" t="n">
        <f aca="false">J30*sib_c_sib/1000*C30/365*DC30</f>
        <v>0</v>
      </c>
      <c r="DG30" s="96" t="n">
        <f aca="false">((MAX(0,T30-CP30)+V30+AB30+Z30+AA30/C30)*sib_pst_w+Q30*sib_loc_kg*sib_pst_e)*C30*sib_c_store/1000000*DC30</f>
        <v>1.1828628</v>
      </c>
      <c r="DH30" s="96" t="n">
        <f aca="false">((AW30*sib_c_loco+CJ30*sib_c_wag+MAX(0,AZ30-AZ29)*sib_loco0*sib_c_rep+CZ30*sib_c_arm)/1000000+DA30)*DC30</f>
        <v>3.2</v>
      </c>
      <c r="DI30" s="96" t="n">
        <f aca="false">2*(sib_L1*(BS30+AT30)+sib_L2*(BT30+AT30)+sib_L3a*(BU30+AU30)+sib_L3b*(BV30+AU30)+sib_L4*(BW30+AU30)+sib_L5*(DV30+AU30))*C30*sib_c_tkm*sib_prail/1000000*DC30</f>
        <v>0.710760021407097</v>
      </c>
      <c r="DJ30" s="96" t="n">
        <f aca="false">CT30*sib_c_ship*C30/365*DC30</f>
        <v>0.295734605128205</v>
      </c>
      <c r="DK30" s="96" t="n">
        <f aca="false">DB30*DC30</f>
        <v>0.8</v>
      </c>
      <c r="DL30" s="96" t="n">
        <f aca="false">AA30*sib_c_kara/1000000*DC30</f>
        <v>0</v>
      </c>
      <c r="DM30" s="96" t="n">
        <f aca="false">(AC30*sib_c_ref/1000*C30/365+AH30*C30*sib_c_grain/1000000)*DC30</f>
        <v>0.35667812</v>
      </c>
      <c r="DN30" s="96" t="n">
        <f aca="false">Z30*C30*sib_c_amur/1000000*DC30</f>
        <v>0</v>
      </c>
      <c r="DO30" s="96" t="n">
        <f aca="false">sib_fed*sib_c_fed/1000000*C30/365*DC30</f>
        <v>2.4</v>
      </c>
      <c r="DP30" s="96" t="n">
        <f aca="false">SUM(DD30:DO30)</f>
        <v>15.1860355465353</v>
      </c>
      <c r="DQ30" s="98" t="n">
        <v>0.2</v>
      </c>
      <c r="DR30" s="99" t="n">
        <f aca="false">AQ30*DQ30</f>
        <v>8.864</v>
      </c>
      <c r="DS30" s="98" t="n">
        <v>24</v>
      </c>
      <c r="DT30" s="99" t="n">
        <f aca="false">DS$6+(DS30-DS$6)*sib_works</f>
        <v>24</v>
      </c>
      <c r="DU30" s="99" t="n">
        <f aca="false">(DT30*G30-sib_pass)*(1-sib_civ)*(1-sib_fuel-BM30*sib_strike)-AU30</f>
        <v>9.52996712328767</v>
      </c>
      <c r="DV30" s="99" t="n">
        <f aca="false">DR30/(sib_net5*(1+sib_decup*BB30))</f>
        <v>0.0160206558223599</v>
      </c>
      <c r="DW30" s="99" t="n">
        <f aca="false">IF(DV30=0,0,IF(DU30&lt;=0,9.99,DV30/DU30))</f>
        <v>0.00168108196126002</v>
      </c>
    </row>
    <row r="31" customFormat="false" ht="13.5" hidden="false" customHeight="true" outlineLevel="0" collapsed="false">
      <c r="A31" s="52" t="s">
        <v>2012</v>
      </c>
      <c r="B31" s="95" t="n">
        <v>1930</v>
      </c>
      <c r="C31" s="95" t="n">
        <v>365</v>
      </c>
      <c r="D31" s="1" t="s">
        <v>2005</v>
      </c>
      <c r="E31" s="23" t="n">
        <v>0.3</v>
      </c>
      <c r="F31" s="95" t="n">
        <v>1</v>
      </c>
      <c r="G31" s="23" t="n">
        <f aca="false">1-E31*IF(F31=1,sib_winter,1)</f>
        <v>0.7</v>
      </c>
      <c r="H31" s="95" t="n">
        <v>15</v>
      </c>
      <c r="I31" s="95" t="n">
        <v>6</v>
      </c>
      <c r="J31" s="95" t="n">
        <v>0</v>
      </c>
      <c r="K31" s="95" t="n">
        <v>0</v>
      </c>
      <c r="L31" s="95" t="n">
        <v>3</v>
      </c>
      <c r="M31" s="95" t="n">
        <f aca="false">SUM(H31:L31)</f>
        <v>24</v>
      </c>
      <c r="N31" s="23" t="n">
        <v>0</v>
      </c>
      <c r="O31" s="23" t="n">
        <v>0</v>
      </c>
      <c r="P31" s="95" t="n">
        <f aca="false">H31*N31+I31*O31+J31*sib_sw+K31+L31*sib_pw</f>
        <v>2.7</v>
      </c>
      <c r="Q31" s="95" t="n">
        <f aca="false">M31-P31</f>
        <v>21.3</v>
      </c>
      <c r="R31" s="23" t="n">
        <v>0.2</v>
      </c>
      <c r="S31" s="96" t="n">
        <v>2</v>
      </c>
      <c r="T31" s="95" t="n">
        <f aca="false">P31*(R31*S31*sib_ammo+(1-R31)*sib_loc_kg)</f>
        <v>4.32</v>
      </c>
      <c r="U31" s="95" t="n">
        <f aca="false">H31*N31*sib_jp_kg</f>
        <v>0</v>
      </c>
      <c r="V31" s="95" t="n">
        <v>0</v>
      </c>
      <c r="W31" s="95" t="n">
        <v>40</v>
      </c>
      <c r="X31" s="95" t="n">
        <v>0</v>
      </c>
      <c r="Y31" s="95" t="n">
        <v>0</v>
      </c>
      <c r="Z31" s="95" t="n">
        <f aca="false">Y31*sib_amur</f>
        <v>0</v>
      </c>
      <c r="AA31" s="97" t="n">
        <v>0</v>
      </c>
      <c r="AB31" s="95" t="n">
        <f aca="false">-(AA31+Z31*C31)/C31</f>
        <v>-0</v>
      </c>
      <c r="AC31" s="95" t="n">
        <v>10</v>
      </c>
      <c r="AD31" s="23" t="n">
        <v>1.2</v>
      </c>
      <c r="AE31" s="95" t="n">
        <f aca="false">(J31*sib_sw+K31+L31*sib_pw)*sib_bread+P31*sib_horses*sib_oats+AC31*sib_relief_kg</f>
        <v>10.4675</v>
      </c>
      <c r="AF31" s="95" t="n">
        <f aca="false">sib_surplus*AD31*sib_harvest*1000000/365*sib_callmax</f>
        <v>986.301369863014</v>
      </c>
      <c r="AG31" s="95" t="n">
        <f aca="false">MAX(0,AE31-AF31)</f>
        <v>0</v>
      </c>
      <c r="AH31" s="95" t="n">
        <f aca="false">AE31-AG31</f>
        <v>10.4675</v>
      </c>
      <c r="AI31" s="95" t="n">
        <f aca="false">I31*O31*sib_cn_kg</f>
        <v>0</v>
      </c>
      <c r="AJ31" s="95" t="n">
        <f aca="false">Q31*sib_loc_kg+H31*(1-N31)*sib_jp_kg</f>
        <v>45.45</v>
      </c>
      <c r="AK31" s="95" t="n">
        <f aca="false">T31+U31+V31+W31+X31+AB31</f>
        <v>44.32</v>
      </c>
      <c r="AL31" s="95" t="n">
        <f aca="false">AI31+AG31</f>
        <v>0</v>
      </c>
      <c r="AM31" s="95" t="n">
        <f aca="false">AK31+AJ31</f>
        <v>89.77</v>
      </c>
      <c r="AN31" s="95" t="n">
        <f aca="false">AK31+AL31+sib_e2*AJ31</f>
        <v>71.59</v>
      </c>
      <c r="AO31" s="95" t="n">
        <f aca="false">AK31+AL31+sib_e3*AJ31</f>
        <v>57.955</v>
      </c>
      <c r="AP31" s="95" t="n">
        <f aca="false">AK31+AL31+Z31</f>
        <v>44.32</v>
      </c>
      <c r="AQ31" s="95" t="n">
        <f aca="false">AK31+AL31+Z31</f>
        <v>44.32</v>
      </c>
      <c r="AR31" s="95" t="n">
        <f aca="false">H31+I31+L31</f>
        <v>24</v>
      </c>
      <c r="AS31" s="95" t="n">
        <f aca="false">H31*N31+I31*O31+L31*sib_pw</f>
        <v>2.7</v>
      </c>
      <c r="AT31" s="96" t="n">
        <f aca="false">(MAX(0,AR31-AR30)+AR31*sib_rot*C31/365)*1000/sib_mtrain/C31</f>
        <v>0.010958904109589</v>
      </c>
      <c r="AU31" s="96" t="n">
        <f aca="false">(MAX(0,AS31-AS30)+AS31*sib_rot*C31/365)*1000/sib_mtrain/C31</f>
        <v>0.00123287671232877</v>
      </c>
      <c r="AV31" s="95" t="n">
        <v>0</v>
      </c>
      <c r="AW31" s="95" t="n">
        <v>0</v>
      </c>
      <c r="AX31" s="95" t="n">
        <f aca="false">(SUM(AV$6:AV31)+SUM(AW$6:AW31))*0.9</f>
        <v>855</v>
      </c>
      <c r="AY31" s="23" t="n">
        <v>0.85</v>
      </c>
      <c r="AZ31" s="23" t="n">
        <f aca="false">1-(1-AY31)*sib_sick</f>
        <v>0.85</v>
      </c>
      <c r="BA31" s="95" t="n">
        <f aca="false">sib_loco0*AZ31+AX31</f>
        <v>1960</v>
      </c>
      <c r="BB31" s="23" t="n">
        <f aca="false">AX31/BA31</f>
        <v>0.436224489795918</v>
      </c>
      <c r="BC31" s="95" t="n">
        <v>18</v>
      </c>
      <c r="BD31" s="95" t="n">
        <v>16</v>
      </c>
      <c r="BE31" s="95" t="n">
        <v>18</v>
      </c>
      <c r="BF31" s="95" t="n">
        <v>24</v>
      </c>
      <c r="BG31" s="95" t="n">
        <v>24</v>
      </c>
      <c r="BH31" s="96" t="n">
        <f aca="false">BC$6+(BC31-BC$6)*sib_works</f>
        <v>18</v>
      </c>
      <c r="BI31" s="96" t="n">
        <f aca="false">BD$6+(BD31-BD$6)*sib_works</f>
        <v>16</v>
      </c>
      <c r="BJ31" s="96" t="n">
        <f aca="false">BE$6+(BE31-BE$6)*sib_works</f>
        <v>18</v>
      </c>
      <c r="BK31" s="96" t="n">
        <f aca="false">BF$6+(BF31-BF$6)*sib_works</f>
        <v>24</v>
      </c>
      <c r="BL31" s="96" t="n">
        <f aca="false">BG$6+(BG31-BG$6)*sib_works</f>
        <v>24</v>
      </c>
      <c r="BM31" s="95" t="n">
        <v>0</v>
      </c>
      <c r="BN31" s="96" t="n">
        <f aca="false">(BH31*G31-sib_pass)*(1-sib_civ)*(1-sib_fuel-BM31*sib_strike)-AT31</f>
        <v>6.81544109589041</v>
      </c>
      <c r="BO31" s="96" t="n">
        <f aca="false">(BI31*G31-sib_pass)*(1-sib_civ)*(1-sib_fuel-BM31*sib_strike)-AT31</f>
        <v>5.91384109589041</v>
      </c>
      <c r="BP31" s="96" t="n">
        <f aca="false">(BJ31*G31-sib_pass)*(1-sib_civ)*(1-sib_fuel-BM31*sib_strike)-AU31</f>
        <v>6.82516712328767</v>
      </c>
      <c r="BQ31" s="96" t="n">
        <f aca="false">(BK31*G31-sib_pass)*(1-sib_civ)*(1-sib_fuel-BM31*sib_strike)-AU31</f>
        <v>9.52996712328767</v>
      </c>
      <c r="BR31" s="96" t="n">
        <f aca="false">(BL31*G31-sib_pass)*(1-sib_civ)*(1-sib_fuel-BM31*sib_strike)-AU31</f>
        <v>9.52996712328767</v>
      </c>
      <c r="BS31" s="96" t="n">
        <f aca="false">AM31/(sib_net1*(1+sib_decup*BB31))</f>
        <v>0.14976821783948</v>
      </c>
      <c r="BT31" s="96" t="n">
        <f aca="false">AN31/(sib_net2*(1+sib_decup*BB31))</f>
        <v>0.147875032274722</v>
      </c>
      <c r="BU31" s="96" t="n">
        <f aca="false">AO31/(sib_net3a*(1+sib_decup*BB31))</f>
        <v>0.111730097254497</v>
      </c>
      <c r="BV31" s="96" t="n">
        <f aca="false">AP31/(sib_net3b*(1+sib_decup*BB31))</f>
        <v>0.101183089404378</v>
      </c>
      <c r="BW31" s="96" t="n">
        <f aca="false">AQ31/(sib_net4*(1+sib_decup*BB31))</f>
        <v>0.0801032791117996</v>
      </c>
      <c r="BX31" s="23" t="n">
        <f aca="false">BS31/BN31</f>
        <v>0.021974838566177</v>
      </c>
      <c r="BY31" s="23" t="n">
        <f aca="false">BT31/BO31</f>
        <v>0.0250049045750455</v>
      </c>
      <c r="BZ31" s="23" t="n">
        <f aca="false">BU31/BP31</f>
        <v>0.0163703093618427</v>
      </c>
      <c r="CA31" s="23" t="n">
        <f aca="false">BV31/BQ31</f>
        <v>0.0106173597553264</v>
      </c>
      <c r="CB31" s="23" t="n">
        <f aca="false">BW31/BR31</f>
        <v>0.00840540980630009</v>
      </c>
      <c r="CC31" s="23" t="n">
        <f aca="false">MAX(BX31:CB31,DW31)</f>
        <v>0.0250049045750455</v>
      </c>
      <c r="CD31" s="1" t="str">
        <f aca="false">IF(DW31&gt;=MAX(BX31:CB31),"Ob-Chelyabinsk",CHOOSE(MATCH(CC31,BX31:CB31,0),"Vladivostok-Harbin","Harbin-Manzhouli","Manzhouli-Kitaisky (branch)","Kitaisky-Irkutsk","Irkutsk-Ob"))</f>
        <v>Harbin-Manzhouli</v>
      </c>
      <c r="CE31" s="96" t="n">
        <f aca="false">MIN(BN31-BS31,BO31-BT31,BP31-BU31,BQ31-BV31,BR31-BW31,DU31-DV31)</f>
        <v>5.76596606361569</v>
      </c>
      <c r="CF31" s="97" t="n">
        <f aca="false">2*(sib_L1*(BS31+AT31+(BH31*G31-sib_pass)*(sib_civ*sib_civused+(1-sib_civ)*sib_fuel)+sib_pass)+sib_L2*(BT31+AT31+(BI31*G31-sib_pass)*(sib_civ*sib_civused+(1-sib_civ)*sib_fuel)+sib_pass)+sib_L3a*(BU31+AU31+(BJ31*G31-sib_pass)*(sib_civ*sib_civused+(1-sib_civ)*sib_fuel)+sib_pass)+sib_L3b*(BV31+AU31+(BK31*G31-sib_pass)*(sib_civ*sib_civused+(1-sib_civ)*sib_fuel)+sib_pass)+sib_L4*(BW31+AU31+(BL31*G31-sib_pass)*(sib_civ*sib_civused+(1-sib_civ)*sib_fuel)+sib_pass)+sib_L5*(DV31+AU31+(DT31*G31-sib_pass)*(sib_civ*sib_civused+(1-sib_civ)*sib_fuel)+sib_pass))</f>
        <v>70434.9666299774</v>
      </c>
      <c r="CG31" s="95" t="n">
        <f aca="false">CF31/sib_kmloco*sib_helper</f>
        <v>550.273176796699</v>
      </c>
      <c r="CH31" s="23" t="n">
        <f aca="false">CG31/BA31</f>
        <v>0.280751620814642</v>
      </c>
      <c r="CI31" s="97" t="n">
        <v>0</v>
      </c>
      <c r="CJ31" s="97" t="n">
        <v>0</v>
      </c>
      <c r="CK31" s="97" t="n">
        <v>0</v>
      </c>
      <c r="CL31" s="97" t="n">
        <f aca="false">(sib_wag0+SUM(CI$6:CI31)+SUM(CJ$6:CJ31))*sib_wserv*(1-sib_civ)</f>
        <v>27370</v>
      </c>
      <c r="CM31" s="97" t="n">
        <f aca="false">AK31/sib_wload*(2*(sib_L1+sib_L2+sib_L3a+sib_L3b+sib_L4/2)/sib_wagkm+sib_term)+AL31/sib_wload*(2*(sib_L2+sib_L3a+sib_L3b+sib_L4/2)/sib_wagkm+sib_term)+AJ31/sib_wload*((sib_L1+sib_L2)/sib_wagkm+sib_term-2)+Z31/sib_wload*(2*(sib_L3b+sib_L4/2)/sib_wagkm+sib_term)+AU31*40*(2*(sib_L1+sib_L2+sib_L3a+sib_L3b+sib_L4/2)/sib_wagkm+sib_term)+K31*1000/sib_czw+CK31+DR31/sib_wload*(2*(sib_L4/2+sib_L5/2)/sib_wagkm)</f>
        <v>247.487281035008</v>
      </c>
      <c r="CN31" s="23" t="n">
        <f aca="false">CM31/CL31</f>
        <v>0.00904228282919282</v>
      </c>
      <c r="CO31" s="95" t="n">
        <v>0</v>
      </c>
      <c r="CP31" s="95" t="n">
        <f aca="false">MIN(CO31,AK31+AJ31)</f>
        <v>0</v>
      </c>
      <c r="CQ31" s="23" t="n">
        <f aca="false">(AK31+AJ31+Z31-CP31)*365/1000000+sib_civport</f>
        <v>0.83276605</v>
      </c>
      <c r="CR31" s="23" t="n">
        <v>3</v>
      </c>
      <c r="CS31" s="23" t="n">
        <f aca="false">CQ31/(CR31*IF(OR(RIGHT(A31,2)="Q1",C31=365),sib_portwin,1))</f>
        <v>0.326574921568628</v>
      </c>
      <c r="CT31" s="96" t="n">
        <f aca="false">(AK31+AJ31+Z31-CP31)*sib_pacship*365/(sib_dwt*0.9*sib_voy)</f>
        <v>0.410742507122507</v>
      </c>
      <c r="CU31" s="23" t="n">
        <f aca="false">CT31/sib_ships</f>
        <v>0.0102685626780627</v>
      </c>
      <c r="CV31" s="97" t="n">
        <f aca="false">CV30+(AB31+Z31)*C31+AA31</f>
        <v>149326.086956522</v>
      </c>
      <c r="CW31" s="96" t="n">
        <f aca="false">IF(C31=365,sib_surge/sib_mtrain/sib_surge_d,0)</f>
        <v>1.85185185185185</v>
      </c>
      <c r="CX31" s="95" t="n">
        <f aca="false">(CC31&gt;sib_util_max)+(CH31&gt;1)+(CN31&gt;1)+(CS31&gt;sib_util_max)+(CU31&gt;1)+(CV31&lt;0)+(CW31&gt;0)*(CE31&lt;CW31)</f>
        <v>0</v>
      </c>
      <c r="CY31" s="1" t="str">
        <f aca="false">IF(CX31=0,"OK","Check")</f>
        <v>OK</v>
      </c>
      <c r="CZ31" s="95" t="n">
        <v>0</v>
      </c>
      <c r="DA31" s="23" t="n">
        <v>2</v>
      </c>
      <c r="DB31" s="23" t="n">
        <v>0.5</v>
      </c>
      <c r="DC31" s="23" t="n">
        <f aca="false">INDEX(Paths!$B$6:$B$92,MATCH(B31,Paths!$A$6:$A$92,0))*sib_cost</f>
        <v>1.53</v>
      </c>
      <c r="DD31" s="96" t="n">
        <f aca="false">L31*sib_c_pac/1000*C31/365*DC31</f>
        <v>5.967</v>
      </c>
      <c r="DE31" s="96" t="n">
        <f aca="false">K31*sib_c_cz/1000*C31/365*DC31</f>
        <v>0</v>
      </c>
      <c r="DF31" s="96" t="n">
        <f aca="false">J31*sib_c_sib/1000*C31/365*DC31</f>
        <v>0</v>
      </c>
      <c r="DG31" s="96" t="n">
        <f aca="false">((MAX(0,T31-CP31)+V31+AB31+Z31+AA31/C31)*sib_pst_w+Q31*sib_loc_kg*sib_pst_e)*C31*sib_c_store/1000000*DC31</f>
        <v>1.1311125525</v>
      </c>
      <c r="DH31" s="96" t="n">
        <f aca="false">((AW31*sib_c_loco+CJ31*sib_c_wag+MAX(0,AZ31-AZ30)*sib_loco0*sib_c_rep+CZ31*sib_c_arm)/1000000+DA31)*DC31</f>
        <v>3.06</v>
      </c>
      <c r="DI31" s="96" t="n">
        <f aca="false">2*(sib_L1*(BS31+AT31)+sib_L2*(BT31+AT31)+sib_L3a*(BU31+AU31)+sib_L3b*(BV31+AU31)+sib_L4*(BW31+AU31)+sib_L5*(DV31+AU31))*C31*sib_c_tkm*sib_prail/1000000*DC31</f>
        <v>0.679664270470537</v>
      </c>
      <c r="DJ31" s="96" t="n">
        <f aca="false">CT31*sib_c_ship*C31/365*DC31</f>
        <v>0.282796216153846</v>
      </c>
      <c r="DK31" s="96" t="n">
        <f aca="false">DB31*DC31</f>
        <v>0.765</v>
      </c>
      <c r="DL31" s="96" t="n">
        <f aca="false">AA31*sib_c_kara/1000000*DC31</f>
        <v>0</v>
      </c>
      <c r="DM31" s="96" t="n">
        <f aca="false">(AC31*sib_c_ref/1000*C31/365+AH31*C31*sib_c_grain/1000000)*DC31</f>
        <v>0.34107345225</v>
      </c>
      <c r="DN31" s="96" t="n">
        <f aca="false">Z31*C31*sib_c_amur/1000000*DC31</f>
        <v>0</v>
      </c>
      <c r="DO31" s="96" t="n">
        <f aca="false">sib_fed*sib_c_fed/1000000*C31/365*DC31</f>
        <v>2.295</v>
      </c>
      <c r="DP31" s="96" t="n">
        <f aca="false">SUM(DD31:DO31)</f>
        <v>14.5216464913744</v>
      </c>
      <c r="DQ31" s="98" t="n">
        <v>0.2</v>
      </c>
      <c r="DR31" s="99" t="n">
        <f aca="false">AQ31*DQ31</f>
        <v>8.864</v>
      </c>
      <c r="DS31" s="98" t="n">
        <v>24</v>
      </c>
      <c r="DT31" s="99" t="n">
        <f aca="false">DS$6+(DS31-DS$6)*sib_works</f>
        <v>24</v>
      </c>
      <c r="DU31" s="99" t="n">
        <f aca="false">(DT31*G31-sib_pass)*(1-sib_civ)*(1-sib_fuel-BM31*sib_strike)-AU31</f>
        <v>9.52996712328767</v>
      </c>
      <c r="DV31" s="99" t="n">
        <f aca="false">DR31/(sib_net5*(1+sib_decup*BB31))</f>
        <v>0.0160206558223599</v>
      </c>
      <c r="DW31" s="99" t="n">
        <f aca="false">IF(DV31=0,0,IF(DU31&lt;=0,9.99,DV31/DU31))</f>
        <v>0.00168108196126002</v>
      </c>
    </row>
    <row r="32" customFormat="false" ht="13.5" hidden="false" customHeight="true" outlineLevel="0" collapsed="false">
      <c r="A32" s="52" t="s">
        <v>2013</v>
      </c>
      <c r="B32" s="95" t="n">
        <v>1931</v>
      </c>
      <c r="C32" s="95" t="n">
        <v>365</v>
      </c>
      <c r="D32" s="1" t="s">
        <v>2005</v>
      </c>
      <c r="E32" s="23" t="n">
        <v>0.3</v>
      </c>
      <c r="F32" s="95" t="n">
        <v>1</v>
      </c>
      <c r="G32" s="23" t="n">
        <f aca="false">1-E32*IF(F32=1,sib_winter,1)</f>
        <v>0.7</v>
      </c>
      <c r="H32" s="95" t="n">
        <v>15</v>
      </c>
      <c r="I32" s="95" t="n">
        <v>6</v>
      </c>
      <c r="J32" s="95" t="n">
        <v>0</v>
      </c>
      <c r="K32" s="95" t="n">
        <v>0</v>
      </c>
      <c r="L32" s="95" t="n">
        <v>3</v>
      </c>
      <c r="M32" s="95" t="n">
        <f aca="false">SUM(H32:L32)</f>
        <v>24</v>
      </c>
      <c r="N32" s="23" t="n">
        <v>0</v>
      </c>
      <c r="O32" s="23" t="n">
        <v>0</v>
      </c>
      <c r="P32" s="95" t="n">
        <f aca="false">H32*N32+I32*O32+J32*sib_sw+K32+L32*sib_pw</f>
        <v>2.7</v>
      </c>
      <c r="Q32" s="95" t="n">
        <f aca="false">M32-P32</f>
        <v>21.3</v>
      </c>
      <c r="R32" s="23" t="n">
        <v>0.2</v>
      </c>
      <c r="S32" s="96" t="n">
        <v>2</v>
      </c>
      <c r="T32" s="95" t="n">
        <f aca="false">P32*(R32*S32*sib_ammo+(1-R32)*sib_loc_kg)</f>
        <v>4.32</v>
      </c>
      <c r="U32" s="95" t="n">
        <f aca="false">H32*N32*sib_jp_kg</f>
        <v>0</v>
      </c>
      <c r="V32" s="95" t="n">
        <v>0</v>
      </c>
      <c r="W32" s="95" t="n">
        <v>40</v>
      </c>
      <c r="X32" s="95" t="n">
        <v>0</v>
      </c>
      <c r="Y32" s="95" t="n">
        <v>0</v>
      </c>
      <c r="Z32" s="95" t="n">
        <f aca="false">Y32*sib_amur</f>
        <v>0</v>
      </c>
      <c r="AA32" s="97" t="n">
        <v>0</v>
      </c>
      <c r="AB32" s="95" t="n">
        <f aca="false">-(AA32+Z32*C32)/C32</f>
        <v>-0</v>
      </c>
      <c r="AC32" s="95" t="n">
        <v>10</v>
      </c>
      <c r="AD32" s="23" t="n">
        <v>1.2</v>
      </c>
      <c r="AE32" s="95" t="n">
        <f aca="false">(J32*sib_sw+K32+L32*sib_pw)*sib_bread+P32*sib_horses*sib_oats+AC32*sib_relief_kg</f>
        <v>10.4675</v>
      </c>
      <c r="AF32" s="95" t="n">
        <f aca="false">sib_surplus*AD32*sib_harvest*1000000/365*sib_callmax</f>
        <v>986.301369863014</v>
      </c>
      <c r="AG32" s="95" t="n">
        <f aca="false">MAX(0,AE32-AF32)</f>
        <v>0</v>
      </c>
      <c r="AH32" s="95" t="n">
        <f aca="false">AE32-AG32</f>
        <v>10.4675</v>
      </c>
      <c r="AI32" s="95" t="n">
        <f aca="false">I32*O32*sib_cn_kg</f>
        <v>0</v>
      </c>
      <c r="AJ32" s="95" t="n">
        <f aca="false">Q32*sib_loc_kg+H32*(1-N32)*sib_jp_kg</f>
        <v>45.45</v>
      </c>
      <c r="AK32" s="95" t="n">
        <f aca="false">T32+U32+V32+W32+X32+AB32</f>
        <v>44.32</v>
      </c>
      <c r="AL32" s="95" t="n">
        <f aca="false">AI32+AG32</f>
        <v>0</v>
      </c>
      <c r="AM32" s="95" t="n">
        <f aca="false">AK32+AJ32</f>
        <v>89.77</v>
      </c>
      <c r="AN32" s="95" t="n">
        <f aca="false">AK32+AL32+sib_e2*AJ32</f>
        <v>71.59</v>
      </c>
      <c r="AO32" s="95" t="n">
        <f aca="false">AK32+AL32+sib_e3*AJ32</f>
        <v>57.955</v>
      </c>
      <c r="AP32" s="95" t="n">
        <f aca="false">AK32+AL32+Z32</f>
        <v>44.32</v>
      </c>
      <c r="AQ32" s="95" t="n">
        <f aca="false">AK32+AL32+Z32</f>
        <v>44.32</v>
      </c>
      <c r="AR32" s="95" t="n">
        <f aca="false">H32+I32+L32</f>
        <v>24</v>
      </c>
      <c r="AS32" s="95" t="n">
        <f aca="false">H32*N32+I32*O32+L32*sib_pw</f>
        <v>2.7</v>
      </c>
      <c r="AT32" s="96" t="n">
        <f aca="false">(MAX(0,AR32-AR31)+AR32*sib_rot*C32/365)*1000/sib_mtrain/C32</f>
        <v>0.010958904109589</v>
      </c>
      <c r="AU32" s="96" t="n">
        <f aca="false">(MAX(0,AS32-AS31)+AS32*sib_rot*C32/365)*1000/sib_mtrain/C32</f>
        <v>0.00123287671232877</v>
      </c>
      <c r="AV32" s="95" t="n">
        <v>0</v>
      </c>
      <c r="AW32" s="95" t="n">
        <v>0</v>
      </c>
      <c r="AX32" s="95" t="n">
        <f aca="false">(SUM(AV$6:AV32)+SUM(AW$6:AW32))*0.9</f>
        <v>855</v>
      </c>
      <c r="AY32" s="23" t="n">
        <v>0.85</v>
      </c>
      <c r="AZ32" s="23" t="n">
        <f aca="false">1-(1-AY32)*sib_sick</f>
        <v>0.85</v>
      </c>
      <c r="BA32" s="95" t="n">
        <f aca="false">sib_loco0*AZ32+AX32</f>
        <v>1960</v>
      </c>
      <c r="BB32" s="23" t="n">
        <f aca="false">AX32/BA32</f>
        <v>0.436224489795918</v>
      </c>
      <c r="BC32" s="95" t="n">
        <v>18</v>
      </c>
      <c r="BD32" s="95" t="n">
        <v>16</v>
      </c>
      <c r="BE32" s="95" t="n">
        <v>18</v>
      </c>
      <c r="BF32" s="95" t="n">
        <v>24</v>
      </c>
      <c r="BG32" s="95" t="n">
        <v>24</v>
      </c>
      <c r="BH32" s="96" t="n">
        <f aca="false">BC$6+(BC32-BC$6)*sib_works</f>
        <v>18</v>
      </c>
      <c r="BI32" s="96" t="n">
        <f aca="false">BD$6+(BD32-BD$6)*sib_works</f>
        <v>16</v>
      </c>
      <c r="BJ32" s="96" t="n">
        <f aca="false">BE$6+(BE32-BE$6)*sib_works</f>
        <v>18</v>
      </c>
      <c r="BK32" s="96" t="n">
        <f aca="false">BF$6+(BF32-BF$6)*sib_works</f>
        <v>24</v>
      </c>
      <c r="BL32" s="96" t="n">
        <f aca="false">BG$6+(BG32-BG$6)*sib_works</f>
        <v>24</v>
      </c>
      <c r="BM32" s="95" t="n">
        <v>0</v>
      </c>
      <c r="BN32" s="96" t="n">
        <f aca="false">(BH32*G32-sib_pass)*(1-sib_civ)*(1-sib_fuel-BM32*sib_strike)-AT32</f>
        <v>6.81544109589041</v>
      </c>
      <c r="BO32" s="96" t="n">
        <f aca="false">(BI32*G32-sib_pass)*(1-sib_civ)*(1-sib_fuel-BM32*sib_strike)-AT32</f>
        <v>5.91384109589041</v>
      </c>
      <c r="BP32" s="96" t="n">
        <f aca="false">(BJ32*G32-sib_pass)*(1-sib_civ)*(1-sib_fuel-BM32*sib_strike)-AU32</f>
        <v>6.82516712328767</v>
      </c>
      <c r="BQ32" s="96" t="n">
        <f aca="false">(BK32*G32-sib_pass)*(1-sib_civ)*(1-sib_fuel-BM32*sib_strike)-AU32</f>
        <v>9.52996712328767</v>
      </c>
      <c r="BR32" s="96" t="n">
        <f aca="false">(BL32*G32-sib_pass)*(1-sib_civ)*(1-sib_fuel-BM32*sib_strike)-AU32</f>
        <v>9.52996712328767</v>
      </c>
      <c r="BS32" s="96" t="n">
        <f aca="false">AM32/(sib_net1*(1+sib_decup*BB32))</f>
        <v>0.14976821783948</v>
      </c>
      <c r="BT32" s="96" t="n">
        <f aca="false">AN32/(sib_net2*(1+sib_decup*BB32))</f>
        <v>0.147875032274722</v>
      </c>
      <c r="BU32" s="96" t="n">
        <f aca="false">AO32/(sib_net3a*(1+sib_decup*BB32))</f>
        <v>0.111730097254497</v>
      </c>
      <c r="BV32" s="96" t="n">
        <f aca="false">AP32/(sib_net3b*(1+sib_decup*BB32))</f>
        <v>0.101183089404378</v>
      </c>
      <c r="BW32" s="96" t="n">
        <f aca="false">AQ32/(sib_net4*(1+sib_decup*BB32))</f>
        <v>0.0801032791117996</v>
      </c>
      <c r="BX32" s="23" t="n">
        <f aca="false">BS32/BN32</f>
        <v>0.021974838566177</v>
      </c>
      <c r="BY32" s="23" t="n">
        <f aca="false">BT32/BO32</f>
        <v>0.0250049045750455</v>
      </c>
      <c r="BZ32" s="23" t="n">
        <f aca="false">BU32/BP32</f>
        <v>0.0163703093618427</v>
      </c>
      <c r="CA32" s="23" t="n">
        <f aca="false">BV32/BQ32</f>
        <v>0.0106173597553264</v>
      </c>
      <c r="CB32" s="23" t="n">
        <f aca="false">BW32/BR32</f>
        <v>0.00840540980630009</v>
      </c>
      <c r="CC32" s="23" t="n">
        <f aca="false">MAX(BX32:CB32,DW32)</f>
        <v>0.0250049045750455</v>
      </c>
      <c r="CD32" s="1" t="str">
        <f aca="false">IF(DW32&gt;=MAX(BX32:CB32),"Ob-Chelyabinsk",CHOOSE(MATCH(CC32,BX32:CB32,0),"Vladivostok-Harbin","Harbin-Manzhouli","Manzhouli-Kitaisky (branch)","Kitaisky-Irkutsk","Irkutsk-Ob"))</f>
        <v>Harbin-Manzhouli</v>
      </c>
      <c r="CE32" s="96" t="n">
        <f aca="false">MIN(BN32-BS32,BO32-BT32,BP32-BU32,BQ32-BV32,BR32-BW32,DU32-DV32)</f>
        <v>5.76596606361569</v>
      </c>
      <c r="CF32" s="97" t="n">
        <f aca="false">2*(sib_L1*(BS32+AT32+(BH32*G32-sib_pass)*(sib_civ*sib_civused+(1-sib_civ)*sib_fuel)+sib_pass)+sib_L2*(BT32+AT32+(BI32*G32-sib_pass)*(sib_civ*sib_civused+(1-sib_civ)*sib_fuel)+sib_pass)+sib_L3a*(BU32+AU32+(BJ32*G32-sib_pass)*(sib_civ*sib_civused+(1-sib_civ)*sib_fuel)+sib_pass)+sib_L3b*(BV32+AU32+(BK32*G32-sib_pass)*(sib_civ*sib_civused+(1-sib_civ)*sib_fuel)+sib_pass)+sib_L4*(BW32+AU32+(BL32*G32-sib_pass)*(sib_civ*sib_civused+(1-sib_civ)*sib_fuel)+sib_pass)+sib_L5*(DV32+AU32+(DT32*G32-sib_pass)*(sib_civ*sib_civused+(1-sib_civ)*sib_fuel)+sib_pass))</f>
        <v>70434.9666299774</v>
      </c>
      <c r="CG32" s="95" t="n">
        <f aca="false">CF32/sib_kmloco*sib_helper</f>
        <v>550.273176796699</v>
      </c>
      <c r="CH32" s="23" t="n">
        <f aca="false">CG32/BA32</f>
        <v>0.280751620814642</v>
      </c>
      <c r="CI32" s="97" t="n">
        <v>0</v>
      </c>
      <c r="CJ32" s="97" t="n">
        <v>0</v>
      </c>
      <c r="CK32" s="97" t="n">
        <v>0</v>
      </c>
      <c r="CL32" s="97" t="n">
        <f aca="false">(sib_wag0+SUM(CI$6:CI32)+SUM(CJ$6:CJ32))*sib_wserv*(1-sib_civ)</f>
        <v>27370</v>
      </c>
      <c r="CM32" s="97" t="n">
        <f aca="false">AK32/sib_wload*(2*(sib_L1+sib_L2+sib_L3a+sib_L3b+sib_L4/2)/sib_wagkm+sib_term)+AL32/sib_wload*(2*(sib_L2+sib_L3a+sib_L3b+sib_L4/2)/sib_wagkm+sib_term)+AJ32/sib_wload*((sib_L1+sib_L2)/sib_wagkm+sib_term-2)+Z32/sib_wload*(2*(sib_L3b+sib_L4/2)/sib_wagkm+sib_term)+AU32*40*(2*(sib_L1+sib_L2+sib_L3a+sib_L3b+sib_L4/2)/sib_wagkm+sib_term)+K32*1000/sib_czw+CK32+DR32/sib_wload*(2*(sib_L4/2+sib_L5/2)/sib_wagkm)</f>
        <v>247.487281035008</v>
      </c>
      <c r="CN32" s="23" t="n">
        <f aca="false">CM32/CL32</f>
        <v>0.00904228282919282</v>
      </c>
      <c r="CO32" s="95" t="n">
        <v>0</v>
      </c>
      <c r="CP32" s="95" t="n">
        <f aca="false">MIN(CO32,AK32+AJ32)</f>
        <v>0</v>
      </c>
      <c r="CQ32" s="23" t="n">
        <f aca="false">(AK32+AJ32+Z32-CP32)*365/1000000+sib_civport</f>
        <v>0.83276605</v>
      </c>
      <c r="CR32" s="23" t="n">
        <v>3</v>
      </c>
      <c r="CS32" s="23" t="n">
        <f aca="false">CQ32/(CR32*IF(OR(RIGHT(A32,2)="Q1",C32=365),sib_portwin,1))</f>
        <v>0.326574921568628</v>
      </c>
      <c r="CT32" s="96" t="n">
        <f aca="false">(AK32+AJ32+Z32-CP32)*sib_pacship*365/(sib_dwt*0.9*sib_voy)</f>
        <v>0.410742507122507</v>
      </c>
      <c r="CU32" s="23" t="n">
        <f aca="false">CT32/sib_ships</f>
        <v>0.0102685626780627</v>
      </c>
      <c r="CV32" s="97" t="n">
        <f aca="false">CV31+(AB32+Z32)*C32+AA32</f>
        <v>149326.086956522</v>
      </c>
      <c r="CW32" s="96" t="n">
        <f aca="false">IF(C32=365,sib_surge/sib_mtrain/sib_surge_d,0)</f>
        <v>1.85185185185185</v>
      </c>
      <c r="CX32" s="95" t="n">
        <f aca="false">(CC32&gt;sib_util_max)+(CH32&gt;1)+(CN32&gt;1)+(CS32&gt;sib_util_max)+(CU32&gt;1)+(CV32&lt;0)+(CW32&gt;0)*(CE32&lt;CW32)</f>
        <v>0</v>
      </c>
      <c r="CY32" s="1" t="str">
        <f aca="false">IF(CX32=0,"OK","Check")</f>
        <v>OK</v>
      </c>
      <c r="CZ32" s="95" t="n">
        <v>0</v>
      </c>
      <c r="DA32" s="23" t="n">
        <v>2</v>
      </c>
      <c r="DB32" s="23" t="n">
        <v>0.5</v>
      </c>
      <c r="DC32" s="23" t="n">
        <f aca="false">INDEX(Paths!$B$6:$B$92,MATCH(B32,Paths!$A$6:$A$92,0))*sib_cost</f>
        <v>1.37</v>
      </c>
      <c r="DD32" s="96" t="n">
        <f aca="false">L32*sib_c_pac/1000*C32/365*DC32</f>
        <v>5.343</v>
      </c>
      <c r="DE32" s="96" t="n">
        <f aca="false">K32*sib_c_cz/1000*C32/365*DC32</f>
        <v>0</v>
      </c>
      <c r="DF32" s="96" t="n">
        <f aca="false">J32*sib_c_sib/1000*C32/365*DC32</f>
        <v>0</v>
      </c>
      <c r="DG32" s="96" t="n">
        <f aca="false">((MAX(0,T32-CP32)+V32+AB32+Z32+AA32/C32)*sib_pst_w+Q32*sib_loc_kg*sib_pst_e)*C32*sib_c_store/1000000*DC32</f>
        <v>1.0128262725</v>
      </c>
      <c r="DH32" s="96" t="n">
        <f aca="false">((AW32*sib_c_loco+CJ32*sib_c_wag+MAX(0,AZ32-AZ31)*sib_loco0*sib_c_rep+CZ32*sib_c_arm)/1000000+DA32)*DC32</f>
        <v>2.74</v>
      </c>
      <c r="DI32" s="96" t="n">
        <f aca="false">2*(sib_L1*(BS32+AT32)+sib_L2*(BT32+AT32)+sib_L3a*(BU32+AU32)+sib_L3b*(BV32+AU32)+sib_L4*(BW32+AU32)+sib_L5*(DV32+AU32))*C32*sib_c_tkm*sib_prail/1000000*DC32</f>
        <v>0.608588268329827</v>
      </c>
      <c r="DJ32" s="96" t="n">
        <f aca="false">CT32*sib_c_ship*C32/365*DC32</f>
        <v>0.253222755641026</v>
      </c>
      <c r="DK32" s="96" t="n">
        <f aca="false">DB32*DC32</f>
        <v>0.685</v>
      </c>
      <c r="DL32" s="96" t="n">
        <f aca="false">AA32*sib_c_kara/1000000*DC32</f>
        <v>0</v>
      </c>
      <c r="DM32" s="96" t="n">
        <f aca="false">(AC32*sib_c_ref/1000*C32/365+AH32*C32*sib_c_grain/1000000)*DC32</f>
        <v>0.30540564025</v>
      </c>
      <c r="DN32" s="96" t="n">
        <f aca="false">Z32*C32*sib_c_amur/1000000*DC32</f>
        <v>0</v>
      </c>
      <c r="DO32" s="96" t="n">
        <f aca="false">sib_fed*sib_c_fed/1000000*C32/365*DC32</f>
        <v>2.055</v>
      </c>
      <c r="DP32" s="96" t="n">
        <f aca="false">SUM(DD32:DO32)</f>
        <v>13.0030429367209</v>
      </c>
      <c r="DQ32" s="98" t="n">
        <v>0.2</v>
      </c>
      <c r="DR32" s="99" t="n">
        <f aca="false">AQ32*DQ32</f>
        <v>8.864</v>
      </c>
      <c r="DS32" s="98" t="n">
        <v>24</v>
      </c>
      <c r="DT32" s="99" t="n">
        <f aca="false">DS$6+(DS32-DS$6)*sib_works</f>
        <v>24</v>
      </c>
      <c r="DU32" s="99" t="n">
        <f aca="false">(DT32*G32-sib_pass)*(1-sib_civ)*(1-sib_fuel-BM32*sib_strike)-AU32</f>
        <v>9.52996712328767</v>
      </c>
      <c r="DV32" s="99" t="n">
        <f aca="false">DR32/(sib_net5*(1+sib_decup*BB32))</f>
        <v>0.0160206558223599</v>
      </c>
      <c r="DW32" s="99" t="n">
        <f aca="false">IF(DV32=0,0,IF(DU32&lt;=0,9.99,DV32/DU32))</f>
        <v>0.00168108196126002</v>
      </c>
    </row>
    <row r="33" customFormat="false" ht="13.5" hidden="false" customHeight="true" outlineLevel="0" collapsed="false">
      <c r="A33" s="52" t="s">
        <v>2014</v>
      </c>
      <c r="B33" s="95" t="n">
        <v>1932</v>
      </c>
      <c r="C33" s="95" t="n">
        <v>365</v>
      </c>
      <c r="D33" s="1" t="s">
        <v>2005</v>
      </c>
      <c r="E33" s="23" t="n">
        <v>0.3</v>
      </c>
      <c r="F33" s="95" t="n">
        <v>1</v>
      </c>
      <c r="G33" s="23" t="n">
        <f aca="false">1-E33*IF(F33=1,sib_winter,1)</f>
        <v>0.7</v>
      </c>
      <c r="H33" s="95" t="n">
        <v>15</v>
      </c>
      <c r="I33" s="95" t="n">
        <v>6</v>
      </c>
      <c r="J33" s="95" t="n">
        <v>0</v>
      </c>
      <c r="K33" s="95" t="n">
        <v>0</v>
      </c>
      <c r="L33" s="95" t="n">
        <v>3</v>
      </c>
      <c r="M33" s="95" t="n">
        <f aca="false">SUM(H33:L33)</f>
        <v>24</v>
      </c>
      <c r="N33" s="23" t="n">
        <v>0</v>
      </c>
      <c r="O33" s="23" t="n">
        <v>0</v>
      </c>
      <c r="P33" s="95" t="n">
        <f aca="false">H33*N33+I33*O33+J33*sib_sw+K33+L33*sib_pw</f>
        <v>2.7</v>
      </c>
      <c r="Q33" s="95" t="n">
        <f aca="false">M33-P33</f>
        <v>21.3</v>
      </c>
      <c r="R33" s="23" t="n">
        <v>0.2</v>
      </c>
      <c r="S33" s="96" t="n">
        <v>2</v>
      </c>
      <c r="T33" s="95" t="n">
        <f aca="false">P33*(R33*S33*sib_ammo+(1-R33)*sib_loc_kg)</f>
        <v>4.32</v>
      </c>
      <c r="U33" s="95" t="n">
        <f aca="false">H33*N33*sib_jp_kg</f>
        <v>0</v>
      </c>
      <c r="V33" s="95" t="n">
        <v>0</v>
      </c>
      <c r="W33" s="95" t="n">
        <v>40</v>
      </c>
      <c r="X33" s="95" t="n">
        <v>0</v>
      </c>
      <c r="Y33" s="95" t="n">
        <v>0</v>
      </c>
      <c r="Z33" s="95" t="n">
        <f aca="false">Y33*sib_amur</f>
        <v>0</v>
      </c>
      <c r="AA33" s="97" t="n">
        <v>0</v>
      </c>
      <c r="AB33" s="95" t="n">
        <f aca="false">-(AA33+Z33*C33)/C33</f>
        <v>-0</v>
      </c>
      <c r="AC33" s="95" t="n">
        <v>10</v>
      </c>
      <c r="AD33" s="23" t="n">
        <v>1.2</v>
      </c>
      <c r="AE33" s="95" t="n">
        <f aca="false">(J33*sib_sw+K33+L33*sib_pw)*sib_bread+P33*sib_horses*sib_oats+AC33*sib_relief_kg</f>
        <v>10.4675</v>
      </c>
      <c r="AF33" s="95" t="n">
        <f aca="false">sib_surplus*AD33*sib_harvest*1000000/365*sib_callmax</f>
        <v>986.301369863014</v>
      </c>
      <c r="AG33" s="95" t="n">
        <f aca="false">MAX(0,AE33-AF33)</f>
        <v>0</v>
      </c>
      <c r="AH33" s="95" t="n">
        <f aca="false">AE33-AG33</f>
        <v>10.4675</v>
      </c>
      <c r="AI33" s="95" t="n">
        <f aca="false">I33*O33*sib_cn_kg</f>
        <v>0</v>
      </c>
      <c r="AJ33" s="95" t="n">
        <f aca="false">Q33*sib_loc_kg+H33*(1-N33)*sib_jp_kg</f>
        <v>45.45</v>
      </c>
      <c r="AK33" s="95" t="n">
        <f aca="false">T33+U33+V33+W33+X33+AB33</f>
        <v>44.32</v>
      </c>
      <c r="AL33" s="95" t="n">
        <f aca="false">AI33+AG33</f>
        <v>0</v>
      </c>
      <c r="AM33" s="95" t="n">
        <f aca="false">AK33+AJ33</f>
        <v>89.77</v>
      </c>
      <c r="AN33" s="95" t="n">
        <f aca="false">AK33+AL33+sib_e2*AJ33</f>
        <v>71.59</v>
      </c>
      <c r="AO33" s="95" t="n">
        <f aca="false">AK33+AL33+sib_e3*AJ33</f>
        <v>57.955</v>
      </c>
      <c r="AP33" s="95" t="n">
        <f aca="false">AK33+AL33+Z33</f>
        <v>44.32</v>
      </c>
      <c r="AQ33" s="95" t="n">
        <f aca="false">AK33+AL33+Z33</f>
        <v>44.32</v>
      </c>
      <c r="AR33" s="95" t="n">
        <f aca="false">H33+I33+L33</f>
        <v>24</v>
      </c>
      <c r="AS33" s="95" t="n">
        <f aca="false">H33*N33+I33*O33+L33*sib_pw</f>
        <v>2.7</v>
      </c>
      <c r="AT33" s="96" t="n">
        <f aca="false">(MAX(0,AR33-AR32)+AR33*sib_rot*C33/365)*1000/sib_mtrain/C33</f>
        <v>0.010958904109589</v>
      </c>
      <c r="AU33" s="96" t="n">
        <f aca="false">(MAX(0,AS33-AS32)+AS33*sib_rot*C33/365)*1000/sib_mtrain/C33</f>
        <v>0.00123287671232877</v>
      </c>
      <c r="AV33" s="95" t="n">
        <v>0</v>
      </c>
      <c r="AW33" s="95" t="n">
        <v>0</v>
      </c>
      <c r="AX33" s="95" t="n">
        <f aca="false">(SUM(AV$6:AV33)+SUM(AW$6:AW33))*0.9</f>
        <v>855</v>
      </c>
      <c r="AY33" s="23" t="n">
        <v>0.85</v>
      </c>
      <c r="AZ33" s="23" t="n">
        <f aca="false">1-(1-AY33)*sib_sick</f>
        <v>0.85</v>
      </c>
      <c r="BA33" s="95" t="n">
        <f aca="false">sib_loco0*AZ33+AX33</f>
        <v>1960</v>
      </c>
      <c r="BB33" s="23" t="n">
        <f aca="false">AX33/BA33</f>
        <v>0.436224489795918</v>
      </c>
      <c r="BC33" s="95" t="n">
        <v>18</v>
      </c>
      <c r="BD33" s="95" t="n">
        <v>16</v>
      </c>
      <c r="BE33" s="95" t="n">
        <v>18</v>
      </c>
      <c r="BF33" s="95" t="n">
        <v>24</v>
      </c>
      <c r="BG33" s="95" t="n">
        <v>24</v>
      </c>
      <c r="BH33" s="96" t="n">
        <f aca="false">BC$6+(BC33-BC$6)*sib_works</f>
        <v>18</v>
      </c>
      <c r="BI33" s="96" t="n">
        <f aca="false">BD$6+(BD33-BD$6)*sib_works</f>
        <v>16</v>
      </c>
      <c r="BJ33" s="96" t="n">
        <f aca="false">BE$6+(BE33-BE$6)*sib_works</f>
        <v>18</v>
      </c>
      <c r="BK33" s="96" t="n">
        <f aca="false">BF$6+(BF33-BF$6)*sib_works</f>
        <v>24</v>
      </c>
      <c r="BL33" s="96" t="n">
        <f aca="false">BG$6+(BG33-BG$6)*sib_works</f>
        <v>24</v>
      </c>
      <c r="BM33" s="95" t="n">
        <v>0</v>
      </c>
      <c r="BN33" s="96" t="n">
        <f aca="false">(BH33*G33-sib_pass)*(1-sib_civ)*(1-sib_fuel-BM33*sib_strike)-AT33</f>
        <v>6.81544109589041</v>
      </c>
      <c r="BO33" s="96" t="n">
        <f aca="false">(BI33*G33-sib_pass)*(1-sib_civ)*(1-sib_fuel-BM33*sib_strike)-AT33</f>
        <v>5.91384109589041</v>
      </c>
      <c r="BP33" s="96" t="n">
        <f aca="false">(BJ33*G33-sib_pass)*(1-sib_civ)*(1-sib_fuel-BM33*sib_strike)-AU33</f>
        <v>6.82516712328767</v>
      </c>
      <c r="BQ33" s="96" t="n">
        <f aca="false">(BK33*G33-sib_pass)*(1-sib_civ)*(1-sib_fuel-BM33*sib_strike)-AU33</f>
        <v>9.52996712328767</v>
      </c>
      <c r="BR33" s="96" t="n">
        <f aca="false">(BL33*G33-sib_pass)*(1-sib_civ)*(1-sib_fuel-BM33*sib_strike)-AU33</f>
        <v>9.52996712328767</v>
      </c>
      <c r="BS33" s="96" t="n">
        <f aca="false">AM33/(sib_net1*(1+sib_decup*BB33))</f>
        <v>0.14976821783948</v>
      </c>
      <c r="BT33" s="96" t="n">
        <f aca="false">AN33/(sib_net2*(1+sib_decup*BB33))</f>
        <v>0.147875032274722</v>
      </c>
      <c r="BU33" s="96" t="n">
        <f aca="false">AO33/(sib_net3a*(1+sib_decup*BB33))</f>
        <v>0.111730097254497</v>
      </c>
      <c r="BV33" s="96" t="n">
        <f aca="false">AP33/(sib_net3b*(1+sib_decup*BB33))</f>
        <v>0.101183089404378</v>
      </c>
      <c r="BW33" s="96" t="n">
        <f aca="false">AQ33/(sib_net4*(1+sib_decup*BB33))</f>
        <v>0.0801032791117996</v>
      </c>
      <c r="BX33" s="23" t="n">
        <f aca="false">BS33/BN33</f>
        <v>0.021974838566177</v>
      </c>
      <c r="BY33" s="23" t="n">
        <f aca="false">BT33/BO33</f>
        <v>0.0250049045750455</v>
      </c>
      <c r="BZ33" s="23" t="n">
        <f aca="false">BU33/BP33</f>
        <v>0.0163703093618427</v>
      </c>
      <c r="CA33" s="23" t="n">
        <f aca="false">BV33/BQ33</f>
        <v>0.0106173597553264</v>
      </c>
      <c r="CB33" s="23" t="n">
        <f aca="false">BW33/BR33</f>
        <v>0.00840540980630009</v>
      </c>
      <c r="CC33" s="23" t="n">
        <f aca="false">MAX(BX33:CB33,DW33)</f>
        <v>0.0250049045750455</v>
      </c>
      <c r="CD33" s="1" t="str">
        <f aca="false">IF(DW33&gt;=MAX(BX33:CB33),"Ob-Chelyabinsk",CHOOSE(MATCH(CC33,BX33:CB33,0),"Vladivostok-Harbin","Harbin-Manzhouli","Manzhouli-Kitaisky (branch)","Kitaisky-Irkutsk","Irkutsk-Ob"))</f>
        <v>Harbin-Manzhouli</v>
      </c>
      <c r="CE33" s="96" t="n">
        <f aca="false">MIN(BN33-BS33,BO33-BT33,BP33-BU33,BQ33-BV33,BR33-BW33,DU33-DV33)</f>
        <v>5.76596606361569</v>
      </c>
      <c r="CF33" s="97" t="n">
        <f aca="false">2*(sib_L1*(BS33+AT33+(BH33*G33-sib_pass)*(sib_civ*sib_civused+(1-sib_civ)*sib_fuel)+sib_pass)+sib_L2*(BT33+AT33+(BI33*G33-sib_pass)*(sib_civ*sib_civused+(1-sib_civ)*sib_fuel)+sib_pass)+sib_L3a*(BU33+AU33+(BJ33*G33-sib_pass)*(sib_civ*sib_civused+(1-sib_civ)*sib_fuel)+sib_pass)+sib_L3b*(BV33+AU33+(BK33*G33-sib_pass)*(sib_civ*sib_civused+(1-sib_civ)*sib_fuel)+sib_pass)+sib_L4*(BW33+AU33+(BL33*G33-sib_pass)*(sib_civ*sib_civused+(1-sib_civ)*sib_fuel)+sib_pass)+sib_L5*(DV33+AU33+(DT33*G33-sib_pass)*(sib_civ*sib_civused+(1-sib_civ)*sib_fuel)+sib_pass))</f>
        <v>70434.9666299774</v>
      </c>
      <c r="CG33" s="95" t="n">
        <f aca="false">CF33/sib_kmloco*sib_helper</f>
        <v>550.273176796699</v>
      </c>
      <c r="CH33" s="23" t="n">
        <f aca="false">CG33/BA33</f>
        <v>0.280751620814642</v>
      </c>
      <c r="CI33" s="97" t="n">
        <v>0</v>
      </c>
      <c r="CJ33" s="97" t="n">
        <v>0</v>
      </c>
      <c r="CK33" s="97" t="n">
        <v>0</v>
      </c>
      <c r="CL33" s="97" t="n">
        <f aca="false">(sib_wag0+SUM(CI$6:CI33)+SUM(CJ$6:CJ33))*sib_wserv*(1-sib_civ)</f>
        <v>27370</v>
      </c>
      <c r="CM33" s="97" t="n">
        <f aca="false">AK33/sib_wload*(2*(sib_L1+sib_L2+sib_L3a+sib_L3b+sib_L4/2)/sib_wagkm+sib_term)+AL33/sib_wload*(2*(sib_L2+sib_L3a+sib_L3b+sib_L4/2)/sib_wagkm+sib_term)+AJ33/sib_wload*((sib_L1+sib_L2)/sib_wagkm+sib_term-2)+Z33/sib_wload*(2*(sib_L3b+sib_L4/2)/sib_wagkm+sib_term)+AU33*40*(2*(sib_L1+sib_L2+sib_L3a+sib_L3b+sib_L4/2)/sib_wagkm+sib_term)+K33*1000/sib_czw+CK33+DR33/sib_wload*(2*(sib_L4/2+sib_L5/2)/sib_wagkm)</f>
        <v>247.487281035008</v>
      </c>
      <c r="CN33" s="23" t="n">
        <f aca="false">CM33/CL33</f>
        <v>0.00904228282919282</v>
      </c>
      <c r="CO33" s="95" t="n">
        <v>0</v>
      </c>
      <c r="CP33" s="95" t="n">
        <f aca="false">MIN(CO33,AK33+AJ33)</f>
        <v>0</v>
      </c>
      <c r="CQ33" s="23" t="n">
        <f aca="false">(AK33+AJ33+Z33-CP33)*365/1000000+sib_civport</f>
        <v>0.83276605</v>
      </c>
      <c r="CR33" s="23" t="n">
        <v>3</v>
      </c>
      <c r="CS33" s="23" t="n">
        <f aca="false">CQ33/(CR33*IF(OR(RIGHT(A33,2)="Q1",C33=365),sib_portwin,1))</f>
        <v>0.326574921568628</v>
      </c>
      <c r="CT33" s="96" t="n">
        <f aca="false">(AK33+AJ33+Z33-CP33)*sib_pacship*365/(sib_dwt*0.9*sib_voy)</f>
        <v>0.410742507122507</v>
      </c>
      <c r="CU33" s="23" t="n">
        <f aca="false">CT33/sib_ships</f>
        <v>0.0102685626780627</v>
      </c>
      <c r="CV33" s="97" t="n">
        <f aca="false">CV32+(AB33+Z33)*C33+AA33</f>
        <v>149326.086956522</v>
      </c>
      <c r="CW33" s="96" t="n">
        <f aca="false">IF(C33=365,sib_surge/sib_mtrain/sib_surge_d,0)</f>
        <v>1.85185185185185</v>
      </c>
      <c r="CX33" s="95" t="n">
        <f aca="false">(CC33&gt;sib_util_max)+(CH33&gt;1)+(CN33&gt;1)+(CS33&gt;sib_util_max)+(CU33&gt;1)+(CV33&lt;0)+(CW33&gt;0)*(CE33&lt;CW33)</f>
        <v>0</v>
      </c>
      <c r="CY33" s="1" t="str">
        <f aca="false">IF(CX33=0,"OK","Check")</f>
        <v>OK</v>
      </c>
      <c r="CZ33" s="95" t="n">
        <v>0</v>
      </c>
      <c r="DA33" s="23" t="n">
        <v>2</v>
      </c>
      <c r="DB33" s="23" t="n">
        <v>0.5</v>
      </c>
      <c r="DC33" s="23" t="n">
        <f aca="false">INDEX(Paths!$B$6:$B$92,MATCH(B33,Paths!$A$6:$A$92,0))*sib_cost</f>
        <v>1.22</v>
      </c>
      <c r="DD33" s="96" t="n">
        <f aca="false">L33*sib_c_pac/1000*C33/365*DC33</f>
        <v>4.758</v>
      </c>
      <c r="DE33" s="96" t="n">
        <f aca="false">K33*sib_c_cz/1000*C33/365*DC33</f>
        <v>0</v>
      </c>
      <c r="DF33" s="96" t="n">
        <f aca="false">J33*sib_c_sib/1000*C33/365*DC33</f>
        <v>0</v>
      </c>
      <c r="DG33" s="96" t="n">
        <f aca="false">((MAX(0,T33-CP33)+V33+AB33+Z33+AA33/C33)*sib_pst_w+Q33*sib_loc_kg*sib_pst_e)*C33*sib_c_store/1000000*DC33</f>
        <v>0.901932885</v>
      </c>
      <c r="DH33" s="96" t="n">
        <f aca="false">((AW33*sib_c_loco+CJ33*sib_c_wag+MAX(0,AZ33-AZ32)*sib_loco0*sib_c_rep+CZ33*sib_c_arm)/1000000+DA33)*DC33</f>
        <v>2.44</v>
      </c>
      <c r="DI33" s="96" t="n">
        <f aca="false">2*(sib_L1*(BS33+AT33)+sib_L2*(BT33+AT33)+sib_L3a*(BU33+AU33)+sib_L3b*(BV33+AU33)+sib_L4*(BW33+AU33)+sib_L5*(DV33+AU33))*C33*sib_c_tkm*sib_prail/1000000*DC33</f>
        <v>0.541954516322912</v>
      </c>
      <c r="DJ33" s="96" t="n">
        <f aca="false">CT33*sib_c_ship*C33/365*DC33</f>
        <v>0.225497636410256</v>
      </c>
      <c r="DK33" s="96" t="n">
        <f aca="false">DB33*DC33</f>
        <v>0.61</v>
      </c>
      <c r="DL33" s="96" t="n">
        <f aca="false">AA33*sib_c_kara/1000000*DC33</f>
        <v>0</v>
      </c>
      <c r="DM33" s="96" t="n">
        <f aca="false">(AC33*sib_c_ref/1000*C33/365+AH33*C33*sib_c_grain/1000000)*DC33</f>
        <v>0.2719670665</v>
      </c>
      <c r="DN33" s="96" t="n">
        <f aca="false">Z33*C33*sib_c_amur/1000000*DC33</f>
        <v>0</v>
      </c>
      <c r="DO33" s="96" t="n">
        <f aca="false">sib_fed*sib_c_fed/1000000*C33/365*DC33</f>
        <v>1.83</v>
      </c>
      <c r="DP33" s="96" t="n">
        <f aca="false">SUM(DD33:DO33)</f>
        <v>11.5793521042332</v>
      </c>
      <c r="DQ33" s="98" t="n">
        <v>0.2</v>
      </c>
      <c r="DR33" s="99" t="n">
        <f aca="false">AQ33*DQ33</f>
        <v>8.864</v>
      </c>
      <c r="DS33" s="98" t="n">
        <v>24</v>
      </c>
      <c r="DT33" s="99" t="n">
        <f aca="false">DS$6+(DS33-DS$6)*sib_works</f>
        <v>24</v>
      </c>
      <c r="DU33" s="99" t="n">
        <f aca="false">(DT33*G33-sib_pass)*(1-sib_civ)*(1-sib_fuel-BM33*sib_strike)-AU33</f>
        <v>9.52996712328767</v>
      </c>
      <c r="DV33" s="99" t="n">
        <f aca="false">DR33/(sib_net5*(1+sib_decup*BB33))</f>
        <v>0.0160206558223599</v>
      </c>
      <c r="DW33" s="99" t="n">
        <f aca="false">IF(DV33=0,0,IF(DU33&lt;=0,9.99,DV33/DU33))</f>
        <v>0.00168108196126002</v>
      </c>
    </row>
    <row r="34" customFormat="false" ht="13.5" hidden="false" customHeight="true" outlineLevel="0" collapsed="false"/>
    <row r="35" customFormat="false" ht="13.5" hidden="false" customHeight="true" outlineLevel="0" collapsed="false"/>
    <row r="36" customFormat="false" ht="13.5" hidden="false" customHeight="true" outlineLevel="0" collapsed="false">
      <c r="A36" s="28" t="s">
        <v>2015</v>
      </c>
    </row>
    <row r="37" customFormat="false" ht="68.25" hidden="false" customHeight="true" outlineLevel="0" collapsed="false">
      <c r="A37" s="94" t="s">
        <v>103</v>
      </c>
      <c r="B37" s="94" t="s">
        <v>2016</v>
      </c>
      <c r="C37" s="94" t="s">
        <v>2017</v>
      </c>
      <c r="D37" s="94" t="s">
        <v>2018</v>
      </c>
      <c r="E37" s="94" t="s">
        <v>1923</v>
      </c>
      <c r="F37" s="94" t="s">
        <v>1924</v>
      </c>
      <c r="G37" s="94" t="s">
        <v>2019</v>
      </c>
      <c r="H37" s="94" t="s">
        <v>1945</v>
      </c>
      <c r="I37" s="94" t="s">
        <v>2020</v>
      </c>
    </row>
    <row r="38" customFormat="false" ht="13.5" hidden="false" customHeight="true" outlineLevel="0" collapsed="false">
      <c r="A38" s="1" t="n">
        <v>1918</v>
      </c>
      <c r="B38" s="96" t="n">
        <f aca="false">IF(A38&lt;=1922,SUMIF($B$6:$B$33,A38,$DP$6:$DP$33),pac_quota*C38)</f>
        <v>171.194261061469</v>
      </c>
      <c r="C38" s="96" t="n">
        <f aca="false">IF(A38&lt;=1922,0,SUMIF($B$6:$B$33,A38,$DP$6:$DP$33))</f>
        <v>0</v>
      </c>
      <c r="D38" s="96" t="n">
        <f aca="false">(1-pac_quota)*C38</f>
        <v>0</v>
      </c>
      <c r="E38" s="23" t="n">
        <f aca="false">_xlfn.MAXIFS($CC$6:$CC$33,$B$6:$B$33,A38)</f>
        <v>0.8267352811205</v>
      </c>
      <c r="F38" s="1" t="str">
        <f aca="false">INDEX($CD$6:$CD$33,MATCH(E38,$CC$6:$CC$33,0))</f>
        <v>Manzhouli-Kitaisky (branch)</v>
      </c>
      <c r="G38" s="1" t="n">
        <f aca="false">SUMIF($B$6:$B$33,A38,$CX$6:$CX$33)</f>
        <v>0</v>
      </c>
      <c r="H38" s="1" t="str">
        <f aca="false">IF(G38=0,"OK","Check")</f>
        <v>OK</v>
      </c>
      <c r="I38" s="96" t="n">
        <f aca="false">IF(A38&lt;=1922,siberia_cost/5,siberia_front*pac_quota)</f>
        <v>161.6</v>
      </c>
    </row>
    <row r="39" customFormat="false" ht="13.5" hidden="false" customHeight="true" outlineLevel="0" collapsed="false">
      <c r="A39" s="1" t="n">
        <v>1919</v>
      </c>
      <c r="B39" s="96" t="n">
        <f aca="false">IF(A39&lt;=1922,SUMIF($B$6:$B$33,A39,$DP$6:$DP$33),pac_quota*C39)</f>
        <v>417.992804649705</v>
      </c>
      <c r="C39" s="96" t="n">
        <f aca="false">IF(A39&lt;=1922,0,SUMIF($B$6:$B$33,A39,$DP$6:$DP$33))</f>
        <v>0</v>
      </c>
      <c r="D39" s="96" t="n">
        <f aca="false">(1-pac_quota)*C39</f>
        <v>0</v>
      </c>
      <c r="E39" s="23" t="n">
        <f aca="false">_xlfn.MAXIFS($CC$6:$CC$33,$B$6:$B$33,A39)</f>
        <v>0.843851754203674</v>
      </c>
      <c r="F39" s="1" t="str">
        <f aca="false">INDEX($CD$6:$CD$33,MATCH(E39,$CC$6:$CC$33,0))</f>
        <v>Manzhouli-Kitaisky (branch)</v>
      </c>
      <c r="G39" s="1" t="n">
        <f aca="false">SUMIF($B$6:$B$33,A39,$CX$6:$CX$33)</f>
        <v>0</v>
      </c>
      <c r="H39" s="1" t="str">
        <f aca="false">IF(G39=0,"OK","Check")</f>
        <v>OK</v>
      </c>
      <c r="I39" s="96" t="n">
        <f aca="false">IF(A39&lt;=1922,siberia_cost/5,siberia_front*pac_quota)</f>
        <v>161.6</v>
      </c>
    </row>
    <row r="40" customFormat="false" ht="13.5" hidden="false" customHeight="true" outlineLevel="0" collapsed="false">
      <c r="A40" s="1" t="n">
        <v>1920</v>
      </c>
      <c r="B40" s="96" t="n">
        <f aca="false">IF(A40&lt;=1922,SUMIF($B$6:$B$33,A40,$DP$6:$DP$33),pac_quota*C40)</f>
        <v>245.021326547377</v>
      </c>
      <c r="C40" s="96" t="n">
        <f aca="false">IF(A40&lt;=1922,0,SUMIF($B$6:$B$33,A40,$DP$6:$DP$33))</f>
        <v>0</v>
      </c>
      <c r="D40" s="96" t="n">
        <f aca="false">(1-pac_quota)*C40</f>
        <v>0</v>
      </c>
      <c r="E40" s="23" t="n">
        <f aca="false">_xlfn.MAXIFS($CC$6:$CC$33,$B$6:$B$33,A40)</f>
        <v>0.161019589710973</v>
      </c>
      <c r="F40" s="1" t="str">
        <f aca="false">INDEX($CD$6:$CD$33,MATCH(E40,$CC$6:$CC$33,0))</f>
        <v>Harbin-Manzhouli</v>
      </c>
      <c r="G40" s="1" t="n">
        <f aca="false">SUMIF($B$6:$B$33,A40,$CX$6:$CX$33)</f>
        <v>0</v>
      </c>
      <c r="H40" s="1" t="str">
        <f aca="false">IF(G40=0,"OK","Check")</f>
        <v>OK</v>
      </c>
      <c r="I40" s="96" t="n">
        <f aca="false">IF(A40&lt;=1922,siberia_cost/5,siberia_front*pac_quota)</f>
        <v>161.6</v>
      </c>
    </row>
    <row r="41" customFormat="false" ht="13.5" hidden="false" customHeight="true" outlineLevel="0" collapsed="false">
      <c r="A41" s="1" t="n">
        <v>1921</v>
      </c>
      <c r="B41" s="96" t="n">
        <f aca="false">IF(A41&lt;=1922,SUMIF($B$6:$B$33,A41,$DP$6:$DP$33),pac_quota*C41)</f>
        <v>124.698405201171</v>
      </c>
      <c r="C41" s="96" t="n">
        <f aca="false">IF(A41&lt;=1922,0,SUMIF($B$6:$B$33,A41,$DP$6:$DP$33))</f>
        <v>0</v>
      </c>
      <c r="D41" s="96" t="n">
        <f aca="false">(1-pac_quota)*C41</f>
        <v>0</v>
      </c>
      <c r="E41" s="23" t="n">
        <f aca="false">_xlfn.MAXIFS($CC$6:$CC$33,$B$6:$B$33,A41)</f>
        <v>0.0974825747893724</v>
      </c>
      <c r="F41" s="1" t="str">
        <f aca="false">INDEX($CD$6:$CD$33,MATCH(E41,$CC$6:$CC$33,0))</f>
        <v>Harbin-Manzhouli</v>
      </c>
      <c r="G41" s="1" t="n">
        <f aca="false">SUMIF($B$6:$B$33,A41,$CX$6:$CX$33)</f>
        <v>0</v>
      </c>
      <c r="H41" s="1" t="str">
        <f aca="false">IF(G41=0,"OK","Check")</f>
        <v>OK</v>
      </c>
      <c r="I41" s="96" t="n">
        <f aca="false">IF(A41&lt;=1922,siberia_cost/5,siberia_front*pac_quota)</f>
        <v>161.6</v>
      </c>
    </row>
    <row r="42" customFormat="false" ht="13.5" hidden="false" customHeight="true" outlineLevel="0" collapsed="false">
      <c r="A42" s="1" t="n">
        <v>1922</v>
      </c>
      <c r="B42" s="96" t="n">
        <f aca="false">IF(A42&lt;=1922,SUMIF($B$6:$B$33,A42,$DP$6:$DP$33),pac_quota*C42)</f>
        <v>46.0625848483356</v>
      </c>
      <c r="C42" s="96" t="n">
        <f aca="false">IF(A42&lt;=1922,0,SUMIF($B$6:$B$33,A42,$DP$6:$DP$33))</f>
        <v>0</v>
      </c>
      <c r="D42" s="96" t="n">
        <f aca="false">(1-pac_quota)*C42</f>
        <v>0</v>
      </c>
      <c r="E42" s="23" t="n">
        <f aca="false">_xlfn.MAXIFS($CC$6:$CC$33,$B$6:$B$33,A42)</f>
        <v>0.0599603542934234</v>
      </c>
      <c r="F42" s="1" t="str">
        <f aca="false">INDEX($CD$6:$CD$33,MATCH(E42,$CC$6:$CC$33,0))</f>
        <v>Harbin-Manzhouli</v>
      </c>
      <c r="G42" s="1" t="n">
        <f aca="false">SUMIF($B$6:$B$33,A42,$CX$6:$CX$33)</f>
        <v>0</v>
      </c>
      <c r="H42" s="1" t="str">
        <f aca="false">IF(G42=0,"OK","Check")</f>
        <v>OK</v>
      </c>
      <c r="I42" s="96" t="n">
        <f aca="false">IF(A42&lt;=1922,siberia_cost/5,siberia_front*pac_quota)</f>
        <v>161.6</v>
      </c>
    </row>
    <row r="43" customFormat="false" ht="13.5" hidden="false" customHeight="true" outlineLevel="0" collapsed="false">
      <c r="A43" s="1" t="n">
        <v>1923</v>
      </c>
      <c r="B43" s="96" t="n">
        <f aca="false">IF(A43&lt;=1922,SUMIF($B$6:$B$33,A43,$DP$6:$DP$33),pac_quota*C43)</f>
        <v>10.2407116440635</v>
      </c>
      <c r="C43" s="96" t="n">
        <f aca="false">IF(A43&lt;=1922,0,SUMIF($B$6:$B$33,A43,$DP$6:$DP$33))</f>
        <v>15.754940990867</v>
      </c>
      <c r="D43" s="96" t="n">
        <f aca="false">(1-pac_quota)*C43</f>
        <v>5.51422934680345</v>
      </c>
      <c r="E43" s="23" t="n">
        <f aca="false">_xlfn.MAXIFS($CC$6:$CC$33,$B$6:$B$33,A43)</f>
        <v>0.0250049045750455</v>
      </c>
      <c r="F43" s="1" t="str">
        <f aca="false">INDEX($CD$6:$CD$33,MATCH(E43,$CC$6:$CC$33,0))</f>
        <v>Harbin-Manzhouli</v>
      </c>
      <c r="G43" s="1" t="n">
        <f aca="false">SUMIF($B$6:$B$33,A43,$CX$6:$CX$33)</f>
        <v>0</v>
      </c>
      <c r="H43" s="1" t="str">
        <f aca="false">IF(G43=0,"OK","Check")</f>
        <v>OK</v>
      </c>
      <c r="I43" s="96" t="n">
        <f aca="false">IF(A43&lt;=1922,siberia_cost/5,siberia_front*pac_quota)</f>
        <v>52</v>
      </c>
    </row>
    <row r="44" customFormat="false" ht="13.5" hidden="false" customHeight="true" outlineLevel="0" collapsed="false">
      <c r="A44" s="1" t="n">
        <v>1924</v>
      </c>
      <c r="B44" s="96" t="n">
        <f aca="false">IF(A44&lt;=1922,SUMIF($B$6:$B$33,A44,$DP$6:$DP$33),pac_quota*C44)</f>
        <v>9.99430964406355</v>
      </c>
      <c r="C44" s="96" t="n">
        <f aca="false">IF(A44&lt;=1922,0,SUMIF($B$6:$B$33,A44,$DP$6:$DP$33))</f>
        <v>15.375860990867</v>
      </c>
      <c r="D44" s="96" t="n">
        <f aca="false">(1-pac_quota)*C44</f>
        <v>5.38155134680345</v>
      </c>
      <c r="E44" s="23" t="n">
        <f aca="false">_xlfn.MAXIFS($CC$6:$CC$33,$B$6:$B$33,A44)</f>
        <v>0.0250049045750455</v>
      </c>
      <c r="F44" s="1" t="str">
        <f aca="false">INDEX($CD$6:$CD$33,MATCH(E44,$CC$6:$CC$33,0))</f>
        <v>Harbin-Manzhouli</v>
      </c>
      <c r="G44" s="1" t="n">
        <f aca="false">SUMIF($B$6:$B$33,A44,$CX$6:$CX$33)</f>
        <v>0</v>
      </c>
      <c r="H44" s="1" t="str">
        <f aca="false">IF(G44=0,"OK","Check")</f>
        <v>OK</v>
      </c>
      <c r="I44" s="96" t="n">
        <f aca="false">IF(A44&lt;=1922,siberia_cost/5,siberia_front*pac_quota)</f>
        <v>52</v>
      </c>
    </row>
    <row r="45" customFormat="false" ht="13.5" hidden="false" customHeight="true" outlineLevel="0" collapsed="false">
      <c r="A45" s="1" t="n">
        <v>1925</v>
      </c>
      <c r="B45" s="96" t="n">
        <f aca="false">IF(A45&lt;=1922,SUMIF($B$6:$B$33,A45,$DP$6:$DP$33),pac_quota*C45)</f>
        <v>10.1793894522869</v>
      </c>
      <c r="C45" s="96" t="n">
        <f aca="false">IF(A45&lt;=1922,0,SUMIF($B$6:$B$33,A45,$DP$6:$DP$33))</f>
        <v>15.6605991573645</v>
      </c>
      <c r="D45" s="96" t="n">
        <f aca="false">(1-pac_quota)*C45</f>
        <v>5.48120970507759</v>
      </c>
      <c r="E45" s="23" t="n">
        <f aca="false">_xlfn.MAXIFS($CC$6:$CC$33,$B$6:$B$33,A45)</f>
        <v>0.0250049045750455</v>
      </c>
      <c r="F45" s="1" t="str">
        <f aca="false">INDEX($CD$6:$CD$33,MATCH(E45,$CC$6:$CC$33,0))</f>
        <v>Harbin-Manzhouli</v>
      </c>
      <c r="G45" s="1" t="n">
        <f aca="false">SUMIF($B$6:$B$33,A45,$CX$6:$CX$33)</f>
        <v>0</v>
      </c>
      <c r="H45" s="1" t="str">
        <f aca="false">IF(G45=0,"OK","Check")</f>
        <v>OK</v>
      </c>
      <c r="I45" s="96" t="n">
        <f aca="false">IF(A45&lt;=1922,siberia_cost/5,siberia_front*pac_quota)</f>
        <v>52</v>
      </c>
    </row>
    <row r="46" customFormat="false" ht="13.5" hidden="false" customHeight="true" outlineLevel="0" collapsed="false">
      <c r="A46" s="1" t="n">
        <v>1926</v>
      </c>
      <c r="B46" s="96" t="n">
        <f aca="false">IF(A46&lt;=1922,SUMIF($B$6:$B$33,A46,$DP$6:$DP$33),pac_quota*C46)</f>
        <v>9.99430964406355</v>
      </c>
      <c r="C46" s="96" t="n">
        <f aca="false">IF(A46&lt;=1922,0,SUMIF($B$6:$B$33,A46,$DP$6:$DP$33))</f>
        <v>15.375860990867</v>
      </c>
      <c r="D46" s="96" t="n">
        <f aca="false">(1-pac_quota)*C46</f>
        <v>5.38155134680345</v>
      </c>
      <c r="E46" s="23" t="n">
        <f aca="false">_xlfn.MAXIFS($CC$6:$CC$33,$B$6:$B$33,A46)</f>
        <v>0.0250049045750455</v>
      </c>
      <c r="F46" s="1" t="str">
        <f aca="false">INDEX($CD$6:$CD$33,MATCH(E46,$CC$6:$CC$33,0))</f>
        <v>Harbin-Manzhouli</v>
      </c>
      <c r="G46" s="1" t="n">
        <f aca="false">SUMIF($B$6:$B$33,A46,$CX$6:$CX$33)</f>
        <v>0</v>
      </c>
      <c r="H46" s="1" t="str">
        <f aca="false">IF(G46=0,"OK","Check")</f>
        <v>OK</v>
      </c>
      <c r="I46" s="96" t="n">
        <f aca="false">IF(A46&lt;=1922,siberia_cost/5,siberia_front*pac_quota)</f>
        <v>52</v>
      </c>
    </row>
    <row r="47" customFormat="false" ht="13.5" hidden="false" customHeight="true" outlineLevel="0" collapsed="false">
      <c r="A47" s="1" t="n">
        <v>1927</v>
      </c>
      <c r="B47" s="96" t="n">
        <f aca="false">IF(A47&lt;=1922,SUMIF($B$6:$B$33,A47,$DP$6:$DP$33),pac_quota*C47)</f>
        <v>9.74753656643235</v>
      </c>
      <c r="C47" s="96" t="n">
        <f aca="false">IF(A47&lt;=1922,0,SUMIF($B$6:$B$33,A47,$DP$6:$DP$33))</f>
        <v>14.9962101022036</v>
      </c>
      <c r="D47" s="96" t="n">
        <f aca="false">(1-pac_quota)*C47</f>
        <v>5.24867353577126</v>
      </c>
      <c r="E47" s="23" t="n">
        <f aca="false">_xlfn.MAXIFS($CC$6:$CC$33,$B$6:$B$33,A47)</f>
        <v>0.0250049045750455</v>
      </c>
      <c r="F47" s="1" t="str">
        <f aca="false">INDEX($CD$6:$CD$33,MATCH(E47,$CC$6:$CC$33,0))</f>
        <v>Harbin-Manzhouli</v>
      </c>
      <c r="G47" s="1" t="n">
        <f aca="false">SUMIF($B$6:$B$33,A47,$CX$6:$CX$33)</f>
        <v>0</v>
      </c>
      <c r="H47" s="1" t="str">
        <f aca="false">IF(G47=0,"OK","Check")</f>
        <v>OK</v>
      </c>
      <c r="I47" s="96" t="n">
        <f aca="false">IF(A47&lt;=1922,siberia_cost/5,siberia_front*pac_quota)</f>
        <v>52</v>
      </c>
    </row>
    <row r="48" customFormat="false" ht="13.5" hidden="false" customHeight="true" outlineLevel="0" collapsed="false">
      <c r="A48" s="1" t="n">
        <v>1928</v>
      </c>
      <c r="B48" s="96" t="n">
        <f aca="false">IF(A48&lt;=1922,SUMIF($B$6:$B$33,A48,$DP$6:$DP$33),pac_quota*C48)</f>
        <v>9.87092310524795</v>
      </c>
      <c r="C48" s="96" t="n">
        <f aca="false">IF(A48&lt;=1922,0,SUMIF($B$6:$B$33,A48,$DP$6:$DP$33))</f>
        <v>15.1860355465353</v>
      </c>
      <c r="D48" s="96" t="n">
        <f aca="false">(1-pac_quota)*C48</f>
        <v>5.31511244128736</v>
      </c>
      <c r="E48" s="23" t="n">
        <f aca="false">_xlfn.MAXIFS($CC$6:$CC$33,$B$6:$B$33,A48)</f>
        <v>0.0250049045750455</v>
      </c>
      <c r="F48" s="1" t="str">
        <f aca="false">INDEX($CD$6:$CD$33,MATCH(E48,$CC$6:$CC$33,0))</f>
        <v>Harbin-Manzhouli</v>
      </c>
      <c r="G48" s="1" t="n">
        <f aca="false">SUMIF($B$6:$B$33,A48,$CX$6:$CX$33)</f>
        <v>0</v>
      </c>
      <c r="H48" s="1" t="str">
        <f aca="false">IF(G48=0,"OK","Check")</f>
        <v>OK</v>
      </c>
      <c r="I48" s="96" t="n">
        <f aca="false">IF(A48&lt;=1922,siberia_cost/5,siberia_front*pac_quota)</f>
        <v>52</v>
      </c>
    </row>
    <row r="49" customFormat="false" ht="13.5" hidden="false" customHeight="true" outlineLevel="0" collapsed="false">
      <c r="A49" s="1" t="n">
        <v>1929</v>
      </c>
      <c r="B49" s="96" t="n">
        <f aca="false">IF(A49&lt;=1922,SUMIF($B$6:$B$33,A49,$DP$6:$DP$33),pac_quota*C49)</f>
        <v>9.87092310524795</v>
      </c>
      <c r="C49" s="96" t="n">
        <f aca="false">IF(A49&lt;=1922,0,SUMIF($B$6:$B$33,A49,$DP$6:$DP$33))</f>
        <v>15.1860355465353</v>
      </c>
      <c r="D49" s="96" t="n">
        <f aca="false">(1-pac_quota)*C49</f>
        <v>5.31511244128736</v>
      </c>
      <c r="E49" s="23" t="n">
        <f aca="false">_xlfn.MAXIFS($CC$6:$CC$33,$B$6:$B$33,A49)</f>
        <v>0.0250049045750455</v>
      </c>
      <c r="F49" s="1" t="str">
        <f aca="false">INDEX($CD$6:$CD$33,MATCH(E49,$CC$6:$CC$33,0))</f>
        <v>Harbin-Manzhouli</v>
      </c>
      <c r="G49" s="1" t="n">
        <f aca="false">SUMIF($B$6:$B$33,A49,$CX$6:$CX$33)</f>
        <v>0</v>
      </c>
      <c r="H49" s="1" t="str">
        <f aca="false">IF(G49=0,"OK","Check")</f>
        <v>OK</v>
      </c>
      <c r="I49" s="96" t="n">
        <f aca="false">IF(A49&lt;=1922,siberia_cost/5,siberia_front*pac_quota)</f>
        <v>52</v>
      </c>
    </row>
    <row r="50" customFormat="false" ht="13.5" hidden="false" customHeight="true" outlineLevel="0" collapsed="false">
      <c r="A50" s="1" t="n">
        <v>1930</v>
      </c>
      <c r="B50" s="96" t="n">
        <f aca="false">IF(A50&lt;=1922,SUMIF($B$6:$B$33,A50,$DP$6:$DP$33),pac_quota*C50)</f>
        <v>9.43907021939335</v>
      </c>
      <c r="C50" s="96" t="n">
        <f aca="false">IF(A50&lt;=1922,0,SUMIF($B$6:$B$33,A50,$DP$6:$DP$33))</f>
        <v>14.5216464913744</v>
      </c>
      <c r="D50" s="96" t="n">
        <f aca="false">(1-pac_quota)*C50</f>
        <v>5.08257627198103</v>
      </c>
      <c r="E50" s="23" t="n">
        <f aca="false">_xlfn.MAXIFS($CC$6:$CC$33,$B$6:$B$33,A50)</f>
        <v>0.0250049045750455</v>
      </c>
      <c r="F50" s="1" t="str">
        <f aca="false">INDEX($CD$6:$CD$33,MATCH(E50,$CC$6:$CC$33,0))</f>
        <v>Harbin-Manzhouli</v>
      </c>
      <c r="G50" s="1" t="n">
        <f aca="false">SUMIF($B$6:$B$33,A50,$CX$6:$CX$33)</f>
        <v>0</v>
      </c>
      <c r="H50" s="1" t="str">
        <f aca="false">IF(G50=0,"OK","Check")</f>
        <v>OK</v>
      </c>
      <c r="I50" s="96" t="n">
        <f aca="false">IF(A50&lt;=1922,siberia_cost/5,siberia_front*pac_quota)</f>
        <v>52</v>
      </c>
    </row>
    <row r="51" customFormat="false" ht="13.5" hidden="false" customHeight="true" outlineLevel="0" collapsed="false">
      <c r="A51" s="1" t="n">
        <v>1931</v>
      </c>
      <c r="B51" s="96" t="n">
        <f aca="false">IF(A51&lt;=1922,SUMIF($B$6:$B$33,A51,$DP$6:$DP$33),pac_quota*C51)</f>
        <v>8.45197790886856</v>
      </c>
      <c r="C51" s="96" t="n">
        <f aca="false">IF(A51&lt;=1922,0,SUMIF($B$6:$B$33,A51,$DP$6:$DP$33))</f>
        <v>13.0030429367209</v>
      </c>
      <c r="D51" s="96" t="n">
        <f aca="false">(1-pac_quota)*C51</f>
        <v>4.5510650278523</v>
      </c>
      <c r="E51" s="23" t="n">
        <f aca="false">_xlfn.MAXIFS($CC$6:$CC$33,$B$6:$B$33,A51)</f>
        <v>0.0250049045750455</v>
      </c>
      <c r="F51" s="1" t="str">
        <f aca="false">INDEX($CD$6:$CD$33,MATCH(E51,$CC$6:$CC$33,0))</f>
        <v>Harbin-Manzhouli</v>
      </c>
      <c r="G51" s="1" t="n">
        <f aca="false">SUMIF($B$6:$B$33,A51,$CX$6:$CX$33)</f>
        <v>0</v>
      </c>
      <c r="H51" s="1" t="str">
        <f aca="false">IF(G51=0,"OK","Check")</f>
        <v>OK</v>
      </c>
      <c r="I51" s="96" t="n">
        <f aca="false">IF(A51&lt;=1922,siberia_cost/5,siberia_front*pac_quota)</f>
        <v>52</v>
      </c>
    </row>
    <row r="52" customFormat="false" ht="13.5" hidden="false" customHeight="true" outlineLevel="0" collapsed="false">
      <c r="A52" s="1" t="n">
        <v>1932</v>
      </c>
      <c r="B52" s="96" t="n">
        <f aca="false">IF(A52&lt;=1922,SUMIF($B$6:$B$33,A52,$DP$6:$DP$33),pac_quota*C52)</f>
        <v>7.52657886775156</v>
      </c>
      <c r="C52" s="96" t="n">
        <f aca="false">IF(A52&lt;=1922,0,SUMIF($B$6:$B$33,A52,$DP$6:$DP$33))</f>
        <v>11.5793521042332</v>
      </c>
      <c r="D52" s="96" t="n">
        <f aca="false">(1-pac_quota)*C52</f>
        <v>4.05277323648161</v>
      </c>
      <c r="E52" s="23" t="n">
        <f aca="false">_xlfn.MAXIFS($CC$6:$CC$33,$B$6:$B$33,A52)</f>
        <v>0.0250049045750455</v>
      </c>
      <c r="F52" s="1" t="str">
        <f aca="false">INDEX($CD$6:$CD$33,MATCH(E52,$CC$6:$CC$33,0))</f>
        <v>Harbin-Manzhouli</v>
      </c>
      <c r="G52" s="1" t="n">
        <f aca="false">SUMIF($B$6:$B$33,A52,$CX$6:$CX$33)</f>
        <v>0</v>
      </c>
      <c r="H52" s="1" t="str">
        <f aca="false">IF(G52=0,"OK","Check")</f>
        <v>OK</v>
      </c>
      <c r="I52" s="96" t="n">
        <f aca="false">IF(A52&lt;=1922,siberia_cost/5,siberia_front*pac_quota)</f>
        <v>52</v>
      </c>
    </row>
    <row r="53" customFormat="false" ht="13.5" hidden="false" customHeight="true" outlineLevel="0" collapsed="false">
      <c r="A53" s="28" t="s">
        <v>2021</v>
      </c>
      <c r="B53" s="97" t="n">
        <f aca="false">SUM(B38:B42)</f>
        <v>1004.96938230806</v>
      </c>
      <c r="I53" s="97" t="n">
        <f aca="false">SUM(I38:I42)</f>
        <v>808</v>
      </c>
    </row>
    <row r="54" customFormat="false" ht="13.5" hidden="false" customHeight="true" outlineLevel="0" collapsed="false">
      <c r="A54" s="28" t="s">
        <v>2022</v>
      </c>
      <c r="B54" s="97" t="n">
        <f aca="false">SUM(B43:B52)</f>
        <v>95.3157301574193</v>
      </c>
      <c r="I54" s="97" t="n">
        <f aca="false">SUM(I43:I52)</f>
        <v>520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CA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79" min="2" style="1" width="12.44"/>
  </cols>
  <sheetData>
    <row r="1" customFormat="false" ht="18" hidden="false" customHeight="true" outlineLevel="0" collapsed="false">
      <c r="A1" s="19" t="s">
        <v>2023</v>
      </c>
    </row>
    <row r="2" customFormat="false" ht="14.25" hidden="false" customHeight="true" outlineLevel="0" collapsed="false">
      <c r="A2" s="3" t="s">
        <v>2024</v>
      </c>
    </row>
    <row r="3" customFormat="false" ht="14.25" hidden="false" customHeight="true" outlineLevel="0" collapsed="false">
      <c r="A3" s="20" t="s">
        <v>1315</v>
      </c>
    </row>
    <row r="4" customFormat="false" ht="14.25" hidden="false" customHeight="true" outlineLevel="0" collapsed="false">
      <c r="B4" s="59" t="s">
        <v>2025</v>
      </c>
      <c r="C4" s="58" t="s">
        <v>41</v>
      </c>
      <c r="D4" s="58"/>
      <c r="E4" s="58"/>
      <c r="F4" s="58"/>
      <c r="G4" s="58"/>
      <c r="H4" s="58"/>
      <c r="I4" s="58"/>
      <c r="J4" s="58"/>
      <c r="K4" s="58" t="s">
        <v>1031</v>
      </c>
      <c r="L4" s="58"/>
      <c r="M4" s="58"/>
      <c r="N4" s="58"/>
      <c r="O4" s="58"/>
      <c r="P4" s="58"/>
      <c r="Q4" s="58"/>
      <c r="R4" s="58"/>
      <c r="S4" s="58" t="s">
        <v>2026</v>
      </c>
      <c r="T4" s="58"/>
      <c r="U4" s="58"/>
      <c r="V4" s="58"/>
      <c r="W4" s="58"/>
      <c r="X4" s="58"/>
      <c r="Y4" s="58"/>
      <c r="Z4" s="58"/>
      <c r="AA4" s="58" t="s">
        <v>2027</v>
      </c>
      <c r="AB4" s="58"/>
      <c r="AC4" s="58"/>
      <c r="AD4" s="58"/>
      <c r="AE4" s="58"/>
      <c r="AF4" s="58"/>
      <c r="AG4" s="58"/>
      <c r="AH4" s="58"/>
      <c r="AI4" s="58" t="s">
        <v>786</v>
      </c>
      <c r="AJ4" s="58"/>
      <c r="AK4" s="58"/>
      <c r="AL4" s="58"/>
      <c r="AM4" s="58"/>
      <c r="AN4" s="58"/>
      <c r="AO4" s="58"/>
      <c r="AP4" s="58"/>
      <c r="AQ4" s="58" t="s">
        <v>830</v>
      </c>
      <c r="AR4" s="58"/>
      <c r="AS4" s="58"/>
      <c r="AT4" s="58"/>
      <c r="AU4" s="58"/>
      <c r="AV4" s="58"/>
      <c r="AW4" s="58"/>
      <c r="AX4" s="58"/>
      <c r="AY4" s="58" t="s">
        <v>2028</v>
      </c>
      <c r="AZ4" s="58"/>
      <c r="BA4" s="58"/>
      <c r="BB4" s="58"/>
      <c r="BC4" s="58"/>
      <c r="BD4" s="58"/>
      <c r="BE4" s="58"/>
      <c r="BF4" s="58"/>
      <c r="BG4" s="58" t="s">
        <v>2029</v>
      </c>
      <c r="BH4" s="58"/>
      <c r="BI4" s="58"/>
      <c r="BJ4" s="58"/>
      <c r="BK4" s="58"/>
      <c r="BL4" s="58"/>
      <c r="BM4" s="58"/>
      <c r="BN4" s="58"/>
      <c r="BO4" s="58" t="s">
        <v>2030</v>
      </c>
      <c r="BP4" s="58"/>
      <c r="BQ4" s="58"/>
      <c r="BR4" s="58"/>
      <c r="BS4" s="58"/>
      <c r="BT4" s="58"/>
      <c r="BU4" s="58"/>
      <c r="BV4" s="58"/>
      <c r="BW4" s="58" t="s">
        <v>2031</v>
      </c>
      <c r="BX4" s="58"/>
      <c r="BY4" s="58" t="s">
        <v>2032</v>
      </c>
      <c r="BZ4" s="58"/>
      <c r="CA4" s="58"/>
    </row>
    <row r="5" customFormat="false" ht="54" hidden="false" customHeight="true" outlineLevel="0" collapsed="false">
      <c r="A5" s="60" t="s">
        <v>103</v>
      </c>
      <c r="B5" s="7" t="s">
        <v>2033</v>
      </c>
      <c r="C5" s="7" t="s">
        <v>2034</v>
      </c>
      <c r="D5" s="7" t="s">
        <v>2035</v>
      </c>
      <c r="E5" s="7" t="s">
        <v>2036</v>
      </c>
      <c r="F5" s="7" t="s">
        <v>2037</v>
      </c>
      <c r="G5" s="7" t="s">
        <v>2038</v>
      </c>
      <c r="H5" s="7" t="s">
        <v>2039</v>
      </c>
      <c r="I5" s="7" t="s">
        <v>2040</v>
      </c>
      <c r="J5" s="7" t="s">
        <v>2041</v>
      </c>
      <c r="K5" s="7" t="s">
        <v>2042</v>
      </c>
      <c r="L5" s="7" t="s">
        <v>2043</v>
      </c>
      <c r="M5" s="7" t="s">
        <v>2044</v>
      </c>
      <c r="N5" s="7" t="s">
        <v>2045</v>
      </c>
      <c r="O5" s="7" t="s">
        <v>2046</v>
      </c>
      <c r="P5" s="7" t="s">
        <v>2047</v>
      </c>
      <c r="Q5" s="7" t="s">
        <v>2048</v>
      </c>
      <c r="R5" s="7" t="s">
        <v>2049</v>
      </c>
      <c r="S5" s="7" t="s">
        <v>2050</v>
      </c>
      <c r="T5" s="7" t="s">
        <v>2051</v>
      </c>
      <c r="U5" s="7" t="s">
        <v>2052</v>
      </c>
      <c r="V5" s="7" t="s">
        <v>2053</v>
      </c>
      <c r="W5" s="7" t="s">
        <v>2054</v>
      </c>
      <c r="X5" s="7" t="s">
        <v>2055</v>
      </c>
      <c r="Y5" s="7" t="s">
        <v>2056</v>
      </c>
      <c r="Z5" s="7" t="s">
        <v>2057</v>
      </c>
      <c r="AA5" s="7" t="s">
        <v>2058</v>
      </c>
      <c r="AB5" s="7" t="s">
        <v>2059</v>
      </c>
      <c r="AC5" s="7" t="s">
        <v>2060</v>
      </c>
      <c r="AD5" s="7" t="s">
        <v>2061</v>
      </c>
      <c r="AE5" s="7" t="s">
        <v>2062</v>
      </c>
      <c r="AF5" s="7" t="s">
        <v>2063</v>
      </c>
      <c r="AG5" s="7" t="s">
        <v>2064</v>
      </c>
      <c r="AH5" s="7" t="s">
        <v>2065</v>
      </c>
      <c r="AI5" s="7" t="s">
        <v>2066</v>
      </c>
      <c r="AJ5" s="7" t="s">
        <v>2067</v>
      </c>
      <c r="AK5" s="7" t="s">
        <v>2068</v>
      </c>
      <c r="AL5" s="7" t="s">
        <v>2069</v>
      </c>
      <c r="AM5" s="7" t="s">
        <v>2070</v>
      </c>
      <c r="AN5" s="7" t="s">
        <v>2071</v>
      </c>
      <c r="AO5" s="7" t="s">
        <v>2072</v>
      </c>
      <c r="AP5" s="7" t="s">
        <v>2073</v>
      </c>
      <c r="AQ5" s="7" t="s">
        <v>2074</v>
      </c>
      <c r="AR5" s="7" t="s">
        <v>2075</v>
      </c>
      <c r="AS5" s="7" t="s">
        <v>2076</v>
      </c>
      <c r="AT5" s="7" t="s">
        <v>2077</v>
      </c>
      <c r="AU5" s="7" t="s">
        <v>2078</v>
      </c>
      <c r="AV5" s="7" t="s">
        <v>2079</v>
      </c>
      <c r="AW5" s="7" t="s">
        <v>2080</v>
      </c>
      <c r="AX5" s="7" t="s">
        <v>2081</v>
      </c>
      <c r="AY5" s="7" t="s">
        <v>2082</v>
      </c>
      <c r="AZ5" s="7" t="s">
        <v>2083</v>
      </c>
      <c r="BA5" s="7" t="s">
        <v>2084</v>
      </c>
      <c r="BB5" s="7" t="s">
        <v>2085</v>
      </c>
      <c r="BC5" s="7" t="s">
        <v>2086</v>
      </c>
      <c r="BD5" s="7" t="s">
        <v>2087</v>
      </c>
      <c r="BE5" s="7" t="s">
        <v>2088</v>
      </c>
      <c r="BF5" s="7" t="s">
        <v>2089</v>
      </c>
      <c r="BG5" s="7" t="s">
        <v>2090</v>
      </c>
      <c r="BH5" s="7" t="s">
        <v>2091</v>
      </c>
      <c r="BI5" s="7" t="s">
        <v>2092</v>
      </c>
      <c r="BJ5" s="7" t="s">
        <v>2093</v>
      </c>
      <c r="BK5" s="7" t="s">
        <v>2094</v>
      </c>
      <c r="BL5" s="7" t="s">
        <v>2095</v>
      </c>
      <c r="BM5" s="7" t="s">
        <v>2096</v>
      </c>
      <c r="BN5" s="7" t="s">
        <v>2097</v>
      </c>
      <c r="BO5" s="7" t="s">
        <v>2098</v>
      </c>
      <c r="BP5" s="7" t="s">
        <v>2099</v>
      </c>
      <c r="BQ5" s="7" t="s">
        <v>2100</v>
      </c>
      <c r="BR5" s="7" t="s">
        <v>2101</v>
      </c>
      <c r="BS5" s="7" t="s">
        <v>2102</v>
      </c>
      <c r="BT5" s="7" t="s">
        <v>2103</v>
      </c>
      <c r="BU5" s="7" t="s">
        <v>2104</v>
      </c>
      <c r="BV5" s="7" t="s">
        <v>2105</v>
      </c>
      <c r="BW5" s="7" t="s">
        <v>45</v>
      </c>
      <c r="BX5" s="7" t="s">
        <v>2106</v>
      </c>
      <c r="BY5" s="7" t="s">
        <v>2107</v>
      </c>
      <c r="BZ5" s="7" t="s">
        <v>2108</v>
      </c>
      <c r="CA5" s="7" t="s">
        <v>44</v>
      </c>
    </row>
    <row r="6" customFormat="false" ht="14.25" hidden="false" customHeight="true" outlineLevel="0" collapsed="false">
      <c r="A6" s="61" t="n">
        <v>1846</v>
      </c>
      <c r="B6" s="49" t="n">
        <f aca="false">0</f>
        <v>0</v>
      </c>
      <c r="C6" s="47" t="n">
        <v>0</v>
      </c>
      <c r="D6" s="65" t="n">
        <f aca="false">Japan!B6</f>
        <v>0</v>
      </c>
      <c r="E6" s="71" t="n">
        <v>0</v>
      </c>
      <c r="F6" s="49" t="n">
        <f aca="false">IF(C6&gt;0,D6*1000000/C6,0)</f>
        <v>0</v>
      </c>
      <c r="G6" s="67" t="n">
        <f aca="false">0</f>
        <v>0</v>
      </c>
      <c r="H6" s="68" t="n">
        <f aca="false">1</f>
        <v>1</v>
      </c>
      <c r="I6" s="49" t="n">
        <f aca="false">D6*H6</f>
        <v>0</v>
      </c>
      <c r="J6" s="70" t="n">
        <f aca="false">IF(C6&gt;0,I6*1000000/C6/Economy!Q6,0)</f>
        <v>0</v>
      </c>
      <c r="K6" s="65" t="n">
        <f aca="false">Gulf!B6</f>
        <v>0</v>
      </c>
      <c r="L6" s="49" t="n">
        <f aca="false">Gulf!B6*Gulf!C6*Economy!Q6/1000000</f>
        <v>0</v>
      </c>
      <c r="M6" s="71" t="n">
        <v>0</v>
      </c>
      <c r="N6" s="49" t="n">
        <f aca="false">IF(K6&gt;0,L6*1000000/K6,0)</f>
        <v>0</v>
      </c>
      <c r="O6" s="67" t="n">
        <f aca="false">0</f>
        <v>0</v>
      </c>
      <c r="P6" s="68" t="n">
        <f aca="false">1</f>
        <v>1</v>
      </c>
      <c r="Q6" s="49" t="n">
        <f aca="false">L6*P6</f>
        <v>0</v>
      </c>
      <c r="R6" s="70" t="n">
        <f aca="false">IF(K6&gt;0,Q6*1000000/K6/Economy!Q6,0)</f>
        <v>0</v>
      </c>
      <c r="S6" s="65" t="n">
        <f aca="false">People!U6</f>
        <v>0</v>
      </c>
      <c r="T6" s="47" t="n">
        <v>0</v>
      </c>
      <c r="U6" s="71" t="n">
        <v>0</v>
      </c>
      <c r="V6" s="49" t="n">
        <f aca="false">IF(S6&gt;0,T6*1000000/S6,0)</f>
        <v>0</v>
      </c>
      <c r="W6" s="67" t="n">
        <f aca="false">0</f>
        <v>0</v>
      </c>
      <c r="X6" s="68" t="n">
        <f aca="false">1</f>
        <v>1</v>
      </c>
      <c r="Y6" s="49" t="n">
        <f aca="false">T6*X6</f>
        <v>0</v>
      </c>
      <c r="Z6" s="70" t="n">
        <f aca="false">IF(S6&gt;0,Y6*1000000/S6/Economy!Q6,0)</f>
        <v>0</v>
      </c>
      <c r="AA6" s="47" t="n">
        <v>0</v>
      </c>
      <c r="AB6" s="47" t="n">
        <v>0</v>
      </c>
      <c r="AC6" s="71" t="n">
        <v>0</v>
      </c>
      <c r="AD6" s="49" t="n">
        <f aca="false">IF(AA6&gt;0,AB6*1000000/AA6,0)</f>
        <v>0</v>
      </c>
      <c r="AE6" s="67" t="n">
        <f aca="false">0</f>
        <v>0</v>
      </c>
      <c r="AF6" s="68" t="n">
        <f aca="false">1</f>
        <v>1</v>
      </c>
      <c r="AG6" s="49" t="n">
        <f aca="false">AB6*AF6</f>
        <v>0</v>
      </c>
      <c r="AH6" s="70" t="n">
        <f aca="false">IF(AA6&gt;0,AG6*1000000/AA6/Economy!Q6,0)</f>
        <v>0</v>
      </c>
      <c r="AI6" s="47" t="n">
        <v>0</v>
      </c>
      <c r="AJ6" s="47" t="n">
        <v>0</v>
      </c>
      <c r="AK6" s="71" t="n">
        <v>0</v>
      </c>
      <c r="AL6" s="49" t="n">
        <f aca="false">IF(AI6&gt;0,AJ6*1000000/AI6,0)</f>
        <v>0</v>
      </c>
      <c r="AM6" s="67" t="n">
        <f aca="false">0</f>
        <v>0</v>
      </c>
      <c r="AN6" s="68" t="n">
        <f aca="false">1</f>
        <v>1</v>
      </c>
      <c r="AO6" s="49" t="n">
        <f aca="false">AJ6*AN6</f>
        <v>0</v>
      </c>
      <c r="AP6" s="70" t="n">
        <f aca="false">IF(AI6&gt;0,AO6*1000000/AI6/Economy!Q6,0)</f>
        <v>0</v>
      </c>
      <c r="AQ6" s="47" t="n">
        <v>0</v>
      </c>
      <c r="AR6" s="47" t="n">
        <v>0</v>
      </c>
      <c r="AS6" s="71" t="n">
        <v>0</v>
      </c>
      <c r="AT6" s="49" t="n">
        <f aca="false">IF(AQ6&gt;0,AR6*1000000/AQ6,0)</f>
        <v>0</v>
      </c>
      <c r="AU6" s="67" t="n">
        <f aca="false">0</f>
        <v>0</v>
      </c>
      <c r="AV6" s="68" t="n">
        <f aca="false">1</f>
        <v>1</v>
      </c>
      <c r="AW6" s="49" t="n">
        <f aca="false">AR6*AV6</f>
        <v>0</v>
      </c>
      <c r="AX6" s="70" t="n">
        <f aca="false">IF(AQ6&gt;0,AW6*1000000/AQ6/Economy!Q6,0)</f>
        <v>0</v>
      </c>
      <c r="AY6" s="47" t="n">
        <v>0</v>
      </c>
      <c r="AZ6" s="47" t="n">
        <v>0</v>
      </c>
      <c r="BA6" s="71" t="n">
        <v>0</v>
      </c>
      <c r="BB6" s="49" t="n">
        <f aca="false">IF(AY6&gt;0,AZ6*1000000/AY6,0)</f>
        <v>0</v>
      </c>
      <c r="BC6" s="67" t="n">
        <f aca="false">0</f>
        <v>0</v>
      </c>
      <c r="BD6" s="68" t="n">
        <f aca="false">1</f>
        <v>1</v>
      </c>
      <c r="BE6" s="49" t="n">
        <f aca="false">AZ6*BD6</f>
        <v>0</v>
      </c>
      <c r="BF6" s="70" t="n">
        <f aca="false">IF(AY6&gt;0,BE6*1000000/AY6/Economy!Q6,0)</f>
        <v>0</v>
      </c>
      <c r="BG6" s="47" t="n">
        <v>0</v>
      </c>
      <c r="BH6" s="47" t="n">
        <v>0</v>
      </c>
      <c r="BI6" s="71" t="n">
        <v>0</v>
      </c>
      <c r="BJ6" s="49" t="n">
        <f aca="false">IF(BG6&gt;0,BH6*1000000/BG6,0)</f>
        <v>0</v>
      </c>
      <c r="BK6" s="67" t="n">
        <f aca="false">0</f>
        <v>0</v>
      </c>
      <c r="BL6" s="68" t="n">
        <f aca="false">1</f>
        <v>1</v>
      </c>
      <c r="BM6" s="49" t="n">
        <f aca="false">BH6*BL6</f>
        <v>0</v>
      </c>
      <c r="BN6" s="70" t="n">
        <f aca="false">IF(BG6&gt;0,BM6*1000000/BG6/Economy!Q6,0)</f>
        <v>0</v>
      </c>
      <c r="BO6" s="47" t="n">
        <v>0</v>
      </c>
      <c r="BP6" s="47" t="n">
        <v>0</v>
      </c>
      <c r="BQ6" s="71" t="n">
        <v>0</v>
      </c>
      <c r="BR6" s="49" t="n">
        <f aca="false">IF(BO6&gt;0,BP6*1000000/BO6,0)</f>
        <v>0</v>
      </c>
      <c r="BS6" s="67" t="n">
        <f aca="false">0</f>
        <v>0</v>
      </c>
      <c r="BT6" s="68" t="n">
        <f aca="false">1</f>
        <v>1</v>
      </c>
      <c r="BU6" s="49" t="n">
        <f aca="false">BP6*BT6</f>
        <v>0</v>
      </c>
      <c r="BV6" s="70" t="n">
        <f aca="false">IF(BO6&gt;0,BU6*1000000/BO6/Economy!Q6,0)</f>
        <v>0</v>
      </c>
      <c r="BW6" s="68" t="n">
        <f aca="false">0.25*IF(D6&gt;0,H6,1)+0.15*IF(AJ6&gt;0,AN6,1)+0.03*IF(AR6&gt;0,AV6,1)+0.08*IF(AZ6&gt;0,BD6,1)+0.12*IF(BH6&gt;0,BL6,1)+0.1*IF(L6&gt;0,P6,1)+0.07*IF(T6&gt;0,X6,1)+0.05*IF(AB6&gt;0,AF6,1)+0.05*IF(BP6&gt;0,BT6,1)+0.1</f>
        <v>1</v>
      </c>
      <c r="BX6" s="66" t="n">
        <f aca="false">MIN(mkt_cap,mkt_elast*MAX(0,BW6-1))</f>
        <v>0</v>
      </c>
      <c r="BY6" s="49" t="n">
        <f aca="false">I6+Q6+Y6+AG6</f>
        <v>0</v>
      </c>
      <c r="BZ6" s="49" t="n">
        <f aca="false">D6+L6+T6+AB6</f>
        <v>0</v>
      </c>
      <c r="CA6" s="68" t="n">
        <f aca="false">IF(BZ6&gt;0,BY6/BZ6,0)</f>
        <v>0</v>
      </c>
    </row>
    <row r="7" customFormat="false" ht="14.25" hidden="false" customHeight="true" outlineLevel="0" collapsed="false">
      <c r="A7" s="61" t="n">
        <v>1847</v>
      </c>
      <c r="B7" s="49" t="n">
        <f aca="false">Economy!P6</f>
        <v>111</v>
      </c>
      <c r="C7" s="47" t="n">
        <v>0</v>
      </c>
      <c r="D7" s="65" t="n">
        <f aca="false">Japan!B7</f>
        <v>0</v>
      </c>
      <c r="E7" s="71" t="n">
        <v>0</v>
      </c>
      <c r="F7" s="49" t="n">
        <f aca="false">IF(C7&gt;0,D7*1000000/C7,0)</f>
        <v>0</v>
      </c>
      <c r="G7" s="67" t="n">
        <f aca="false">IF(AND(E7&gt;0,F6&gt;0,B7&gt;0),MIN(conv_cap,conv_beta*jp_uplift*E7*MAX(0,LN(B7/(F6*H6)))),0)</f>
        <v>0</v>
      </c>
      <c r="H7" s="68" t="n">
        <f aca="false">H6*(1+G7)</f>
        <v>1</v>
      </c>
      <c r="I7" s="49" t="n">
        <f aca="false">D7*H7</f>
        <v>0</v>
      </c>
      <c r="J7" s="70" t="n">
        <f aca="false">IF(C7&gt;0,I7*1000000/C7/Economy!Q7,0)</f>
        <v>0</v>
      </c>
      <c r="K7" s="65" t="n">
        <f aca="false">Gulf!B7</f>
        <v>0</v>
      </c>
      <c r="L7" s="49" t="n">
        <f aca="false">Gulf!B7*Gulf!C7*Economy!Q7/1000000</f>
        <v>0</v>
      </c>
      <c r="M7" s="71" t="n">
        <v>0</v>
      </c>
      <c r="N7" s="49" t="n">
        <f aca="false">IF(K7&gt;0,L7*1000000/K7,0)</f>
        <v>0</v>
      </c>
      <c r="O7" s="67" t="n">
        <f aca="false">IF(AND(M7&gt;0,N6&gt;0,B7&gt;0),MIN(conv_cap,conv_beta*1*M7*MAX(0,LN(B7/(N6*P6)))),0)</f>
        <v>0</v>
      </c>
      <c r="P7" s="68" t="n">
        <f aca="false">P6*(1+O7)</f>
        <v>1</v>
      </c>
      <c r="Q7" s="49" t="n">
        <f aca="false">L7*P7</f>
        <v>0</v>
      </c>
      <c r="R7" s="70" t="n">
        <f aca="false">IF(K7&gt;0,Q7*1000000/K7/Economy!Q7,0)</f>
        <v>0</v>
      </c>
      <c r="S7" s="65" t="n">
        <f aca="false">People!U7</f>
        <v>0</v>
      </c>
      <c r="T7" s="47" t="n">
        <v>0</v>
      </c>
      <c r="U7" s="71" t="n">
        <v>0</v>
      </c>
      <c r="V7" s="49" t="n">
        <f aca="false">IF(S7&gt;0,T7*1000000/S7,0)</f>
        <v>0</v>
      </c>
      <c r="W7" s="67" t="n">
        <f aca="false">IF(AND(U7&gt;0,V6&gt;0,B7&gt;0),MIN(conv_cap,conv_beta*1*U7*MAX(0,LN(B7/(V6*X6)))),0)</f>
        <v>0</v>
      </c>
      <c r="X7" s="68" t="n">
        <f aca="false">X6*(1+W7)</f>
        <v>1</v>
      </c>
      <c r="Y7" s="49" t="n">
        <f aca="false">T7*X7</f>
        <v>0</v>
      </c>
      <c r="Z7" s="70" t="n">
        <f aca="false">IF(S7&gt;0,Y7*1000000/S7/Economy!Q7,0)</f>
        <v>0</v>
      </c>
      <c r="AA7" s="47" t="n">
        <v>0</v>
      </c>
      <c r="AB7" s="47" t="n">
        <v>0</v>
      </c>
      <c r="AC7" s="71" t="n">
        <v>0</v>
      </c>
      <c r="AD7" s="49" t="n">
        <f aca="false">IF(AA7&gt;0,AB7*1000000/AA7,0)</f>
        <v>0</v>
      </c>
      <c r="AE7" s="67" t="n">
        <f aca="false">IF(AND(AC7&gt;0,AD6&gt;0,B7&gt;0),MIN(conv_cap,conv_beta*1*AC7*MAX(0,LN(B7/(AD6*AF6)))),0)</f>
        <v>0</v>
      </c>
      <c r="AF7" s="68" t="n">
        <f aca="false">AF6*(1+AE7)</f>
        <v>1</v>
      </c>
      <c r="AG7" s="49" t="n">
        <f aca="false">AB7*AF7</f>
        <v>0</v>
      </c>
      <c r="AH7" s="70" t="n">
        <f aca="false">IF(AA7&gt;0,AG7*1000000/AA7/Economy!Q7,0)</f>
        <v>0</v>
      </c>
      <c r="AI7" s="47" t="n">
        <v>0</v>
      </c>
      <c r="AJ7" s="47" t="n">
        <v>0</v>
      </c>
      <c r="AK7" s="71" t="n">
        <v>0</v>
      </c>
      <c r="AL7" s="49" t="n">
        <f aca="false">IF(AI7&gt;0,AJ7*1000000/AI7,0)</f>
        <v>0</v>
      </c>
      <c r="AM7" s="67" t="n">
        <f aca="false">IF(AND(AK7&gt;0,AL6&gt;0,B7&gt;0),MIN(conv_cap,conv_beta*1*AK7*MAX(0,LN(B7/(AL6*AN6)))),0)</f>
        <v>0</v>
      </c>
      <c r="AN7" s="68" t="n">
        <f aca="false">AN6*(1+AM7)</f>
        <v>1</v>
      </c>
      <c r="AO7" s="49" t="n">
        <f aca="false">AJ7*AN7</f>
        <v>0</v>
      </c>
      <c r="AP7" s="70" t="n">
        <f aca="false">IF(AI7&gt;0,AO7*1000000/AI7/Economy!Q7,0)</f>
        <v>0</v>
      </c>
      <c r="AQ7" s="47" t="n">
        <v>0</v>
      </c>
      <c r="AR7" s="47" t="n">
        <v>0</v>
      </c>
      <c r="AS7" s="71" t="n">
        <v>0</v>
      </c>
      <c r="AT7" s="49" t="n">
        <f aca="false">IF(AQ7&gt;0,AR7*1000000/AQ7,0)</f>
        <v>0</v>
      </c>
      <c r="AU7" s="67" t="n">
        <f aca="false">IF(AND(AS7&gt;0,AT6&gt;0,B7&gt;0),MIN(conv_cap,conv_beta*1*AS7*MAX(0,LN(B7/(AT6*AV6)))),0)</f>
        <v>0</v>
      </c>
      <c r="AV7" s="68" t="n">
        <f aca="false">AV6*(1+AU7)</f>
        <v>1</v>
      </c>
      <c r="AW7" s="49" t="n">
        <f aca="false">AR7*AV7</f>
        <v>0</v>
      </c>
      <c r="AX7" s="70" t="n">
        <f aca="false">IF(AQ7&gt;0,AW7*1000000/AQ7/Economy!Q7,0)</f>
        <v>0</v>
      </c>
      <c r="AY7" s="47" t="n">
        <v>0</v>
      </c>
      <c r="AZ7" s="47" t="n">
        <v>0</v>
      </c>
      <c r="BA7" s="71" t="n">
        <v>0</v>
      </c>
      <c r="BB7" s="49" t="n">
        <f aca="false">IF(AY7&gt;0,AZ7*1000000/AY7,0)</f>
        <v>0</v>
      </c>
      <c r="BC7" s="67" t="n">
        <f aca="false">IF(AND(BA7&gt;0,BB6&gt;0,B7&gt;0),MIN(conv_cap,conv_beta*1*BA7*MAX(0,LN(B7/(BB6*BD6)))),0)</f>
        <v>0</v>
      </c>
      <c r="BD7" s="68" t="n">
        <f aca="false">BD6*(1+BC7)</f>
        <v>1</v>
      </c>
      <c r="BE7" s="49" t="n">
        <f aca="false">AZ7*BD7</f>
        <v>0</v>
      </c>
      <c r="BF7" s="70" t="n">
        <f aca="false">IF(AY7&gt;0,BE7*1000000/AY7/Economy!Q7,0)</f>
        <v>0</v>
      </c>
      <c r="BG7" s="47" t="n">
        <v>0</v>
      </c>
      <c r="BH7" s="47" t="n">
        <v>0</v>
      </c>
      <c r="BI7" s="71" t="n">
        <v>0</v>
      </c>
      <c r="BJ7" s="49" t="n">
        <f aca="false">IF(BG7&gt;0,BH7*1000000/BG7,0)</f>
        <v>0</v>
      </c>
      <c r="BK7" s="67" t="n">
        <f aca="false">IF(AND(BI7&gt;0,BJ6&gt;0,B7&gt;0),MIN(conv_cap,conv_beta*1*BI7*MAX(0,LN(B7/(BJ6*BL6)))),0)</f>
        <v>0</v>
      </c>
      <c r="BL7" s="68" t="n">
        <f aca="false">BL6*(1+BK7)</f>
        <v>1</v>
      </c>
      <c r="BM7" s="49" t="n">
        <f aca="false">BH7*BL7</f>
        <v>0</v>
      </c>
      <c r="BN7" s="70" t="n">
        <f aca="false">IF(BG7&gt;0,BM7*1000000/BG7/Economy!Q7,0)</f>
        <v>0</v>
      </c>
      <c r="BO7" s="47" t="n">
        <v>0</v>
      </c>
      <c r="BP7" s="47" t="n">
        <v>0</v>
      </c>
      <c r="BQ7" s="71" t="n">
        <v>0</v>
      </c>
      <c r="BR7" s="49" t="n">
        <f aca="false">IF(BO7&gt;0,BP7*1000000/BO7,0)</f>
        <v>0</v>
      </c>
      <c r="BS7" s="67" t="n">
        <f aca="false">IF(AND(BQ7&gt;0,BR6&gt;0,B7&gt;0),MIN(conv_cap,conv_beta*1*BQ7*MAX(0,LN(B7/(BR6*BT6)))),0)</f>
        <v>0</v>
      </c>
      <c r="BT7" s="68" t="n">
        <f aca="false">BT6*(1+BS7)</f>
        <v>1</v>
      </c>
      <c r="BU7" s="49" t="n">
        <f aca="false">BP7*BT7</f>
        <v>0</v>
      </c>
      <c r="BV7" s="70" t="n">
        <f aca="false">IF(BO7&gt;0,BU7*1000000/BO7/Economy!Q7,0)</f>
        <v>0</v>
      </c>
      <c r="BW7" s="68" t="n">
        <f aca="false">0.25*IF(D7&gt;0,H7,1)+0.15*IF(AJ7&gt;0,AN7,1)+0.03*IF(AR7&gt;0,AV7,1)+0.08*IF(AZ7&gt;0,BD7,1)+0.12*IF(BH7&gt;0,BL7,1)+0.1*IF(L7&gt;0,P7,1)+0.07*IF(T7&gt;0,X7,1)+0.05*IF(AB7&gt;0,AF7,1)+0.05*IF(BP7&gt;0,BT7,1)+0.1</f>
        <v>1</v>
      </c>
      <c r="BX7" s="66" t="n">
        <f aca="false">MIN(mkt_cap,mkt_elast*MAX(0,BW7-1))</f>
        <v>0</v>
      </c>
      <c r="BY7" s="49" t="n">
        <f aca="false">I7+Q7+Y7+AG7</f>
        <v>0</v>
      </c>
      <c r="BZ7" s="49" t="n">
        <f aca="false">D7+L7+T7+AB7</f>
        <v>0</v>
      </c>
      <c r="CA7" s="68" t="n">
        <f aca="false">IF(BZ7&gt;0,BY7/BZ7,0)</f>
        <v>0</v>
      </c>
    </row>
    <row r="8" customFormat="false" ht="14.25" hidden="false" customHeight="true" outlineLevel="0" collapsed="false">
      <c r="A8" s="61" t="n">
        <v>1848</v>
      </c>
      <c r="B8" s="49" t="n">
        <f aca="false">Economy!P7</f>
        <v>115.44</v>
      </c>
      <c r="C8" s="47" t="n">
        <v>0</v>
      </c>
      <c r="D8" s="65" t="n">
        <f aca="false">Japan!B8</f>
        <v>0</v>
      </c>
      <c r="E8" s="71" t="n">
        <v>0</v>
      </c>
      <c r="F8" s="49" t="n">
        <f aca="false">IF(C8&gt;0,D8*1000000/C8,0)</f>
        <v>0</v>
      </c>
      <c r="G8" s="67" t="n">
        <f aca="false">IF(AND(E8&gt;0,F7&gt;0,B8&gt;0),MIN(conv_cap,conv_beta*jp_uplift*E8*MAX(0,LN(B8/(F7*H7)))),0)</f>
        <v>0</v>
      </c>
      <c r="H8" s="68" t="n">
        <f aca="false">H7*(1+G8)</f>
        <v>1</v>
      </c>
      <c r="I8" s="49" t="n">
        <f aca="false">D8*H8</f>
        <v>0</v>
      </c>
      <c r="J8" s="70" t="n">
        <f aca="false">IF(C8&gt;0,I8*1000000/C8/Economy!Q8,0)</f>
        <v>0</v>
      </c>
      <c r="K8" s="65" t="n">
        <f aca="false">Gulf!B8</f>
        <v>0</v>
      </c>
      <c r="L8" s="49" t="n">
        <f aca="false">Gulf!B8*Gulf!C8*Economy!Q8/1000000</f>
        <v>0</v>
      </c>
      <c r="M8" s="71" t="n">
        <v>0</v>
      </c>
      <c r="N8" s="49" t="n">
        <f aca="false">IF(K8&gt;0,L8*1000000/K8,0)</f>
        <v>0</v>
      </c>
      <c r="O8" s="67" t="n">
        <f aca="false">IF(AND(M8&gt;0,N7&gt;0,B8&gt;0),MIN(conv_cap,conv_beta*1*M8*MAX(0,LN(B8/(N7*P7)))),0)</f>
        <v>0</v>
      </c>
      <c r="P8" s="68" t="n">
        <f aca="false">P7*(1+O8)</f>
        <v>1</v>
      </c>
      <c r="Q8" s="49" t="n">
        <f aca="false">L8*P8</f>
        <v>0</v>
      </c>
      <c r="R8" s="70" t="n">
        <f aca="false">IF(K8&gt;0,Q8*1000000/K8/Economy!Q8,0)</f>
        <v>0</v>
      </c>
      <c r="S8" s="65" t="n">
        <f aca="false">People!U8</f>
        <v>0</v>
      </c>
      <c r="T8" s="47" t="n">
        <v>0</v>
      </c>
      <c r="U8" s="71" t="n">
        <v>0</v>
      </c>
      <c r="V8" s="49" t="n">
        <f aca="false">IF(S8&gt;0,T8*1000000/S8,0)</f>
        <v>0</v>
      </c>
      <c r="W8" s="67" t="n">
        <f aca="false">IF(AND(U8&gt;0,V7&gt;0,B8&gt;0),MIN(conv_cap,conv_beta*1*U8*MAX(0,LN(B8/(V7*X7)))),0)</f>
        <v>0</v>
      </c>
      <c r="X8" s="68" t="n">
        <f aca="false">X7*(1+W8)</f>
        <v>1</v>
      </c>
      <c r="Y8" s="49" t="n">
        <f aca="false">T8*X8</f>
        <v>0</v>
      </c>
      <c r="Z8" s="70" t="n">
        <f aca="false">IF(S8&gt;0,Y8*1000000/S8/Economy!Q8,0)</f>
        <v>0</v>
      </c>
      <c r="AA8" s="47" t="n">
        <v>0</v>
      </c>
      <c r="AB8" s="47" t="n">
        <v>0</v>
      </c>
      <c r="AC8" s="71" t="n">
        <v>0</v>
      </c>
      <c r="AD8" s="49" t="n">
        <f aca="false">IF(AA8&gt;0,AB8*1000000/AA8,0)</f>
        <v>0</v>
      </c>
      <c r="AE8" s="67" t="n">
        <f aca="false">IF(AND(AC8&gt;0,AD7&gt;0,B8&gt;0),MIN(conv_cap,conv_beta*1*AC8*MAX(0,LN(B8/(AD7*AF7)))),0)</f>
        <v>0</v>
      </c>
      <c r="AF8" s="68" t="n">
        <f aca="false">AF7*(1+AE8)</f>
        <v>1</v>
      </c>
      <c r="AG8" s="49" t="n">
        <f aca="false">AB8*AF8</f>
        <v>0</v>
      </c>
      <c r="AH8" s="70" t="n">
        <f aca="false">IF(AA8&gt;0,AG8*1000000/AA8/Economy!Q8,0)</f>
        <v>0</v>
      </c>
      <c r="AI8" s="47" t="n">
        <v>0</v>
      </c>
      <c r="AJ8" s="47" t="n">
        <v>0</v>
      </c>
      <c r="AK8" s="71" t="n">
        <v>0</v>
      </c>
      <c r="AL8" s="49" t="n">
        <f aca="false">IF(AI8&gt;0,AJ8*1000000/AI8,0)</f>
        <v>0</v>
      </c>
      <c r="AM8" s="67" t="n">
        <f aca="false">IF(AND(AK8&gt;0,AL7&gt;0,B8&gt;0),MIN(conv_cap,conv_beta*1*AK8*MAX(0,LN(B8/(AL7*AN7)))),0)</f>
        <v>0</v>
      </c>
      <c r="AN8" s="68" t="n">
        <f aca="false">AN7*(1+AM8)</f>
        <v>1</v>
      </c>
      <c r="AO8" s="49" t="n">
        <f aca="false">AJ8*AN8</f>
        <v>0</v>
      </c>
      <c r="AP8" s="70" t="n">
        <f aca="false">IF(AI8&gt;0,AO8*1000000/AI8/Economy!Q8,0)</f>
        <v>0</v>
      </c>
      <c r="AQ8" s="47" t="n">
        <v>0</v>
      </c>
      <c r="AR8" s="47" t="n">
        <v>0</v>
      </c>
      <c r="AS8" s="71" t="n">
        <v>0</v>
      </c>
      <c r="AT8" s="49" t="n">
        <f aca="false">IF(AQ8&gt;0,AR8*1000000/AQ8,0)</f>
        <v>0</v>
      </c>
      <c r="AU8" s="67" t="n">
        <f aca="false">IF(AND(AS8&gt;0,AT7&gt;0,B8&gt;0),MIN(conv_cap,conv_beta*1*AS8*MAX(0,LN(B8/(AT7*AV7)))),0)</f>
        <v>0</v>
      </c>
      <c r="AV8" s="68" t="n">
        <f aca="false">AV7*(1+AU8)</f>
        <v>1</v>
      </c>
      <c r="AW8" s="49" t="n">
        <f aca="false">AR8*AV8</f>
        <v>0</v>
      </c>
      <c r="AX8" s="70" t="n">
        <f aca="false">IF(AQ8&gt;0,AW8*1000000/AQ8/Economy!Q8,0)</f>
        <v>0</v>
      </c>
      <c r="AY8" s="47" t="n">
        <v>0</v>
      </c>
      <c r="AZ8" s="47" t="n">
        <v>0</v>
      </c>
      <c r="BA8" s="71" t="n">
        <v>0</v>
      </c>
      <c r="BB8" s="49" t="n">
        <f aca="false">IF(AY8&gt;0,AZ8*1000000/AY8,0)</f>
        <v>0</v>
      </c>
      <c r="BC8" s="67" t="n">
        <f aca="false">IF(AND(BA8&gt;0,BB7&gt;0,B8&gt;0),MIN(conv_cap,conv_beta*1*BA8*MAX(0,LN(B8/(BB7*BD7)))),0)</f>
        <v>0</v>
      </c>
      <c r="BD8" s="68" t="n">
        <f aca="false">BD7*(1+BC8)</f>
        <v>1</v>
      </c>
      <c r="BE8" s="49" t="n">
        <f aca="false">AZ8*BD8</f>
        <v>0</v>
      </c>
      <c r="BF8" s="70" t="n">
        <f aca="false">IF(AY8&gt;0,BE8*1000000/AY8/Economy!Q8,0)</f>
        <v>0</v>
      </c>
      <c r="BG8" s="47" t="n">
        <v>0</v>
      </c>
      <c r="BH8" s="47" t="n">
        <v>0</v>
      </c>
      <c r="BI8" s="71" t="n">
        <v>0</v>
      </c>
      <c r="BJ8" s="49" t="n">
        <f aca="false">IF(BG8&gt;0,BH8*1000000/BG8,0)</f>
        <v>0</v>
      </c>
      <c r="BK8" s="67" t="n">
        <f aca="false">IF(AND(BI8&gt;0,BJ7&gt;0,B8&gt;0),MIN(conv_cap,conv_beta*1*BI8*MAX(0,LN(B8/(BJ7*BL7)))),0)</f>
        <v>0</v>
      </c>
      <c r="BL8" s="68" t="n">
        <f aca="false">BL7*(1+BK8)</f>
        <v>1</v>
      </c>
      <c r="BM8" s="49" t="n">
        <f aca="false">BH8*BL8</f>
        <v>0</v>
      </c>
      <c r="BN8" s="70" t="n">
        <f aca="false">IF(BG8&gt;0,BM8*1000000/BG8/Economy!Q8,0)</f>
        <v>0</v>
      </c>
      <c r="BO8" s="47" t="n">
        <v>0</v>
      </c>
      <c r="BP8" s="47" t="n">
        <v>0</v>
      </c>
      <c r="BQ8" s="71" t="n">
        <v>0</v>
      </c>
      <c r="BR8" s="49" t="n">
        <f aca="false">IF(BO8&gt;0,BP8*1000000/BO8,0)</f>
        <v>0</v>
      </c>
      <c r="BS8" s="67" t="n">
        <f aca="false">IF(AND(BQ8&gt;0,BR7&gt;0,B8&gt;0),MIN(conv_cap,conv_beta*1*BQ8*MAX(0,LN(B8/(BR7*BT7)))),0)</f>
        <v>0</v>
      </c>
      <c r="BT8" s="68" t="n">
        <f aca="false">BT7*(1+BS8)</f>
        <v>1</v>
      </c>
      <c r="BU8" s="49" t="n">
        <f aca="false">BP8*BT8</f>
        <v>0</v>
      </c>
      <c r="BV8" s="70" t="n">
        <f aca="false">IF(BO8&gt;0,BU8*1000000/BO8/Economy!Q8,0)</f>
        <v>0</v>
      </c>
      <c r="BW8" s="68" t="n">
        <f aca="false">0.25*IF(D8&gt;0,H8,1)+0.15*IF(AJ8&gt;0,AN8,1)+0.03*IF(AR8&gt;0,AV8,1)+0.08*IF(AZ8&gt;0,BD8,1)+0.12*IF(BH8&gt;0,BL8,1)+0.1*IF(L8&gt;0,P8,1)+0.07*IF(T8&gt;0,X8,1)+0.05*IF(AB8&gt;0,AF8,1)+0.05*IF(BP8&gt;0,BT8,1)+0.1</f>
        <v>1</v>
      </c>
      <c r="BX8" s="66" t="n">
        <f aca="false">MIN(mkt_cap,mkt_elast*MAX(0,BW8-1))</f>
        <v>0</v>
      </c>
      <c r="BY8" s="49" t="n">
        <f aca="false">I8+Q8+Y8+AG8</f>
        <v>0</v>
      </c>
      <c r="BZ8" s="49" t="n">
        <f aca="false">D8+L8+T8+AB8</f>
        <v>0</v>
      </c>
      <c r="CA8" s="68" t="n">
        <f aca="false">IF(BZ8&gt;0,BY8/BZ8,0)</f>
        <v>0</v>
      </c>
    </row>
    <row r="9" customFormat="false" ht="14.25" hidden="false" customHeight="true" outlineLevel="0" collapsed="false">
      <c r="A9" s="61" t="n">
        <v>1849</v>
      </c>
      <c r="B9" s="49" t="n">
        <f aca="false">Economy!P8</f>
        <v>158.290931402112</v>
      </c>
      <c r="C9" s="47" t="n">
        <v>0</v>
      </c>
      <c r="D9" s="65" t="n">
        <f aca="false">Japan!B9</f>
        <v>0</v>
      </c>
      <c r="E9" s="71" t="n">
        <v>0</v>
      </c>
      <c r="F9" s="49" t="n">
        <f aca="false">IF(C9&gt;0,D9*1000000/C9,0)</f>
        <v>0</v>
      </c>
      <c r="G9" s="67" t="n">
        <f aca="false">IF(AND(E9&gt;0,F8&gt;0,B9&gt;0),MIN(conv_cap,conv_beta*jp_uplift*E9*MAX(0,LN(B9/(F8*H8)))),0)</f>
        <v>0</v>
      </c>
      <c r="H9" s="68" t="n">
        <f aca="false">H8*(1+G9)</f>
        <v>1</v>
      </c>
      <c r="I9" s="49" t="n">
        <f aca="false">D9*H9</f>
        <v>0</v>
      </c>
      <c r="J9" s="70" t="n">
        <f aca="false">IF(C9&gt;0,I9*1000000/C9/Economy!Q9,0)</f>
        <v>0</v>
      </c>
      <c r="K9" s="65" t="n">
        <f aca="false">Gulf!B9</f>
        <v>0</v>
      </c>
      <c r="L9" s="49" t="n">
        <f aca="false">Gulf!B9*Gulf!C9*Economy!Q9/1000000</f>
        <v>0</v>
      </c>
      <c r="M9" s="71" t="n">
        <v>0</v>
      </c>
      <c r="N9" s="49" t="n">
        <f aca="false">IF(K9&gt;0,L9*1000000/K9,0)</f>
        <v>0</v>
      </c>
      <c r="O9" s="67" t="n">
        <f aca="false">IF(AND(M9&gt;0,N8&gt;0,B9&gt;0),MIN(conv_cap,conv_beta*1*M9*MAX(0,LN(B9/(N8*P8)))),0)</f>
        <v>0</v>
      </c>
      <c r="P9" s="68" t="n">
        <f aca="false">P8*(1+O9)</f>
        <v>1</v>
      </c>
      <c r="Q9" s="49" t="n">
        <f aca="false">L9*P9</f>
        <v>0</v>
      </c>
      <c r="R9" s="70" t="n">
        <f aca="false">IF(K9&gt;0,Q9*1000000/K9/Economy!Q9,0)</f>
        <v>0</v>
      </c>
      <c r="S9" s="65" t="n">
        <f aca="false">People!U9</f>
        <v>0</v>
      </c>
      <c r="T9" s="47" t="n">
        <v>0</v>
      </c>
      <c r="U9" s="71" t="n">
        <v>0</v>
      </c>
      <c r="V9" s="49" t="n">
        <f aca="false">IF(S9&gt;0,T9*1000000/S9,0)</f>
        <v>0</v>
      </c>
      <c r="W9" s="67" t="n">
        <f aca="false">IF(AND(U9&gt;0,V8&gt;0,B9&gt;0),MIN(conv_cap,conv_beta*1*U9*MAX(0,LN(B9/(V8*X8)))),0)</f>
        <v>0</v>
      </c>
      <c r="X9" s="68" t="n">
        <f aca="false">X8*(1+W9)</f>
        <v>1</v>
      </c>
      <c r="Y9" s="49" t="n">
        <f aca="false">T9*X9</f>
        <v>0</v>
      </c>
      <c r="Z9" s="70" t="n">
        <f aca="false">IF(S9&gt;0,Y9*1000000/S9/Economy!Q9,0)</f>
        <v>0</v>
      </c>
      <c r="AA9" s="47" t="n">
        <v>0</v>
      </c>
      <c r="AB9" s="47" t="n">
        <v>0</v>
      </c>
      <c r="AC9" s="71" t="n">
        <v>0</v>
      </c>
      <c r="AD9" s="49" t="n">
        <f aca="false">IF(AA9&gt;0,AB9*1000000/AA9,0)</f>
        <v>0</v>
      </c>
      <c r="AE9" s="67" t="n">
        <f aca="false">IF(AND(AC9&gt;0,AD8&gt;0,B9&gt;0),MIN(conv_cap,conv_beta*1*AC9*MAX(0,LN(B9/(AD8*AF8)))),0)</f>
        <v>0</v>
      </c>
      <c r="AF9" s="68" t="n">
        <f aca="false">AF8*(1+AE9)</f>
        <v>1</v>
      </c>
      <c r="AG9" s="49" t="n">
        <f aca="false">AB9*AF9</f>
        <v>0</v>
      </c>
      <c r="AH9" s="70" t="n">
        <f aca="false">IF(AA9&gt;0,AG9*1000000/AA9/Economy!Q9,0)</f>
        <v>0</v>
      </c>
      <c r="AI9" s="47" t="n">
        <v>0</v>
      </c>
      <c r="AJ9" s="47" t="n">
        <v>0</v>
      </c>
      <c r="AK9" s="71" t="n">
        <v>0</v>
      </c>
      <c r="AL9" s="49" t="n">
        <f aca="false">IF(AI9&gt;0,AJ9*1000000/AI9,0)</f>
        <v>0</v>
      </c>
      <c r="AM9" s="67" t="n">
        <f aca="false">IF(AND(AK9&gt;0,AL8&gt;0,B9&gt;0),MIN(conv_cap,conv_beta*1*AK9*MAX(0,LN(B9/(AL8*AN8)))),0)</f>
        <v>0</v>
      </c>
      <c r="AN9" s="68" t="n">
        <f aca="false">AN8*(1+AM9)</f>
        <v>1</v>
      </c>
      <c r="AO9" s="49" t="n">
        <f aca="false">AJ9*AN9</f>
        <v>0</v>
      </c>
      <c r="AP9" s="70" t="n">
        <f aca="false">IF(AI9&gt;0,AO9*1000000/AI9/Economy!Q9,0)</f>
        <v>0</v>
      </c>
      <c r="AQ9" s="47" t="n">
        <v>0</v>
      </c>
      <c r="AR9" s="47" t="n">
        <v>0</v>
      </c>
      <c r="AS9" s="71" t="n">
        <v>0</v>
      </c>
      <c r="AT9" s="49" t="n">
        <f aca="false">IF(AQ9&gt;0,AR9*1000000/AQ9,0)</f>
        <v>0</v>
      </c>
      <c r="AU9" s="67" t="n">
        <f aca="false">IF(AND(AS9&gt;0,AT8&gt;0,B9&gt;0),MIN(conv_cap,conv_beta*1*AS9*MAX(0,LN(B9/(AT8*AV8)))),0)</f>
        <v>0</v>
      </c>
      <c r="AV9" s="68" t="n">
        <f aca="false">AV8*(1+AU9)</f>
        <v>1</v>
      </c>
      <c r="AW9" s="49" t="n">
        <f aca="false">AR9*AV9</f>
        <v>0</v>
      </c>
      <c r="AX9" s="70" t="n">
        <f aca="false">IF(AQ9&gt;0,AW9*1000000/AQ9/Economy!Q9,0)</f>
        <v>0</v>
      </c>
      <c r="AY9" s="47" t="n">
        <v>0</v>
      </c>
      <c r="AZ9" s="47" t="n">
        <v>0</v>
      </c>
      <c r="BA9" s="71" t="n">
        <v>0</v>
      </c>
      <c r="BB9" s="49" t="n">
        <f aca="false">IF(AY9&gt;0,AZ9*1000000/AY9,0)</f>
        <v>0</v>
      </c>
      <c r="BC9" s="67" t="n">
        <f aca="false">IF(AND(BA9&gt;0,BB8&gt;0,B9&gt;0),MIN(conv_cap,conv_beta*1*BA9*MAX(0,LN(B9/(BB8*BD8)))),0)</f>
        <v>0</v>
      </c>
      <c r="BD9" s="68" t="n">
        <f aca="false">BD8*(1+BC9)</f>
        <v>1</v>
      </c>
      <c r="BE9" s="49" t="n">
        <f aca="false">AZ9*BD9</f>
        <v>0</v>
      </c>
      <c r="BF9" s="70" t="n">
        <f aca="false">IF(AY9&gt;0,BE9*1000000/AY9/Economy!Q9,0)</f>
        <v>0</v>
      </c>
      <c r="BG9" s="47" t="n">
        <v>0</v>
      </c>
      <c r="BH9" s="47" t="n">
        <v>0</v>
      </c>
      <c r="BI9" s="71" t="n">
        <v>0</v>
      </c>
      <c r="BJ9" s="49" t="n">
        <f aca="false">IF(BG9&gt;0,BH9*1000000/BG9,0)</f>
        <v>0</v>
      </c>
      <c r="BK9" s="67" t="n">
        <f aca="false">IF(AND(BI9&gt;0,BJ8&gt;0,B9&gt;0),MIN(conv_cap,conv_beta*1*BI9*MAX(0,LN(B9/(BJ8*BL8)))),0)</f>
        <v>0</v>
      </c>
      <c r="BL9" s="68" t="n">
        <f aca="false">BL8*(1+BK9)</f>
        <v>1</v>
      </c>
      <c r="BM9" s="49" t="n">
        <f aca="false">BH9*BL9</f>
        <v>0</v>
      </c>
      <c r="BN9" s="70" t="n">
        <f aca="false">IF(BG9&gt;0,BM9*1000000/BG9/Economy!Q9,0)</f>
        <v>0</v>
      </c>
      <c r="BO9" s="47" t="n">
        <v>0</v>
      </c>
      <c r="BP9" s="47" t="n">
        <v>0</v>
      </c>
      <c r="BQ9" s="71" t="n">
        <v>0</v>
      </c>
      <c r="BR9" s="49" t="n">
        <f aca="false">IF(BO9&gt;0,BP9*1000000/BO9,0)</f>
        <v>0</v>
      </c>
      <c r="BS9" s="67" t="n">
        <f aca="false">IF(AND(BQ9&gt;0,BR8&gt;0,B9&gt;0),MIN(conv_cap,conv_beta*1*BQ9*MAX(0,LN(B9/(BR8*BT8)))),0)</f>
        <v>0</v>
      </c>
      <c r="BT9" s="68" t="n">
        <f aca="false">BT8*(1+BS9)</f>
        <v>1</v>
      </c>
      <c r="BU9" s="49" t="n">
        <f aca="false">BP9*BT9</f>
        <v>0</v>
      </c>
      <c r="BV9" s="70" t="n">
        <f aca="false">IF(BO9&gt;0,BU9*1000000/BO9/Economy!Q9,0)</f>
        <v>0</v>
      </c>
      <c r="BW9" s="68" t="n">
        <f aca="false">0.25*IF(D9&gt;0,H9,1)+0.15*IF(AJ9&gt;0,AN9,1)+0.03*IF(AR9&gt;0,AV9,1)+0.08*IF(AZ9&gt;0,BD9,1)+0.12*IF(BH9&gt;0,BL9,1)+0.1*IF(L9&gt;0,P9,1)+0.07*IF(T9&gt;0,X9,1)+0.05*IF(AB9&gt;0,AF9,1)+0.05*IF(BP9&gt;0,BT9,1)+0.1</f>
        <v>1</v>
      </c>
      <c r="BX9" s="66" t="n">
        <f aca="false">MIN(mkt_cap,mkt_elast*MAX(0,BW9-1))</f>
        <v>0</v>
      </c>
      <c r="BY9" s="49" t="n">
        <f aca="false">I9+Q9+Y9+AG9</f>
        <v>0</v>
      </c>
      <c r="BZ9" s="49" t="n">
        <f aca="false">D9+L9+T9+AB9</f>
        <v>0</v>
      </c>
      <c r="CA9" s="68" t="n">
        <f aca="false">IF(BZ9&gt;0,BY9/BZ9,0)</f>
        <v>0</v>
      </c>
    </row>
    <row r="10" customFormat="false" ht="14.25" hidden="false" customHeight="true" outlineLevel="0" collapsed="false">
      <c r="A10" s="61" t="n">
        <v>1850</v>
      </c>
      <c r="B10" s="49" t="n">
        <f aca="false">Economy!P9</f>
        <v>317.800604146856</v>
      </c>
      <c r="C10" s="47" t="n">
        <v>0</v>
      </c>
      <c r="D10" s="65" t="n">
        <f aca="false">Japan!B10</f>
        <v>0</v>
      </c>
      <c r="E10" s="71" t="n">
        <v>0</v>
      </c>
      <c r="F10" s="49" t="n">
        <f aca="false">IF(C10&gt;0,D10*1000000/C10,0)</f>
        <v>0</v>
      </c>
      <c r="G10" s="67" t="n">
        <f aca="false">IF(AND(E10&gt;0,F9&gt;0,B10&gt;0),MIN(conv_cap,conv_beta*jp_uplift*E10*MAX(0,LN(B10/(F9*H9)))),0)</f>
        <v>0</v>
      </c>
      <c r="H10" s="68" t="n">
        <f aca="false">H9*(1+G10)</f>
        <v>1</v>
      </c>
      <c r="I10" s="49" t="n">
        <f aca="false">D10*H10</f>
        <v>0</v>
      </c>
      <c r="J10" s="70" t="n">
        <f aca="false">IF(C10&gt;0,I10*1000000/C10/Economy!Q10,0)</f>
        <v>0</v>
      </c>
      <c r="K10" s="65" t="n">
        <f aca="false">Gulf!B10</f>
        <v>0</v>
      </c>
      <c r="L10" s="49" t="n">
        <f aca="false">Gulf!B10*Gulf!C10*Economy!Q10/1000000</f>
        <v>0</v>
      </c>
      <c r="M10" s="71" t="n">
        <v>0</v>
      </c>
      <c r="N10" s="49" t="n">
        <f aca="false">IF(K10&gt;0,L10*1000000/K10,0)</f>
        <v>0</v>
      </c>
      <c r="O10" s="67" t="n">
        <f aca="false">IF(AND(M10&gt;0,N9&gt;0,B10&gt;0),MIN(conv_cap,conv_beta*1*M10*MAX(0,LN(B10/(N9*P9)))),0)</f>
        <v>0</v>
      </c>
      <c r="P10" s="68" t="n">
        <f aca="false">P9*(1+O10)</f>
        <v>1</v>
      </c>
      <c r="Q10" s="49" t="n">
        <f aca="false">L10*P10</f>
        <v>0</v>
      </c>
      <c r="R10" s="70" t="n">
        <f aca="false">IF(K10&gt;0,Q10*1000000/K10/Economy!Q10,0)</f>
        <v>0</v>
      </c>
      <c r="S10" s="65" t="n">
        <f aca="false">People!U10</f>
        <v>0</v>
      </c>
      <c r="T10" s="47" t="n">
        <v>0</v>
      </c>
      <c r="U10" s="71" t="n">
        <v>0</v>
      </c>
      <c r="V10" s="49" t="n">
        <f aca="false">IF(S10&gt;0,T10*1000000/S10,0)</f>
        <v>0</v>
      </c>
      <c r="W10" s="67" t="n">
        <f aca="false">IF(AND(U10&gt;0,V9&gt;0,B10&gt;0),MIN(conv_cap,conv_beta*1*U10*MAX(0,LN(B10/(V9*X9)))),0)</f>
        <v>0</v>
      </c>
      <c r="X10" s="68" t="n">
        <f aca="false">X9*(1+W10)</f>
        <v>1</v>
      </c>
      <c r="Y10" s="49" t="n">
        <f aca="false">T10*X10</f>
        <v>0</v>
      </c>
      <c r="Z10" s="70" t="n">
        <f aca="false">IF(S10&gt;0,Y10*1000000/S10/Economy!Q10,0)</f>
        <v>0</v>
      </c>
      <c r="AA10" s="47" t="n">
        <v>0</v>
      </c>
      <c r="AB10" s="47" t="n">
        <v>0</v>
      </c>
      <c r="AC10" s="71" t="n">
        <v>0</v>
      </c>
      <c r="AD10" s="49" t="n">
        <f aca="false">IF(AA10&gt;0,AB10*1000000/AA10,0)</f>
        <v>0</v>
      </c>
      <c r="AE10" s="67" t="n">
        <f aca="false">IF(AND(AC10&gt;0,AD9&gt;0,B10&gt;0),MIN(conv_cap,conv_beta*1*AC10*MAX(0,LN(B10/(AD9*AF9)))),0)</f>
        <v>0</v>
      </c>
      <c r="AF10" s="68" t="n">
        <f aca="false">AF9*(1+AE10)</f>
        <v>1</v>
      </c>
      <c r="AG10" s="49" t="n">
        <f aca="false">AB10*AF10</f>
        <v>0</v>
      </c>
      <c r="AH10" s="70" t="n">
        <f aca="false">IF(AA10&gt;0,AG10*1000000/AA10/Economy!Q10,0)</f>
        <v>0</v>
      </c>
      <c r="AI10" s="47" t="n">
        <v>0</v>
      </c>
      <c r="AJ10" s="47" t="n">
        <v>0</v>
      </c>
      <c r="AK10" s="71" t="n">
        <v>0</v>
      </c>
      <c r="AL10" s="49" t="n">
        <f aca="false">IF(AI10&gt;0,AJ10*1000000/AI10,0)</f>
        <v>0</v>
      </c>
      <c r="AM10" s="67" t="n">
        <f aca="false">IF(AND(AK10&gt;0,AL9&gt;0,B10&gt;0),MIN(conv_cap,conv_beta*1*AK10*MAX(0,LN(B10/(AL9*AN9)))),0)</f>
        <v>0</v>
      </c>
      <c r="AN10" s="68" t="n">
        <f aca="false">AN9*(1+AM10)</f>
        <v>1</v>
      </c>
      <c r="AO10" s="49" t="n">
        <f aca="false">AJ10*AN10</f>
        <v>0</v>
      </c>
      <c r="AP10" s="70" t="n">
        <f aca="false">IF(AI10&gt;0,AO10*1000000/AI10/Economy!Q10,0)</f>
        <v>0</v>
      </c>
      <c r="AQ10" s="47" t="n">
        <v>0</v>
      </c>
      <c r="AR10" s="47" t="n">
        <v>0</v>
      </c>
      <c r="AS10" s="71" t="n">
        <v>0</v>
      </c>
      <c r="AT10" s="49" t="n">
        <f aca="false">IF(AQ10&gt;0,AR10*1000000/AQ10,0)</f>
        <v>0</v>
      </c>
      <c r="AU10" s="67" t="n">
        <f aca="false">IF(AND(AS10&gt;0,AT9&gt;0,B10&gt;0),MIN(conv_cap,conv_beta*1*AS10*MAX(0,LN(B10/(AT9*AV9)))),0)</f>
        <v>0</v>
      </c>
      <c r="AV10" s="68" t="n">
        <f aca="false">AV9*(1+AU10)</f>
        <v>1</v>
      </c>
      <c r="AW10" s="49" t="n">
        <f aca="false">AR10*AV10</f>
        <v>0</v>
      </c>
      <c r="AX10" s="70" t="n">
        <f aca="false">IF(AQ10&gt;0,AW10*1000000/AQ10/Economy!Q10,0)</f>
        <v>0</v>
      </c>
      <c r="AY10" s="47" t="n">
        <v>0</v>
      </c>
      <c r="AZ10" s="47" t="n">
        <v>0</v>
      </c>
      <c r="BA10" s="71" t="n">
        <v>0</v>
      </c>
      <c r="BB10" s="49" t="n">
        <f aca="false">IF(AY10&gt;0,AZ10*1000000/AY10,0)</f>
        <v>0</v>
      </c>
      <c r="BC10" s="67" t="n">
        <f aca="false">IF(AND(BA10&gt;0,BB9&gt;0,B10&gt;0),MIN(conv_cap,conv_beta*1*BA10*MAX(0,LN(B10/(BB9*BD9)))),0)</f>
        <v>0</v>
      </c>
      <c r="BD10" s="68" t="n">
        <f aca="false">BD9*(1+BC10)</f>
        <v>1</v>
      </c>
      <c r="BE10" s="49" t="n">
        <f aca="false">AZ10*BD10</f>
        <v>0</v>
      </c>
      <c r="BF10" s="70" t="n">
        <f aca="false">IF(AY10&gt;0,BE10*1000000/AY10/Economy!Q10,0)</f>
        <v>0</v>
      </c>
      <c r="BG10" s="47" t="n">
        <v>0</v>
      </c>
      <c r="BH10" s="47" t="n">
        <v>0</v>
      </c>
      <c r="BI10" s="71" t="n">
        <v>0</v>
      </c>
      <c r="BJ10" s="49" t="n">
        <f aca="false">IF(BG10&gt;0,BH10*1000000/BG10,0)</f>
        <v>0</v>
      </c>
      <c r="BK10" s="67" t="n">
        <f aca="false">IF(AND(BI10&gt;0,BJ9&gt;0,B10&gt;0),MIN(conv_cap,conv_beta*1*BI10*MAX(0,LN(B10/(BJ9*BL9)))),0)</f>
        <v>0</v>
      </c>
      <c r="BL10" s="68" t="n">
        <f aca="false">BL9*(1+BK10)</f>
        <v>1</v>
      </c>
      <c r="BM10" s="49" t="n">
        <f aca="false">BH10*BL10</f>
        <v>0</v>
      </c>
      <c r="BN10" s="70" t="n">
        <f aca="false">IF(BG10&gt;0,BM10*1000000/BG10/Economy!Q10,0)</f>
        <v>0</v>
      </c>
      <c r="BO10" s="47" t="n">
        <v>0</v>
      </c>
      <c r="BP10" s="47" t="n">
        <v>0</v>
      </c>
      <c r="BQ10" s="71" t="n">
        <v>0</v>
      </c>
      <c r="BR10" s="49" t="n">
        <f aca="false">IF(BO10&gt;0,BP10*1000000/BO10,0)</f>
        <v>0</v>
      </c>
      <c r="BS10" s="67" t="n">
        <f aca="false">IF(AND(BQ10&gt;0,BR9&gt;0,B10&gt;0),MIN(conv_cap,conv_beta*1*BQ10*MAX(0,LN(B10/(BR9*BT9)))),0)</f>
        <v>0</v>
      </c>
      <c r="BT10" s="68" t="n">
        <f aca="false">BT9*(1+BS10)</f>
        <v>1</v>
      </c>
      <c r="BU10" s="49" t="n">
        <f aca="false">BP10*BT10</f>
        <v>0</v>
      </c>
      <c r="BV10" s="70" t="n">
        <f aca="false">IF(BO10&gt;0,BU10*1000000/BO10/Economy!Q10,0)</f>
        <v>0</v>
      </c>
      <c r="BW10" s="68" t="n">
        <f aca="false">0.25*IF(D10&gt;0,H10,1)+0.15*IF(AJ10&gt;0,AN10,1)+0.03*IF(AR10&gt;0,AV10,1)+0.08*IF(AZ10&gt;0,BD10,1)+0.12*IF(BH10&gt;0,BL10,1)+0.1*IF(L10&gt;0,P10,1)+0.07*IF(T10&gt;0,X10,1)+0.05*IF(AB10&gt;0,AF10,1)+0.05*IF(BP10&gt;0,BT10,1)+0.1</f>
        <v>1</v>
      </c>
      <c r="BX10" s="66" t="n">
        <f aca="false">MIN(mkt_cap,mkt_elast*MAX(0,BW10-1))</f>
        <v>0</v>
      </c>
      <c r="BY10" s="49" t="n">
        <f aca="false">I10+Q10+Y10+AG10</f>
        <v>0</v>
      </c>
      <c r="BZ10" s="49" t="n">
        <f aca="false">D10+L10+T10+AB10</f>
        <v>0</v>
      </c>
      <c r="CA10" s="68" t="n">
        <f aca="false">IF(BZ10&gt;0,BY10/BZ10,0)</f>
        <v>0</v>
      </c>
    </row>
    <row r="11" customFormat="false" ht="14.25" hidden="false" customHeight="true" outlineLevel="0" collapsed="false">
      <c r="A11" s="61" t="n">
        <v>1851</v>
      </c>
      <c r="B11" s="49" t="n">
        <f aca="false">Economy!P10</f>
        <v>284.202984311905</v>
      </c>
      <c r="C11" s="47" t="n">
        <v>0</v>
      </c>
      <c r="D11" s="65" t="n">
        <f aca="false">Japan!B11</f>
        <v>0</v>
      </c>
      <c r="E11" s="71" t="n">
        <v>0</v>
      </c>
      <c r="F11" s="49" t="n">
        <f aca="false">IF(C11&gt;0,D11*1000000/C11,0)</f>
        <v>0</v>
      </c>
      <c r="G11" s="67" t="n">
        <f aca="false">IF(AND(E11&gt;0,F10&gt;0,B11&gt;0),MIN(conv_cap,conv_beta*jp_uplift*E11*MAX(0,LN(B11/(F10*H10)))),0)</f>
        <v>0</v>
      </c>
      <c r="H11" s="68" t="n">
        <f aca="false">H10*(1+G11)</f>
        <v>1</v>
      </c>
      <c r="I11" s="49" t="n">
        <f aca="false">D11*H11</f>
        <v>0</v>
      </c>
      <c r="J11" s="70" t="n">
        <f aca="false">IF(C11&gt;0,I11*1000000/C11/Economy!Q11,0)</f>
        <v>0</v>
      </c>
      <c r="K11" s="65" t="n">
        <f aca="false">Gulf!B11</f>
        <v>0</v>
      </c>
      <c r="L11" s="49" t="n">
        <f aca="false">Gulf!B11*Gulf!C11*Economy!Q11/1000000</f>
        <v>0</v>
      </c>
      <c r="M11" s="71" t="n">
        <v>0</v>
      </c>
      <c r="N11" s="49" t="n">
        <f aca="false">IF(K11&gt;0,L11*1000000/K11,0)</f>
        <v>0</v>
      </c>
      <c r="O11" s="67" t="n">
        <f aca="false">IF(AND(M11&gt;0,N10&gt;0,B11&gt;0),MIN(conv_cap,conv_beta*1*M11*MAX(0,LN(B11/(N10*P10)))),0)</f>
        <v>0</v>
      </c>
      <c r="P11" s="68" t="n">
        <f aca="false">P10*(1+O11)</f>
        <v>1</v>
      </c>
      <c r="Q11" s="49" t="n">
        <f aca="false">L11*P11</f>
        <v>0</v>
      </c>
      <c r="R11" s="70" t="n">
        <f aca="false">IF(K11&gt;0,Q11*1000000/K11/Economy!Q11,0)</f>
        <v>0</v>
      </c>
      <c r="S11" s="65" t="n">
        <f aca="false">People!U11</f>
        <v>0</v>
      </c>
      <c r="T11" s="47" t="n">
        <v>0</v>
      </c>
      <c r="U11" s="71" t="n">
        <v>0</v>
      </c>
      <c r="V11" s="49" t="n">
        <f aca="false">IF(S11&gt;0,T11*1000000/S11,0)</f>
        <v>0</v>
      </c>
      <c r="W11" s="67" t="n">
        <f aca="false">IF(AND(U11&gt;0,V10&gt;0,B11&gt;0),MIN(conv_cap,conv_beta*1*U11*MAX(0,LN(B11/(V10*X10)))),0)</f>
        <v>0</v>
      </c>
      <c r="X11" s="68" t="n">
        <f aca="false">X10*(1+W11)</f>
        <v>1</v>
      </c>
      <c r="Y11" s="49" t="n">
        <f aca="false">T11*X11</f>
        <v>0</v>
      </c>
      <c r="Z11" s="70" t="n">
        <f aca="false">IF(S11&gt;0,Y11*1000000/S11/Economy!Q11,0)</f>
        <v>0</v>
      </c>
      <c r="AA11" s="47" t="n">
        <v>0</v>
      </c>
      <c r="AB11" s="47" t="n">
        <v>0</v>
      </c>
      <c r="AC11" s="71" t="n">
        <v>0</v>
      </c>
      <c r="AD11" s="49" t="n">
        <f aca="false">IF(AA11&gt;0,AB11*1000000/AA11,0)</f>
        <v>0</v>
      </c>
      <c r="AE11" s="67" t="n">
        <f aca="false">IF(AND(AC11&gt;0,AD10&gt;0,B11&gt;0),MIN(conv_cap,conv_beta*1*AC11*MAX(0,LN(B11/(AD10*AF10)))),0)</f>
        <v>0</v>
      </c>
      <c r="AF11" s="68" t="n">
        <f aca="false">AF10*(1+AE11)</f>
        <v>1</v>
      </c>
      <c r="AG11" s="49" t="n">
        <f aca="false">AB11*AF11</f>
        <v>0</v>
      </c>
      <c r="AH11" s="70" t="n">
        <f aca="false">IF(AA11&gt;0,AG11*1000000/AA11/Economy!Q11,0)</f>
        <v>0</v>
      </c>
      <c r="AI11" s="47" t="n">
        <v>0</v>
      </c>
      <c r="AJ11" s="47" t="n">
        <v>0</v>
      </c>
      <c r="AK11" s="71" t="n">
        <v>0</v>
      </c>
      <c r="AL11" s="49" t="n">
        <f aca="false">IF(AI11&gt;0,AJ11*1000000/AI11,0)</f>
        <v>0</v>
      </c>
      <c r="AM11" s="67" t="n">
        <f aca="false">IF(AND(AK11&gt;0,AL10&gt;0,B11&gt;0),MIN(conv_cap,conv_beta*1*AK11*MAX(0,LN(B11/(AL10*AN10)))),0)</f>
        <v>0</v>
      </c>
      <c r="AN11" s="68" t="n">
        <f aca="false">AN10*(1+AM11)</f>
        <v>1</v>
      </c>
      <c r="AO11" s="49" t="n">
        <f aca="false">AJ11*AN11</f>
        <v>0</v>
      </c>
      <c r="AP11" s="70" t="n">
        <f aca="false">IF(AI11&gt;0,AO11*1000000/AI11/Economy!Q11,0)</f>
        <v>0</v>
      </c>
      <c r="AQ11" s="47" t="n">
        <v>0</v>
      </c>
      <c r="AR11" s="47" t="n">
        <v>0</v>
      </c>
      <c r="AS11" s="71" t="n">
        <v>0</v>
      </c>
      <c r="AT11" s="49" t="n">
        <f aca="false">IF(AQ11&gt;0,AR11*1000000/AQ11,0)</f>
        <v>0</v>
      </c>
      <c r="AU11" s="67" t="n">
        <f aca="false">IF(AND(AS11&gt;0,AT10&gt;0,B11&gt;0),MIN(conv_cap,conv_beta*1*AS11*MAX(0,LN(B11/(AT10*AV10)))),0)</f>
        <v>0</v>
      </c>
      <c r="AV11" s="68" t="n">
        <f aca="false">AV10*(1+AU11)</f>
        <v>1</v>
      </c>
      <c r="AW11" s="49" t="n">
        <f aca="false">AR11*AV11</f>
        <v>0</v>
      </c>
      <c r="AX11" s="70" t="n">
        <f aca="false">IF(AQ11&gt;0,AW11*1000000/AQ11/Economy!Q11,0)</f>
        <v>0</v>
      </c>
      <c r="AY11" s="47" t="n">
        <v>0</v>
      </c>
      <c r="AZ11" s="47" t="n">
        <v>0</v>
      </c>
      <c r="BA11" s="71" t="n">
        <v>0</v>
      </c>
      <c r="BB11" s="49" t="n">
        <f aca="false">IF(AY11&gt;0,AZ11*1000000/AY11,0)</f>
        <v>0</v>
      </c>
      <c r="BC11" s="67" t="n">
        <f aca="false">IF(AND(BA11&gt;0,BB10&gt;0,B11&gt;0),MIN(conv_cap,conv_beta*1*BA11*MAX(0,LN(B11/(BB10*BD10)))),0)</f>
        <v>0</v>
      </c>
      <c r="BD11" s="68" t="n">
        <f aca="false">BD10*(1+BC11)</f>
        <v>1</v>
      </c>
      <c r="BE11" s="49" t="n">
        <f aca="false">AZ11*BD11</f>
        <v>0</v>
      </c>
      <c r="BF11" s="70" t="n">
        <f aca="false">IF(AY11&gt;0,BE11*1000000/AY11/Economy!Q11,0)</f>
        <v>0</v>
      </c>
      <c r="BG11" s="47" t="n">
        <v>0</v>
      </c>
      <c r="BH11" s="47" t="n">
        <v>0</v>
      </c>
      <c r="BI11" s="71" t="n">
        <v>0</v>
      </c>
      <c r="BJ11" s="49" t="n">
        <f aca="false">IF(BG11&gt;0,BH11*1000000/BG11,0)</f>
        <v>0</v>
      </c>
      <c r="BK11" s="67" t="n">
        <f aca="false">IF(AND(BI11&gt;0,BJ10&gt;0,B11&gt;0),MIN(conv_cap,conv_beta*1*BI11*MAX(0,LN(B11/(BJ10*BL10)))),0)</f>
        <v>0</v>
      </c>
      <c r="BL11" s="68" t="n">
        <f aca="false">BL10*(1+BK11)</f>
        <v>1</v>
      </c>
      <c r="BM11" s="49" t="n">
        <f aca="false">BH11*BL11</f>
        <v>0</v>
      </c>
      <c r="BN11" s="70" t="n">
        <f aca="false">IF(BG11&gt;0,BM11*1000000/BG11/Economy!Q11,0)</f>
        <v>0</v>
      </c>
      <c r="BO11" s="47" t="n">
        <v>0</v>
      </c>
      <c r="BP11" s="47" t="n">
        <v>0</v>
      </c>
      <c r="BQ11" s="71" t="n">
        <v>0</v>
      </c>
      <c r="BR11" s="49" t="n">
        <f aca="false">IF(BO11&gt;0,BP11*1000000/BO11,0)</f>
        <v>0</v>
      </c>
      <c r="BS11" s="67" t="n">
        <f aca="false">IF(AND(BQ11&gt;0,BR10&gt;0,B11&gt;0),MIN(conv_cap,conv_beta*1*BQ11*MAX(0,LN(B11/(BR10*BT10)))),0)</f>
        <v>0</v>
      </c>
      <c r="BT11" s="68" t="n">
        <f aca="false">BT10*(1+BS11)</f>
        <v>1</v>
      </c>
      <c r="BU11" s="49" t="n">
        <f aca="false">BP11*BT11</f>
        <v>0</v>
      </c>
      <c r="BV11" s="70" t="n">
        <f aca="false">IF(BO11&gt;0,BU11*1000000/BO11/Economy!Q11,0)</f>
        <v>0</v>
      </c>
      <c r="BW11" s="68" t="n">
        <f aca="false">0.25*IF(D11&gt;0,H11,1)+0.15*IF(AJ11&gt;0,AN11,1)+0.03*IF(AR11&gt;0,AV11,1)+0.08*IF(AZ11&gt;0,BD11,1)+0.12*IF(BH11&gt;0,BL11,1)+0.1*IF(L11&gt;0,P11,1)+0.07*IF(T11&gt;0,X11,1)+0.05*IF(AB11&gt;0,AF11,1)+0.05*IF(BP11&gt;0,BT11,1)+0.1</f>
        <v>1</v>
      </c>
      <c r="BX11" s="66" t="n">
        <f aca="false">MIN(mkt_cap,mkt_elast*MAX(0,BW11-1))</f>
        <v>0</v>
      </c>
      <c r="BY11" s="49" t="n">
        <f aca="false">I11+Q11+Y11+AG11</f>
        <v>0</v>
      </c>
      <c r="BZ11" s="49" t="n">
        <f aca="false">D11+L11+T11+AB11</f>
        <v>0</v>
      </c>
      <c r="CA11" s="68" t="n">
        <f aca="false">IF(BZ11&gt;0,BY11/BZ11,0)</f>
        <v>0</v>
      </c>
    </row>
    <row r="12" customFormat="false" ht="14.25" hidden="false" customHeight="true" outlineLevel="0" collapsed="false">
      <c r="A12" s="61" t="n">
        <v>1852</v>
      </c>
      <c r="B12" s="49" t="n">
        <f aca="false">Economy!P11</f>
        <v>322.817611141652</v>
      </c>
      <c r="C12" s="47" t="n">
        <v>0</v>
      </c>
      <c r="D12" s="65" t="n">
        <f aca="false">Japan!B12</f>
        <v>0</v>
      </c>
      <c r="E12" s="71" t="n">
        <v>0</v>
      </c>
      <c r="F12" s="49" t="n">
        <f aca="false">IF(C12&gt;0,D12*1000000/C12,0)</f>
        <v>0</v>
      </c>
      <c r="G12" s="67" t="n">
        <f aca="false">IF(AND(E12&gt;0,F11&gt;0,B12&gt;0),MIN(conv_cap,conv_beta*jp_uplift*E12*MAX(0,LN(B12/(F11*H11)))),0)</f>
        <v>0</v>
      </c>
      <c r="H12" s="68" t="n">
        <f aca="false">H11*(1+G12)</f>
        <v>1</v>
      </c>
      <c r="I12" s="49" t="n">
        <f aca="false">D12*H12</f>
        <v>0</v>
      </c>
      <c r="J12" s="70" t="n">
        <f aca="false">IF(C12&gt;0,I12*1000000/C12/Economy!Q12,0)</f>
        <v>0</v>
      </c>
      <c r="K12" s="65" t="n">
        <f aca="false">Gulf!B12</f>
        <v>0</v>
      </c>
      <c r="L12" s="49" t="n">
        <f aca="false">Gulf!B12*Gulf!C12*Economy!Q12/1000000</f>
        <v>0</v>
      </c>
      <c r="M12" s="71" t="n">
        <v>0</v>
      </c>
      <c r="N12" s="49" t="n">
        <f aca="false">IF(K12&gt;0,L12*1000000/K12,0)</f>
        <v>0</v>
      </c>
      <c r="O12" s="67" t="n">
        <f aca="false">IF(AND(M12&gt;0,N11&gt;0,B12&gt;0),MIN(conv_cap,conv_beta*1*M12*MAX(0,LN(B12/(N11*P11)))),0)</f>
        <v>0</v>
      </c>
      <c r="P12" s="68" t="n">
        <f aca="false">P11*(1+O12)</f>
        <v>1</v>
      </c>
      <c r="Q12" s="49" t="n">
        <f aca="false">L12*P12</f>
        <v>0</v>
      </c>
      <c r="R12" s="70" t="n">
        <f aca="false">IF(K12&gt;0,Q12*1000000/K12/Economy!Q12,0)</f>
        <v>0</v>
      </c>
      <c r="S12" s="65" t="n">
        <f aca="false">People!U12</f>
        <v>0</v>
      </c>
      <c r="T12" s="47" t="n">
        <v>0</v>
      </c>
      <c r="U12" s="71" t="n">
        <v>0</v>
      </c>
      <c r="V12" s="49" t="n">
        <f aca="false">IF(S12&gt;0,T12*1000000/S12,0)</f>
        <v>0</v>
      </c>
      <c r="W12" s="67" t="n">
        <f aca="false">IF(AND(U12&gt;0,V11&gt;0,B12&gt;0),MIN(conv_cap,conv_beta*1*U12*MAX(0,LN(B12/(V11*X11)))),0)</f>
        <v>0</v>
      </c>
      <c r="X12" s="68" t="n">
        <f aca="false">X11*(1+W12)</f>
        <v>1</v>
      </c>
      <c r="Y12" s="49" t="n">
        <f aca="false">T12*X12</f>
        <v>0</v>
      </c>
      <c r="Z12" s="70" t="n">
        <f aca="false">IF(S12&gt;0,Y12*1000000/S12/Economy!Q12,0)</f>
        <v>0</v>
      </c>
      <c r="AA12" s="47" t="n">
        <v>0</v>
      </c>
      <c r="AB12" s="47" t="n">
        <v>0</v>
      </c>
      <c r="AC12" s="71" t="n">
        <v>0</v>
      </c>
      <c r="AD12" s="49" t="n">
        <f aca="false">IF(AA12&gt;0,AB12*1000000/AA12,0)</f>
        <v>0</v>
      </c>
      <c r="AE12" s="67" t="n">
        <f aca="false">IF(AND(AC12&gt;0,AD11&gt;0,B12&gt;0),MIN(conv_cap,conv_beta*1*AC12*MAX(0,LN(B12/(AD11*AF11)))),0)</f>
        <v>0</v>
      </c>
      <c r="AF12" s="68" t="n">
        <f aca="false">AF11*(1+AE12)</f>
        <v>1</v>
      </c>
      <c r="AG12" s="49" t="n">
        <f aca="false">AB12*AF12</f>
        <v>0</v>
      </c>
      <c r="AH12" s="70" t="n">
        <f aca="false">IF(AA12&gt;0,AG12*1000000/AA12/Economy!Q12,0)</f>
        <v>0</v>
      </c>
      <c r="AI12" s="47" t="n">
        <v>0</v>
      </c>
      <c r="AJ12" s="47" t="n">
        <v>0</v>
      </c>
      <c r="AK12" s="71" t="n">
        <v>0</v>
      </c>
      <c r="AL12" s="49" t="n">
        <f aca="false">IF(AI12&gt;0,AJ12*1000000/AI12,0)</f>
        <v>0</v>
      </c>
      <c r="AM12" s="67" t="n">
        <f aca="false">IF(AND(AK12&gt;0,AL11&gt;0,B12&gt;0),MIN(conv_cap,conv_beta*1*AK12*MAX(0,LN(B12/(AL11*AN11)))),0)</f>
        <v>0</v>
      </c>
      <c r="AN12" s="68" t="n">
        <f aca="false">AN11*(1+AM12)</f>
        <v>1</v>
      </c>
      <c r="AO12" s="49" t="n">
        <f aca="false">AJ12*AN12</f>
        <v>0</v>
      </c>
      <c r="AP12" s="70" t="n">
        <f aca="false">IF(AI12&gt;0,AO12*1000000/AI12/Economy!Q12,0)</f>
        <v>0</v>
      </c>
      <c r="AQ12" s="47" t="n">
        <v>0</v>
      </c>
      <c r="AR12" s="47" t="n">
        <v>0</v>
      </c>
      <c r="AS12" s="71" t="n">
        <v>0</v>
      </c>
      <c r="AT12" s="49" t="n">
        <f aca="false">IF(AQ12&gt;0,AR12*1000000/AQ12,0)</f>
        <v>0</v>
      </c>
      <c r="AU12" s="67" t="n">
        <f aca="false">IF(AND(AS12&gt;0,AT11&gt;0,B12&gt;0),MIN(conv_cap,conv_beta*1*AS12*MAX(0,LN(B12/(AT11*AV11)))),0)</f>
        <v>0</v>
      </c>
      <c r="AV12" s="68" t="n">
        <f aca="false">AV11*(1+AU12)</f>
        <v>1</v>
      </c>
      <c r="AW12" s="49" t="n">
        <f aca="false">AR12*AV12</f>
        <v>0</v>
      </c>
      <c r="AX12" s="70" t="n">
        <f aca="false">IF(AQ12&gt;0,AW12*1000000/AQ12/Economy!Q12,0)</f>
        <v>0</v>
      </c>
      <c r="AY12" s="47" t="n">
        <v>0</v>
      </c>
      <c r="AZ12" s="47" t="n">
        <v>0</v>
      </c>
      <c r="BA12" s="71" t="n">
        <v>0</v>
      </c>
      <c r="BB12" s="49" t="n">
        <f aca="false">IF(AY12&gt;0,AZ12*1000000/AY12,0)</f>
        <v>0</v>
      </c>
      <c r="BC12" s="67" t="n">
        <f aca="false">IF(AND(BA12&gt;0,BB11&gt;0,B12&gt;0),MIN(conv_cap,conv_beta*1*BA12*MAX(0,LN(B12/(BB11*BD11)))),0)</f>
        <v>0</v>
      </c>
      <c r="BD12" s="68" t="n">
        <f aca="false">BD11*(1+BC12)</f>
        <v>1</v>
      </c>
      <c r="BE12" s="49" t="n">
        <f aca="false">AZ12*BD12</f>
        <v>0</v>
      </c>
      <c r="BF12" s="70" t="n">
        <f aca="false">IF(AY12&gt;0,BE12*1000000/AY12/Economy!Q12,0)</f>
        <v>0</v>
      </c>
      <c r="BG12" s="47" t="n">
        <v>0</v>
      </c>
      <c r="BH12" s="47" t="n">
        <v>0</v>
      </c>
      <c r="BI12" s="71" t="n">
        <v>0</v>
      </c>
      <c r="BJ12" s="49" t="n">
        <f aca="false">IF(BG12&gt;0,BH12*1000000/BG12,0)</f>
        <v>0</v>
      </c>
      <c r="BK12" s="67" t="n">
        <f aca="false">IF(AND(BI12&gt;0,BJ11&gt;0,B12&gt;0),MIN(conv_cap,conv_beta*1*BI12*MAX(0,LN(B12/(BJ11*BL11)))),0)</f>
        <v>0</v>
      </c>
      <c r="BL12" s="68" t="n">
        <f aca="false">BL11*(1+BK12)</f>
        <v>1</v>
      </c>
      <c r="BM12" s="49" t="n">
        <f aca="false">BH12*BL12</f>
        <v>0</v>
      </c>
      <c r="BN12" s="70" t="n">
        <f aca="false">IF(BG12&gt;0,BM12*1000000/BG12/Economy!Q12,0)</f>
        <v>0</v>
      </c>
      <c r="BO12" s="47" t="n">
        <v>0</v>
      </c>
      <c r="BP12" s="47" t="n">
        <v>0</v>
      </c>
      <c r="BQ12" s="71" t="n">
        <v>0</v>
      </c>
      <c r="BR12" s="49" t="n">
        <f aca="false">IF(BO12&gt;0,BP12*1000000/BO12,0)</f>
        <v>0</v>
      </c>
      <c r="BS12" s="67" t="n">
        <f aca="false">IF(AND(BQ12&gt;0,BR11&gt;0,B12&gt;0),MIN(conv_cap,conv_beta*1*BQ12*MAX(0,LN(B12/(BR11*BT11)))),0)</f>
        <v>0</v>
      </c>
      <c r="BT12" s="68" t="n">
        <f aca="false">BT11*(1+BS12)</f>
        <v>1</v>
      </c>
      <c r="BU12" s="49" t="n">
        <f aca="false">BP12*BT12</f>
        <v>0</v>
      </c>
      <c r="BV12" s="70" t="n">
        <f aca="false">IF(BO12&gt;0,BU12*1000000/BO12/Economy!Q12,0)</f>
        <v>0</v>
      </c>
      <c r="BW12" s="68" t="n">
        <f aca="false">0.25*IF(D12&gt;0,H12,1)+0.15*IF(AJ12&gt;0,AN12,1)+0.03*IF(AR12&gt;0,AV12,1)+0.08*IF(AZ12&gt;0,BD12,1)+0.12*IF(BH12&gt;0,BL12,1)+0.1*IF(L12&gt;0,P12,1)+0.07*IF(T12&gt;0,X12,1)+0.05*IF(AB12&gt;0,AF12,1)+0.05*IF(BP12&gt;0,BT12,1)+0.1</f>
        <v>1</v>
      </c>
      <c r="BX12" s="66" t="n">
        <f aca="false">MIN(mkt_cap,mkt_elast*MAX(0,BW12-1))</f>
        <v>0</v>
      </c>
      <c r="BY12" s="49" t="n">
        <f aca="false">I12+Q12+Y12+AG12</f>
        <v>0</v>
      </c>
      <c r="BZ12" s="49" t="n">
        <f aca="false">D12+L12+T12+AB12</f>
        <v>0</v>
      </c>
      <c r="CA12" s="68" t="n">
        <f aca="false">IF(BZ12&gt;0,BY12/BZ12,0)</f>
        <v>0</v>
      </c>
    </row>
    <row r="13" customFormat="false" ht="14.25" hidden="false" customHeight="true" outlineLevel="0" collapsed="false">
      <c r="A13" s="61" t="n">
        <v>1853</v>
      </c>
      <c r="B13" s="49" t="n">
        <f aca="false">Economy!P12</f>
        <v>310.292689848222</v>
      </c>
      <c r="C13" s="47" t="n">
        <v>0</v>
      </c>
      <c r="D13" s="65" t="n">
        <f aca="false">Japan!B13</f>
        <v>0</v>
      </c>
      <c r="E13" s="71" t="n">
        <v>0</v>
      </c>
      <c r="F13" s="49" t="n">
        <f aca="false">IF(C13&gt;0,D13*1000000/C13,0)</f>
        <v>0</v>
      </c>
      <c r="G13" s="67" t="n">
        <f aca="false">IF(AND(E13&gt;0,F12&gt;0,B13&gt;0),MIN(conv_cap,conv_beta*jp_uplift*E13*MAX(0,LN(B13/(F12*H12)))),0)</f>
        <v>0</v>
      </c>
      <c r="H13" s="68" t="n">
        <f aca="false">H12*(1+G13)</f>
        <v>1</v>
      </c>
      <c r="I13" s="49" t="n">
        <f aca="false">D13*H13</f>
        <v>0</v>
      </c>
      <c r="J13" s="70" t="n">
        <f aca="false">IF(C13&gt;0,I13*1000000/C13/Economy!Q13,0)</f>
        <v>0</v>
      </c>
      <c r="K13" s="65" t="n">
        <f aca="false">Gulf!B13</f>
        <v>0</v>
      </c>
      <c r="L13" s="49" t="n">
        <f aca="false">Gulf!B13*Gulf!C13*Economy!Q13/1000000</f>
        <v>0</v>
      </c>
      <c r="M13" s="71" t="n">
        <v>0</v>
      </c>
      <c r="N13" s="49" t="n">
        <f aca="false">IF(K13&gt;0,L13*1000000/K13,0)</f>
        <v>0</v>
      </c>
      <c r="O13" s="67" t="n">
        <f aca="false">IF(AND(M13&gt;0,N12&gt;0,B13&gt;0),MIN(conv_cap,conv_beta*1*M13*MAX(0,LN(B13/(N12*P12)))),0)</f>
        <v>0</v>
      </c>
      <c r="P13" s="68" t="n">
        <f aca="false">P12*(1+O13)</f>
        <v>1</v>
      </c>
      <c r="Q13" s="49" t="n">
        <f aca="false">L13*P13</f>
        <v>0</v>
      </c>
      <c r="R13" s="70" t="n">
        <f aca="false">IF(K13&gt;0,Q13*1000000/K13/Economy!Q13,0)</f>
        <v>0</v>
      </c>
      <c r="S13" s="65" t="n">
        <f aca="false">People!U13</f>
        <v>0</v>
      </c>
      <c r="T13" s="47" t="n">
        <v>0</v>
      </c>
      <c r="U13" s="71" t="n">
        <v>0</v>
      </c>
      <c r="V13" s="49" t="n">
        <f aca="false">IF(S13&gt;0,T13*1000000/S13,0)</f>
        <v>0</v>
      </c>
      <c r="W13" s="67" t="n">
        <f aca="false">IF(AND(U13&gt;0,V12&gt;0,B13&gt;0),MIN(conv_cap,conv_beta*1*U13*MAX(0,LN(B13/(V12*X12)))),0)</f>
        <v>0</v>
      </c>
      <c r="X13" s="68" t="n">
        <f aca="false">X12*(1+W13)</f>
        <v>1</v>
      </c>
      <c r="Y13" s="49" t="n">
        <f aca="false">T13*X13</f>
        <v>0</v>
      </c>
      <c r="Z13" s="70" t="n">
        <f aca="false">IF(S13&gt;0,Y13*1000000/S13/Economy!Q13,0)</f>
        <v>0</v>
      </c>
      <c r="AA13" s="47" t="n">
        <v>0</v>
      </c>
      <c r="AB13" s="47" t="n">
        <v>0</v>
      </c>
      <c r="AC13" s="71" t="n">
        <v>0</v>
      </c>
      <c r="AD13" s="49" t="n">
        <f aca="false">IF(AA13&gt;0,AB13*1000000/AA13,0)</f>
        <v>0</v>
      </c>
      <c r="AE13" s="67" t="n">
        <f aca="false">IF(AND(AC13&gt;0,AD12&gt;0,B13&gt;0),MIN(conv_cap,conv_beta*1*AC13*MAX(0,LN(B13/(AD12*AF12)))),0)</f>
        <v>0</v>
      </c>
      <c r="AF13" s="68" t="n">
        <f aca="false">AF12*(1+AE13)</f>
        <v>1</v>
      </c>
      <c r="AG13" s="49" t="n">
        <f aca="false">AB13*AF13</f>
        <v>0</v>
      </c>
      <c r="AH13" s="70" t="n">
        <f aca="false">IF(AA13&gt;0,AG13*1000000/AA13/Economy!Q13,0)</f>
        <v>0</v>
      </c>
      <c r="AI13" s="47" t="n">
        <v>0</v>
      </c>
      <c r="AJ13" s="47" t="n">
        <v>0</v>
      </c>
      <c r="AK13" s="71" t="n">
        <v>0</v>
      </c>
      <c r="AL13" s="49" t="n">
        <f aca="false">IF(AI13&gt;0,AJ13*1000000/AI13,0)</f>
        <v>0</v>
      </c>
      <c r="AM13" s="67" t="n">
        <f aca="false">IF(AND(AK13&gt;0,AL12&gt;0,B13&gt;0),MIN(conv_cap,conv_beta*1*AK13*MAX(0,LN(B13/(AL12*AN12)))),0)</f>
        <v>0</v>
      </c>
      <c r="AN13" s="68" t="n">
        <f aca="false">AN12*(1+AM13)</f>
        <v>1</v>
      </c>
      <c r="AO13" s="49" t="n">
        <f aca="false">AJ13*AN13</f>
        <v>0</v>
      </c>
      <c r="AP13" s="70" t="n">
        <f aca="false">IF(AI13&gt;0,AO13*1000000/AI13/Economy!Q13,0)</f>
        <v>0</v>
      </c>
      <c r="AQ13" s="47" t="n">
        <v>0</v>
      </c>
      <c r="AR13" s="47" t="n">
        <v>0</v>
      </c>
      <c r="AS13" s="71" t="n">
        <v>0</v>
      </c>
      <c r="AT13" s="49" t="n">
        <f aca="false">IF(AQ13&gt;0,AR13*1000000/AQ13,0)</f>
        <v>0</v>
      </c>
      <c r="AU13" s="67" t="n">
        <f aca="false">IF(AND(AS13&gt;0,AT12&gt;0,B13&gt;0),MIN(conv_cap,conv_beta*1*AS13*MAX(0,LN(B13/(AT12*AV12)))),0)</f>
        <v>0</v>
      </c>
      <c r="AV13" s="68" t="n">
        <f aca="false">AV12*(1+AU13)</f>
        <v>1</v>
      </c>
      <c r="AW13" s="49" t="n">
        <f aca="false">AR13*AV13</f>
        <v>0</v>
      </c>
      <c r="AX13" s="70" t="n">
        <f aca="false">IF(AQ13&gt;0,AW13*1000000/AQ13/Economy!Q13,0)</f>
        <v>0</v>
      </c>
      <c r="AY13" s="47" t="n">
        <v>0</v>
      </c>
      <c r="AZ13" s="47" t="n">
        <v>0</v>
      </c>
      <c r="BA13" s="71" t="n">
        <v>0</v>
      </c>
      <c r="BB13" s="49" t="n">
        <f aca="false">IF(AY13&gt;0,AZ13*1000000/AY13,0)</f>
        <v>0</v>
      </c>
      <c r="BC13" s="67" t="n">
        <f aca="false">IF(AND(BA13&gt;0,BB12&gt;0,B13&gt;0),MIN(conv_cap,conv_beta*1*BA13*MAX(0,LN(B13/(BB12*BD12)))),0)</f>
        <v>0</v>
      </c>
      <c r="BD13" s="68" t="n">
        <f aca="false">BD12*(1+BC13)</f>
        <v>1</v>
      </c>
      <c r="BE13" s="49" t="n">
        <f aca="false">AZ13*BD13</f>
        <v>0</v>
      </c>
      <c r="BF13" s="70" t="n">
        <f aca="false">IF(AY13&gt;0,BE13*1000000/AY13/Economy!Q13,0)</f>
        <v>0</v>
      </c>
      <c r="BG13" s="47" t="n">
        <v>0</v>
      </c>
      <c r="BH13" s="47" t="n">
        <v>0</v>
      </c>
      <c r="BI13" s="71" t="n">
        <v>0</v>
      </c>
      <c r="BJ13" s="49" t="n">
        <f aca="false">IF(BG13&gt;0,BH13*1000000/BG13,0)</f>
        <v>0</v>
      </c>
      <c r="BK13" s="67" t="n">
        <f aca="false">IF(AND(BI13&gt;0,BJ12&gt;0,B13&gt;0),MIN(conv_cap,conv_beta*1*BI13*MAX(0,LN(B13/(BJ12*BL12)))),0)</f>
        <v>0</v>
      </c>
      <c r="BL13" s="68" t="n">
        <f aca="false">BL12*(1+BK13)</f>
        <v>1</v>
      </c>
      <c r="BM13" s="49" t="n">
        <f aca="false">BH13*BL13</f>
        <v>0</v>
      </c>
      <c r="BN13" s="70" t="n">
        <f aca="false">IF(BG13&gt;0,BM13*1000000/BG13/Economy!Q13,0)</f>
        <v>0</v>
      </c>
      <c r="BO13" s="47" t="n">
        <v>0</v>
      </c>
      <c r="BP13" s="47" t="n">
        <v>0</v>
      </c>
      <c r="BQ13" s="71" t="n">
        <v>0</v>
      </c>
      <c r="BR13" s="49" t="n">
        <f aca="false">IF(BO13&gt;0,BP13*1000000/BO13,0)</f>
        <v>0</v>
      </c>
      <c r="BS13" s="67" t="n">
        <f aca="false">IF(AND(BQ13&gt;0,BR12&gt;0,B13&gt;0),MIN(conv_cap,conv_beta*1*BQ13*MAX(0,LN(B13/(BR12*BT12)))),0)</f>
        <v>0</v>
      </c>
      <c r="BT13" s="68" t="n">
        <f aca="false">BT12*(1+BS13)</f>
        <v>1</v>
      </c>
      <c r="BU13" s="49" t="n">
        <f aca="false">BP13*BT13</f>
        <v>0</v>
      </c>
      <c r="BV13" s="70" t="n">
        <f aca="false">IF(BO13&gt;0,BU13*1000000/BO13/Economy!Q13,0)</f>
        <v>0</v>
      </c>
      <c r="BW13" s="68" t="n">
        <f aca="false">0.25*IF(D13&gt;0,H13,1)+0.15*IF(AJ13&gt;0,AN13,1)+0.03*IF(AR13&gt;0,AV13,1)+0.08*IF(AZ13&gt;0,BD13,1)+0.12*IF(BH13&gt;0,BL13,1)+0.1*IF(L13&gt;0,P13,1)+0.07*IF(T13&gt;0,X13,1)+0.05*IF(AB13&gt;0,AF13,1)+0.05*IF(BP13&gt;0,BT13,1)+0.1</f>
        <v>1</v>
      </c>
      <c r="BX13" s="66" t="n">
        <f aca="false">MIN(mkt_cap,mkt_elast*MAX(0,BW13-1))</f>
        <v>0</v>
      </c>
      <c r="BY13" s="49" t="n">
        <f aca="false">I13+Q13+Y13+AG13</f>
        <v>0</v>
      </c>
      <c r="BZ13" s="49" t="n">
        <f aca="false">D13+L13+T13+AB13</f>
        <v>0</v>
      </c>
      <c r="CA13" s="68" t="n">
        <f aca="false">IF(BZ13&gt;0,BY13/BZ13,0)</f>
        <v>0</v>
      </c>
    </row>
    <row r="14" customFormat="false" ht="14.25" hidden="false" customHeight="true" outlineLevel="0" collapsed="false">
      <c r="A14" s="61" t="n">
        <v>1854</v>
      </c>
      <c r="B14" s="49" t="n">
        <f aca="false">Economy!P13</f>
        <v>278.799746599134</v>
      </c>
      <c r="C14" s="47" t="n">
        <v>0</v>
      </c>
      <c r="D14" s="65" t="n">
        <f aca="false">Japan!B14</f>
        <v>0</v>
      </c>
      <c r="E14" s="71" t="n">
        <v>0</v>
      </c>
      <c r="F14" s="49" t="n">
        <f aca="false">IF(C14&gt;0,D14*1000000/C14,0)</f>
        <v>0</v>
      </c>
      <c r="G14" s="67" t="n">
        <f aca="false">IF(AND(E14&gt;0,F13&gt;0,B14&gt;0),MIN(conv_cap,conv_beta*jp_uplift*E14*MAX(0,LN(B14/(F13*H13)))),0)</f>
        <v>0</v>
      </c>
      <c r="H14" s="68" t="n">
        <f aca="false">H13*(1+G14)</f>
        <v>1</v>
      </c>
      <c r="I14" s="49" t="n">
        <f aca="false">D14*H14</f>
        <v>0</v>
      </c>
      <c r="J14" s="70" t="n">
        <f aca="false">IF(C14&gt;0,I14*1000000/C14/Economy!Q14,0)</f>
        <v>0</v>
      </c>
      <c r="K14" s="65" t="n">
        <f aca="false">Gulf!B14</f>
        <v>0</v>
      </c>
      <c r="L14" s="49" t="n">
        <f aca="false">Gulf!B14*Gulf!C14*Economy!Q14/1000000</f>
        <v>0</v>
      </c>
      <c r="M14" s="71" t="n">
        <v>0</v>
      </c>
      <c r="N14" s="49" t="n">
        <f aca="false">IF(K14&gt;0,L14*1000000/K14,0)</f>
        <v>0</v>
      </c>
      <c r="O14" s="67" t="n">
        <f aca="false">IF(AND(M14&gt;0,N13&gt;0,B14&gt;0),MIN(conv_cap,conv_beta*1*M14*MAX(0,LN(B14/(N13*P13)))),0)</f>
        <v>0</v>
      </c>
      <c r="P14" s="68" t="n">
        <f aca="false">P13*(1+O14)</f>
        <v>1</v>
      </c>
      <c r="Q14" s="49" t="n">
        <f aca="false">L14*P14</f>
        <v>0</v>
      </c>
      <c r="R14" s="70" t="n">
        <f aca="false">IF(K14&gt;0,Q14*1000000/K14/Economy!Q14,0)</f>
        <v>0</v>
      </c>
      <c r="S14" s="65" t="n">
        <f aca="false">People!U14</f>
        <v>0</v>
      </c>
      <c r="T14" s="47" t="n">
        <v>0</v>
      </c>
      <c r="U14" s="71" t="n">
        <v>0</v>
      </c>
      <c r="V14" s="49" t="n">
        <f aca="false">IF(S14&gt;0,T14*1000000/S14,0)</f>
        <v>0</v>
      </c>
      <c r="W14" s="67" t="n">
        <f aca="false">IF(AND(U14&gt;0,V13&gt;0,B14&gt;0),MIN(conv_cap,conv_beta*1*U14*MAX(0,LN(B14/(V13*X13)))),0)</f>
        <v>0</v>
      </c>
      <c r="X14" s="68" t="n">
        <f aca="false">X13*(1+W14)</f>
        <v>1</v>
      </c>
      <c r="Y14" s="49" t="n">
        <f aca="false">T14*X14</f>
        <v>0</v>
      </c>
      <c r="Z14" s="70" t="n">
        <f aca="false">IF(S14&gt;0,Y14*1000000/S14/Economy!Q14,0)</f>
        <v>0</v>
      </c>
      <c r="AA14" s="47" t="n">
        <v>0</v>
      </c>
      <c r="AB14" s="47" t="n">
        <v>0</v>
      </c>
      <c r="AC14" s="71" t="n">
        <v>0</v>
      </c>
      <c r="AD14" s="49" t="n">
        <f aca="false">IF(AA14&gt;0,AB14*1000000/AA14,0)</f>
        <v>0</v>
      </c>
      <c r="AE14" s="67" t="n">
        <f aca="false">IF(AND(AC14&gt;0,AD13&gt;0,B14&gt;0),MIN(conv_cap,conv_beta*1*AC14*MAX(0,LN(B14/(AD13*AF13)))),0)</f>
        <v>0</v>
      </c>
      <c r="AF14" s="68" t="n">
        <f aca="false">AF13*(1+AE14)</f>
        <v>1</v>
      </c>
      <c r="AG14" s="49" t="n">
        <f aca="false">AB14*AF14</f>
        <v>0</v>
      </c>
      <c r="AH14" s="70" t="n">
        <f aca="false">IF(AA14&gt;0,AG14*1000000/AA14/Economy!Q14,0)</f>
        <v>0</v>
      </c>
      <c r="AI14" s="47" t="n">
        <v>0</v>
      </c>
      <c r="AJ14" s="47" t="n">
        <v>0</v>
      </c>
      <c r="AK14" s="71" t="n">
        <v>0</v>
      </c>
      <c r="AL14" s="49" t="n">
        <f aca="false">IF(AI14&gt;0,AJ14*1000000/AI14,0)</f>
        <v>0</v>
      </c>
      <c r="AM14" s="67" t="n">
        <f aca="false">IF(AND(AK14&gt;0,AL13&gt;0,B14&gt;0),MIN(conv_cap,conv_beta*1*AK14*MAX(0,LN(B14/(AL13*AN13)))),0)</f>
        <v>0</v>
      </c>
      <c r="AN14" s="68" t="n">
        <f aca="false">AN13*(1+AM14)</f>
        <v>1</v>
      </c>
      <c r="AO14" s="49" t="n">
        <f aca="false">AJ14*AN14</f>
        <v>0</v>
      </c>
      <c r="AP14" s="70" t="n">
        <f aca="false">IF(AI14&gt;0,AO14*1000000/AI14/Economy!Q14,0)</f>
        <v>0</v>
      </c>
      <c r="AQ14" s="47" t="n">
        <v>0</v>
      </c>
      <c r="AR14" s="47" t="n">
        <v>0</v>
      </c>
      <c r="AS14" s="71" t="n">
        <v>0</v>
      </c>
      <c r="AT14" s="49" t="n">
        <f aca="false">IF(AQ14&gt;0,AR14*1000000/AQ14,0)</f>
        <v>0</v>
      </c>
      <c r="AU14" s="67" t="n">
        <f aca="false">IF(AND(AS14&gt;0,AT13&gt;0,B14&gt;0),MIN(conv_cap,conv_beta*1*AS14*MAX(0,LN(B14/(AT13*AV13)))),0)</f>
        <v>0</v>
      </c>
      <c r="AV14" s="68" t="n">
        <f aca="false">AV13*(1+AU14)</f>
        <v>1</v>
      </c>
      <c r="AW14" s="49" t="n">
        <f aca="false">AR14*AV14</f>
        <v>0</v>
      </c>
      <c r="AX14" s="70" t="n">
        <f aca="false">IF(AQ14&gt;0,AW14*1000000/AQ14/Economy!Q14,0)</f>
        <v>0</v>
      </c>
      <c r="AY14" s="47" t="n">
        <v>0</v>
      </c>
      <c r="AZ14" s="47" t="n">
        <v>0</v>
      </c>
      <c r="BA14" s="71" t="n">
        <v>0</v>
      </c>
      <c r="BB14" s="49" t="n">
        <f aca="false">IF(AY14&gt;0,AZ14*1000000/AY14,0)</f>
        <v>0</v>
      </c>
      <c r="BC14" s="67" t="n">
        <f aca="false">IF(AND(BA14&gt;0,BB13&gt;0,B14&gt;0),MIN(conv_cap,conv_beta*1*BA14*MAX(0,LN(B14/(BB13*BD13)))),0)</f>
        <v>0</v>
      </c>
      <c r="BD14" s="68" t="n">
        <f aca="false">BD13*(1+BC14)</f>
        <v>1</v>
      </c>
      <c r="BE14" s="49" t="n">
        <f aca="false">AZ14*BD14</f>
        <v>0</v>
      </c>
      <c r="BF14" s="70" t="n">
        <f aca="false">IF(AY14&gt;0,BE14*1000000/AY14/Economy!Q14,0)</f>
        <v>0</v>
      </c>
      <c r="BG14" s="47" t="n">
        <v>0</v>
      </c>
      <c r="BH14" s="47" t="n">
        <v>0</v>
      </c>
      <c r="BI14" s="71" t="n">
        <v>0</v>
      </c>
      <c r="BJ14" s="49" t="n">
        <f aca="false">IF(BG14&gt;0,BH14*1000000/BG14,0)</f>
        <v>0</v>
      </c>
      <c r="BK14" s="67" t="n">
        <f aca="false">IF(AND(BI14&gt;0,BJ13&gt;0,B14&gt;0),MIN(conv_cap,conv_beta*1*BI14*MAX(0,LN(B14/(BJ13*BL13)))),0)</f>
        <v>0</v>
      </c>
      <c r="BL14" s="68" t="n">
        <f aca="false">BL13*(1+BK14)</f>
        <v>1</v>
      </c>
      <c r="BM14" s="49" t="n">
        <f aca="false">BH14*BL14</f>
        <v>0</v>
      </c>
      <c r="BN14" s="70" t="n">
        <f aca="false">IF(BG14&gt;0,BM14*1000000/BG14/Economy!Q14,0)</f>
        <v>0</v>
      </c>
      <c r="BO14" s="47" t="n">
        <v>0</v>
      </c>
      <c r="BP14" s="47" t="n">
        <v>0</v>
      </c>
      <c r="BQ14" s="71" t="n">
        <v>0</v>
      </c>
      <c r="BR14" s="49" t="n">
        <f aca="false">IF(BO14&gt;0,BP14*1000000/BO14,0)</f>
        <v>0</v>
      </c>
      <c r="BS14" s="67" t="n">
        <f aca="false">IF(AND(BQ14&gt;0,BR13&gt;0,B14&gt;0),MIN(conv_cap,conv_beta*1*BQ14*MAX(0,LN(B14/(BR13*BT13)))),0)</f>
        <v>0</v>
      </c>
      <c r="BT14" s="68" t="n">
        <f aca="false">BT13*(1+BS14)</f>
        <v>1</v>
      </c>
      <c r="BU14" s="49" t="n">
        <f aca="false">BP14*BT14</f>
        <v>0</v>
      </c>
      <c r="BV14" s="70" t="n">
        <f aca="false">IF(BO14&gt;0,BU14*1000000/BO14/Economy!Q14,0)</f>
        <v>0</v>
      </c>
      <c r="BW14" s="68" t="n">
        <f aca="false">0.25*IF(D14&gt;0,H14,1)+0.15*IF(AJ14&gt;0,AN14,1)+0.03*IF(AR14&gt;0,AV14,1)+0.08*IF(AZ14&gt;0,BD14,1)+0.12*IF(BH14&gt;0,BL14,1)+0.1*IF(L14&gt;0,P14,1)+0.07*IF(T14&gt;0,X14,1)+0.05*IF(AB14&gt;0,AF14,1)+0.05*IF(BP14&gt;0,BT14,1)+0.1</f>
        <v>1</v>
      </c>
      <c r="BX14" s="66" t="n">
        <f aca="false">MIN(mkt_cap,mkt_elast*MAX(0,BW14-1))</f>
        <v>0</v>
      </c>
      <c r="BY14" s="49" t="n">
        <f aca="false">I14+Q14+Y14+AG14</f>
        <v>0</v>
      </c>
      <c r="BZ14" s="49" t="n">
        <f aca="false">D14+L14+T14+AB14</f>
        <v>0</v>
      </c>
      <c r="CA14" s="68" t="n">
        <f aca="false">IF(BZ14&gt;0,BY14/BZ14,0)</f>
        <v>0</v>
      </c>
    </row>
    <row r="15" customFormat="false" ht="14.25" hidden="false" customHeight="true" outlineLevel="0" collapsed="false">
      <c r="A15" s="61" t="n">
        <v>1855</v>
      </c>
      <c r="B15" s="49" t="n">
        <f aca="false">Economy!P14</f>
        <v>275.329080097754</v>
      </c>
      <c r="C15" s="47" t="n">
        <v>0</v>
      </c>
      <c r="D15" s="65" t="n">
        <f aca="false">Japan!B15</f>
        <v>0</v>
      </c>
      <c r="E15" s="71" t="n">
        <v>0</v>
      </c>
      <c r="F15" s="49" t="n">
        <f aca="false">IF(C15&gt;0,D15*1000000/C15,0)</f>
        <v>0</v>
      </c>
      <c r="G15" s="67" t="n">
        <f aca="false">IF(AND(E15&gt;0,F14&gt;0,B15&gt;0),MIN(conv_cap,conv_beta*jp_uplift*E15*MAX(0,LN(B15/(F14*H14)))),0)</f>
        <v>0</v>
      </c>
      <c r="H15" s="68" t="n">
        <f aca="false">H14*(1+G15)</f>
        <v>1</v>
      </c>
      <c r="I15" s="49" t="n">
        <f aca="false">D15*H15</f>
        <v>0</v>
      </c>
      <c r="J15" s="70" t="n">
        <f aca="false">IF(C15&gt;0,I15*1000000/C15/Economy!Q15,0)</f>
        <v>0</v>
      </c>
      <c r="K15" s="65" t="n">
        <f aca="false">Gulf!B15</f>
        <v>0</v>
      </c>
      <c r="L15" s="49" t="n">
        <f aca="false">Gulf!B15*Gulf!C15*Economy!Q15/1000000</f>
        <v>0</v>
      </c>
      <c r="M15" s="71" t="n">
        <v>0</v>
      </c>
      <c r="N15" s="49" t="n">
        <f aca="false">IF(K15&gt;0,L15*1000000/K15,0)</f>
        <v>0</v>
      </c>
      <c r="O15" s="67" t="n">
        <f aca="false">IF(AND(M15&gt;0,N14&gt;0,B15&gt;0),MIN(conv_cap,conv_beta*1*M15*MAX(0,LN(B15/(N14*P14)))),0)</f>
        <v>0</v>
      </c>
      <c r="P15" s="68" t="n">
        <f aca="false">P14*(1+O15)</f>
        <v>1</v>
      </c>
      <c r="Q15" s="49" t="n">
        <f aca="false">L15*P15</f>
        <v>0</v>
      </c>
      <c r="R15" s="70" t="n">
        <f aca="false">IF(K15&gt;0,Q15*1000000/K15/Economy!Q15,0)</f>
        <v>0</v>
      </c>
      <c r="S15" s="65" t="n">
        <f aca="false">People!U15</f>
        <v>0</v>
      </c>
      <c r="T15" s="47" t="n">
        <v>0</v>
      </c>
      <c r="U15" s="71" t="n">
        <v>0</v>
      </c>
      <c r="V15" s="49" t="n">
        <f aca="false">IF(S15&gt;0,T15*1000000/S15,0)</f>
        <v>0</v>
      </c>
      <c r="W15" s="67" t="n">
        <f aca="false">IF(AND(U15&gt;0,V14&gt;0,B15&gt;0),MIN(conv_cap,conv_beta*1*U15*MAX(0,LN(B15/(V14*X14)))),0)</f>
        <v>0</v>
      </c>
      <c r="X15" s="68" t="n">
        <f aca="false">X14*(1+W15)</f>
        <v>1</v>
      </c>
      <c r="Y15" s="49" t="n">
        <f aca="false">T15*X15</f>
        <v>0</v>
      </c>
      <c r="Z15" s="70" t="n">
        <f aca="false">IF(S15&gt;0,Y15*1000000/S15/Economy!Q15,0)</f>
        <v>0</v>
      </c>
      <c r="AA15" s="47" t="n">
        <v>0</v>
      </c>
      <c r="AB15" s="47" t="n">
        <v>0</v>
      </c>
      <c r="AC15" s="71" t="n">
        <v>0</v>
      </c>
      <c r="AD15" s="49" t="n">
        <f aca="false">IF(AA15&gt;0,AB15*1000000/AA15,0)</f>
        <v>0</v>
      </c>
      <c r="AE15" s="67" t="n">
        <f aca="false">IF(AND(AC15&gt;0,AD14&gt;0,B15&gt;0),MIN(conv_cap,conv_beta*1*AC15*MAX(0,LN(B15/(AD14*AF14)))),0)</f>
        <v>0</v>
      </c>
      <c r="AF15" s="68" t="n">
        <f aca="false">AF14*(1+AE15)</f>
        <v>1</v>
      </c>
      <c r="AG15" s="49" t="n">
        <f aca="false">AB15*AF15</f>
        <v>0</v>
      </c>
      <c r="AH15" s="70" t="n">
        <f aca="false">IF(AA15&gt;0,AG15*1000000/AA15/Economy!Q15,0)</f>
        <v>0</v>
      </c>
      <c r="AI15" s="47" t="n">
        <v>0</v>
      </c>
      <c r="AJ15" s="47" t="n">
        <v>0</v>
      </c>
      <c r="AK15" s="71" t="n">
        <v>0</v>
      </c>
      <c r="AL15" s="49" t="n">
        <f aca="false">IF(AI15&gt;0,AJ15*1000000/AI15,0)</f>
        <v>0</v>
      </c>
      <c r="AM15" s="67" t="n">
        <f aca="false">IF(AND(AK15&gt;0,AL14&gt;0,B15&gt;0),MIN(conv_cap,conv_beta*1*AK15*MAX(0,LN(B15/(AL14*AN14)))),0)</f>
        <v>0</v>
      </c>
      <c r="AN15" s="68" t="n">
        <f aca="false">AN14*(1+AM15)</f>
        <v>1</v>
      </c>
      <c r="AO15" s="49" t="n">
        <f aca="false">AJ15*AN15</f>
        <v>0</v>
      </c>
      <c r="AP15" s="70" t="n">
        <f aca="false">IF(AI15&gt;0,AO15*1000000/AI15/Economy!Q15,0)</f>
        <v>0</v>
      </c>
      <c r="AQ15" s="47" t="n">
        <v>0</v>
      </c>
      <c r="AR15" s="47" t="n">
        <v>0</v>
      </c>
      <c r="AS15" s="71" t="n">
        <v>0</v>
      </c>
      <c r="AT15" s="49" t="n">
        <f aca="false">IF(AQ15&gt;0,AR15*1000000/AQ15,0)</f>
        <v>0</v>
      </c>
      <c r="AU15" s="67" t="n">
        <f aca="false">IF(AND(AS15&gt;0,AT14&gt;0,B15&gt;0),MIN(conv_cap,conv_beta*1*AS15*MAX(0,LN(B15/(AT14*AV14)))),0)</f>
        <v>0</v>
      </c>
      <c r="AV15" s="68" t="n">
        <f aca="false">AV14*(1+AU15)</f>
        <v>1</v>
      </c>
      <c r="AW15" s="49" t="n">
        <f aca="false">AR15*AV15</f>
        <v>0</v>
      </c>
      <c r="AX15" s="70" t="n">
        <f aca="false">IF(AQ15&gt;0,AW15*1000000/AQ15/Economy!Q15,0)</f>
        <v>0</v>
      </c>
      <c r="AY15" s="47" t="n">
        <v>0</v>
      </c>
      <c r="AZ15" s="47" t="n">
        <v>0</v>
      </c>
      <c r="BA15" s="71" t="n">
        <v>0</v>
      </c>
      <c r="BB15" s="49" t="n">
        <f aca="false">IF(AY15&gt;0,AZ15*1000000/AY15,0)</f>
        <v>0</v>
      </c>
      <c r="BC15" s="67" t="n">
        <f aca="false">IF(AND(BA15&gt;0,BB14&gt;0,B15&gt;0),MIN(conv_cap,conv_beta*1*BA15*MAX(0,LN(B15/(BB14*BD14)))),0)</f>
        <v>0</v>
      </c>
      <c r="BD15" s="68" t="n">
        <f aca="false">BD14*(1+BC15)</f>
        <v>1</v>
      </c>
      <c r="BE15" s="49" t="n">
        <f aca="false">AZ15*BD15</f>
        <v>0</v>
      </c>
      <c r="BF15" s="70" t="n">
        <f aca="false">IF(AY15&gt;0,BE15*1000000/AY15/Economy!Q15,0)</f>
        <v>0</v>
      </c>
      <c r="BG15" s="47" t="n">
        <v>0</v>
      </c>
      <c r="BH15" s="47" t="n">
        <v>0</v>
      </c>
      <c r="BI15" s="71" t="n">
        <v>0</v>
      </c>
      <c r="BJ15" s="49" t="n">
        <f aca="false">IF(BG15&gt;0,BH15*1000000/BG15,0)</f>
        <v>0</v>
      </c>
      <c r="BK15" s="67" t="n">
        <f aca="false">IF(AND(BI15&gt;0,BJ14&gt;0,B15&gt;0),MIN(conv_cap,conv_beta*1*BI15*MAX(0,LN(B15/(BJ14*BL14)))),0)</f>
        <v>0</v>
      </c>
      <c r="BL15" s="68" t="n">
        <f aca="false">BL14*(1+BK15)</f>
        <v>1</v>
      </c>
      <c r="BM15" s="49" t="n">
        <f aca="false">BH15*BL15</f>
        <v>0</v>
      </c>
      <c r="BN15" s="70" t="n">
        <f aca="false">IF(BG15&gt;0,BM15*1000000/BG15/Economy!Q15,0)</f>
        <v>0</v>
      </c>
      <c r="BO15" s="47" t="n">
        <v>0</v>
      </c>
      <c r="BP15" s="47" t="n">
        <v>0</v>
      </c>
      <c r="BQ15" s="71" t="n">
        <v>0</v>
      </c>
      <c r="BR15" s="49" t="n">
        <f aca="false">IF(BO15&gt;0,BP15*1000000/BO15,0)</f>
        <v>0</v>
      </c>
      <c r="BS15" s="67" t="n">
        <f aca="false">IF(AND(BQ15&gt;0,BR14&gt;0,B15&gt;0),MIN(conv_cap,conv_beta*1*BQ15*MAX(0,LN(B15/(BR14*BT14)))),0)</f>
        <v>0</v>
      </c>
      <c r="BT15" s="68" t="n">
        <f aca="false">BT14*(1+BS15)</f>
        <v>1</v>
      </c>
      <c r="BU15" s="49" t="n">
        <f aca="false">BP15*BT15</f>
        <v>0</v>
      </c>
      <c r="BV15" s="70" t="n">
        <f aca="false">IF(BO15&gt;0,BU15*1000000/BO15/Economy!Q15,0)</f>
        <v>0</v>
      </c>
      <c r="BW15" s="68" t="n">
        <f aca="false">0.25*IF(D15&gt;0,H15,1)+0.15*IF(AJ15&gt;0,AN15,1)+0.03*IF(AR15&gt;0,AV15,1)+0.08*IF(AZ15&gt;0,BD15,1)+0.12*IF(BH15&gt;0,BL15,1)+0.1*IF(L15&gt;0,P15,1)+0.07*IF(T15&gt;0,X15,1)+0.05*IF(AB15&gt;0,AF15,1)+0.05*IF(BP15&gt;0,BT15,1)+0.1</f>
        <v>1</v>
      </c>
      <c r="BX15" s="66" t="n">
        <f aca="false">MIN(mkt_cap,mkt_elast*MAX(0,BW15-1))</f>
        <v>0</v>
      </c>
      <c r="BY15" s="49" t="n">
        <f aca="false">I15+Q15+Y15+AG15</f>
        <v>0</v>
      </c>
      <c r="BZ15" s="49" t="n">
        <f aca="false">D15+L15+T15+AB15</f>
        <v>0</v>
      </c>
      <c r="CA15" s="68" t="n">
        <f aca="false">IF(BZ15&gt;0,BY15/BZ15,0)</f>
        <v>0</v>
      </c>
    </row>
    <row r="16" customFormat="false" ht="14.25" hidden="false" customHeight="true" outlineLevel="0" collapsed="false">
      <c r="A16" s="61" t="n">
        <v>1856</v>
      </c>
      <c r="B16" s="49" t="n">
        <f aca="false">Economy!P15</f>
        <v>257.770235474003</v>
      </c>
      <c r="C16" s="47" t="n">
        <v>0</v>
      </c>
      <c r="D16" s="65" t="n">
        <f aca="false">Japan!B16</f>
        <v>0</v>
      </c>
      <c r="E16" s="71" t="n">
        <v>0</v>
      </c>
      <c r="F16" s="49" t="n">
        <f aca="false">IF(C16&gt;0,D16*1000000/C16,0)</f>
        <v>0</v>
      </c>
      <c r="G16" s="67" t="n">
        <f aca="false">IF(AND(E16&gt;0,F15&gt;0,B16&gt;0),MIN(conv_cap,conv_beta*jp_uplift*E16*MAX(0,LN(B16/(F15*H15)))),0)</f>
        <v>0</v>
      </c>
      <c r="H16" s="68" t="n">
        <f aca="false">H15*(1+G16)</f>
        <v>1</v>
      </c>
      <c r="I16" s="49" t="n">
        <f aca="false">D16*H16</f>
        <v>0</v>
      </c>
      <c r="J16" s="70" t="n">
        <f aca="false">IF(C16&gt;0,I16*1000000/C16/Economy!Q16,0)</f>
        <v>0</v>
      </c>
      <c r="K16" s="65" t="n">
        <f aca="false">Gulf!B16</f>
        <v>0</v>
      </c>
      <c r="L16" s="49" t="n">
        <f aca="false">Gulf!B16*Gulf!C16*Economy!Q16/1000000</f>
        <v>0</v>
      </c>
      <c r="M16" s="71" t="n">
        <v>0</v>
      </c>
      <c r="N16" s="49" t="n">
        <f aca="false">IF(K16&gt;0,L16*1000000/K16,0)</f>
        <v>0</v>
      </c>
      <c r="O16" s="67" t="n">
        <f aca="false">IF(AND(M16&gt;0,N15&gt;0,B16&gt;0),MIN(conv_cap,conv_beta*1*M16*MAX(0,LN(B16/(N15*P15)))),0)</f>
        <v>0</v>
      </c>
      <c r="P16" s="68" t="n">
        <f aca="false">P15*(1+O16)</f>
        <v>1</v>
      </c>
      <c r="Q16" s="49" t="n">
        <f aca="false">L16*P16</f>
        <v>0</v>
      </c>
      <c r="R16" s="70" t="n">
        <f aca="false">IF(K16&gt;0,Q16*1000000/K16/Economy!Q16,0)</f>
        <v>0</v>
      </c>
      <c r="S16" s="65" t="n">
        <f aca="false">People!U16</f>
        <v>0</v>
      </c>
      <c r="T16" s="47" t="n">
        <v>0</v>
      </c>
      <c r="U16" s="71" t="n">
        <v>0</v>
      </c>
      <c r="V16" s="49" t="n">
        <f aca="false">IF(S16&gt;0,T16*1000000/S16,0)</f>
        <v>0</v>
      </c>
      <c r="W16" s="67" t="n">
        <f aca="false">IF(AND(U16&gt;0,V15&gt;0,B16&gt;0),MIN(conv_cap,conv_beta*1*U16*MAX(0,LN(B16/(V15*X15)))),0)</f>
        <v>0</v>
      </c>
      <c r="X16" s="68" t="n">
        <f aca="false">X15*(1+W16)</f>
        <v>1</v>
      </c>
      <c r="Y16" s="49" t="n">
        <f aca="false">T16*X16</f>
        <v>0</v>
      </c>
      <c r="Z16" s="70" t="n">
        <f aca="false">IF(S16&gt;0,Y16*1000000/S16/Economy!Q16,0)</f>
        <v>0</v>
      </c>
      <c r="AA16" s="47" t="n">
        <v>0</v>
      </c>
      <c r="AB16" s="47" t="n">
        <v>0</v>
      </c>
      <c r="AC16" s="71" t="n">
        <v>0</v>
      </c>
      <c r="AD16" s="49" t="n">
        <f aca="false">IF(AA16&gt;0,AB16*1000000/AA16,0)</f>
        <v>0</v>
      </c>
      <c r="AE16" s="67" t="n">
        <f aca="false">IF(AND(AC16&gt;0,AD15&gt;0,B16&gt;0),MIN(conv_cap,conv_beta*1*AC16*MAX(0,LN(B16/(AD15*AF15)))),0)</f>
        <v>0</v>
      </c>
      <c r="AF16" s="68" t="n">
        <f aca="false">AF15*(1+AE16)</f>
        <v>1</v>
      </c>
      <c r="AG16" s="49" t="n">
        <f aca="false">AB16*AF16</f>
        <v>0</v>
      </c>
      <c r="AH16" s="70" t="n">
        <f aca="false">IF(AA16&gt;0,AG16*1000000/AA16/Economy!Q16,0)</f>
        <v>0</v>
      </c>
      <c r="AI16" s="47" t="n">
        <v>0</v>
      </c>
      <c r="AJ16" s="47" t="n">
        <v>0</v>
      </c>
      <c r="AK16" s="71" t="n">
        <v>0</v>
      </c>
      <c r="AL16" s="49" t="n">
        <f aca="false">IF(AI16&gt;0,AJ16*1000000/AI16,0)</f>
        <v>0</v>
      </c>
      <c r="AM16" s="67" t="n">
        <f aca="false">IF(AND(AK16&gt;0,AL15&gt;0,B16&gt;0),MIN(conv_cap,conv_beta*1*AK16*MAX(0,LN(B16/(AL15*AN15)))),0)</f>
        <v>0</v>
      </c>
      <c r="AN16" s="68" t="n">
        <f aca="false">AN15*(1+AM16)</f>
        <v>1</v>
      </c>
      <c r="AO16" s="49" t="n">
        <f aca="false">AJ16*AN16</f>
        <v>0</v>
      </c>
      <c r="AP16" s="70" t="n">
        <f aca="false">IF(AI16&gt;0,AO16*1000000/AI16/Economy!Q16,0)</f>
        <v>0</v>
      </c>
      <c r="AQ16" s="47" t="n">
        <v>0</v>
      </c>
      <c r="AR16" s="47" t="n">
        <v>0</v>
      </c>
      <c r="AS16" s="71" t="n">
        <v>0</v>
      </c>
      <c r="AT16" s="49" t="n">
        <f aca="false">IF(AQ16&gt;0,AR16*1000000/AQ16,0)</f>
        <v>0</v>
      </c>
      <c r="AU16" s="67" t="n">
        <f aca="false">IF(AND(AS16&gt;0,AT15&gt;0,B16&gt;0),MIN(conv_cap,conv_beta*1*AS16*MAX(0,LN(B16/(AT15*AV15)))),0)</f>
        <v>0</v>
      </c>
      <c r="AV16" s="68" t="n">
        <f aca="false">AV15*(1+AU16)</f>
        <v>1</v>
      </c>
      <c r="AW16" s="49" t="n">
        <f aca="false">AR16*AV16</f>
        <v>0</v>
      </c>
      <c r="AX16" s="70" t="n">
        <f aca="false">IF(AQ16&gt;0,AW16*1000000/AQ16/Economy!Q16,0)</f>
        <v>0</v>
      </c>
      <c r="AY16" s="47" t="n">
        <v>0</v>
      </c>
      <c r="AZ16" s="47" t="n">
        <v>0</v>
      </c>
      <c r="BA16" s="71" t="n">
        <v>0</v>
      </c>
      <c r="BB16" s="49" t="n">
        <f aca="false">IF(AY16&gt;0,AZ16*1000000/AY16,0)</f>
        <v>0</v>
      </c>
      <c r="BC16" s="67" t="n">
        <f aca="false">IF(AND(BA16&gt;0,BB15&gt;0,B16&gt;0),MIN(conv_cap,conv_beta*1*BA16*MAX(0,LN(B16/(BB15*BD15)))),0)</f>
        <v>0</v>
      </c>
      <c r="BD16" s="68" t="n">
        <f aca="false">BD15*(1+BC16)</f>
        <v>1</v>
      </c>
      <c r="BE16" s="49" t="n">
        <f aca="false">AZ16*BD16</f>
        <v>0</v>
      </c>
      <c r="BF16" s="70" t="n">
        <f aca="false">IF(AY16&gt;0,BE16*1000000/AY16/Economy!Q16,0)</f>
        <v>0</v>
      </c>
      <c r="BG16" s="47" t="n">
        <v>0</v>
      </c>
      <c r="BH16" s="47" t="n">
        <v>0</v>
      </c>
      <c r="BI16" s="71" t="n">
        <v>0</v>
      </c>
      <c r="BJ16" s="49" t="n">
        <f aca="false">IF(BG16&gt;0,BH16*1000000/BG16,0)</f>
        <v>0</v>
      </c>
      <c r="BK16" s="67" t="n">
        <f aca="false">IF(AND(BI16&gt;0,BJ15&gt;0,B16&gt;0),MIN(conv_cap,conv_beta*1*BI16*MAX(0,LN(B16/(BJ15*BL15)))),0)</f>
        <v>0</v>
      </c>
      <c r="BL16" s="68" t="n">
        <f aca="false">BL15*(1+BK16)</f>
        <v>1</v>
      </c>
      <c r="BM16" s="49" t="n">
        <f aca="false">BH16*BL16</f>
        <v>0</v>
      </c>
      <c r="BN16" s="70" t="n">
        <f aca="false">IF(BG16&gt;0,BM16*1000000/BG16/Economy!Q16,0)</f>
        <v>0</v>
      </c>
      <c r="BO16" s="47" t="n">
        <v>0</v>
      </c>
      <c r="BP16" s="47" t="n">
        <v>0</v>
      </c>
      <c r="BQ16" s="71" t="n">
        <v>0</v>
      </c>
      <c r="BR16" s="49" t="n">
        <f aca="false">IF(BO16&gt;0,BP16*1000000/BO16,0)</f>
        <v>0</v>
      </c>
      <c r="BS16" s="67" t="n">
        <f aca="false">IF(AND(BQ16&gt;0,BR15&gt;0,B16&gt;0),MIN(conv_cap,conv_beta*1*BQ16*MAX(0,LN(B16/(BR15*BT15)))),0)</f>
        <v>0</v>
      </c>
      <c r="BT16" s="68" t="n">
        <f aca="false">BT15*(1+BS16)</f>
        <v>1</v>
      </c>
      <c r="BU16" s="49" t="n">
        <f aca="false">BP16*BT16</f>
        <v>0</v>
      </c>
      <c r="BV16" s="70" t="n">
        <f aca="false">IF(BO16&gt;0,BU16*1000000/BO16/Economy!Q16,0)</f>
        <v>0</v>
      </c>
      <c r="BW16" s="68" t="n">
        <f aca="false">0.25*IF(D16&gt;0,H16,1)+0.15*IF(AJ16&gt;0,AN16,1)+0.03*IF(AR16&gt;0,AV16,1)+0.08*IF(AZ16&gt;0,BD16,1)+0.12*IF(BH16&gt;0,BL16,1)+0.1*IF(L16&gt;0,P16,1)+0.07*IF(T16&gt;0,X16,1)+0.05*IF(AB16&gt;0,AF16,1)+0.05*IF(BP16&gt;0,BT16,1)+0.1</f>
        <v>1</v>
      </c>
      <c r="BX16" s="66" t="n">
        <f aca="false">MIN(mkt_cap,mkt_elast*MAX(0,BW16-1))</f>
        <v>0</v>
      </c>
      <c r="BY16" s="49" t="n">
        <f aca="false">I16+Q16+Y16+AG16</f>
        <v>0</v>
      </c>
      <c r="BZ16" s="49" t="n">
        <f aca="false">D16+L16+T16+AB16</f>
        <v>0</v>
      </c>
      <c r="CA16" s="68" t="n">
        <f aca="false">IF(BZ16&gt;0,BY16/BZ16,0)</f>
        <v>0</v>
      </c>
    </row>
    <row r="17" customFormat="false" ht="14.25" hidden="false" customHeight="true" outlineLevel="0" collapsed="false">
      <c r="A17" s="61" t="n">
        <v>1857</v>
      </c>
      <c r="B17" s="49" t="n">
        <f aca="false">Economy!P16</f>
        <v>253.948333707342</v>
      </c>
      <c r="C17" s="47" t="n">
        <v>0</v>
      </c>
      <c r="D17" s="65" t="n">
        <f aca="false">Japan!B17</f>
        <v>0</v>
      </c>
      <c r="E17" s="71" t="n">
        <v>0</v>
      </c>
      <c r="F17" s="49" t="n">
        <f aca="false">IF(C17&gt;0,D17*1000000/C17,0)</f>
        <v>0</v>
      </c>
      <c r="G17" s="67" t="n">
        <f aca="false">IF(AND(E17&gt;0,F16&gt;0,B17&gt;0),MIN(conv_cap,conv_beta*jp_uplift*E17*MAX(0,LN(B17/(F16*H16)))),0)</f>
        <v>0</v>
      </c>
      <c r="H17" s="68" t="n">
        <f aca="false">H16*(1+G17)</f>
        <v>1</v>
      </c>
      <c r="I17" s="49" t="n">
        <f aca="false">D17*H17</f>
        <v>0</v>
      </c>
      <c r="J17" s="70" t="n">
        <f aca="false">IF(C17&gt;0,I17*1000000/C17/Economy!Q17,0)</f>
        <v>0</v>
      </c>
      <c r="K17" s="65" t="n">
        <f aca="false">Gulf!B17</f>
        <v>0</v>
      </c>
      <c r="L17" s="49" t="n">
        <f aca="false">Gulf!B17*Gulf!C17*Economy!Q17/1000000</f>
        <v>0</v>
      </c>
      <c r="M17" s="71" t="n">
        <v>0</v>
      </c>
      <c r="N17" s="49" t="n">
        <f aca="false">IF(K17&gt;0,L17*1000000/K17,0)</f>
        <v>0</v>
      </c>
      <c r="O17" s="67" t="n">
        <f aca="false">IF(AND(M17&gt;0,N16&gt;0,B17&gt;0),MIN(conv_cap,conv_beta*1*M17*MAX(0,LN(B17/(N16*P16)))),0)</f>
        <v>0</v>
      </c>
      <c r="P17" s="68" t="n">
        <f aca="false">P16*(1+O17)</f>
        <v>1</v>
      </c>
      <c r="Q17" s="49" t="n">
        <f aca="false">L17*P17</f>
        <v>0</v>
      </c>
      <c r="R17" s="70" t="n">
        <f aca="false">IF(K17&gt;0,Q17*1000000/K17/Economy!Q17,0)</f>
        <v>0</v>
      </c>
      <c r="S17" s="65" t="n">
        <f aca="false">People!U17</f>
        <v>0</v>
      </c>
      <c r="T17" s="47" t="n">
        <v>0</v>
      </c>
      <c r="U17" s="71" t="n">
        <v>0</v>
      </c>
      <c r="V17" s="49" t="n">
        <f aca="false">IF(S17&gt;0,T17*1000000/S17,0)</f>
        <v>0</v>
      </c>
      <c r="W17" s="67" t="n">
        <f aca="false">IF(AND(U17&gt;0,V16&gt;0,B17&gt;0),MIN(conv_cap,conv_beta*1*U17*MAX(0,LN(B17/(V16*X16)))),0)</f>
        <v>0</v>
      </c>
      <c r="X17" s="68" t="n">
        <f aca="false">X16*(1+W17)</f>
        <v>1</v>
      </c>
      <c r="Y17" s="49" t="n">
        <f aca="false">T17*X17</f>
        <v>0</v>
      </c>
      <c r="Z17" s="70" t="n">
        <f aca="false">IF(S17&gt;0,Y17*1000000/S17/Economy!Q17,0)</f>
        <v>0</v>
      </c>
      <c r="AA17" s="47" t="n">
        <v>0</v>
      </c>
      <c r="AB17" s="47" t="n">
        <v>0</v>
      </c>
      <c r="AC17" s="71" t="n">
        <v>0</v>
      </c>
      <c r="AD17" s="49" t="n">
        <f aca="false">IF(AA17&gt;0,AB17*1000000/AA17,0)</f>
        <v>0</v>
      </c>
      <c r="AE17" s="67" t="n">
        <f aca="false">IF(AND(AC17&gt;0,AD16&gt;0,B17&gt;0),MIN(conv_cap,conv_beta*1*AC17*MAX(0,LN(B17/(AD16*AF16)))),0)</f>
        <v>0</v>
      </c>
      <c r="AF17" s="68" t="n">
        <f aca="false">AF16*(1+AE17)</f>
        <v>1</v>
      </c>
      <c r="AG17" s="49" t="n">
        <f aca="false">AB17*AF17</f>
        <v>0</v>
      </c>
      <c r="AH17" s="70" t="n">
        <f aca="false">IF(AA17&gt;0,AG17*1000000/AA17/Economy!Q17,0)</f>
        <v>0</v>
      </c>
      <c r="AI17" s="47" t="n">
        <v>0</v>
      </c>
      <c r="AJ17" s="47" t="n">
        <v>0</v>
      </c>
      <c r="AK17" s="71" t="n">
        <v>0</v>
      </c>
      <c r="AL17" s="49" t="n">
        <f aca="false">IF(AI17&gt;0,AJ17*1000000/AI17,0)</f>
        <v>0</v>
      </c>
      <c r="AM17" s="67" t="n">
        <f aca="false">IF(AND(AK17&gt;0,AL16&gt;0,B17&gt;0),MIN(conv_cap,conv_beta*1*AK17*MAX(0,LN(B17/(AL16*AN16)))),0)</f>
        <v>0</v>
      </c>
      <c r="AN17" s="68" t="n">
        <f aca="false">AN16*(1+AM17)</f>
        <v>1</v>
      </c>
      <c r="AO17" s="49" t="n">
        <f aca="false">AJ17*AN17</f>
        <v>0</v>
      </c>
      <c r="AP17" s="70" t="n">
        <f aca="false">IF(AI17&gt;0,AO17*1000000/AI17/Economy!Q17,0)</f>
        <v>0</v>
      </c>
      <c r="AQ17" s="47" t="n">
        <v>0</v>
      </c>
      <c r="AR17" s="47" t="n">
        <v>0</v>
      </c>
      <c r="AS17" s="71" t="n">
        <v>0</v>
      </c>
      <c r="AT17" s="49" t="n">
        <f aca="false">IF(AQ17&gt;0,AR17*1000000/AQ17,0)</f>
        <v>0</v>
      </c>
      <c r="AU17" s="67" t="n">
        <f aca="false">IF(AND(AS17&gt;0,AT16&gt;0,B17&gt;0),MIN(conv_cap,conv_beta*1*AS17*MAX(0,LN(B17/(AT16*AV16)))),0)</f>
        <v>0</v>
      </c>
      <c r="AV17" s="68" t="n">
        <f aca="false">AV16*(1+AU17)</f>
        <v>1</v>
      </c>
      <c r="AW17" s="49" t="n">
        <f aca="false">AR17*AV17</f>
        <v>0</v>
      </c>
      <c r="AX17" s="70" t="n">
        <f aca="false">IF(AQ17&gt;0,AW17*1000000/AQ17/Economy!Q17,0)</f>
        <v>0</v>
      </c>
      <c r="AY17" s="47" t="n">
        <v>0</v>
      </c>
      <c r="AZ17" s="47" t="n">
        <v>0</v>
      </c>
      <c r="BA17" s="71" t="n">
        <v>0</v>
      </c>
      <c r="BB17" s="49" t="n">
        <f aca="false">IF(AY17&gt;0,AZ17*1000000/AY17,0)</f>
        <v>0</v>
      </c>
      <c r="BC17" s="67" t="n">
        <f aca="false">IF(AND(BA17&gt;0,BB16&gt;0,B17&gt;0),MIN(conv_cap,conv_beta*1*BA17*MAX(0,LN(B17/(BB16*BD16)))),0)</f>
        <v>0</v>
      </c>
      <c r="BD17" s="68" t="n">
        <f aca="false">BD16*(1+BC17)</f>
        <v>1</v>
      </c>
      <c r="BE17" s="49" t="n">
        <f aca="false">AZ17*BD17</f>
        <v>0</v>
      </c>
      <c r="BF17" s="70" t="n">
        <f aca="false">IF(AY17&gt;0,BE17*1000000/AY17/Economy!Q17,0)</f>
        <v>0</v>
      </c>
      <c r="BG17" s="47" t="n">
        <v>0</v>
      </c>
      <c r="BH17" s="47" t="n">
        <v>0</v>
      </c>
      <c r="BI17" s="71" t="n">
        <v>0</v>
      </c>
      <c r="BJ17" s="49" t="n">
        <f aca="false">IF(BG17&gt;0,BH17*1000000/BG17,0)</f>
        <v>0</v>
      </c>
      <c r="BK17" s="67" t="n">
        <f aca="false">IF(AND(BI17&gt;0,BJ16&gt;0,B17&gt;0),MIN(conv_cap,conv_beta*1*BI17*MAX(0,LN(B17/(BJ16*BL16)))),0)</f>
        <v>0</v>
      </c>
      <c r="BL17" s="68" t="n">
        <f aca="false">BL16*(1+BK17)</f>
        <v>1</v>
      </c>
      <c r="BM17" s="49" t="n">
        <f aca="false">BH17*BL17</f>
        <v>0</v>
      </c>
      <c r="BN17" s="70" t="n">
        <f aca="false">IF(BG17&gt;0,BM17*1000000/BG17/Economy!Q17,0)</f>
        <v>0</v>
      </c>
      <c r="BO17" s="47" t="n">
        <v>0</v>
      </c>
      <c r="BP17" s="47" t="n">
        <v>0</v>
      </c>
      <c r="BQ17" s="71" t="n">
        <v>0</v>
      </c>
      <c r="BR17" s="49" t="n">
        <f aca="false">IF(BO17&gt;0,BP17*1000000/BO17,0)</f>
        <v>0</v>
      </c>
      <c r="BS17" s="67" t="n">
        <f aca="false">IF(AND(BQ17&gt;0,BR16&gt;0,B17&gt;0),MIN(conv_cap,conv_beta*1*BQ17*MAX(0,LN(B17/(BR16*BT16)))),0)</f>
        <v>0</v>
      </c>
      <c r="BT17" s="68" t="n">
        <f aca="false">BT16*(1+BS17)</f>
        <v>1</v>
      </c>
      <c r="BU17" s="49" t="n">
        <f aca="false">BP17*BT17</f>
        <v>0</v>
      </c>
      <c r="BV17" s="70" t="n">
        <f aca="false">IF(BO17&gt;0,BU17*1000000/BO17/Economy!Q17,0)</f>
        <v>0</v>
      </c>
      <c r="BW17" s="68" t="n">
        <f aca="false">0.25*IF(D17&gt;0,H17,1)+0.15*IF(AJ17&gt;0,AN17,1)+0.03*IF(AR17&gt;0,AV17,1)+0.08*IF(AZ17&gt;0,BD17,1)+0.12*IF(BH17&gt;0,BL17,1)+0.1*IF(L17&gt;0,P17,1)+0.07*IF(T17&gt;0,X17,1)+0.05*IF(AB17&gt;0,AF17,1)+0.05*IF(BP17&gt;0,BT17,1)+0.1</f>
        <v>1</v>
      </c>
      <c r="BX17" s="66" t="n">
        <f aca="false">MIN(mkt_cap,mkt_elast*MAX(0,BW17-1))</f>
        <v>0</v>
      </c>
      <c r="BY17" s="49" t="n">
        <f aca="false">I17+Q17+Y17+AG17</f>
        <v>0</v>
      </c>
      <c r="BZ17" s="49" t="n">
        <f aca="false">D17+L17+T17+AB17</f>
        <v>0</v>
      </c>
      <c r="CA17" s="68" t="n">
        <f aca="false">IF(BZ17&gt;0,BY17/BZ17,0)</f>
        <v>0</v>
      </c>
    </row>
    <row r="18" customFormat="false" ht="14.25" hidden="false" customHeight="true" outlineLevel="0" collapsed="false">
      <c r="A18" s="61" t="n">
        <v>1858</v>
      </c>
      <c r="B18" s="49" t="n">
        <f aca="false">Economy!P17</f>
        <v>234.34513742524</v>
      </c>
      <c r="C18" s="47" t="n">
        <v>0</v>
      </c>
      <c r="D18" s="65" t="n">
        <f aca="false">Japan!B18</f>
        <v>0</v>
      </c>
      <c r="E18" s="71" t="n">
        <v>0.1</v>
      </c>
      <c r="F18" s="49" t="n">
        <f aca="false">IF(C18&gt;0,D18*1000000/C18,0)</f>
        <v>0</v>
      </c>
      <c r="G18" s="67" t="n">
        <f aca="false">IF(AND(E18&gt;0,F17&gt;0,B18&gt;0),MIN(conv_cap,conv_beta*jp_uplift*E18*MAX(0,LN(B18/(F17*H17)))),0)</f>
        <v>0</v>
      </c>
      <c r="H18" s="68" t="n">
        <f aca="false">H17*(1+G18)</f>
        <v>1</v>
      </c>
      <c r="I18" s="49" t="n">
        <f aca="false">D18*H18</f>
        <v>0</v>
      </c>
      <c r="J18" s="70" t="n">
        <f aca="false">IF(C18&gt;0,I18*1000000/C18/Economy!Q18,0)</f>
        <v>0</v>
      </c>
      <c r="K18" s="65" t="n">
        <f aca="false">Gulf!B18</f>
        <v>0</v>
      </c>
      <c r="L18" s="49" t="n">
        <f aca="false">Gulf!B18*Gulf!C18*Economy!Q18/1000000</f>
        <v>0</v>
      </c>
      <c r="M18" s="71" t="n">
        <v>0</v>
      </c>
      <c r="N18" s="49" t="n">
        <f aca="false">IF(K18&gt;0,L18*1000000/K18,0)</f>
        <v>0</v>
      </c>
      <c r="O18" s="67" t="n">
        <f aca="false">IF(AND(M18&gt;0,N17&gt;0,B18&gt;0),MIN(conv_cap,conv_beta*1*M18*MAX(0,LN(B18/(N17*P17)))),0)</f>
        <v>0</v>
      </c>
      <c r="P18" s="68" t="n">
        <f aca="false">P17*(1+O18)</f>
        <v>1</v>
      </c>
      <c r="Q18" s="49" t="n">
        <f aca="false">L18*P18</f>
        <v>0</v>
      </c>
      <c r="R18" s="70" t="n">
        <f aca="false">IF(K18&gt;0,Q18*1000000/K18/Economy!Q18,0)</f>
        <v>0</v>
      </c>
      <c r="S18" s="65" t="n">
        <f aca="false">People!U18</f>
        <v>0</v>
      </c>
      <c r="T18" s="47" t="n">
        <v>0</v>
      </c>
      <c r="U18" s="71" t="n">
        <v>0</v>
      </c>
      <c r="V18" s="49" t="n">
        <f aca="false">IF(S18&gt;0,T18*1000000/S18,0)</f>
        <v>0</v>
      </c>
      <c r="W18" s="67" t="n">
        <f aca="false">IF(AND(U18&gt;0,V17&gt;0,B18&gt;0),MIN(conv_cap,conv_beta*1*U18*MAX(0,LN(B18/(V17*X17)))),0)</f>
        <v>0</v>
      </c>
      <c r="X18" s="68" t="n">
        <f aca="false">X17*(1+W18)</f>
        <v>1</v>
      </c>
      <c r="Y18" s="49" t="n">
        <f aca="false">T18*X18</f>
        <v>0</v>
      </c>
      <c r="Z18" s="70" t="n">
        <f aca="false">IF(S18&gt;0,Y18*1000000/S18/Economy!Q18,0)</f>
        <v>0</v>
      </c>
      <c r="AA18" s="47" t="n">
        <v>0</v>
      </c>
      <c r="AB18" s="47" t="n">
        <v>0</v>
      </c>
      <c r="AC18" s="71" t="n">
        <v>0</v>
      </c>
      <c r="AD18" s="49" t="n">
        <f aca="false">IF(AA18&gt;0,AB18*1000000/AA18,0)</f>
        <v>0</v>
      </c>
      <c r="AE18" s="67" t="n">
        <f aca="false">IF(AND(AC18&gt;0,AD17&gt;0,B18&gt;0),MIN(conv_cap,conv_beta*1*AC18*MAX(0,LN(B18/(AD17*AF17)))),0)</f>
        <v>0</v>
      </c>
      <c r="AF18" s="68" t="n">
        <f aca="false">AF17*(1+AE18)</f>
        <v>1</v>
      </c>
      <c r="AG18" s="49" t="n">
        <f aca="false">AB18*AF18</f>
        <v>0</v>
      </c>
      <c r="AH18" s="70" t="n">
        <f aca="false">IF(AA18&gt;0,AG18*1000000/AA18/Economy!Q18,0)</f>
        <v>0</v>
      </c>
      <c r="AI18" s="47" t="n">
        <v>0</v>
      </c>
      <c r="AJ18" s="47" t="n">
        <v>0</v>
      </c>
      <c r="AK18" s="71" t="n">
        <v>0</v>
      </c>
      <c r="AL18" s="49" t="n">
        <f aca="false">IF(AI18&gt;0,AJ18*1000000/AI18,0)</f>
        <v>0</v>
      </c>
      <c r="AM18" s="67" t="n">
        <f aca="false">IF(AND(AK18&gt;0,AL17&gt;0,B18&gt;0),MIN(conv_cap,conv_beta*1*AK18*MAX(0,LN(B18/(AL17*AN17)))),0)</f>
        <v>0</v>
      </c>
      <c r="AN18" s="68" t="n">
        <f aca="false">AN17*(1+AM18)</f>
        <v>1</v>
      </c>
      <c r="AO18" s="49" t="n">
        <f aca="false">AJ18*AN18</f>
        <v>0</v>
      </c>
      <c r="AP18" s="70" t="n">
        <f aca="false">IF(AI18&gt;0,AO18*1000000/AI18/Economy!Q18,0)</f>
        <v>0</v>
      </c>
      <c r="AQ18" s="47" t="n">
        <v>0</v>
      </c>
      <c r="AR18" s="47" t="n">
        <v>0</v>
      </c>
      <c r="AS18" s="71" t="n">
        <v>0</v>
      </c>
      <c r="AT18" s="49" t="n">
        <f aca="false">IF(AQ18&gt;0,AR18*1000000/AQ18,0)</f>
        <v>0</v>
      </c>
      <c r="AU18" s="67" t="n">
        <f aca="false">IF(AND(AS18&gt;0,AT17&gt;0,B18&gt;0),MIN(conv_cap,conv_beta*1*AS18*MAX(0,LN(B18/(AT17*AV17)))),0)</f>
        <v>0</v>
      </c>
      <c r="AV18" s="68" t="n">
        <f aca="false">AV17*(1+AU18)</f>
        <v>1</v>
      </c>
      <c r="AW18" s="49" t="n">
        <f aca="false">AR18*AV18</f>
        <v>0</v>
      </c>
      <c r="AX18" s="70" t="n">
        <f aca="false">IF(AQ18&gt;0,AW18*1000000/AQ18/Economy!Q18,0)</f>
        <v>0</v>
      </c>
      <c r="AY18" s="47" t="n">
        <v>0</v>
      </c>
      <c r="AZ18" s="47" t="n">
        <v>0</v>
      </c>
      <c r="BA18" s="71" t="n">
        <v>0</v>
      </c>
      <c r="BB18" s="49" t="n">
        <f aca="false">IF(AY18&gt;0,AZ18*1000000/AY18,0)</f>
        <v>0</v>
      </c>
      <c r="BC18" s="67" t="n">
        <f aca="false">IF(AND(BA18&gt;0,BB17&gt;0,B18&gt;0),MIN(conv_cap,conv_beta*1*BA18*MAX(0,LN(B18/(BB17*BD17)))),0)</f>
        <v>0</v>
      </c>
      <c r="BD18" s="68" t="n">
        <f aca="false">BD17*(1+BC18)</f>
        <v>1</v>
      </c>
      <c r="BE18" s="49" t="n">
        <f aca="false">AZ18*BD18</f>
        <v>0</v>
      </c>
      <c r="BF18" s="70" t="n">
        <f aca="false">IF(AY18&gt;0,BE18*1000000/AY18/Economy!Q18,0)</f>
        <v>0</v>
      </c>
      <c r="BG18" s="47" t="n">
        <v>0</v>
      </c>
      <c r="BH18" s="47" t="n">
        <v>0</v>
      </c>
      <c r="BI18" s="71" t="n">
        <v>0</v>
      </c>
      <c r="BJ18" s="49" t="n">
        <f aca="false">IF(BG18&gt;0,BH18*1000000/BG18,0)</f>
        <v>0</v>
      </c>
      <c r="BK18" s="67" t="n">
        <f aca="false">IF(AND(BI18&gt;0,BJ17&gt;0,B18&gt;0),MIN(conv_cap,conv_beta*1*BI18*MAX(0,LN(B18/(BJ17*BL17)))),0)</f>
        <v>0</v>
      </c>
      <c r="BL18" s="68" t="n">
        <f aca="false">BL17*(1+BK18)</f>
        <v>1</v>
      </c>
      <c r="BM18" s="49" t="n">
        <f aca="false">BH18*BL18</f>
        <v>0</v>
      </c>
      <c r="BN18" s="70" t="n">
        <f aca="false">IF(BG18&gt;0,BM18*1000000/BG18/Economy!Q18,0)</f>
        <v>0</v>
      </c>
      <c r="BO18" s="47" t="n">
        <v>0</v>
      </c>
      <c r="BP18" s="47" t="n">
        <v>0</v>
      </c>
      <c r="BQ18" s="71" t="n">
        <v>0</v>
      </c>
      <c r="BR18" s="49" t="n">
        <f aca="false">IF(BO18&gt;0,BP18*1000000/BO18,0)</f>
        <v>0</v>
      </c>
      <c r="BS18" s="67" t="n">
        <f aca="false">IF(AND(BQ18&gt;0,BR17&gt;0,B18&gt;0),MIN(conv_cap,conv_beta*1*BQ18*MAX(0,LN(B18/(BR17*BT17)))),0)</f>
        <v>0</v>
      </c>
      <c r="BT18" s="68" t="n">
        <f aca="false">BT17*(1+BS18)</f>
        <v>1</v>
      </c>
      <c r="BU18" s="49" t="n">
        <f aca="false">BP18*BT18</f>
        <v>0</v>
      </c>
      <c r="BV18" s="70" t="n">
        <f aca="false">IF(BO18&gt;0,BU18*1000000/BO18/Economy!Q18,0)</f>
        <v>0</v>
      </c>
      <c r="BW18" s="68" t="n">
        <f aca="false">0.25*IF(D18&gt;0,H18,1)+0.15*IF(AJ18&gt;0,AN18,1)+0.03*IF(AR18&gt;0,AV18,1)+0.08*IF(AZ18&gt;0,BD18,1)+0.12*IF(BH18&gt;0,BL18,1)+0.1*IF(L18&gt;0,P18,1)+0.07*IF(T18&gt;0,X18,1)+0.05*IF(AB18&gt;0,AF18,1)+0.05*IF(BP18&gt;0,BT18,1)+0.1</f>
        <v>1</v>
      </c>
      <c r="BX18" s="66" t="n">
        <f aca="false">MIN(mkt_cap,mkt_elast*MAX(0,BW18-1))</f>
        <v>0</v>
      </c>
      <c r="BY18" s="49" t="n">
        <f aca="false">I18+Q18+Y18+AG18</f>
        <v>0</v>
      </c>
      <c r="BZ18" s="49" t="n">
        <f aca="false">D18+L18+T18+AB18</f>
        <v>0</v>
      </c>
      <c r="CA18" s="68" t="n">
        <f aca="false">IF(BZ18&gt;0,BY18/BZ18,0)</f>
        <v>0</v>
      </c>
    </row>
    <row r="19" customFormat="false" ht="14.25" hidden="false" customHeight="true" outlineLevel="0" collapsed="false">
      <c r="A19" s="61" t="n">
        <v>1859</v>
      </c>
      <c r="B19" s="49" t="n">
        <f aca="false">Economy!P18</f>
        <v>240.075578041033</v>
      </c>
      <c r="C19" s="47" t="n">
        <v>0</v>
      </c>
      <c r="D19" s="65" t="n">
        <f aca="false">Japan!B19</f>
        <v>0</v>
      </c>
      <c r="E19" s="71" t="n">
        <v>0.12</v>
      </c>
      <c r="F19" s="49" t="n">
        <f aca="false">IF(C19&gt;0,D19*1000000/C19,0)</f>
        <v>0</v>
      </c>
      <c r="G19" s="67" t="n">
        <f aca="false">IF(AND(E19&gt;0,F18&gt;0,B19&gt;0),MIN(conv_cap,conv_beta*jp_uplift*E19*MAX(0,LN(B19/(F18*H18)))),0)</f>
        <v>0</v>
      </c>
      <c r="H19" s="68" t="n">
        <f aca="false">H18*(1+G19)</f>
        <v>1</v>
      </c>
      <c r="I19" s="49" t="n">
        <f aca="false">D19*H19</f>
        <v>0</v>
      </c>
      <c r="J19" s="70" t="n">
        <f aca="false">IF(C19&gt;0,I19*1000000/C19/Economy!Q19,0)</f>
        <v>0</v>
      </c>
      <c r="K19" s="65" t="n">
        <f aca="false">Gulf!B19</f>
        <v>0</v>
      </c>
      <c r="L19" s="49" t="n">
        <f aca="false">Gulf!B19*Gulf!C19*Economy!Q19/1000000</f>
        <v>0</v>
      </c>
      <c r="M19" s="71" t="n">
        <v>0</v>
      </c>
      <c r="N19" s="49" t="n">
        <f aca="false">IF(K19&gt;0,L19*1000000/K19,0)</f>
        <v>0</v>
      </c>
      <c r="O19" s="67" t="n">
        <f aca="false">IF(AND(M19&gt;0,N18&gt;0,B19&gt;0),MIN(conv_cap,conv_beta*1*M19*MAX(0,LN(B19/(N18*P18)))),0)</f>
        <v>0</v>
      </c>
      <c r="P19" s="68" t="n">
        <f aca="false">P18*(1+O19)</f>
        <v>1</v>
      </c>
      <c r="Q19" s="49" t="n">
        <f aca="false">L19*P19</f>
        <v>0</v>
      </c>
      <c r="R19" s="70" t="n">
        <f aca="false">IF(K19&gt;0,Q19*1000000/K19/Economy!Q19,0)</f>
        <v>0</v>
      </c>
      <c r="S19" s="65" t="n">
        <f aca="false">People!U19</f>
        <v>0</v>
      </c>
      <c r="T19" s="47" t="n">
        <v>0</v>
      </c>
      <c r="U19" s="71" t="n">
        <v>0</v>
      </c>
      <c r="V19" s="49" t="n">
        <f aca="false">IF(S19&gt;0,T19*1000000/S19,0)</f>
        <v>0</v>
      </c>
      <c r="W19" s="67" t="n">
        <f aca="false">IF(AND(U19&gt;0,V18&gt;0,B19&gt;0),MIN(conv_cap,conv_beta*1*U19*MAX(0,LN(B19/(V18*X18)))),0)</f>
        <v>0</v>
      </c>
      <c r="X19" s="68" t="n">
        <f aca="false">X18*(1+W19)</f>
        <v>1</v>
      </c>
      <c r="Y19" s="49" t="n">
        <f aca="false">T19*X19</f>
        <v>0</v>
      </c>
      <c r="Z19" s="70" t="n">
        <f aca="false">IF(S19&gt;0,Y19*1000000/S19/Economy!Q19,0)</f>
        <v>0</v>
      </c>
      <c r="AA19" s="47" t="n">
        <v>0</v>
      </c>
      <c r="AB19" s="47" t="n">
        <v>0</v>
      </c>
      <c r="AC19" s="71" t="n">
        <v>0</v>
      </c>
      <c r="AD19" s="49" t="n">
        <f aca="false">IF(AA19&gt;0,AB19*1000000/AA19,0)</f>
        <v>0</v>
      </c>
      <c r="AE19" s="67" t="n">
        <f aca="false">IF(AND(AC19&gt;0,AD18&gt;0,B19&gt;0),MIN(conv_cap,conv_beta*1*AC19*MAX(0,LN(B19/(AD18*AF18)))),0)</f>
        <v>0</v>
      </c>
      <c r="AF19" s="68" t="n">
        <f aca="false">AF18*(1+AE19)</f>
        <v>1</v>
      </c>
      <c r="AG19" s="49" t="n">
        <f aca="false">AB19*AF19</f>
        <v>0</v>
      </c>
      <c r="AH19" s="70" t="n">
        <f aca="false">IF(AA19&gt;0,AG19*1000000/AA19/Economy!Q19,0)</f>
        <v>0</v>
      </c>
      <c r="AI19" s="47" t="n">
        <v>0</v>
      </c>
      <c r="AJ19" s="47" t="n">
        <v>0</v>
      </c>
      <c r="AK19" s="71" t="n">
        <v>0</v>
      </c>
      <c r="AL19" s="49" t="n">
        <f aca="false">IF(AI19&gt;0,AJ19*1000000/AI19,0)</f>
        <v>0</v>
      </c>
      <c r="AM19" s="67" t="n">
        <f aca="false">IF(AND(AK19&gt;0,AL18&gt;0,B19&gt;0),MIN(conv_cap,conv_beta*1*AK19*MAX(0,LN(B19/(AL18*AN18)))),0)</f>
        <v>0</v>
      </c>
      <c r="AN19" s="68" t="n">
        <f aca="false">AN18*(1+AM19)</f>
        <v>1</v>
      </c>
      <c r="AO19" s="49" t="n">
        <f aca="false">AJ19*AN19</f>
        <v>0</v>
      </c>
      <c r="AP19" s="70" t="n">
        <f aca="false">IF(AI19&gt;0,AO19*1000000/AI19/Economy!Q19,0)</f>
        <v>0</v>
      </c>
      <c r="AQ19" s="47" t="n">
        <v>0</v>
      </c>
      <c r="AR19" s="47" t="n">
        <v>0</v>
      </c>
      <c r="AS19" s="71" t="n">
        <v>0</v>
      </c>
      <c r="AT19" s="49" t="n">
        <f aca="false">IF(AQ19&gt;0,AR19*1000000/AQ19,0)</f>
        <v>0</v>
      </c>
      <c r="AU19" s="67" t="n">
        <f aca="false">IF(AND(AS19&gt;0,AT18&gt;0,B19&gt;0),MIN(conv_cap,conv_beta*1*AS19*MAX(0,LN(B19/(AT18*AV18)))),0)</f>
        <v>0</v>
      </c>
      <c r="AV19" s="68" t="n">
        <f aca="false">AV18*(1+AU19)</f>
        <v>1</v>
      </c>
      <c r="AW19" s="49" t="n">
        <f aca="false">AR19*AV19</f>
        <v>0</v>
      </c>
      <c r="AX19" s="70" t="n">
        <f aca="false">IF(AQ19&gt;0,AW19*1000000/AQ19/Economy!Q19,0)</f>
        <v>0</v>
      </c>
      <c r="AY19" s="47" t="n">
        <v>0</v>
      </c>
      <c r="AZ19" s="47" t="n">
        <v>0</v>
      </c>
      <c r="BA19" s="71" t="n">
        <v>0</v>
      </c>
      <c r="BB19" s="49" t="n">
        <f aca="false">IF(AY19&gt;0,AZ19*1000000/AY19,0)</f>
        <v>0</v>
      </c>
      <c r="BC19" s="67" t="n">
        <f aca="false">IF(AND(BA19&gt;0,BB18&gt;0,B19&gt;0),MIN(conv_cap,conv_beta*1*BA19*MAX(0,LN(B19/(BB18*BD18)))),0)</f>
        <v>0</v>
      </c>
      <c r="BD19" s="68" t="n">
        <f aca="false">BD18*(1+BC19)</f>
        <v>1</v>
      </c>
      <c r="BE19" s="49" t="n">
        <f aca="false">AZ19*BD19</f>
        <v>0</v>
      </c>
      <c r="BF19" s="70" t="n">
        <f aca="false">IF(AY19&gt;0,BE19*1000000/AY19/Economy!Q19,0)</f>
        <v>0</v>
      </c>
      <c r="BG19" s="47" t="n">
        <v>0</v>
      </c>
      <c r="BH19" s="47" t="n">
        <v>0</v>
      </c>
      <c r="BI19" s="71" t="n">
        <v>0</v>
      </c>
      <c r="BJ19" s="49" t="n">
        <f aca="false">IF(BG19&gt;0,BH19*1000000/BG19,0)</f>
        <v>0</v>
      </c>
      <c r="BK19" s="67" t="n">
        <f aca="false">IF(AND(BI19&gt;0,BJ18&gt;0,B19&gt;0),MIN(conv_cap,conv_beta*1*BI19*MAX(0,LN(B19/(BJ18*BL18)))),0)</f>
        <v>0</v>
      </c>
      <c r="BL19" s="68" t="n">
        <f aca="false">BL18*(1+BK19)</f>
        <v>1</v>
      </c>
      <c r="BM19" s="49" t="n">
        <f aca="false">BH19*BL19</f>
        <v>0</v>
      </c>
      <c r="BN19" s="70" t="n">
        <f aca="false">IF(BG19&gt;0,BM19*1000000/BG19/Economy!Q19,0)</f>
        <v>0</v>
      </c>
      <c r="BO19" s="47" t="n">
        <v>0</v>
      </c>
      <c r="BP19" s="47" t="n">
        <v>0</v>
      </c>
      <c r="BQ19" s="71" t="n">
        <v>0</v>
      </c>
      <c r="BR19" s="49" t="n">
        <f aca="false">IF(BO19&gt;0,BP19*1000000/BO19,0)</f>
        <v>0</v>
      </c>
      <c r="BS19" s="67" t="n">
        <f aca="false">IF(AND(BQ19&gt;0,BR18&gt;0,B19&gt;0),MIN(conv_cap,conv_beta*1*BQ19*MAX(0,LN(B19/(BR18*BT18)))),0)</f>
        <v>0</v>
      </c>
      <c r="BT19" s="68" t="n">
        <f aca="false">BT18*(1+BS19)</f>
        <v>1</v>
      </c>
      <c r="BU19" s="49" t="n">
        <f aca="false">BP19*BT19</f>
        <v>0</v>
      </c>
      <c r="BV19" s="70" t="n">
        <f aca="false">IF(BO19&gt;0,BU19*1000000/BO19/Economy!Q19,0)</f>
        <v>0</v>
      </c>
      <c r="BW19" s="68" t="n">
        <f aca="false">0.25*IF(D19&gt;0,H19,1)+0.15*IF(AJ19&gt;0,AN19,1)+0.03*IF(AR19&gt;0,AV19,1)+0.08*IF(AZ19&gt;0,BD19,1)+0.12*IF(BH19&gt;0,BL19,1)+0.1*IF(L19&gt;0,P19,1)+0.07*IF(T19&gt;0,X19,1)+0.05*IF(AB19&gt;0,AF19,1)+0.05*IF(BP19&gt;0,BT19,1)+0.1</f>
        <v>1</v>
      </c>
      <c r="BX19" s="66" t="n">
        <f aca="false">MIN(mkt_cap,mkt_elast*MAX(0,BW19-1))</f>
        <v>0</v>
      </c>
      <c r="BY19" s="49" t="n">
        <f aca="false">I19+Q19+Y19+AG19</f>
        <v>0</v>
      </c>
      <c r="BZ19" s="49" t="n">
        <f aca="false">D19+L19+T19+AB19</f>
        <v>0</v>
      </c>
      <c r="CA19" s="68" t="n">
        <f aca="false">IF(BZ19&gt;0,BY19/BZ19,0)</f>
        <v>0</v>
      </c>
    </row>
    <row r="20" customFormat="false" ht="14.25" hidden="false" customHeight="true" outlineLevel="0" collapsed="false">
      <c r="A20" s="61" t="n">
        <v>1860</v>
      </c>
      <c r="B20" s="49" t="n">
        <f aca="false">Economy!P19</f>
        <v>244.639836849532</v>
      </c>
      <c r="C20" s="47" t="n">
        <v>0</v>
      </c>
      <c r="D20" s="65" t="n">
        <f aca="false">Japan!B20</f>
        <v>0</v>
      </c>
      <c r="E20" s="71" t="n">
        <v>0.14</v>
      </c>
      <c r="F20" s="49" t="n">
        <f aca="false">IF(C20&gt;0,D20*1000000/C20,0)</f>
        <v>0</v>
      </c>
      <c r="G20" s="67" t="n">
        <f aca="false">IF(AND(E20&gt;0,F19&gt;0,B20&gt;0),MIN(conv_cap,conv_beta*jp_uplift*E20*MAX(0,LN(B20/(F19*H19)))),0)</f>
        <v>0</v>
      </c>
      <c r="H20" s="68" t="n">
        <f aca="false">H19*(1+G20)</f>
        <v>1</v>
      </c>
      <c r="I20" s="49" t="n">
        <f aca="false">D20*H20</f>
        <v>0</v>
      </c>
      <c r="J20" s="70" t="n">
        <f aca="false">IF(C20&gt;0,I20*1000000/C20/Economy!Q20,0)</f>
        <v>0</v>
      </c>
      <c r="K20" s="65" t="n">
        <f aca="false">Gulf!B20</f>
        <v>0</v>
      </c>
      <c r="L20" s="49" t="n">
        <f aca="false">Gulf!B20*Gulf!C20*Economy!Q20/1000000</f>
        <v>0</v>
      </c>
      <c r="M20" s="71" t="n">
        <v>0</v>
      </c>
      <c r="N20" s="49" t="n">
        <f aca="false">IF(K20&gt;0,L20*1000000/K20,0)</f>
        <v>0</v>
      </c>
      <c r="O20" s="67" t="n">
        <f aca="false">IF(AND(M20&gt;0,N19&gt;0,B20&gt;0),MIN(conv_cap,conv_beta*1*M20*MAX(0,LN(B20/(N19*P19)))),0)</f>
        <v>0</v>
      </c>
      <c r="P20" s="68" t="n">
        <f aca="false">P19*(1+O20)</f>
        <v>1</v>
      </c>
      <c r="Q20" s="49" t="n">
        <f aca="false">L20*P20</f>
        <v>0</v>
      </c>
      <c r="R20" s="70" t="n">
        <f aca="false">IF(K20&gt;0,Q20*1000000/K20/Economy!Q20,0)</f>
        <v>0</v>
      </c>
      <c r="S20" s="65" t="n">
        <f aca="false">People!U20</f>
        <v>0</v>
      </c>
      <c r="T20" s="47" t="n">
        <v>0</v>
      </c>
      <c r="U20" s="71" t="n">
        <v>0</v>
      </c>
      <c r="V20" s="49" t="n">
        <f aca="false">IF(S20&gt;0,T20*1000000/S20,0)</f>
        <v>0</v>
      </c>
      <c r="W20" s="67" t="n">
        <f aca="false">IF(AND(U20&gt;0,V19&gt;0,B20&gt;0),MIN(conv_cap,conv_beta*1*U20*MAX(0,LN(B20/(V19*X19)))),0)</f>
        <v>0</v>
      </c>
      <c r="X20" s="68" t="n">
        <f aca="false">X19*(1+W20)</f>
        <v>1</v>
      </c>
      <c r="Y20" s="49" t="n">
        <f aca="false">T20*X20</f>
        <v>0</v>
      </c>
      <c r="Z20" s="70" t="n">
        <f aca="false">IF(S20&gt;0,Y20*1000000/S20/Economy!Q20,0)</f>
        <v>0</v>
      </c>
      <c r="AA20" s="47" t="n">
        <v>0</v>
      </c>
      <c r="AB20" s="47" t="n">
        <v>0</v>
      </c>
      <c r="AC20" s="71" t="n">
        <v>0</v>
      </c>
      <c r="AD20" s="49" t="n">
        <f aca="false">IF(AA20&gt;0,AB20*1000000/AA20,0)</f>
        <v>0</v>
      </c>
      <c r="AE20" s="67" t="n">
        <f aca="false">IF(AND(AC20&gt;0,AD19&gt;0,B20&gt;0),MIN(conv_cap,conv_beta*1*AC20*MAX(0,LN(B20/(AD19*AF19)))),0)</f>
        <v>0</v>
      </c>
      <c r="AF20" s="68" t="n">
        <f aca="false">AF19*(1+AE20)</f>
        <v>1</v>
      </c>
      <c r="AG20" s="49" t="n">
        <f aca="false">AB20*AF20</f>
        <v>0</v>
      </c>
      <c r="AH20" s="70" t="n">
        <f aca="false">IF(AA20&gt;0,AG20*1000000/AA20/Economy!Q20,0)</f>
        <v>0</v>
      </c>
      <c r="AI20" s="47" t="n">
        <v>0</v>
      </c>
      <c r="AJ20" s="47" t="n">
        <v>0</v>
      </c>
      <c r="AK20" s="71" t="n">
        <v>0</v>
      </c>
      <c r="AL20" s="49" t="n">
        <f aca="false">IF(AI20&gt;0,AJ20*1000000/AI20,0)</f>
        <v>0</v>
      </c>
      <c r="AM20" s="67" t="n">
        <f aca="false">IF(AND(AK20&gt;0,AL19&gt;0,B20&gt;0),MIN(conv_cap,conv_beta*1*AK20*MAX(0,LN(B20/(AL19*AN19)))),0)</f>
        <v>0</v>
      </c>
      <c r="AN20" s="68" t="n">
        <f aca="false">AN19*(1+AM20)</f>
        <v>1</v>
      </c>
      <c r="AO20" s="49" t="n">
        <f aca="false">AJ20*AN20</f>
        <v>0</v>
      </c>
      <c r="AP20" s="70" t="n">
        <f aca="false">IF(AI20&gt;0,AO20*1000000/AI20/Economy!Q20,0)</f>
        <v>0</v>
      </c>
      <c r="AQ20" s="47" t="n">
        <v>0</v>
      </c>
      <c r="AR20" s="47" t="n">
        <v>0</v>
      </c>
      <c r="AS20" s="71" t="n">
        <v>0</v>
      </c>
      <c r="AT20" s="49" t="n">
        <f aca="false">IF(AQ20&gt;0,AR20*1000000/AQ20,0)</f>
        <v>0</v>
      </c>
      <c r="AU20" s="67" t="n">
        <f aca="false">IF(AND(AS20&gt;0,AT19&gt;0,B20&gt;0),MIN(conv_cap,conv_beta*1*AS20*MAX(0,LN(B20/(AT19*AV19)))),0)</f>
        <v>0</v>
      </c>
      <c r="AV20" s="68" t="n">
        <f aca="false">AV19*(1+AU20)</f>
        <v>1</v>
      </c>
      <c r="AW20" s="49" t="n">
        <f aca="false">AR20*AV20</f>
        <v>0</v>
      </c>
      <c r="AX20" s="70" t="n">
        <f aca="false">IF(AQ20&gt;0,AW20*1000000/AQ20/Economy!Q20,0)</f>
        <v>0</v>
      </c>
      <c r="AY20" s="47" t="n">
        <v>0</v>
      </c>
      <c r="AZ20" s="47" t="n">
        <v>0</v>
      </c>
      <c r="BA20" s="71" t="n">
        <v>0</v>
      </c>
      <c r="BB20" s="49" t="n">
        <f aca="false">IF(AY20&gt;0,AZ20*1000000/AY20,0)</f>
        <v>0</v>
      </c>
      <c r="BC20" s="67" t="n">
        <f aca="false">IF(AND(BA20&gt;0,BB19&gt;0,B20&gt;0),MIN(conv_cap,conv_beta*1*BA20*MAX(0,LN(B20/(BB19*BD19)))),0)</f>
        <v>0</v>
      </c>
      <c r="BD20" s="68" t="n">
        <f aca="false">BD19*(1+BC20)</f>
        <v>1</v>
      </c>
      <c r="BE20" s="49" t="n">
        <f aca="false">AZ20*BD20</f>
        <v>0</v>
      </c>
      <c r="BF20" s="70" t="n">
        <f aca="false">IF(AY20&gt;0,BE20*1000000/AY20/Economy!Q20,0)</f>
        <v>0</v>
      </c>
      <c r="BG20" s="47" t="n">
        <v>0</v>
      </c>
      <c r="BH20" s="47" t="n">
        <v>0</v>
      </c>
      <c r="BI20" s="71" t="n">
        <v>0</v>
      </c>
      <c r="BJ20" s="49" t="n">
        <f aca="false">IF(BG20&gt;0,BH20*1000000/BG20,0)</f>
        <v>0</v>
      </c>
      <c r="BK20" s="67" t="n">
        <f aca="false">IF(AND(BI20&gt;0,BJ19&gt;0,B20&gt;0),MIN(conv_cap,conv_beta*1*BI20*MAX(0,LN(B20/(BJ19*BL19)))),0)</f>
        <v>0</v>
      </c>
      <c r="BL20" s="68" t="n">
        <f aca="false">BL19*(1+BK20)</f>
        <v>1</v>
      </c>
      <c r="BM20" s="49" t="n">
        <f aca="false">BH20*BL20</f>
        <v>0</v>
      </c>
      <c r="BN20" s="70" t="n">
        <f aca="false">IF(BG20&gt;0,BM20*1000000/BG20/Economy!Q20,0)</f>
        <v>0</v>
      </c>
      <c r="BO20" s="47" t="n">
        <v>0</v>
      </c>
      <c r="BP20" s="47" t="n">
        <v>0</v>
      </c>
      <c r="BQ20" s="71" t="n">
        <v>0</v>
      </c>
      <c r="BR20" s="49" t="n">
        <f aca="false">IF(BO20&gt;0,BP20*1000000/BO20,0)</f>
        <v>0</v>
      </c>
      <c r="BS20" s="67" t="n">
        <f aca="false">IF(AND(BQ20&gt;0,BR19&gt;0,B20&gt;0),MIN(conv_cap,conv_beta*1*BQ20*MAX(0,LN(B20/(BR19*BT19)))),0)</f>
        <v>0</v>
      </c>
      <c r="BT20" s="68" t="n">
        <f aca="false">BT19*(1+BS20)</f>
        <v>1</v>
      </c>
      <c r="BU20" s="49" t="n">
        <f aca="false">BP20*BT20</f>
        <v>0</v>
      </c>
      <c r="BV20" s="70" t="n">
        <f aca="false">IF(BO20&gt;0,BU20*1000000/BO20/Economy!Q20,0)</f>
        <v>0</v>
      </c>
      <c r="BW20" s="68" t="n">
        <f aca="false">0.25*IF(D20&gt;0,H20,1)+0.15*IF(AJ20&gt;0,AN20,1)+0.03*IF(AR20&gt;0,AV20,1)+0.08*IF(AZ20&gt;0,BD20,1)+0.12*IF(BH20&gt;0,BL20,1)+0.1*IF(L20&gt;0,P20,1)+0.07*IF(T20&gt;0,X20,1)+0.05*IF(AB20&gt;0,AF20,1)+0.05*IF(BP20&gt;0,BT20,1)+0.1</f>
        <v>1</v>
      </c>
      <c r="BX20" s="66" t="n">
        <f aca="false">MIN(mkt_cap,mkt_elast*MAX(0,BW20-1))</f>
        <v>0</v>
      </c>
      <c r="BY20" s="49" t="n">
        <f aca="false">I20+Q20+Y20+AG20</f>
        <v>0</v>
      </c>
      <c r="BZ20" s="49" t="n">
        <f aca="false">D20+L20+T20+AB20</f>
        <v>0</v>
      </c>
      <c r="CA20" s="68" t="n">
        <f aca="false">IF(BZ20&gt;0,BY20/BZ20,0)</f>
        <v>0</v>
      </c>
    </row>
    <row r="21" customFormat="false" ht="14.25" hidden="false" customHeight="true" outlineLevel="0" collapsed="false">
      <c r="A21" s="64" t="n">
        <v>1861</v>
      </c>
      <c r="B21" s="49" t="n">
        <f aca="false">Economy!P20</f>
        <v>245.80306207269</v>
      </c>
      <c r="C21" s="47" t="n">
        <v>0</v>
      </c>
      <c r="D21" s="65" t="n">
        <f aca="false">Japan!B21</f>
        <v>0</v>
      </c>
      <c r="E21" s="71" t="n">
        <v>0.16</v>
      </c>
      <c r="F21" s="49" t="n">
        <f aca="false">IF(C21&gt;0,D21*1000000/C21,0)</f>
        <v>0</v>
      </c>
      <c r="G21" s="67" t="n">
        <f aca="false">IF(AND(E21&gt;0,F20&gt;0,B21&gt;0),MIN(conv_cap,conv_beta*jp_uplift*E21*MAX(0,LN(B21/(F20*H20)))),0)</f>
        <v>0</v>
      </c>
      <c r="H21" s="68" t="n">
        <f aca="false">H20*(1+G21)</f>
        <v>1</v>
      </c>
      <c r="I21" s="49" t="n">
        <f aca="false">D21*H21</f>
        <v>0</v>
      </c>
      <c r="J21" s="70" t="n">
        <f aca="false">IF(C21&gt;0,I21*1000000/C21/Economy!Q21,0)</f>
        <v>0</v>
      </c>
      <c r="K21" s="65" t="n">
        <f aca="false">Gulf!B21</f>
        <v>0</v>
      </c>
      <c r="L21" s="49" t="n">
        <f aca="false">Gulf!B21*Gulf!C21*Economy!Q21/1000000</f>
        <v>0</v>
      </c>
      <c r="M21" s="71" t="n">
        <v>0</v>
      </c>
      <c r="N21" s="49" t="n">
        <f aca="false">IF(K21&gt;0,L21*1000000/K21,0)</f>
        <v>0</v>
      </c>
      <c r="O21" s="67" t="n">
        <f aca="false">IF(AND(M21&gt;0,N20&gt;0,B21&gt;0),MIN(conv_cap,conv_beta*1*M21*MAX(0,LN(B21/(N20*P20)))),0)</f>
        <v>0</v>
      </c>
      <c r="P21" s="68" t="n">
        <f aca="false">P20*(1+O21)</f>
        <v>1</v>
      </c>
      <c r="Q21" s="49" t="n">
        <f aca="false">L21*P21</f>
        <v>0</v>
      </c>
      <c r="R21" s="70" t="n">
        <f aca="false">IF(K21&gt;0,Q21*1000000/K21/Economy!Q21,0)</f>
        <v>0</v>
      </c>
      <c r="S21" s="65" t="n">
        <f aca="false">People!U21</f>
        <v>0</v>
      </c>
      <c r="T21" s="47" t="n">
        <v>0</v>
      </c>
      <c r="U21" s="71" t="n">
        <v>0</v>
      </c>
      <c r="V21" s="49" t="n">
        <f aca="false">IF(S21&gt;0,T21*1000000/S21,0)</f>
        <v>0</v>
      </c>
      <c r="W21" s="67" t="n">
        <f aca="false">IF(AND(U21&gt;0,V20&gt;0,B21&gt;0),MIN(conv_cap,conv_beta*1*U21*MAX(0,LN(B21/(V20*X20)))),0)</f>
        <v>0</v>
      </c>
      <c r="X21" s="68" t="n">
        <f aca="false">X20*(1+W21)</f>
        <v>1</v>
      </c>
      <c r="Y21" s="49" t="n">
        <f aca="false">T21*X21</f>
        <v>0</v>
      </c>
      <c r="Z21" s="70" t="n">
        <f aca="false">IF(S21&gt;0,Y21*1000000/S21/Economy!Q21,0)</f>
        <v>0</v>
      </c>
      <c r="AA21" s="47" t="n">
        <v>0</v>
      </c>
      <c r="AB21" s="47" t="n">
        <v>0</v>
      </c>
      <c r="AC21" s="71" t="n">
        <v>0</v>
      </c>
      <c r="AD21" s="49" t="n">
        <f aca="false">IF(AA21&gt;0,AB21*1000000/AA21,0)</f>
        <v>0</v>
      </c>
      <c r="AE21" s="67" t="n">
        <f aca="false">IF(AND(AC21&gt;0,AD20&gt;0,B21&gt;0),MIN(conv_cap,conv_beta*1*AC21*MAX(0,LN(B21/(AD20*AF20)))),0)</f>
        <v>0</v>
      </c>
      <c r="AF21" s="68" t="n">
        <f aca="false">AF20*(1+AE21)</f>
        <v>1</v>
      </c>
      <c r="AG21" s="49" t="n">
        <f aca="false">AB21*AF21</f>
        <v>0</v>
      </c>
      <c r="AH21" s="70" t="n">
        <f aca="false">IF(AA21&gt;0,AG21*1000000/AA21/Economy!Q21,0)</f>
        <v>0</v>
      </c>
      <c r="AI21" s="47" t="n">
        <v>0</v>
      </c>
      <c r="AJ21" s="47" t="n">
        <v>0</v>
      </c>
      <c r="AK21" s="71" t="n">
        <v>0</v>
      </c>
      <c r="AL21" s="49" t="n">
        <f aca="false">IF(AI21&gt;0,AJ21*1000000/AI21,0)</f>
        <v>0</v>
      </c>
      <c r="AM21" s="67" t="n">
        <f aca="false">IF(AND(AK21&gt;0,AL20&gt;0,B21&gt;0),MIN(conv_cap,conv_beta*1*AK21*MAX(0,LN(B21/(AL20*AN20)))),0)</f>
        <v>0</v>
      </c>
      <c r="AN21" s="68" t="n">
        <f aca="false">AN20*(1+AM21)</f>
        <v>1</v>
      </c>
      <c r="AO21" s="49" t="n">
        <f aca="false">AJ21*AN21</f>
        <v>0</v>
      </c>
      <c r="AP21" s="70" t="n">
        <f aca="false">IF(AI21&gt;0,AO21*1000000/AI21/Economy!Q21,0)</f>
        <v>0</v>
      </c>
      <c r="AQ21" s="47" t="n">
        <v>0</v>
      </c>
      <c r="AR21" s="47" t="n">
        <v>0</v>
      </c>
      <c r="AS21" s="71" t="n">
        <v>0</v>
      </c>
      <c r="AT21" s="49" t="n">
        <f aca="false">IF(AQ21&gt;0,AR21*1000000/AQ21,0)</f>
        <v>0</v>
      </c>
      <c r="AU21" s="67" t="n">
        <f aca="false">IF(AND(AS21&gt;0,AT20&gt;0,B21&gt;0),MIN(conv_cap,conv_beta*1*AS21*MAX(0,LN(B21/(AT20*AV20)))),0)</f>
        <v>0</v>
      </c>
      <c r="AV21" s="68" t="n">
        <f aca="false">AV20*(1+AU21)</f>
        <v>1</v>
      </c>
      <c r="AW21" s="49" t="n">
        <f aca="false">AR21*AV21</f>
        <v>0</v>
      </c>
      <c r="AX21" s="70" t="n">
        <f aca="false">IF(AQ21&gt;0,AW21*1000000/AQ21/Economy!Q21,0)</f>
        <v>0</v>
      </c>
      <c r="AY21" s="47" t="n">
        <v>0</v>
      </c>
      <c r="AZ21" s="47" t="n">
        <v>0</v>
      </c>
      <c r="BA21" s="71" t="n">
        <v>0</v>
      </c>
      <c r="BB21" s="49" t="n">
        <f aca="false">IF(AY21&gt;0,AZ21*1000000/AY21,0)</f>
        <v>0</v>
      </c>
      <c r="BC21" s="67" t="n">
        <f aca="false">IF(AND(BA21&gt;0,BB20&gt;0,B21&gt;0),MIN(conv_cap,conv_beta*1*BA21*MAX(0,LN(B21/(BB20*BD20)))),0)</f>
        <v>0</v>
      </c>
      <c r="BD21" s="68" t="n">
        <f aca="false">BD20*(1+BC21)</f>
        <v>1</v>
      </c>
      <c r="BE21" s="49" t="n">
        <f aca="false">AZ21*BD21</f>
        <v>0</v>
      </c>
      <c r="BF21" s="70" t="n">
        <f aca="false">IF(AY21&gt;0,BE21*1000000/AY21/Economy!Q21,0)</f>
        <v>0</v>
      </c>
      <c r="BG21" s="47" t="n">
        <v>0</v>
      </c>
      <c r="BH21" s="47" t="n">
        <v>0</v>
      </c>
      <c r="BI21" s="71" t="n">
        <v>0</v>
      </c>
      <c r="BJ21" s="49" t="n">
        <f aca="false">IF(BG21&gt;0,BH21*1000000/BG21,0)</f>
        <v>0</v>
      </c>
      <c r="BK21" s="67" t="n">
        <f aca="false">IF(AND(BI21&gt;0,BJ20&gt;0,B21&gt;0),MIN(conv_cap,conv_beta*1*BI21*MAX(0,LN(B21/(BJ20*BL20)))),0)</f>
        <v>0</v>
      </c>
      <c r="BL21" s="68" t="n">
        <f aca="false">BL20*(1+BK21)</f>
        <v>1</v>
      </c>
      <c r="BM21" s="49" t="n">
        <f aca="false">BH21*BL21</f>
        <v>0</v>
      </c>
      <c r="BN21" s="70" t="n">
        <f aca="false">IF(BG21&gt;0,BM21*1000000/BG21/Economy!Q21,0)</f>
        <v>0</v>
      </c>
      <c r="BO21" s="47" t="n">
        <v>0</v>
      </c>
      <c r="BP21" s="47" t="n">
        <v>0</v>
      </c>
      <c r="BQ21" s="71" t="n">
        <v>0</v>
      </c>
      <c r="BR21" s="49" t="n">
        <f aca="false">IF(BO21&gt;0,BP21*1000000/BO21,0)</f>
        <v>0</v>
      </c>
      <c r="BS21" s="67" t="n">
        <f aca="false">IF(AND(BQ21&gt;0,BR20&gt;0,B21&gt;0),MIN(conv_cap,conv_beta*1*BQ21*MAX(0,LN(B21/(BR20*BT20)))),0)</f>
        <v>0</v>
      </c>
      <c r="BT21" s="68" t="n">
        <f aca="false">BT20*(1+BS21)</f>
        <v>1</v>
      </c>
      <c r="BU21" s="49" t="n">
        <f aca="false">BP21*BT21</f>
        <v>0</v>
      </c>
      <c r="BV21" s="70" t="n">
        <f aca="false">IF(BO21&gt;0,BU21*1000000/BO21/Economy!Q21,0)</f>
        <v>0</v>
      </c>
      <c r="BW21" s="68" t="n">
        <f aca="false">0.25*IF(D21&gt;0,H21,1)+0.15*IF(AJ21&gt;0,AN21,1)+0.03*IF(AR21&gt;0,AV21,1)+0.08*IF(AZ21&gt;0,BD21,1)+0.12*IF(BH21&gt;0,BL21,1)+0.1*IF(L21&gt;0,P21,1)+0.07*IF(T21&gt;0,X21,1)+0.05*IF(AB21&gt;0,AF21,1)+0.05*IF(BP21&gt;0,BT21,1)+0.1</f>
        <v>1</v>
      </c>
      <c r="BX21" s="66" t="n">
        <f aca="false">MIN(mkt_cap,mkt_elast*MAX(0,BW21-1))</f>
        <v>0</v>
      </c>
      <c r="BY21" s="49" t="n">
        <f aca="false">I21+Q21+Y21+AG21</f>
        <v>0</v>
      </c>
      <c r="BZ21" s="49" t="n">
        <f aca="false">D21+L21+T21+AB21</f>
        <v>0</v>
      </c>
      <c r="CA21" s="68" t="n">
        <f aca="false">IF(BZ21&gt;0,BY21/BZ21,0)</f>
        <v>0</v>
      </c>
    </row>
    <row r="22" customFormat="false" ht="14.25" hidden="false" customHeight="true" outlineLevel="0" collapsed="false">
      <c r="A22" s="64" t="n">
        <v>1862</v>
      </c>
      <c r="B22" s="49" t="n">
        <f aca="false">Economy!P21</f>
        <v>242.834533219643</v>
      </c>
      <c r="C22" s="47" t="n">
        <v>0</v>
      </c>
      <c r="D22" s="65" t="n">
        <f aca="false">Japan!B22</f>
        <v>0</v>
      </c>
      <c r="E22" s="71" t="n">
        <v>0.18</v>
      </c>
      <c r="F22" s="49" t="n">
        <f aca="false">IF(C22&gt;0,D22*1000000/C22,0)</f>
        <v>0</v>
      </c>
      <c r="G22" s="67" t="n">
        <f aca="false">IF(AND(E22&gt;0,F21&gt;0,B22&gt;0),MIN(conv_cap,conv_beta*jp_uplift*E22*MAX(0,LN(B22/(F21*H21)))),0)</f>
        <v>0</v>
      </c>
      <c r="H22" s="68" t="n">
        <f aca="false">H21*(1+G22)</f>
        <v>1</v>
      </c>
      <c r="I22" s="49" t="n">
        <f aca="false">D22*H22</f>
        <v>0</v>
      </c>
      <c r="J22" s="70" t="n">
        <f aca="false">IF(C22&gt;0,I22*1000000/C22/Economy!Q22,0)</f>
        <v>0</v>
      </c>
      <c r="K22" s="65" t="n">
        <f aca="false">Gulf!B22</f>
        <v>0</v>
      </c>
      <c r="L22" s="49" t="n">
        <f aca="false">Gulf!B22*Gulf!C22*Economy!Q22/1000000</f>
        <v>0</v>
      </c>
      <c r="M22" s="71" t="n">
        <v>0</v>
      </c>
      <c r="N22" s="49" t="n">
        <f aca="false">IF(K22&gt;0,L22*1000000/K22,0)</f>
        <v>0</v>
      </c>
      <c r="O22" s="67" t="n">
        <f aca="false">IF(AND(M22&gt;0,N21&gt;0,B22&gt;0),MIN(conv_cap,conv_beta*1*M22*MAX(0,LN(B22/(N21*P21)))),0)</f>
        <v>0</v>
      </c>
      <c r="P22" s="68" t="n">
        <f aca="false">P21*(1+O22)</f>
        <v>1</v>
      </c>
      <c r="Q22" s="49" t="n">
        <f aca="false">L22*P22</f>
        <v>0</v>
      </c>
      <c r="R22" s="70" t="n">
        <f aca="false">IF(K22&gt;0,Q22*1000000/K22/Economy!Q22,0)</f>
        <v>0</v>
      </c>
      <c r="S22" s="65" t="n">
        <f aca="false">People!U22</f>
        <v>0</v>
      </c>
      <c r="T22" s="47" t="n">
        <v>0</v>
      </c>
      <c r="U22" s="71" t="n">
        <v>0</v>
      </c>
      <c r="V22" s="49" t="n">
        <f aca="false">IF(S22&gt;0,T22*1000000/S22,0)</f>
        <v>0</v>
      </c>
      <c r="W22" s="67" t="n">
        <f aca="false">IF(AND(U22&gt;0,V21&gt;0,B22&gt;0),MIN(conv_cap,conv_beta*1*U22*MAX(0,LN(B22/(V21*X21)))),0)</f>
        <v>0</v>
      </c>
      <c r="X22" s="68" t="n">
        <f aca="false">X21*(1+W22)</f>
        <v>1</v>
      </c>
      <c r="Y22" s="49" t="n">
        <f aca="false">T22*X22</f>
        <v>0</v>
      </c>
      <c r="Z22" s="70" t="n">
        <f aca="false">IF(S22&gt;0,Y22*1000000/S22/Economy!Q22,0)</f>
        <v>0</v>
      </c>
      <c r="AA22" s="47" t="n">
        <v>0</v>
      </c>
      <c r="AB22" s="47" t="n">
        <v>0</v>
      </c>
      <c r="AC22" s="71" t="n">
        <v>0</v>
      </c>
      <c r="AD22" s="49" t="n">
        <f aca="false">IF(AA22&gt;0,AB22*1000000/AA22,0)</f>
        <v>0</v>
      </c>
      <c r="AE22" s="67" t="n">
        <f aca="false">IF(AND(AC22&gt;0,AD21&gt;0,B22&gt;0),MIN(conv_cap,conv_beta*1*AC22*MAX(0,LN(B22/(AD21*AF21)))),0)</f>
        <v>0</v>
      </c>
      <c r="AF22" s="68" t="n">
        <f aca="false">AF21*(1+AE22)</f>
        <v>1</v>
      </c>
      <c r="AG22" s="49" t="n">
        <f aca="false">AB22*AF22</f>
        <v>0</v>
      </c>
      <c r="AH22" s="70" t="n">
        <f aca="false">IF(AA22&gt;0,AG22*1000000/AA22/Economy!Q22,0)</f>
        <v>0</v>
      </c>
      <c r="AI22" s="47" t="n">
        <v>350000000</v>
      </c>
      <c r="AJ22" s="47" t="n">
        <v>3300</v>
      </c>
      <c r="AK22" s="71" t="n">
        <v>0.05</v>
      </c>
      <c r="AL22" s="49" t="n">
        <f aca="false">IF(AI22&gt;0,AJ22*1000000/AI22,0)</f>
        <v>9.42857142857143</v>
      </c>
      <c r="AM22" s="67" t="n">
        <f aca="false">IF(AND(AK22&gt;0,AL21&gt;0,B22&gt;0),MIN(conv_cap,conv_beta*1*AK22*MAX(0,LN(B22/(AL21*AN21)))),0)</f>
        <v>0</v>
      </c>
      <c r="AN22" s="68" t="n">
        <f aca="false">AN21*(1+AM22)</f>
        <v>1</v>
      </c>
      <c r="AO22" s="49" t="n">
        <f aca="false">AJ22*AN22</f>
        <v>3300</v>
      </c>
      <c r="AP22" s="70" t="n">
        <f aca="false">IF(AI22&gt;0,AO22*1000000/AI22/Economy!Q22,0)</f>
        <v>0.0654761904761905</v>
      </c>
      <c r="AQ22" s="47" t="n">
        <v>0</v>
      </c>
      <c r="AR22" s="47" t="n">
        <v>0</v>
      </c>
      <c r="AS22" s="71" t="n">
        <v>0</v>
      </c>
      <c r="AT22" s="49" t="n">
        <f aca="false">IF(AQ22&gt;0,AR22*1000000/AQ22,0)</f>
        <v>0</v>
      </c>
      <c r="AU22" s="67" t="n">
        <f aca="false">IF(AND(AS22&gt;0,AT21&gt;0,B22&gt;0),MIN(conv_cap,conv_beta*1*AS22*MAX(0,LN(B22/(AT21*AV21)))),0)</f>
        <v>0</v>
      </c>
      <c r="AV22" s="68" t="n">
        <f aca="false">AV21*(1+AU22)</f>
        <v>1</v>
      </c>
      <c r="AW22" s="49" t="n">
        <f aca="false">AR22*AV22</f>
        <v>0</v>
      </c>
      <c r="AX22" s="70" t="n">
        <f aca="false">IF(AQ22&gt;0,AW22*1000000/AQ22/Economy!Q22,0)</f>
        <v>0</v>
      </c>
      <c r="AY22" s="47" t="n">
        <v>0</v>
      </c>
      <c r="AZ22" s="47" t="n">
        <v>0</v>
      </c>
      <c r="BA22" s="71" t="n">
        <v>0</v>
      </c>
      <c r="BB22" s="49" t="n">
        <f aca="false">IF(AY22&gt;0,AZ22*1000000/AY22,0)</f>
        <v>0</v>
      </c>
      <c r="BC22" s="67" t="n">
        <f aca="false">IF(AND(BA22&gt;0,BB21&gt;0,B22&gt;0),MIN(conv_cap,conv_beta*1*BA22*MAX(0,LN(B22/(BB21*BD21)))),0)</f>
        <v>0</v>
      </c>
      <c r="BD22" s="68" t="n">
        <f aca="false">BD21*(1+BC22)</f>
        <v>1</v>
      </c>
      <c r="BE22" s="49" t="n">
        <f aca="false">AZ22*BD22</f>
        <v>0</v>
      </c>
      <c r="BF22" s="70" t="n">
        <f aca="false">IF(AY22&gt;0,BE22*1000000/AY22/Economy!Q22,0)</f>
        <v>0</v>
      </c>
      <c r="BG22" s="47" t="n">
        <v>0</v>
      </c>
      <c r="BH22" s="47" t="n">
        <v>0</v>
      </c>
      <c r="BI22" s="71" t="n">
        <v>0</v>
      </c>
      <c r="BJ22" s="49" t="n">
        <f aca="false">IF(BG22&gt;0,BH22*1000000/BG22,0)</f>
        <v>0</v>
      </c>
      <c r="BK22" s="67" t="n">
        <f aca="false">IF(AND(BI22&gt;0,BJ21&gt;0,B22&gt;0),MIN(conv_cap,conv_beta*1*BI22*MAX(0,LN(B22/(BJ21*BL21)))),0)</f>
        <v>0</v>
      </c>
      <c r="BL22" s="68" t="n">
        <f aca="false">BL21*(1+BK22)</f>
        <v>1</v>
      </c>
      <c r="BM22" s="49" t="n">
        <f aca="false">BH22*BL22</f>
        <v>0</v>
      </c>
      <c r="BN22" s="70" t="n">
        <f aca="false">IF(BG22&gt;0,BM22*1000000/BG22/Economy!Q22,0)</f>
        <v>0</v>
      </c>
      <c r="BO22" s="47" t="n">
        <v>0</v>
      </c>
      <c r="BP22" s="47" t="n">
        <v>0</v>
      </c>
      <c r="BQ22" s="71" t="n">
        <v>0</v>
      </c>
      <c r="BR22" s="49" t="n">
        <f aca="false">IF(BO22&gt;0,BP22*1000000/BO22,0)</f>
        <v>0</v>
      </c>
      <c r="BS22" s="67" t="n">
        <f aca="false">IF(AND(BQ22&gt;0,BR21&gt;0,B22&gt;0),MIN(conv_cap,conv_beta*1*BQ22*MAX(0,LN(B22/(BR21*BT21)))),0)</f>
        <v>0</v>
      </c>
      <c r="BT22" s="68" t="n">
        <f aca="false">BT21*(1+BS22)</f>
        <v>1</v>
      </c>
      <c r="BU22" s="49" t="n">
        <f aca="false">BP22*BT22</f>
        <v>0</v>
      </c>
      <c r="BV22" s="70" t="n">
        <f aca="false">IF(BO22&gt;0,BU22*1000000/BO22/Economy!Q22,0)</f>
        <v>0</v>
      </c>
      <c r="BW22" s="68" t="n">
        <f aca="false">0.25*IF(D22&gt;0,H22,1)+0.15*IF(AJ22&gt;0,AN22,1)+0.03*IF(AR22&gt;0,AV22,1)+0.08*IF(AZ22&gt;0,BD22,1)+0.12*IF(BH22&gt;0,BL22,1)+0.1*IF(L22&gt;0,P22,1)+0.07*IF(T22&gt;0,X22,1)+0.05*IF(AB22&gt;0,AF22,1)+0.05*IF(BP22&gt;0,BT22,1)+0.1</f>
        <v>1</v>
      </c>
      <c r="BX22" s="66" t="n">
        <f aca="false">MIN(mkt_cap,mkt_elast*MAX(0,BW22-1))</f>
        <v>0</v>
      </c>
      <c r="BY22" s="49" t="n">
        <f aca="false">I22+Q22+Y22+AG22</f>
        <v>0</v>
      </c>
      <c r="BZ22" s="49" t="n">
        <f aca="false">D22+L22+T22+AB22</f>
        <v>0</v>
      </c>
      <c r="CA22" s="68" t="n">
        <f aca="false">IF(BZ22&gt;0,BY22/BZ22,0)</f>
        <v>0</v>
      </c>
    </row>
    <row r="23" customFormat="false" ht="14.25" hidden="false" customHeight="true" outlineLevel="0" collapsed="false">
      <c r="A23" s="64" t="n">
        <v>1863</v>
      </c>
      <c r="B23" s="49" t="n">
        <f aca="false">Economy!P22</f>
        <v>241.756021555167</v>
      </c>
      <c r="C23" s="47" t="n">
        <v>0</v>
      </c>
      <c r="D23" s="65" t="n">
        <f aca="false">Japan!B23</f>
        <v>0</v>
      </c>
      <c r="E23" s="71" t="n">
        <v>0.2</v>
      </c>
      <c r="F23" s="49" t="n">
        <f aca="false">IF(C23&gt;0,D23*1000000/C23,0)</f>
        <v>0</v>
      </c>
      <c r="G23" s="67" t="n">
        <f aca="false">IF(AND(E23&gt;0,F22&gt;0,B23&gt;0),MIN(conv_cap,conv_beta*jp_uplift*E23*MAX(0,LN(B23/(F22*H22)))),0)</f>
        <v>0</v>
      </c>
      <c r="H23" s="68" t="n">
        <f aca="false">H22*(1+G23)</f>
        <v>1</v>
      </c>
      <c r="I23" s="49" t="n">
        <f aca="false">D23*H23</f>
        <v>0</v>
      </c>
      <c r="J23" s="70" t="n">
        <f aca="false">IF(C23&gt;0,I23*1000000/C23/Economy!Q23,0)</f>
        <v>0</v>
      </c>
      <c r="K23" s="65" t="n">
        <f aca="false">Gulf!B23</f>
        <v>0</v>
      </c>
      <c r="L23" s="49" t="n">
        <f aca="false">Gulf!B23*Gulf!C23*Economy!Q23/1000000</f>
        <v>0</v>
      </c>
      <c r="M23" s="71" t="n">
        <v>0</v>
      </c>
      <c r="N23" s="49" t="n">
        <f aca="false">IF(K23&gt;0,L23*1000000/K23,0)</f>
        <v>0</v>
      </c>
      <c r="O23" s="67" t="n">
        <f aca="false">IF(AND(M23&gt;0,N22&gt;0,B23&gt;0),MIN(conv_cap,conv_beta*1*M23*MAX(0,LN(B23/(N22*P22)))),0)</f>
        <v>0</v>
      </c>
      <c r="P23" s="68" t="n">
        <f aca="false">P22*(1+O23)</f>
        <v>1</v>
      </c>
      <c r="Q23" s="49" t="n">
        <f aca="false">L23*P23</f>
        <v>0</v>
      </c>
      <c r="R23" s="70" t="n">
        <f aca="false">IF(K23&gt;0,Q23*1000000/K23/Economy!Q23,0)</f>
        <v>0</v>
      </c>
      <c r="S23" s="65" t="n">
        <f aca="false">People!U23</f>
        <v>0</v>
      </c>
      <c r="T23" s="47" t="n">
        <v>0</v>
      </c>
      <c r="U23" s="71" t="n">
        <v>0</v>
      </c>
      <c r="V23" s="49" t="n">
        <f aca="false">IF(S23&gt;0,T23*1000000/S23,0)</f>
        <v>0</v>
      </c>
      <c r="W23" s="67" t="n">
        <f aca="false">IF(AND(U23&gt;0,V22&gt;0,B23&gt;0),MIN(conv_cap,conv_beta*1*U23*MAX(0,LN(B23/(V22*X22)))),0)</f>
        <v>0</v>
      </c>
      <c r="X23" s="68" t="n">
        <f aca="false">X22*(1+W23)</f>
        <v>1</v>
      </c>
      <c r="Y23" s="49" t="n">
        <f aca="false">T23*X23</f>
        <v>0</v>
      </c>
      <c r="Z23" s="70" t="n">
        <f aca="false">IF(S23&gt;0,Y23*1000000/S23/Economy!Q23,0)</f>
        <v>0</v>
      </c>
      <c r="AA23" s="47" t="n">
        <v>0</v>
      </c>
      <c r="AB23" s="47" t="n">
        <v>0</v>
      </c>
      <c r="AC23" s="71" t="n">
        <v>0</v>
      </c>
      <c r="AD23" s="49" t="n">
        <f aca="false">IF(AA23&gt;0,AB23*1000000/AA23,0)</f>
        <v>0</v>
      </c>
      <c r="AE23" s="67" t="n">
        <f aca="false">IF(AND(AC23&gt;0,AD22&gt;0,B23&gt;0),MIN(conv_cap,conv_beta*1*AC23*MAX(0,LN(B23/(AD22*AF22)))),0)</f>
        <v>0</v>
      </c>
      <c r="AF23" s="68" t="n">
        <f aca="false">AF22*(1+AE23)</f>
        <v>1</v>
      </c>
      <c r="AG23" s="49" t="n">
        <f aca="false">AB23*AF23</f>
        <v>0</v>
      </c>
      <c r="AH23" s="70" t="n">
        <f aca="false">IF(AA23&gt;0,AG23*1000000/AA23/Economy!Q23,0)</f>
        <v>0</v>
      </c>
      <c r="AI23" s="47" t="n">
        <v>351000000</v>
      </c>
      <c r="AJ23" s="47" t="n">
        <v>3325</v>
      </c>
      <c r="AK23" s="71" t="n">
        <v>0.054</v>
      </c>
      <c r="AL23" s="49" t="n">
        <f aca="false">IF(AI23&gt;0,AJ23*1000000/AI23,0)</f>
        <v>9.47293447293447</v>
      </c>
      <c r="AM23" s="67" t="n">
        <f aca="false">IF(AND(AK23&gt;0,AL22&gt;0,B23&gt;0),MIN(conv_cap,conv_beta*1*AK23*MAX(0,LN(B23/(AL22*AN22)))),0)</f>
        <v>0.00175185960259125</v>
      </c>
      <c r="AN23" s="68" t="n">
        <f aca="false">AN22*(1+AM23)</f>
        <v>1.00175185960259</v>
      </c>
      <c r="AO23" s="49" t="n">
        <f aca="false">AJ23*AN23</f>
        <v>3330.82493317862</v>
      </c>
      <c r="AP23" s="70" t="n">
        <f aca="false">IF(AI23&gt;0,AO23*1000000/AI23/Economy!Q23,0)</f>
        <v>0.0649967789325726</v>
      </c>
      <c r="AQ23" s="47" t="n">
        <v>0</v>
      </c>
      <c r="AR23" s="47" t="n">
        <v>0</v>
      </c>
      <c r="AS23" s="71" t="n">
        <v>0</v>
      </c>
      <c r="AT23" s="49" t="n">
        <f aca="false">IF(AQ23&gt;0,AR23*1000000/AQ23,0)</f>
        <v>0</v>
      </c>
      <c r="AU23" s="67" t="n">
        <f aca="false">IF(AND(AS23&gt;0,AT22&gt;0,B23&gt;0),MIN(conv_cap,conv_beta*1*AS23*MAX(0,LN(B23/(AT22*AV22)))),0)</f>
        <v>0</v>
      </c>
      <c r="AV23" s="68" t="n">
        <f aca="false">AV22*(1+AU23)</f>
        <v>1</v>
      </c>
      <c r="AW23" s="49" t="n">
        <f aca="false">AR23*AV23</f>
        <v>0</v>
      </c>
      <c r="AX23" s="70" t="n">
        <f aca="false">IF(AQ23&gt;0,AW23*1000000/AQ23/Economy!Q23,0)</f>
        <v>0</v>
      </c>
      <c r="AY23" s="47" t="n">
        <v>0</v>
      </c>
      <c r="AZ23" s="47" t="n">
        <v>0</v>
      </c>
      <c r="BA23" s="71" t="n">
        <v>0</v>
      </c>
      <c r="BB23" s="49" t="n">
        <f aca="false">IF(AY23&gt;0,AZ23*1000000/AY23,0)</f>
        <v>0</v>
      </c>
      <c r="BC23" s="67" t="n">
        <f aca="false">IF(AND(BA23&gt;0,BB22&gt;0,B23&gt;0),MIN(conv_cap,conv_beta*1*BA23*MAX(0,LN(B23/(BB22*BD22)))),0)</f>
        <v>0</v>
      </c>
      <c r="BD23" s="68" t="n">
        <f aca="false">BD22*(1+BC23)</f>
        <v>1</v>
      </c>
      <c r="BE23" s="49" t="n">
        <f aca="false">AZ23*BD23</f>
        <v>0</v>
      </c>
      <c r="BF23" s="70" t="n">
        <f aca="false">IF(AY23&gt;0,BE23*1000000/AY23/Economy!Q23,0)</f>
        <v>0</v>
      </c>
      <c r="BG23" s="47" t="n">
        <v>0</v>
      </c>
      <c r="BH23" s="47" t="n">
        <v>0</v>
      </c>
      <c r="BI23" s="71" t="n">
        <v>0</v>
      </c>
      <c r="BJ23" s="49" t="n">
        <f aca="false">IF(BG23&gt;0,BH23*1000000/BG23,0)</f>
        <v>0</v>
      </c>
      <c r="BK23" s="67" t="n">
        <f aca="false">IF(AND(BI23&gt;0,BJ22&gt;0,B23&gt;0),MIN(conv_cap,conv_beta*1*BI23*MAX(0,LN(B23/(BJ22*BL22)))),0)</f>
        <v>0</v>
      </c>
      <c r="BL23" s="68" t="n">
        <f aca="false">BL22*(1+BK23)</f>
        <v>1</v>
      </c>
      <c r="BM23" s="49" t="n">
        <f aca="false">BH23*BL23</f>
        <v>0</v>
      </c>
      <c r="BN23" s="70" t="n">
        <f aca="false">IF(BG23&gt;0,BM23*1000000/BG23/Economy!Q23,0)</f>
        <v>0</v>
      </c>
      <c r="BO23" s="47" t="n">
        <v>0</v>
      </c>
      <c r="BP23" s="47" t="n">
        <v>0</v>
      </c>
      <c r="BQ23" s="71" t="n">
        <v>0</v>
      </c>
      <c r="BR23" s="49" t="n">
        <f aca="false">IF(BO23&gt;0,BP23*1000000/BO23,0)</f>
        <v>0</v>
      </c>
      <c r="BS23" s="67" t="n">
        <f aca="false">IF(AND(BQ23&gt;0,BR22&gt;0,B23&gt;0),MIN(conv_cap,conv_beta*1*BQ23*MAX(0,LN(B23/(BR22*BT22)))),0)</f>
        <v>0</v>
      </c>
      <c r="BT23" s="68" t="n">
        <f aca="false">BT22*(1+BS23)</f>
        <v>1</v>
      </c>
      <c r="BU23" s="49" t="n">
        <f aca="false">BP23*BT23</f>
        <v>0</v>
      </c>
      <c r="BV23" s="70" t="n">
        <f aca="false">IF(BO23&gt;0,BU23*1000000/BO23/Economy!Q23,0)</f>
        <v>0</v>
      </c>
      <c r="BW23" s="68" t="n">
        <f aca="false">0.25*IF(D23&gt;0,H23,1)+0.15*IF(AJ23&gt;0,AN23,1)+0.03*IF(AR23&gt;0,AV23,1)+0.08*IF(AZ23&gt;0,BD23,1)+0.12*IF(BH23&gt;0,BL23,1)+0.1*IF(L23&gt;0,P23,1)+0.07*IF(T23&gt;0,X23,1)+0.05*IF(AB23&gt;0,AF23,1)+0.05*IF(BP23&gt;0,BT23,1)+0.1</f>
        <v>1.00026277894039</v>
      </c>
      <c r="BX23" s="66" t="n">
        <f aca="false">MIN(mkt_cap,mkt_elast*MAX(0,BW23-1))</f>
        <v>0.000131389470194421</v>
      </c>
      <c r="BY23" s="49" t="n">
        <f aca="false">I23+Q23+Y23+AG23</f>
        <v>0</v>
      </c>
      <c r="BZ23" s="49" t="n">
        <f aca="false">D23+L23+T23+AB23</f>
        <v>0</v>
      </c>
      <c r="CA23" s="68" t="n">
        <f aca="false">IF(BZ23&gt;0,BY23/BZ23,0)</f>
        <v>0</v>
      </c>
    </row>
    <row r="24" customFormat="false" ht="14.25" hidden="false" customHeight="true" outlineLevel="0" collapsed="false">
      <c r="A24" s="64" t="n">
        <v>1864</v>
      </c>
      <c r="B24" s="49" t="n">
        <f aca="false">Economy!P23</f>
        <v>252.768195968061</v>
      </c>
      <c r="C24" s="47" t="n">
        <v>0</v>
      </c>
      <c r="D24" s="65" t="n">
        <f aca="false">Japan!B24</f>
        <v>0</v>
      </c>
      <c r="E24" s="71" t="n">
        <v>0.22</v>
      </c>
      <c r="F24" s="49" t="n">
        <f aca="false">IF(C24&gt;0,D24*1000000/C24,0)</f>
        <v>0</v>
      </c>
      <c r="G24" s="67" t="n">
        <f aca="false">IF(AND(E24&gt;0,F23&gt;0,B24&gt;0),MIN(conv_cap,conv_beta*jp_uplift*E24*MAX(0,LN(B24/(F23*H23)))),0)</f>
        <v>0</v>
      </c>
      <c r="H24" s="68" t="n">
        <f aca="false">H23*(1+G24)</f>
        <v>1</v>
      </c>
      <c r="I24" s="49" t="n">
        <f aca="false">D24*H24</f>
        <v>0</v>
      </c>
      <c r="J24" s="70" t="n">
        <f aca="false">IF(C24&gt;0,I24*1000000/C24/Economy!Q24,0)</f>
        <v>0</v>
      </c>
      <c r="K24" s="65" t="n">
        <f aca="false">Gulf!B24</f>
        <v>0</v>
      </c>
      <c r="L24" s="49" t="n">
        <f aca="false">Gulf!B24*Gulf!C24*Economy!Q24/1000000</f>
        <v>0</v>
      </c>
      <c r="M24" s="71" t="n">
        <v>0</v>
      </c>
      <c r="N24" s="49" t="n">
        <f aca="false">IF(K24&gt;0,L24*1000000/K24,0)</f>
        <v>0</v>
      </c>
      <c r="O24" s="67" t="n">
        <f aca="false">IF(AND(M24&gt;0,N23&gt;0,B24&gt;0),MIN(conv_cap,conv_beta*1*M24*MAX(0,LN(B24/(N23*P23)))),0)</f>
        <v>0</v>
      </c>
      <c r="P24" s="68" t="n">
        <f aca="false">P23*(1+O24)</f>
        <v>1</v>
      </c>
      <c r="Q24" s="49" t="n">
        <f aca="false">L24*P24</f>
        <v>0</v>
      </c>
      <c r="R24" s="70" t="n">
        <f aca="false">IF(K24&gt;0,Q24*1000000/K24/Economy!Q24,0)</f>
        <v>0</v>
      </c>
      <c r="S24" s="65" t="n">
        <f aca="false">People!U24</f>
        <v>0</v>
      </c>
      <c r="T24" s="47" t="n">
        <v>0</v>
      </c>
      <c r="U24" s="71" t="n">
        <v>0</v>
      </c>
      <c r="V24" s="49" t="n">
        <f aca="false">IF(S24&gt;0,T24*1000000/S24,0)</f>
        <v>0</v>
      </c>
      <c r="W24" s="67" t="n">
        <f aca="false">IF(AND(U24&gt;0,V23&gt;0,B24&gt;0),MIN(conv_cap,conv_beta*1*U24*MAX(0,LN(B24/(V23*X23)))),0)</f>
        <v>0</v>
      </c>
      <c r="X24" s="68" t="n">
        <f aca="false">X23*(1+W24)</f>
        <v>1</v>
      </c>
      <c r="Y24" s="49" t="n">
        <f aca="false">T24*X24</f>
        <v>0</v>
      </c>
      <c r="Z24" s="70" t="n">
        <f aca="false">IF(S24&gt;0,Y24*1000000/S24/Economy!Q24,0)</f>
        <v>0</v>
      </c>
      <c r="AA24" s="47" t="n">
        <v>0</v>
      </c>
      <c r="AB24" s="47" t="n">
        <v>0</v>
      </c>
      <c r="AC24" s="71" t="n">
        <v>0</v>
      </c>
      <c r="AD24" s="49" t="n">
        <f aca="false">IF(AA24&gt;0,AB24*1000000/AA24,0)</f>
        <v>0</v>
      </c>
      <c r="AE24" s="67" t="n">
        <f aca="false">IF(AND(AC24&gt;0,AD23&gt;0,B24&gt;0),MIN(conv_cap,conv_beta*1*AC24*MAX(0,LN(B24/(AD23*AF23)))),0)</f>
        <v>0</v>
      </c>
      <c r="AF24" s="68" t="n">
        <f aca="false">AF23*(1+AE24)</f>
        <v>1</v>
      </c>
      <c r="AG24" s="49" t="n">
        <f aca="false">AB24*AF24</f>
        <v>0</v>
      </c>
      <c r="AH24" s="70" t="n">
        <f aca="false">IF(AA24&gt;0,AG24*1000000/AA24/Economy!Q24,0)</f>
        <v>0</v>
      </c>
      <c r="AI24" s="47" t="n">
        <v>352000000</v>
      </c>
      <c r="AJ24" s="47" t="n">
        <v>3350</v>
      </c>
      <c r="AK24" s="71" t="n">
        <v>0.058</v>
      </c>
      <c r="AL24" s="49" t="n">
        <f aca="false">IF(AI24&gt;0,AJ24*1000000/AI24,0)</f>
        <v>9.51704545454546</v>
      </c>
      <c r="AM24" s="67" t="n">
        <f aca="false">IF(AND(AK24&gt;0,AL23&gt;0,B24&gt;0),MIN(conv_cap,conv_beta*1*AK24*MAX(0,LN(B24/(AL23*AN23)))),0)</f>
        <v>0.00190372459864051</v>
      </c>
      <c r="AN24" s="68" t="n">
        <f aca="false">AN23*(1+AM24)</f>
        <v>1.00365891925945</v>
      </c>
      <c r="AO24" s="49" t="n">
        <f aca="false">AJ24*AN24</f>
        <v>3362.25737951916</v>
      </c>
      <c r="AP24" s="70" t="n">
        <f aca="false">IF(AI24&gt;0,AO24*1000000/AI24/Economy!Q24,0)</f>
        <v>0.064539645644947</v>
      </c>
      <c r="AQ24" s="47" t="n">
        <v>0</v>
      </c>
      <c r="AR24" s="47" t="n">
        <v>0</v>
      </c>
      <c r="AS24" s="71" t="n">
        <v>0</v>
      </c>
      <c r="AT24" s="49" t="n">
        <f aca="false">IF(AQ24&gt;0,AR24*1000000/AQ24,0)</f>
        <v>0</v>
      </c>
      <c r="AU24" s="67" t="n">
        <f aca="false">IF(AND(AS24&gt;0,AT23&gt;0,B24&gt;0),MIN(conv_cap,conv_beta*1*AS24*MAX(0,LN(B24/(AT23*AV23)))),0)</f>
        <v>0</v>
      </c>
      <c r="AV24" s="68" t="n">
        <f aca="false">AV23*(1+AU24)</f>
        <v>1</v>
      </c>
      <c r="AW24" s="49" t="n">
        <f aca="false">AR24*AV24</f>
        <v>0</v>
      </c>
      <c r="AX24" s="70" t="n">
        <f aca="false">IF(AQ24&gt;0,AW24*1000000/AQ24/Economy!Q24,0)</f>
        <v>0</v>
      </c>
      <c r="AY24" s="47" t="n">
        <v>0</v>
      </c>
      <c r="AZ24" s="47" t="n">
        <v>0</v>
      </c>
      <c r="BA24" s="71" t="n">
        <v>0</v>
      </c>
      <c r="BB24" s="49" t="n">
        <f aca="false">IF(AY24&gt;0,AZ24*1000000/AY24,0)</f>
        <v>0</v>
      </c>
      <c r="BC24" s="67" t="n">
        <f aca="false">IF(AND(BA24&gt;0,BB23&gt;0,B24&gt;0),MIN(conv_cap,conv_beta*1*BA24*MAX(0,LN(B24/(BB23*BD23)))),0)</f>
        <v>0</v>
      </c>
      <c r="BD24" s="68" t="n">
        <f aca="false">BD23*(1+BC24)</f>
        <v>1</v>
      </c>
      <c r="BE24" s="49" t="n">
        <f aca="false">AZ24*BD24</f>
        <v>0</v>
      </c>
      <c r="BF24" s="70" t="n">
        <f aca="false">IF(AY24&gt;0,BE24*1000000/AY24/Economy!Q24,0)</f>
        <v>0</v>
      </c>
      <c r="BG24" s="47" t="n">
        <v>0</v>
      </c>
      <c r="BH24" s="47" t="n">
        <v>0</v>
      </c>
      <c r="BI24" s="71" t="n">
        <v>0</v>
      </c>
      <c r="BJ24" s="49" t="n">
        <f aca="false">IF(BG24&gt;0,BH24*1000000/BG24,0)</f>
        <v>0</v>
      </c>
      <c r="BK24" s="67" t="n">
        <f aca="false">IF(AND(BI24&gt;0,BJ23&gt;0,B24&gt;0),MIN(conv_cap,conv_beta*1*BI24*MAX(0,LN(B24/(BJ23*BL23)))),0)</f>
        <v>0</v>
      </c>
      <c r="BL24" s="68" t="n">
        <f aca="false">BL23*(1+BK24)</f>
        <v>1</v>
      </c>
      <c r="BM24" s="49" t="n">
        <f aca="false">BH24*BL24</f>
        <v>0</v>
      </c>
      <c r="BN24" s="70" t="n">
        <f aca="false">IF(BG24&gt;0,BM24*1000000/BG24/Economy!Q24,0)</f>
        <v>0</v>
      </c>
      <c r="BO24" s="47" t="n">
        <v>0</v>
      </c>
      <c r="BP24" s="47" t="n">
        <v>0</v>
      </c>
      <c r="BQ24" s="71" t="n">
        <v>0</v>
      </c>
      <c r="BR24" s="49" t="n">
        <f aca="false">IF(BO24&gt;0,BP24*1000000/BO24,0)</f>
        <v>0</v>
      </c>
      <c r="BS24" s="67" t="n">
        <f aca="false">IF(AND(BQ24&gt;0,BR23&gt;0,B24&gt;0),MIN(conv_cap,conv_beta*1*BQ24*MAX(0,LN(B24/(BR23*BT23)))),0)</f>
        <v>0</v>
      </c>
      <c r="BT24" s="68" t="n">
        <f aca="false">BT23*(1+BS24)</f>
        <v>1</v>
      </c>
      <c r="BU24" s="49" t="n">
        <f aca="false">BP24*BT24</f>
        <v>0</v>
      </c>
      <c r="BV24" s="70" t="n">
        <f aca="false">IF(BO24&gt;0,BU24*1000000/BO24/Economy!Q24,0)</f>
        <v>0</v>
      </c>
      <c r="BW24" s="68" t="n">
        <f aca="false">0.25*IF(D24&gt;0,H24,1)+0.15*IF(AJ24&gt;0,AN24,1)+0.03*IF(AR24&gt;0,AV24,1)+0.08*IF(AZ24&gt;0,BD24,1)+0.12*IF(BH24&gt;0,BL24,1)+0.1*IF(L24&gt;0,P24,1)+0.07*IF(T24&gt;0,X24,1)+0.05*IF(AB24&gt;0,AF24,1)+0.05*IF(BP24&gt;0,BT24,1)+0.1</f>
        <v>1.00054883788892</v>
      </c>
      <c r="BX24" s="66" t="n">
        <f aca="false">MIN(mkt_cap,mkt_elast*MAX(0,BW24-1))</f>
        <v>0.000274418944458898</v>
      </c>
      <c r="BY24" s="49" t="n">
        <f aca="false">I24+Q24+Y24+AG24</f>
        <v>0</v>
      </c>
      <c r="BZ24" s="49" t="n">
        <f aca="false">D24+L24+T24+AB24</f>
        <v>0</v>
      </c>
      <c r="CA24" s="68" t="n">
        <f aca="false">IF(BZ24&gt;0,BY24/BZ24,0)</f>
        <v>0</v>
      </c>
    </row>
    <row r="25" customFormat="false" ht="14.25" hidden="false" customHeight="true" outlineLevel="0" collapsed="false">
      <c r="A25" s="64" t="n">
        <v>1865</v>
      </c>
      <c r="B25" s="49" t="n">
        <f aca="false">Economy!P24</f>
        <v>275.457204632015</v>
      </c>
      <c r="C25" s="47" t="n">
        <v>0</v>
      </c>
      <c r="D25" s="65" t="n">
        <f aca="false">Japan!B25</f>
        <v>0</v>
      </c>
      <c r="E25" s="71" t="n">
        <v>0.24</v>
      </c>
      <c r="F25" s="49" t="n">
        <f aca="false">IF(C25&gt;0,D25*1000000/C25,0)</f>
        <v>0</v>
      </c>
      <c r="G25" s="67" t="n">
        <f aca="false">IF(AND(E25&gt;0,F24&gt;0,B25&gt;0),MIN(conv_cap,conv_beta*jp_uplift*E25*MAX(0,LN(B25/(F24*H24)))),0)</f>
        <v>0</v>
      </c>
      <c r="H25" s="68" t="n">
        <f aca="false">H24*(1+G25)</f>
        <v>1</v>
      </c>
      <c r="I25" s="49" t="n">
        <f aca="false">D25*H25</f>
        <v>0</v>
      </c>
      <c r="J25" s="70" t="n">
        <f aca="false">IF(C25&gt;0,I25*1000000/C25/Economy!Q25,0)</f>
        <v>0</v>
      </c>
      <c r="K25" s="65" t="n">
        <f aca="false">Gulf!B25</f>
        <v>0</v>
      </c>
      <c r="L25" s="49" t="n">
        <f aca="false">Gulf!B25*Gulf!C25*Economy!Q25/1000000</f>
        <v>0</v>
      </c>
      <c r="M25" s="71" t="n">
        <v>0</v>
      </c>
      <c r="N25" s="49" t="n">
        <f aca="false">IF(K25&gt;0,L25*1000000/K25,0)</f>
        <v>0</v>
      </c>
      <c r="O25" s="67" t="n">
        <f aca="false">IF(AND(M25&gt;0,N24&gt;0,B25&gt;0),MIN(conv_cap,conv_beta*1*M25*MAX(0,LN(B25/(N24*P24)))),0)</f>
        <v>0</v>
      </c>
      <c r="P25" s="68" t="n">
        <f aca="false">P24*(1+O25)</f>
        <v>1</v>
      </c>
      <c r="Q25" s="49" t="n">
        <f aca="false">L25*P25</f>
        <v>0</v>
      </c>
      <c r="R25" s="70" t="n">
        <f aca="false">IF(K25&gt;0,Q25*1000000/K25/Economy!Q25,0)</f>
        <v>0</v>
      </c>
      <c r="S25" s="65" t="n">
        <f aca="false">People!U25</f>
        <v>0</v>
      </c>
      <c r="T25" s="47" t="n">
        <v>0</v>
      </c>
      <c r="U25" s="71" t="n">
        <v>0</v>
      </c>
      <c r="V25" s="49" t="n">
        <f aca="false">IF(S25&gt;0,T25*1000000/S25,0)</f>
        <v>0</v>
      </c>
      <c r="W25" s="67" t="n">
        <f aca="false">IF(AND(U25&gt;0,V24&gt;0,B25&gt;0),MIN(conv_cap,conv_beta*1*U25*MAX(0,LN(B25/(V24*X24)))),0)</f>
        <v>0</v>
      </c>
      <c r="X25" s="68" t="n">
        <f aca="false">X24*(1+W25)</f>
        <v>1</v>
      </c>
      <c r="Y25" s="49" t="n">
        <f aca="false">T25*X25</f>
        <v>0</v>
      </c>
      <c r="Z25" s="70" t="n">
        <f aca="false">IF(S25&gt;0,Y25*1000000/S25/Economy!Q25,0)</f>
        <v>0</v>
      </c>
      <c r="AA25" s="47" t="n">
        <v>0</v>
      </c>
      <c r="AB25" s="47" t="n">
        <v>0</v>
      </c>
      <c r="AC25" s="71" t="n">
        <v>0</v>
      </c>
      <c r="AD25" s="49" t="n">
        <f aca="false">IF(AA25&gt;0,AB25*1000000/AA25,0)</f>
        <v>0</v>
      </c>
      <c r="AE25" s="67" t="n">
        <f aca="false">IF(AND(AC25&gt;0,AD24&gt;0,B25&gt;0),MIN(conv_cap,conv_beta*1*AC25*MAX(0,LN(B25/(AD24*AF24)))),0)</f>
        <v>0</v>
      </c>
      <c r="AF25" s="68" t="n">
        <f aca="false">AF24*(1+AE25)</f>
        <v>1</v>
      </c>
      <c r="AG25" s="49" t="n">
        <f aca="false">AB25*AF25</f>
        <v>0</v>
      </c>
      <c r="AH25" s="70" t="n">
        <f aca="false">IF(AA25&gt;0,AG25*1000000/AA25/Economy!Q25,0)</f>
        <v>0</v>
      </c>
      <c r="AI25" s="47" t="n">
        <v>353000000</v>
      </c>
      <c r="AJ25" s="47" t="n">
        <v>3375</v>
      </c>
      <c r="AK25" s="71" t="n">
        <v>0.062</v>
      </c>
      <c r="AL25" s="49" t="n">
        <f aca="false">IF(AI25&gt;0,AJ25*1000000/AI25,0)</f>
        <v>9.56090651558074</v>
      </c>
      <c r="AM25" s="67" t="n">
        <f aca="false">IF(AND(AK25&gt;0,AL24&gt;0,B25&gt;0),MIN(conv_cap,conv_beta*1*AK25*MAX(0,LN(B25/(AL24*AN24)))),0)</f>
        <v>0.00208425126488188</v>
      </c>
      <c r="AN25" s="68" t="n">
        <f aca="false">AN24*(1+AM25)</f>
        <v>1.00575079663143</v>
      </c>
      <c r="AO25" s="49" t="n">
        <f aca="false">AJ25*AN25</f>
        <v>3394.40893863107</v>
      </c>
      <c r="AP25" s="70" t="n">
        <f aca="false">IF(AI25&gt;0,AO25*1000000/AI25/Economy!Q25,0)</f>
        <v>0.0641059289637595</v>
      </c>
      <c r="AQ25" s="47" t="n">
        <v>0</v>
      </c>
      <c r="AR25" s="47" t="n">
        <v>0</v>
      </c>
      <c r="AS25" s="71" t="n">
        <v>0</v>
      </c>
      <c r="AT25" s="49" t="n">
        <f aca="false">IF(AQ25&gt;0,AR25*1000000/AQ25,0)</f>
        <v>0</v>
      </c>
      <c r="AU25" s="67" t="n">
        <f aca="false">IF(AND(AS25&gt;0,AT24&gt;0,B25&gt;0),MIN(conv_cap,conv_beta*1*AS25*MAX(0,LN(B25/(AT24*AV24)))),0)</f>
        <v>0</v>
      </c>
      <c r="AV25" s="68" t="n">
        <f aca="false">AV24*(1+AU25)</f>
        <v>1</v>
      </c>
      <c r="AW25" s="49" t="n">
        <f aca="false">AR25*AV25</f>
        <v>0</v>
      </c>
      <c r="AX25" s="70" t="n">
        <f aca="false">IF(AQ25&gt;0,AW25*1000000/AQ25/Economy!Q25,0)</f>
        <v>0</v>
      </c>
      <c r="AY25" s="47" t="n">
        <v>0</v>
      </c>
      <c r="AZ25" s="47" t="n">
        <v>0</v>
      </c>
      <c r="BA25" s="71" t="n">
        <v>0</v>
      </c>
      <c r="BB25" s="49" t="n">
        <f aca="false">IF(AY25&gt;0,AZ25*1000000/AY25,0)</f>
        <v>0</v>
      </c>
      <c r="BC25" s="67" t="n">
        <f aca="false">IF(AND(BA25&gt;0,BB24&gt;0,B25&gt;0),MIN(conv_cap,conv_beta*1*BA25*MAX(0,LN(B25/(BB24*BD24)))),0)</f>
        <v>0</v>
      </c>
      <c r="BD25" s="68" t="n">
        <f aca="false">BD24*(1+BC25)</f>
        <v>1</v>
      </c>
      <c r="BE25" s="49" t="n">
        <f aca="false">AZ25*BD25</f>
        <v>0</v>
      </c>
      <c r="BF25" s="70" t="n">
        <f aca="false">IF(AY25&gt;0,BE25*1000000/AY25/Economy!Q25,0)</f>
        <v>0</v>
      </c>
      <c r="BG25" s="47" t="n">
        <v>0</v>
      </c>
      <c r="BH25" s="47" t="n">
        <v>0</v>
      </c>
      <c r="BI25" s="71" t="n">
        <v>0</v>
      </c>
      <c r="BJ25" s="49" t="n">
        <f aca="false">IF(BG25&gt;0,BH25*1000000/BG25,0)</f>
        <v>0</v>
      </c>
      <c r="BK25" s="67" t="n">
        <f aca="false">IF(AND(BI25&gt;0,BJ24&gt;0,B25&gt;0),MIN(conv_cap,conv_beta*1*BI25*MAX(0,LN(B25/(BJ24*BL24)))),0)</f>
        <v>0</v>
      </c>
      <c r="BL25" s="68" t="n">
        <f aca="false">BL24*(1+BK25)</f>
        <v>1</v>
      </c>
      <c r="BM25" s="49" t="n">
        <f aca="false">BH25*BL25</f>
        <v>0</v>
      </c>
      <c r="BN25" s="70" t="n">
        <f aca="false">IF(BG25&gt;0,BM25*1000000/BG25/Economy!Q25,0)</f>
        <v>0</v>
      </c>
      <c r="BO25" s="47" t="n">
        <v>0</v>
      </c>
      <c r="BP25" s="47" t="n">
        <v>0</v>
      </c>
      <c r="BQ25" s="71" t="n">
        <v>0</v>
      </c>
      <c r="BR25" s="49" t="n">
        <f aca="false">IF(BO25&gt;0,BP25*1000000/BO25,0)</f>
        <v>0</v>
      </c>
      <c r="BS25" s="67" t="n">
        <f aca="false">IF(AND(BQ25&gt;0,BR24&gt;0,B25&gt;0),MIN(conv_cap,conv_beta*1*BQ25*MAX(0,LN(B25/(BR24*BT24)))),0)</f>
        <v>0</v>
      </c>
      <c r="BT25" s="68" t="n">
        <f aca="false">BT24*(1+BS25)</f>
        <v>1</v>
      </c>
      <c r="BU25" s="49" t="n">
        <f aca="false">BP25*BT25</f>
        <v>0</v>
      </c>
      <c r="BV25" s="70" t="n">
        <f aca="false">IF(BO25&gt;0,BU25*1000000/BO25/Economy!Q25,0)</f>
        <v>0</v>
      </c>
      <c r="BW25" s="68" t="n">
        <f aca="false">0.25*IF(D25&gt;0,H25,1)+0.15*IF(AJ25&gt;0,AN25,1)+0.03*IF(AR25&gt;0,AV25,1)+0.08*IF(AZ25&gt;0,BD25,1)+0.12*IF(BH25&gt;0,BL25,1)+0.1*IF(L25&gt;0,P25,1)+0.07*IF(T25&gt;0,X25,1)+0.05*IF(AB25&gt;0,AF25,1)+0.05*IF(BP25&gt;0,BT25,1)+0.1</f>
        <v>1.00086261949471</v>
      </c>
      <c r="BX25" s="66" t="n">
        <f aca="false">MIN(mkt_cap,mkt_elast*MAX(0,BW25-1))</f>
        <v>0.000431309747357056</v>
      </c>
      <c r="BY25" s="49" t="n">
        <f aca="false">I25+Q25+Y25+AG25</f>
        <v>0</v>
      </c>
      <c r="BZ25" s="49" t="n">
        <f aca="false">D25+L25+T25+AB25</f>
        <v>0</v>
      </c>
      <c r="CA25" s="68" t="n">
        <f aca="false">IF(BZ25&gt;0,BY25/BZ25,0)</f>
        <v>0</v>
      </c>
    </row>
    <row r="26" customFormat="false" ht="14.25" hidden="false" customHeight="true" outlineLevel="0" collapsed="false">
      <c r="A26" s="61" t="n">
        <v>1866</v>
      </c>
      <c r="B26" s="49" t="n">
        <f aca="false">Economy!P25</f>
        <v>285.715736580384</v>
      </c>
      <c r="C26" s="47" t="n">
        <v>0</v>
      </c>
      <c r="D26" s="65" t="n">
        <f aca="false">Japan!B26</f>
        <v>0</v>
      </c>
      <c r="E26" s="71" t="n">
        <v>0.26</v>
      </c>
      <c r="F26" s="49" t="n">
        <f aca="false">IF(C26&gt;0,D26*1000000/C26,0)</f>
        <v>0</v>
      </c>
      <c r="G26" s="67" t="n">
        <f aca="false">IF(AND(E26&gt;0,F25&gt;0,B26&gt;0),MIN(conv_cap,conv_beta*jp_uplift*E26*MAX(0,LN(B26/(F25*H25)))),0)</f>
        <v>0</v>
      </c>
      <c r="H26" s="68" t="n">
        <f aca="false">H25*(1+G26)</f>
        <v>1</v>
      </c>
      <c r="I26" s="49" t="n">
        <f aca="false">D26*H26</f>
        <v>0</v>
      </c>
      <c r="J26" s="70" t="n">
        <f aca="false">IF(C26&gt;0,I26*1000000/C26/Economy!Q26,0)</f>
        <v>0</v>
      </c>
      <c r="K26" s="65" t="n">
        <f aca="false">Gulf!B26</f>
        <v>0</v>
      </c>
      <c r="L26" s="49" t="n">
        <f aca="false">Gulf!B26*Gulf!C26*Economy!Q26/1000000</f>
        <v>0</v>
      </c>
      <c r="M26" s="71" t="n">
        <v>0</v>
      </c>
      <c r="N26" s="49" t="n">
        <f aca="false">IF(K26&gt;0,L26*1000000/K26,0)</f>
        <v>0</v>
      </c>
      <c r="O26" s="67" t="n">
        <f aca="false">IF(AND(M26&gt;0,N25&gt;0,B26&gt;0),MIN(conv_cap,conv_beta*1*M26*MAX(0,LN(B26/(N25*P25)))),0)</f>
        <v>0</v>
      </c>
      <c r="P26" s="68" t="n">
        <f aca="false">P25*(1+O26)</f>
        <v>1</v>
      </c>
      <c r="Q26" s="49" t="n">
        <f aca="false">L26*P26</f>
        <v>0</v>
      </c>
      <c r="R26" s="70" t="n">
        <f aca="false">IF(K26&gt;0,Q26*1000000/K26/Economy!Q26,0)</f>
        <v>0</v>
      </c>
      <c r="S26" s="65" t="n">
        <f aca="false">People!U26</f>
        <v>0</v>
      </c>
      <c r="T26" s="47" t="n">
        <v>0</v>
      </c>
      <c r="U26" s="71" t="n">
        <v>0</v>
      </c>
      <c r="V26" s="49" t="n">
        <f aca="false">IF(S26&gt;0,T26*1000000/S26,0)</f>
        <v>0</v>
      </c>
      <c r="W26" s="67" t="n">
        <f aca="false">IF(AND(U26&gt;0,V25&gt;0,B26&gt;0),MIN(conv_cap,conv_beta*1*U26*MAX(0,LN(B26/(V25*X25)))),0)</f>
        <v>0</v>
      </c>
      <c r="X26" s="68" t="n">
        <f aca="false">X25*(1+W26)</f>
        <v>1</v>
      </c>
      <c r="Y26" s="49" t="n">
        <f aca="false">T26*X26</f>
        <v>0</v>
      </c>
      <c r="Z26" s="70" t="n">
        <f aca="false">IF(S26&gt;0,Y26*1000000/S26/Economy!Q26,0)</f>
        <v>0</v>
      </c>
      <c r="AA26" s="47" t="n">
        <v>0</v>
      </c>
      <c r="AB26" s="47" t="n">
        <v>0</v>
      </c>
      <c r="AC26" s="71" t="n">
        <v>0</v>
      </c>
      <c r="AD26" s="49" t="n">
        <f aca="false">IF(AA26&gt;0,AB26*1000000/AA26,0)</f>
        <v>0</v>
      </c>
      <c r="AE26" s="67" t="n">
        <f aca="false">IF(AND(AC26&gt;0,AD25&gt;0,B26&gt;0),MIN(conv_cap,conv_beta*1*AC26*MAX(0,LN(B26/(AD25*AF25)))),0)</f>
        <v>0</v>
      </c>
      <c r="AF26" s="68" t="n">
        <f aca="false">AF25*(1+AE26)</f>
        <v>1</v>
      </c>
      <c r="AG26" s="49" t="n">
        <f aca="false">AB26*AF26</f>
        <v>0</v>
      </c>
      <c r="AH26" s="70" t="n">
        <f aca="false">IF(AA26&gt;0,AG26*1000000/AA26/Economy!Q26,0)</f>
        <v>0</v>
      </c>
      <c r="AI26" s="47" t="n">
        <v>354000000</v>
      </c>
      <c r="AJ26" s="47" t="n">
        <v>3400</v>
      </c>
      <c r="AK26" s="71" t="n">
        <v>0.065</v>
      </c>
      <c r="AL26" s="49" t="n">
        <f aca="false">IF(AI26&gt;0,AJ26*1000000/AI26,0)</f>
        <v>9.6045197740113</v>
      </c>
      <c r="AM26" s="67" t="n">
        <f aca="false">IF(AND(AK26&gt;0,AL25&gt;0,B26&gt;0),MIN(conv_cap,conv_beta*1*AK26*MAX(0,LN(B26/(AL25*AN25)))),0)</f>
        <v>0.00220452733683485</v>
      </c>
      <c r="AN26" s="68" t="n">
        <f aca="false">AN25*(1+AM26)</f>
        <v>1.00796800175664</v>
      </c>
      <c r="AO26" s="49" t="n">
        <f aca="false">AJ26*AN26</f>
        <v>3427.09120597259</v>
      </c>
      <c r="AP26" s="70" t="n">
        <f aca="false">IF(AI26&gt;0,AO26*1000000/AI26/Economy!Q26,0)</f>
        <v>0.0628639519768984</v>
      </c>
      <c r="AQ26" s="47" t="n">
        <v>0</v>
      </c>
      <c r="AR26" s="47" t="n">
        <v>0</v>
      </c>
      <c r="AS26" s="71" t="n">
        <v>0</v>
      </c>
      <c r="AT26" s="49" t="n">
        <f aca="false">IF(AQ26&gt;0,AR26*1000000/AQ26,0)</f>
        <v>0</v>
      </c>
      <c r="AU26" s="67" t="n">
        <f aca="false">IF(AND(AS26&gt;0,AT25&gt;0,B26&gt;0),MIN(conv_cap,conv_beta*1*AS26*MAX(0,LN(B26/(AT25*AV25)))),0)</f>
        <v>0</v>
      </c>
      <c r="AV26" s="68" t="n">
        <f aca="false">AV25*(1+AU26)</f>
        <v>1</v>
      </c>
      <c r="AW26" s="49" t="n">
        <f aca="false">AR26*AV26</f>
        <v>0</v>
      </c>
      <c r="AX26" s="70" t="n">
        <f aca="false">IF(AQ26&gt;0,AW26*1000000/AQ26/Economy!Q26,0)</f>
        <v>0</v>
      </c>
      <c r="AY26" s="47" t="n">
        <v>0</v>
      </c>
      <c r="AZ26" s="47" t="n">
        <v>0</v>
      </c>
      <c r="BA26" s="71" t="n">
        <v>0</v>
      </c>
      <c r="BB26" s="49" t="n">
        <f aca="false">IF(AY26&gt;0,AZ26*1000000/AY26,0)</f>
        <v>0</v>
      </c>
      <c r="BC26" s="67" t="n">
        <f aca="false">IF(AND(BA26&gt;0,BB25&gt;0,B26&gt;0),MIN(conv_cap,conv_beta*1*BA26*MAX(0,LN(B26/(BB25*BD25)))),0)</f>
        <v>0</v>
      </c>
      <c r="BD26" s="68" t="n">
        <f aca="false">BD25*(1+BC26)</f>
        <v>1</v>
      </c>
      <c r="BE26" s="49" t="n">
        <f aca="false">AZ26*BD26</f>
        <v>0</v>
      </c>
      <c r="BF26" s="70" t="n">
        <f aca="false">IF(AY26&gt;0,BE26*1000000/AY26/Economy!Q26,0)</f>
        <v>0</v>
      </c>
      <c r="BG26" s="47" t="n">
        <v>0</v>
      </c>
      <c r="BH26" s="47" t="n">
        <v>0</v>
      </c>
      <c r="BI26" s="71" t="n">
        <v>0</v>
      </c>
      <c r="BJ26" s="49" t="n">
        <f aca="false">IF(BG26&gt;0,BH26*1000000/BG26,0)</f>
        <v>0</v>
      </c>
      <c r="BK26" s="67" t="n">
        <f aca="false">IF(AND(BI26&gt;0,BJ25&gt;0,B26&gt;0),MIN(conv_cap,conv_beta*1*BI26*MAX(0,LN(B26/(BJ25*BL25)))),0)</f>
        <v>0</v>
      </c>
      <c r="BL26" s="68" t="n">
        <f aca="false">BL25*(1+BK26)</f>
        <v>1</v>
      </c>
      <c r="BM26" s="49" t="n">
        <f aca="false">BH26*BL26</f>
        <v>0</v>
      </c>
      <c r="BN26" s="70" t="n">
        <f aca="false">IF(BG26&gt;0,BM26*1000000/BG26/Economy!Q26,0)</f>
        <v>0</v>
      </c>
      <c r="BO26" s="47" t="n">
        <v>0</v>
      </c>
      <c r="BP26" s="47" t="n">
        <v>0</v>
      </c>
      <c r="BQ26" s="71" t="n">
        <v>0</v>
      </c>
      <c r="BR26" s="49" t="n">
        <f aca="false">IF(BO26&gt;0,BP26*1000000/BO26,0)</f>
        <v>0</v>
      </c>
      <c r="BS26" s="67" t="n">
        <f aca="false">IF(AND(BQ26&gt;0,BR25&gt;0,B26&gt;0),MIN(conv_cap,conv_beta*1*BQ26*MAX(0,LN(B26/(BR25*BT25)))),0)</f>
        <v>0</v>
      </c>
      <c r="BT26" s="68" t="n">
        <f aca="false">BT25*(1+BS26)</f>
        <v>1</v>
      </c>
      <c r="BU26" s="49" t="n">
        <f aca="false">BP26*BT26</f>
        <v>0</v>
      </c>
      <c r="BV26" s="70" t="n">
        <f aca="false">IF(BO26&gt;0,BU26*1000000/BO26/Economy!Q26,0)</f>
        <v>0</v>
      </c>
      <c r="BW26" s="68" t="n">
        <f aca="false">0.25*IF(D26&gt;0,H26,1)+0.15*IF(AJ26&gt;0,AN26,1)+0.03*IF(AR26&gt;0,AV26,1)+0.08*IF(AZ26&gt;0,BD26,1)+0.12*IF(BH26&gt;0,BL26,1)+0.1*IF(L26&gt;0,P26,1)+0.07*IF(T26&gt;0,X26,1)+0.05*IF(AB26&gt;0,AF26,1)+0.05*IF(BP26&gt;0,BT26,1)+0.1</f>
        <v>1.0011952002635</v>
      </c>
      <c r="BX26" s="66" t="n">
        <f aca="false">MIN(mkt_cap,mkt_elast*MAX(0,BW26-1))</f>
        <v>0.000597600131748366</v>
      </c>
      <c r="BY26" s="49" t="n">
        <f aca="false">I26+Q26+Y26+AG26</f>
        <v>0</v>
      </c>
      <c r="BZ26" s="49" t="n">
        <f aca="false">D26+L26+T26+AB26</f>
        <v>0</v>
      </c>
      <c r="CA26" s="68" t="n">
        <f aca="false">IF(BZ26&gt;0,BY26/BZ26,0)</f>
        <v>0</v>
      </c>
    </row>
    <row r="27" customFormat="false" ht="14.25" hidden="false" customHeight="true" outlineLevel="0" collapsed="false">
      <c r="A27" s="61" t="n">
        <v>1867</v>
      </c>
      <c r="B27" s="49" t="n">
        <f aca="false">Economy!P26</f>
        <v>290.341674900873</v>
      </c>
      <c r="C27" s="47" t="n">
        <v>0</v>
      </c>
      <c r="D27" s="65" t="n">
        <f aca="false">Japan!B27</f>
        <v>0</v>
      </c>
      <c r="E27" s="71" t="n">
        <v>0.28</v>
      </c>
      <c r="F27" s="49" t="n">
        <f aca="false">IF(C27&gt;0,D27*1000000/C27,0)</f>
        <v>0</v>
      </c>
      <c r="G27" s="67" t="n">
        <f aca="false">IF(AND(E27&gt;0,F26&gt;0,B27&gt;0),MIN(conv_cap,conv_beta*jp_uplift*E27*MAX(0,LN(B27/(F26*H26)))),0)</f>
        <v>0</v>
      </c>
      <c r="H27" s="68" t="n">
        <f aca="false">H26*(1+G27)</f>
        <v>1</v>
      </c>
      <c r="I27" s="49" t="n">
        <f aca="false">D27*H27</f>
        <v>0</v>
      </c>
      <c r="J27" s="70" t="n">
        <f aca="false">IF(C27&gt;0,I27*1000000/C27/Economy!Q27,0)</f>
        <v>0</v>
      </c>
      <c r="K27" s="65" t="n">
        <f aca="false">Gulf!B27</f>
        <v>0</v>
      </c>
      <c r="L27" s="49" t="n">
        <f aca="false">Gulf!B27*Gulf!C27*Economy!Q27/1000000</f>
        <v>0</v>
      </c>
      <c r="M27" s="71" t="n">
        <v>0</v>
      </c>
      <c r="N27" s="49" t="n">
        <f aca="false">IF(K27&gt;0,L27*1000000/K27,0)</f>
        <v>0</v>
      </c>
      <c r="O27" s="67" t="n">
        <f aca="false">IF(AND(M27&gt;0,N26&gt;0,B27&gt;0),MIN(conv_cap,conv_beta*1*M27*MAX(0,LN(B27/(N26*P26)))),0)</f>
        <v>0</v>
      </c>
      <c r="P27" s="68" t="n">
        <f aca="false">P26*(1+O27)</f>
        <v>1</v>
      </c>
      <c r="Q27" s="49" t="n">
        <f aca="false">L27*P27</f>
        <v>0</v>
      </c>
      <c r="R27" s="70" t="n">
        <f aca="false">IF(K27&gt;0,Q27*1000000/K27/Economy!Q27,0)</f>
        <v>0</v>
      </c>
      <c r="S27" s="65" t="n">
        <f aca="false">People!U27</f>
        <v>0</v>
      </c>
      <c r="T27" s="47" t="n">
        <v>0</v>
      </c>
      <c r="U27" s="71" t="n">
        <v>0</v>
      </c>
      <c r="V27" s="49" t="n">
        <f aca="false">IF(S27&gt;0,T27*1000000/S27,0)</f>
        <v>0</v>
      </c>
      <c r="W27" s="67" t="n">
        <f aca="false">IF(AND(U27&gt;0,V26&gt;0,B27&gt;0),MIN(conv_cap,conv_beta*1*U27*MAX(0,LN(B27/(V26*X26)))),0)</f>
        <v>0</v>
      </c>
      <c r="X27" s="68" t="n">
        <f aca="false">X26*(1+W27)</f>
        <v>1</v>
      </c>
      <c r="Y27" s="49" t="n">
        <f aca="false">T27*X27</f>
        <v>0</v>
      </c>
      <c r="Z27" s="70" t="n">
        <f aca="false">IF(S27&gt;0,Y27*1000000/S27/Economy!Q27,0)</f>
        <v>0</v>
      </c>
      <c r="AA27" s="47" t="n">
        <v>0</v>
      </c>
      <c r="AB27" s="47" t="n">
        <v>0</v>
      </c>
      <c r="AC27" s="71" t="n">
        <v>0</v>
      </c>
      <c r="AD27" s="49" t="n">
        <f aca="false">IF(AA27&gt;0,AB27*1000000/AA27,0)</f>
        <v>0</v>
      </c>
      <c r="AE27" s="67" t="n">
        <f aca="false">IF(AND(AC27&gt;0,AD26&gt;0,B27&gt;0),MIN(conv_cap,conv_beta*1*AC27*MAX(0,LN(B27/(AD26*AF26)))),0)</f>
        <v>0</v>
      </c>
      <c r="AF27" s="68" t="n">
        <f aca="false">AF26*(1+AE27)</f>
        <v>1</v>
      </c>
      <c r="AG27" s="49" t="n">
        <f aca="false">AB27*AF27</f>
        <v>0</v>
      </c>
      <c r="AH27" s="70" t="n">
        <f aca="false">IF(AA27&gt;0,AG27*1000000/AA27/Economy!Q27,0)</f>
        <v>0</v>
      </c>
      <c r="AI27" s="47" t="n">
        <v>355000000</v>
      </c>
      <c r="AJ27" s="47" t="n">
        <v>3425</v>
      </c>
      <c r="AK27" s="71" t="n">
        <v>0.069</v>
      </c>
      <c r="AL27" s="49" t="n">
        <f aca="false">IF(AI27&gt;0,AJ27*1000000/AI27,0)</f>
        <v>9.64788732394366</v>
      </c>
      <c r="AM27" s="67" t="n">
        <f aca="false">IF(AND(AK27&gt;0,AL26&gt;0,B27&gt;0),MIN(conv_cap,conv_beta*1*AK27*MAX(0,LN(B27/(AL26*AN26)))),0)</f>
        <v>0.00234661285554827</v>
      </c>
      <c r="AN27" s="68" t="n">
        <f aca="false">AN26*(1+AM27)</f>
        <v>1.01033331242755</v>
      </c>
      <c r="AO27" s="49" t="n">
        <f aca="false">AJ27*AN27</f>
        <v>3460.39159506435</v>
      </c>
      <c r="AP27" s="70" t="n">
        <f aca="false">IF(AI27&gt;0,AO27*1000000/AI27/Economy!Q27,0)</f>
        <v>0.061305546905206</v>
      </c>
      <c r="AQ27" s="47" t="n">
        <v>0</v>
      </c>
      <c r="AR27" s="47" t="n">
        <v>0</v>
      </c>
      <c r="AS27" s="71" t="n">
        <v>0</v>
      </c>
      <c r="AT27" s="49" t="n">
        <f aca="false">IF(AQ27&gt;0,AR27*1000000/AQ27,0)</f>
        <v>0</v>
      </c>
      <c r="AU27" s="67" t="n">
        <f aca="false">IF(AND(AS27&gt;0,AT26&gt;0,B27&gt;0),MIN(conv_cap,conv_beta*1*AS27*MAX(0,LN(B27/(AT26*AV26)))),0)</f>
        <v>0</v>
      </c>
      <c r="AV27" s="68" t="n">
        <f aca="false">AV26*(1+AU27)</f>
        <v>1</v>
      </c>
      <c r="AW27" s="49" t="n">
        <f aca="false">AR27*AV27</f>
        <v>0</v>
      </c>
      <c r="AX27" s="70" t="n">
        <f aca="false">IF(AQ27&gt;0,AW27*1000000/AQ27/Economy!Q27,0)</f>
        <v>0</v>
      </c>
      <c r="AY27" s="47" t="n">
        <v>0</v>
      </c>
      <c r="AZ27" s="47" t="n">
        <v>0</v>
      </c>
      <c r="BA27" s="71" t="n">
        <v>0</v>
      </c>
      <c r="BB27" s="49" t="n">
        <f aca="false">IF(AY27&gt;0,AZ27*1000000/AY27,0)</f>
        <v>0</v>
      </c>
      <c r="BC27" s="67" t="n">
        <f aca="false">IF(AND(BA27&gt;0,BB26&gt;0,B27&gt;0),MIN(conv_cap,conv_beta*1*BA27*MAX(0,LN(B27/(BB26*BD26)))),0)</f>
        <v>0</v>
      </c>
      <c r="BD27" s="68" t="n">
        <f aca="false">BD26*(1+BC27)</f>
        <v>1</v>
      </c>
      <c r="BE27" s="49" t="n">
        <f aca="false">AZ27*BD27</f>
        <v>0</v>
      </c>
      <c r="BF27" s="70" t="n">
        <f aca="false">IF(AY27&gt;0,BE27*1000000/AY27/Economy!Q27,0)</f>
        <v>0</v>
      </c>
      <c r="BG27" s="47" t="n">
        <v>0</v>
      </c>
      <c r="BH27" s="47" t="n">
        <v>0</v>
      </c>
      <c r="BI27" s="71" t="n">
        <v>0</v>
      </c>
      <c r="BJ27" s="49" t="n">
        <f aca="false">IF(BG27&gt;0,BH27*1000000/BG27,0)</f>
        <v>0</v>
      </c>
      <c r="BK27" s="67" t="n">
        <f aca="false">IF(AND(BI27&gt;0,BJ26&gt;0,B27&gt;0),MIN(conv_cap,conv_beta*1*BI27*MAX(0,LN(B27/(BJ26*BL26)))),0)</f>
        <v>0</v>
      </c>
      <c r="BL27" s="68" t="n">
        <f aca="false">BL26*(1+BK27)</f>
        <v>1</v>
      </c>
      <c r="BM27" s="49" t="n">
        <f aca="false">BH27*BL27</f>
        <v>0</v>
      </c>
      <c r="BN27" s="70" t="n">
        <f aca="false">IF(BG27&gt;0,BM27*1000000/BG27/Economy!Q27,0)</f>
        <v>0</v>
      </c>
      <c r="BO27" s="47" t="n">
        <v>0</v>
      </c>
      <c r="BP27" s="47" t="n">
        <v>0</v>
      </c>
      <c r="BQ27" s="71" t="n">
        <v>0</v>
      </c>
      <c r="BR27" s="49" t="n">
        <f aca="false">IF(BO27&gt;0,BP27*1000000/BO27,0)</f>
        <v>0</v>
      </c>
      <c r="BS27" s="67" t="n">
        <f aca="false">IF(AND(BQ27&gt;0,BR26&gt;0,B27&gt;0),MIN(conv_cap,conv_beta*1*BQ27*MAX(0,LN(B27/(BR26*BT26)))),0)</f>
        <v>0</v>
      </c>
      <c r="BT27" s="68" t="n">
        <f aca="false">BT26*(1+BS27)</f>
        <v>1</v>
      </c>
      <c r="BU27" s="49" t="n">
        <f aca="false">BP27*BT27</f>
        <v>0</v>
      </c>
      <c r="BV27" s="70" t="n">
        <f aca="false">IF(BO27&gt;0,BU27*1000000/BO27/Economy!Q27,0)</f>
        <v>0</v>
      </c>
      <c r="BW27" s="68" t="n">
        <f aca="false">0.25*IF(D27&gt;0,H27,1)+0.15*IF(AJ27&gt;0,AN27,1)+0.03*IF(AR27&gt;0,AV27,1)+0.08*IF(AZ27&gt;0,BD27,1)+0.12*IF(BH27&gt;0,BL27,1)+0.1*IF(L27&gt;0,P27,1)+0.07*IF(T27&gt;0,X27,1)+0.05*IF(AB27&gt;0,AF27,1)+0.05*IF(BP27&gt;0,BT27,1)+0.1</f>
        <v>1.00154999686413</v>
      </c>
      <c r="BX27" s="66" t="n">
        <f aca="false">MIN(mkt_cap,mkt_elast*MAX(0,BW27-1))</f>
        <v>0.000774998432066187</v>
      </c>
      <c r="BY27" s="49" t="n">
        <f aca="false">I27+Q27+Y27+AG27</f>
        <v>0</v>
      </c>
      <c r="BZ27" s="49" t="n">
        <f aca="false">D27+L27+T27+AB27</f>
        <v>0</v>
      </c>
      <c r="CA27" s="68" t="n">
        <f aca="false">IF(BZ27&gt;0,BY27/BZ27,0)</f>
        <v>0</v>
      </c>
    </row>
    <row r="28" customFormat="false" ht="14.25" hidden="false" customHeight="true" outlineLevel="0" collapsed="false">
      <c r="A28" s="61" t="n">
        <v>1868</v>
      </c>
      <c r="B28" s="49" t="n">
        <f aca="false">Economy!P27</f>
        <v>293.79137117848</v>
      </c>
      <c r="C28" s="47" t="n">
        <v>34000000</v>
      </c>
      <c r="D28" s="65" t="n">
        <f aca="false">Japan!B28</f>
        <v>450</v>
      </c>
      <c r="E28" s="71" t="n">
        <v>0.3</v>
      </c>
      <c r="F28" s="49" t="n">
        <f aca="false">IF(C28&gt;0,D28*1000000/C28,0)</f>
        <v>13.2352941176471</v>
      </c>
      <c r="G28" s="67" t="n">
        <f aca="false">IF(AND(E28&gt;0,F27&gt;0,B28&gt;0),MIN(conv_cap,conv_beta*jp_uplift*E28*MAX(0,LN(B28/(F27*H27)))),0)</f>
        <v>0</v>
      </c>
      <c r="H28" s="68" t="n">
        <f aca="false">H27*(1+G28)</f>
        <v>1</v>
      </c>
      <c r="I28" s="49" t="n">
        <f aca="false">D28*H28</f>
        <v>450</v>
      </c>
      <c r="J28" s="70" t="n">
        <f aca="false">IF(C28&gt;0,I28*1000000/C28/Economy!Q28,0)</f>
        <v>0.0811981234211476</v>
      </c>
      <c r="K28" s="65" t="n">
        <f aca="false">Gulf!B28</f>
        <v>0</v>
      </c>
      <c r="L28" s="49" t="n">
        <f aca="false">Gulf!B28*Gulf!C28*Economy!Q28/1000000</f>
        <v>0</v>
      </c>
      <c r="M28" s="71" t="n">
        <v>0</v>
      </c>
      <c r="N28" s="49" t="n">
        <f aca="false">IF(K28&gt;0,L28*1000000/K28,0)</f>
        <v>0</v>
      </c>
      <c r="O28" s="67" t="n">
        <f aca="false">IF(AND(M28&gt;0,N27&gt;0,B28&gt;0),MIN(conv_cap,conv_beta*1*M28*MAX(0,LN(B28/(N27*P27)))),0)</f>
        <v>0</v>
      </c>
      <c r="P28" s="68" t="n">
        <f aca="false">P27*(1+O28)</f>
        <v>1</v>
      </c>
      <c r="Q28" s="49" t="n">
        <f aca="false">L28*P28</f>
        <v>0</v>
      </c>
      <c r="R28" s="70" t="n">
        <f aca="false">IF(K28&gt;0,Q28*1000000/K28/Economy!Q28,0)</f>
        <v>0</v>
      </c>
      <c r="S28" s="65" t="n">
        <f aca="false">People!U28</f>
        <v>0</v>
      </c>
      <c r="T28" s="47" t="n">
        <v>0</v>
      </c>
      <c r="U28" s="71" t="n">
        <v>0</v>
      </c>
      <c r="V28" s="49" t="n">
        <f aca="false">IF(S28&gt;0,T28*1000000/S28,0)</f>
        <v>0</v>
      </c>
      <c r="W28" s="67" t="n">
        <f aca="false">IF(AND(U28&gt;0,V27&gt;0,B28&gt;0),MIN(conv_cap,conv_beta*1*U28*MAX(0,LN(B28/(V27*X27)))),0)</f>
        <v>0</v>
      </c>
      <c r="X28" s="68" t="n">
        <f aca="false">X27*(1+W28)</f>
        <v>1</v>
      </c>
      <c r="Y28" s="49" t="n">
        <f aca="false">T28*X28</f>
        <v>0</v>
      </c>
      <c r="Z28" s="70" t="n">
        <f aca="false">IF(S28&gt;0,Y28*1000000/S28/Economy!Q28,0)</f>
        <v>0</v>
      </c>
      <c r="AA28" s="47" t="n">
        <v>0</v>
      </c>
      <c r="AB28" s="47" t="n">
        <v>0</v>
      </c>
      <c r="AC28" s="71" t="n">
        <v>0</v>
      </c>
      <c r="AD28" s="49" t="n">
        <f aca="false">IF(AA28&gt;0,AB28*1000000/AA28,0)</f>
        <v>0</v>
      </c>
      <c r="AE28" s="67" t="n">
        <f aca="false">IF(AND(AC28&gt;0,AD27&gt;0,B28&gt;0),MIN(conv_cap,conv_beta*1*AC28*MAX(0,LN(B28/(AD27*AF27)))),0)</f>
        <v>0</v>
      </c>
      <c r="AF28" s="68" t="n">
        <f aca="false">AF27*(1+AE28)</f>
        <v>1</v>
      </c>
      <c r="AG28" s="49" t="n">
        <f aca="false">AB28*AF28</f>
        <v>0</v>
      </c>
      <c r="AH28" s="70" t="n">
        <f aca="false">IF(AA28&gt;0,AG28*1000000/AA28/Economy!Q28,0)</f>
        <v>0</v>
      </c>
      <c r="AI28" s="47" t="n">
        <v>356000000</v>
      </c>
      <c r="AJ28" s="47" t="n">
        <v>3450</v>
      </c>
      <c r="AK28" s="71" t="n">
        <v>0.073</v>
      </c>
      <c r="AL28" s="49" t="n">
        <f aca="false">IF(AI28&gt;0,AJ28*1000000/AI28,0)</f>
        <v>9.69101123595506</v>
      </c>
      <c r="AM28" s="67" t="n">
        <f aca="false">IF(AND(AK28&gt;0,AL27&gt;0,B28&gt;0),MIN(conv_cap,conv_beta*1*AK28*MAX(0,LN(B28/(AL27*AN27)))),0)</f>
        <v>0.00248627096987145</v>
      </c>
      <c r="AN28" s="68" t="n">
        <f aca="false">AN27*(1+AM28)</f>
        <v>1.01284527481213</v>
      </c>
      <c r="AO28" s="49" t="n">
        <f aca="false">AJ28*AN28</f>
        <v>3494.31619810185</v>
      </c>
      <c r="AP28" s="70" t="n">
        <f aca="false">IF(AI28&gt;0,AO28*1000000/AI28/Economy!Q28,0)</f>
        <v>0.0602177603588242</v>
      </c>
      <c r="AQ28" s="47" t="n">
        <v>0</v>
      </c>
      <c r="AR28" s="47" t="n">
        <v>0</v>
      </c>
      <c r="AS28" s="71" t="n">
        <v>0</v>
      </c>
      <c r="AT28" s="49" t="n">
        <f aca="false">IF(AQ28&gt;0,AR28*1000000/AQ28,0)</f>
        <v>0</v>
      </c>
      <c r="AU28" s="67" t="n">
        <f aca="false">IF(AND(AS28&gt;0,AT27&gt;0,B28&gt;0),MIN(conv_cap,conv_beta*1*AS28*MAX(0,LN(B28/(AT27*AV27)))),0)</f>
        <v>0</v>
      </c>
      <c r="AV28" s="68" t="n">
        <f aca="false">AV27*(1+AU28)</f>
        <v>1</v>
      </c>
      <c r="AW28" s="49" t="n">
        <f aca="false">AR28*AV28</f>
        <v>0</v>
      </c>
      <c r="AX28" s="70" t="n">
        <f aca="false">IF(AQ28&gt;0,AW28*1000000/AQ28/Economy!Q28,0)</f>
        <v>0</v>
      </c>
      <c r="AY28" s="47" t="n">
        <v>0</v>
      </c>
      <c r="AZ28" s="47" t="n">
        <v>0</v>
      </c>
      <c r="BA28" s="71" t="n">
        <v>0</v>
      </c>
      <c r="BB28" s="49" t="n">
        <f aca="false">IF(AY28&gt;0,AZ28*1000000/AY28,0)</f>
        <v>0</v>
      </c>
      <c r="BC28" s="67" t="n">
        <f aca="false">IF(AND(BA28&gt;0,BB27&gt;0,B28&gt;0),MIN(conv_cap,conv_beta*1*BA28*MAX(0,LN(B28/(BB27*BD27)))),0)</f>
        <v>0</v>
      </c>
      <c r="BD28" s="68" t="n">
        <f aca="false">BD27*(1+BC28)</f>
        <v>1</v>
      </c>
      <c r="BE28" s="49" t="n">
        <f aca="false">AZ28*BD28</f>
        <v>0</v>
      </c>
      <c r="BF28" s="70" t="n">
        <f aca="false">IF(AY28&gt;0,BE28*1000000/AY28/Economy!Q28,0)</f>
        <v>0</v>
      </c>
      <c r="BG28" s="47" t="n">
        <v>0</v>
      </c>
      <c r="BH28" s="47" t="n">
        <v>0</v>
      </c>
      <c r="BI28" s="71" t="n">
        <v>0</v>
      </c>
      <c r="BJ28" s="49" t="n">
        <f aca="false">IF(BG28&gt;0,BH28*1000000/BG28,0)</f>
        <v>0</v>
      </c>
      <c r="BK28" s="67" t="n">
        <f aca="false">IF(AND(BI28&gt;0,BJ27&gt;0,B28&gt;0),MIN(conv_cap,conv_beta*1*BI28*MAX(0,LN(B28/(BJ27*BL27)))),0)</f>
        <v>0</v>
      </c>
      <c r="BL28" s="68" t="n">
        <f aca="false">BL27*(1+BK28)</f>
        <v>1</v>
      </c>
      <c r="BM28" s="49" t="n">
        <f aca="false">BH28*BL28</f>
        <v>0</v>
      </c>
      <c r="BN28" s="70" t="n">
        <f aca="false">IF(BG28&gt;0,BM28*1000000/BG28/Economy!Q28,0)</f>
        <v>0</v>
      </c>
      <c r="BO28" s="47" t="n">
        <v>0</v>
      </c>
      <c r="BP28" s="47" t="n">
        <v>0</v>
      </c>
      <c r="BQ28" s="71" t="n">
        <v>0</v>
      </c>
      <c r="BR28" s="49" t="n">
        <f aca="false">IF(BO28&gt;0,BP28*1000000/BO28,0)</f>
        <v>0</v>
      </c>
      <c r="BS28" s="67" t="n">
        <f aca="false">IF(AND(BQ28&gt;0,BR27&gt;0,B28&gt;0),MIN(conv_cap,conv_beta*1*BQ28*MAX(0,LN(B28/(BR27*BT27)))),0)</f>
        <v>0</v>
      </c>
      <c r="BT28" s="68" t="n">
        <f aca="false">BT27*(1+BS28)</f>
        <v>1</v>
      </c>
      <c r="BU28" s="49" t="n">
        <f aca="false">BP28*BT28</f>
        <v>0</v>
      </c>
      <c r="BV28" s="70" t="n">
        <f aca="false">IF(BO28&gt;0,BU28*1000000/BO28/Economy!Q28,0)</f>
        <v>0</v>
      </c>
      <c r="BW28" s="68" t="n">
        <f aca="false">0.25*IF(D28&gt;0,H28,1)+0.15*IF(AJ28&gt;0,AN28,1)+0.03*IF(AR28&gt;0,AV28,1)+0.08*IF(AZ28&gt;0,BD28,1)+0.12*IF(BH28&gt;0,BL28,1)+0.1*IF(L28&gt;0,P28,1)+0.07*IF(T28&gt;0,X28,1)+0.05*IF(AB28&gt;0,AF28,1)+0.05*IF(BP28&gt;0,BT28,1)+0.1</f>
        <v>1.00192679122182</v>
      </c>
      <c r="BX28" s="66" t="n">
        <f aca="false">MIN(mkt_cap,mkt_elast*MAX(0,BW28-1))</f>
        <v>0.000963395610909856</v>
      </c>
      <c r="BY28" s="49" t="n">
        <f aca="false">I28+Q28+Y28+AG28</f>
        <v>450</v>
      </c>
      <c r="BZ28" s="49" t="n">
        <f aca="false">D28+L28+T28+AB28</f>
        <v>450</v>
      </c>
      <c r="CA28" s="68" t="n">
        <f aca="false">IF(BZ28&gt;0,BY28/BZ28,0)</f>
        <v>1</v>
      </c>
    </row>
    <row r="29" customFormat="false" ht="14.25" hidden="false" customHeight="true" outlineLevel="0" collapsed="false">
      <c r="A29" s="61" t="n">
        <v>1869</v>
      </c>
      <c r="B29" s="49" t="n">
        <f aca="false">Economy!P28</f>
        <v>297.249846242778</v>
      </c>
      <c r="C29" s="47" t="n">
        <v>34400000</v>
      </c>
      <c r="D29" s="65" t="n">
        <f aca="false">Japan!B29</f>
        <v>457</v>
      </c>
      <c r="E29" s="71" t="n">
        <v>0.308</v>
      </c>
      <c r="F29" s="49" t="n">
        <f aca="false">IF(C29&gt;0,D29*1000000/C29,0)</f>
        <v>13.2848837209302</v>
      </c>
      <c r="G29" s="67" t="n">
        <f aca="false">IF(AND(E29&gt;0,F28&gt;0,B29&gt;0),MIN(conv_cap,conv_beta*jp_uplift*E29*MAX(0,LN(B29/(F28*H28)))),0)</f>
        <v>0.00958399275728319</v>
      </c>
      <c r="H29" s="68" t="n">
        <f aca="false">H28*(1+G29)</f>
        <v>1.00958399275728</v>
      </c>
      <c r="I29" s="49" t="n">
        <f aca="false">D29*H29</f>
        <v>461.379884690078</v>
      </c>
      <c r="J29" s="70" t="n">
        <f aca="false">IF(C29&gt;0,I29*1000000/C29/Economy!Q29,0)</f>
        <v>0.0798345592279344</v>
      </c>
      <c r="K29" s="65" t="n">
        <f aca="false">Gulf!B29</f>
        <v>0</v>
      </c>
      <c r="L29" s="49" t="n">
        <f aca="false">Gulf!B29*Gulf!C29*Economy!Q29/1000000</f>
        <v>0</v>
      </c>
      <c r="M29" s="71" t="n">
        <v>0</v>
      </c>
      <c r="N29" s="49" t="n">
        <f aca="false">IF(K29&gt;0,L29*1000000/K29,0)</f>
        <v>0</v>
      </c>
      <c r="O29" s="67" t="n">
        <f aca="false">IF(AND(M29&gt;0,N28&gt;0,B29&gt;0),MIN(conv_cap,conv_beta*1*M29*MAX(0,LN(B29/(N28*P28)))),0)</f>
        <v>0</v>
      </c>
      <c r="P29" s="68" t="n">
        <f aca="false">P28*(1+O29)</f>
        <v>1</v>
      </c>
      <c r="Q29" s="49" t="n">
        <f aca="false">L29*P29</f>
        <v>0</v>
      </c>
      <c r="R29" s="70" t="n">
        <f aca="false">IF(K29&gt;0,Q29*1000000/K29/Economy!Q29,0)</f>
        <v>0</v>
      </c>
      <c r="S29" s="65" t="n">
        <f aca="false">People!U29</f>
        <v>0</v>
      </c>
      <c r="T29" s="47" t="n">
        <v>0</v>
      </c>
      <c r="U29" s="71" t="n">
        <v>0</v>
      </c>
      <c r="V29" s="49" t="n">
        <f aca="false">IF(S29&gt;0,T29*1000000/S29,0)</f>
        <v>0</v>
      </c>
      <c r="W29" s="67" t="n">
        <f aca="false">IF(AND(U29&gt;0,V28&gt;0,B29&gt;0),MIN(conv_cap,conv_beta*1*U29*MAX(0,LN(B29/(V28*X28)))),0)</f>
        <v>0</v>
      </c>
      <c r="X29" s="68" t="n">
        <f aca="false">X28*(1+W29)</f>
        <v>1</v>
      </c>
      <c r="Y29" s="49" t="n">
        <f aca="false">T29*X29</f>
        <v>0</v>
      </c>
      <c r="Z29" s="70" t="n">
        <f aca="false">IF(S29&gt;0,Y29*1000000/S29/Economy!Q29,0)</f>
        <v>0</v>
      </c>
      <c r="AA29" s="47" t="n">
        <v>0</v>
      </c>
      <c r="AB29" s="47" t="n">
        <v>0</v>
      </c>
      <c r="AC29" s="71" t="n">
        <v>0</v>
      </c>
      <c r="AD29" s="49" t="n">
        <f aca="false">IF(AA29&gt;0,AB29*1000000/AA29,0)</f>
        <v>0</v>
      </c>
      <c r="AE29" s="67" t="n">
        <f aca="false">IF(AND(AC29&gt;0,AD28&gt;0,B29&gt;0),MIN(conv_cap,conv_beta*1*AC29*MAX(0,LN(B29/(AD28*AF28)))),0)</f>
        <v>0</v>
      </c>
      <c r="AF29" s="68" t="n">
        <f aca="false">AF28*(1+AE29)</f>
        <v>1</v>
      </c>
      <c r="AG29" s="49" t="n">
        <f aca="false">AB29*AF29</f>
        <v>0</v>
      </c>
      <c r="AH29" s="70" t="n">
        <f aca="false">IF(AA29&gt;0,AG29*1000000/AA29/Economy!Q29,0)</f>
        <v>0</v>
      </c>
      <c r="AI29" s="47" t="n">
        <v>357000000</v>
      </c>
      <c r="AJ29" s="47" t="n">
        <v>3475</v>
      </c>
      <c r="AK29" s="71" t="n">
        <v>0.077</v>
      </c>
      <c r="AL29" s="49" t="n">
        <f aca="false">IF(AI29&gt;0,AJ29*1000000/AI29,0)</f>
        <v>9.73389355742297</v>
      </c>
      <c r="AM29" s="67" t="n">
        <f aca="false">IF(AND(AK29&gt;0,AL28&gt;0,B29&gt;0),MIN(conv_cap,conv_beta*1*AK29*MAX(0,LN(B29/(AL28*AN28)))),0)</f>
        <v>0.00262617028913043</v>
      </c>
      <c r="AN29" s="68" t="n">
        <f aca="false">AN28*(1+AM29)</f>
        <v>1.01550517898033</v>
      </c>
      <c r="AO29" s="49" t="n">
        <f aca="false">AJ29*AN29</f>
        <v>3528.88049695664</v>
      </c>
      <c r="AP29" s="70" t="n">
        <f aca="false">IF(AI29&gt;0,AO29*1000000/AI29/Economy!Q29,0)</f>
        <v>0.0588382102333707</v>
      </c>
      <c r="AQ29" s="47" t="n">
        <v>0</v>
      </c>
      <c r="AR29" s="47" t="n">
        <v>0</v>
      </c>
      <c r="AS29" s="71" t="n">
        <v>0</v>
      </c>
      <c r="AT29" s="49" t="n">
        <f aca="false">IF(AQ29&gt;0,AR29*1000000/AQ29,0)</f>
        <v>0</v>
      </c>
      <c r="AU29" s="67" t="n">
        <f aca="false">IF(AND(AS29&gt;0,AT28&gt;0,B29&gt;0),MIN(conv_cap,conv_beta*1*AS29*MAX(0,LN(B29/(AT28*AV28)))),0)</f>
        <v>0</v>
      </c>
      <c r="AV29" s="68" t="n">
        <f aca="false">AV28*(1+AU29)</f>
        <v>1</v>
      </c>
      <c r="AW29" s="49" t="n">
        <f aca="false">AR29*AV29</f>
        <v>0</v>
      </c>
      <c r="AX29" s="70" t="n">
        <f aca="false">IF(AQ29&gt;0,AW29*1000000/AQ29/Economy!Q29,0)</f>
        <v>0</v>
      </c>
      <c r="AY29" s="47" t="n">
        <v>0</v>
      </c>
      <c r="AZ29" s="47" t="n">
        <v>0</v>
      </c>
      <c r="BA29" s="71" t="n">
        <v>0</v>
      </c>
      <c r="BB29" s="49" t="n">
        <f aca="false">IF(AY29&gt;0,AZ29*1000000/AY29,0)</f>
        <v>0</v>
      </c>
      <c r="BC29" s="67" t="n">
        <f aca="false">IF(AND(BA29&gt;0,BB28&gt;0,B29&gt;0),MIN(conv_cap,conv_beta*1*BA29*MAX(0,LN(B29/(BB28*BD28)))),0)</f>
        <v>0</v>
      </c>
      <c r="BD29" s="68" t="n">
        <f aca="false">BD28*(1+BC29)</f>
        <v>1</v>
      </c>
      <c r="BE29" s="49" t="n">
        <f aca="false">AZ29*BD29</f>
        <v>0</v>
      </c>
      <c r="BF29" s="70" t="n">
        <f aca="false">IF(AY29&gt;0,BE29*1000000/AY29/Economy!Q29,0)</f>
        <v>0</v>
      </c>
      <c r="BG29" s="47" t="n">
        <v>0</v>
      </c>
      <c r="BH29" s="47" t="n">
        <v>0</v>
      </c>
      <c r="BI29" s="71" t="n">
        <v>0</v>
      </c>
      <c r="BJ29" s="49" t="n">
        <f aca="false">IF(BG29&gt;0,BH29*1000000/BG29,0)</f>
        <v>0</v>
      </c>
      <c r="BK29" s="67" t="n">
        <f aca="false">IF(AND(BI29&gt;0,BJ28&gt;0,B29&gt;0),MIN(conv_cap,conv_beta*1*BI29*MAX(0,LN(B29/(BJ28*BL28)))),0)</f>
        <v>0</v>
      </c>
      <c r="BL29" s="68" t="n">
        <f aca="false">BL28*(1+BK29)</f>
        <v>1</v>
      </c>
      <c r="BM29" s="49" t="n">
        <f aca="false">BH29*BL29</f>
        <v>0</v>
      </c>
      <c r="BN29" s="70" t="n">
        <f aca="false">IF(BG29&gt;0,BM29*1000000/BG29/Economy!Q29,0)</f>
        <v>0</v>
      </c>
      <c r="BO29" s="47" t="n">
        <v>0</v>
      </c>
      <c r="BP29" s="47" t="n">
        <v>0</v>
      </c>
      <c r="BQ29" s="71" t="n">
        <v>0</v>
      </c>
      <c r="BR29" s="49" t="n">
        <f aca="false">IF(BO29&gt;0,BP29*1000000/BO29,0)</f>
        <v>0</v>
      </c>
      <c r="BS29" s="67" t="n">
        <f aca="false">IF(AND(BQ29&gt;0,BR28&gt;0,B29&gt;0),MIN(conv_cap,conv_beta*1*BQ29*MAX(0,LN(B29/(BR28*BT28)))),0)</f>
        <v>0</v>
      </c>
      <c r="BT29" s="68" t="n">
        <f aca="false">BT28*(1+BS29)</f>
        <v>1</v>
      </c>
      <c r="BU29" s="49" t="n">
        <f aca="false">BP29*BT29</f>
        <v>0</v>
      </c>
      <c r="BV29" s="70" t="n">
        <f aca="false">IF(BO29&gt;0,BU29*1000000/BO29/Economy!Q29,0)</f>
        <v>0</v>
      </c>
      <c r="BW29" s="68" t="n">
        <f aca="false">0.25*IF(D29&gt;0,H29,1)+0.15*IF(AJ29&gt;0,AN29,1)+0.03*IF(AR29&gt;0,AV29,1)+0.08*IF(AZ29&gt;0,BD29,1)+0.12*IF(BH29&gt;0,BL29,1)+0.1*IF(L29&gt;0,P29,1)+0.07*IF(T29&gt;0,X29,1)+0.05*IF(AB29&gt;0,AF29,1)+0.05*IF(BP29&gt;0,BT29,1)+0.1</f>
        <v>1.00472177503637</v>
      </c>
      <c r="BX29" s="66" t="n">
        <f aca="false">MIN(mkt_cap,mkt_elast*MAX(0,BW29-1))</f>
        <v>0.00236088751818508</v>
      </c>
      <c r="BY29" s="49" t="n">
        <f aca="false">I29+Q29+Y29+AG29</f>
        <v>461.379884690078</v>
      </c>
      <c r="BZ29" s="49" t="n">
        <f aca="false">D29+L29+T29+AB29</f>
        <v>457</v>
      </c>
      <c r="CA29" s="68" t="n">
        <f aca="false">IF(BZ29&gt;0,BY29/BZ29,0)</f>
        <v>1.00958399275728</v>
      </c>
    </row>
    <row r="30" customFormat="false" ht="14.25" hidden="false" customHeight="true" outlineLevel="0" collapsed="false">
      <c r="A30" s="64" t="n">
        <v>1870</v>
      </c>
      <c r="B30" s="49" t="n">
        <f aca="false">Economy!P29</f>
        <v>302.719758891072</v>
      </c>
      <c r="C30" s="47" t="n">
        <v>34800000</v>
      </c>
      <c r="D30" s="65" t="n">
        <f aca="false">Japan!B30</f>
        <v>464</v>
      </c>
      <c r="E30" s="71" t="n">
        <v>0.317</v>
      </c>
      <c r="F30" s="49" t="n">
        <f aca="false">IF(C30&gt;0,D30*1000000/C30,0)</f>
        <v>13.3333333333333</v>
      </c>
      <c r="G30" s="67" t="n">
        <f aca="false">IF(AND(E30&gt;0,F29&gt;0,B30&gt;0),MIN(conv_cap,conv_beta*jp_uplift*E30*MAX(0,LN(B30/(F29*H29)))),0)</f>
        <v>0.00987975610757453</v>
      </c>
      <c r="H30" s="68" t="n">
        <f aca="false">H29*(1+G30)</f>
        <v>1.01955843637584</v>
      </c>
      <c r="I30" s="49" t="n">
        <f aca="false">D30*H30</f>
        <v>473.075114478388</v>
      </c>
      <c r="J30" s="70" t="n">
        <f aca="false">IF(C30&gt;0,I30*1000000/C30/Economy!Q30,0)</f>
        <v>0.0790355377035532</v>
      </c>
      <c r="K30" s="65" t="n">
        <f aca="false">Gulf!B30</f>
        <v>0</v>
      </c>
      <c r="L30" s="49" t="n">
        <f aca="false">Gulf!B30*Gulf!C30*Economy!Q30/1000000</f>
        <v>0</v>
      </c>
      <c r="M30" s="71" t="n">
        <v>0</v>
      </c>
      <c r="N30" s="49" t="n">
        <f aca="false">IF(K30&gt;0,L30*1000000/K30,0)</f>
        <v>0</v>
      </c>
      <c r="O30" s="67" t="n">
        <f aca="false">IF(AND(M30&gt;0,N29&gt;0,B30&gt;0),MIN(conv_cap,conv_beta*1*M30*MAX(0,LN(B30/(N29*P29)))),0)</f>
        <v>0</v>
      </c>
      <c r="P30" s="68" t="n">
        <f aca="false">P29*(1+O30)</f>
        <v>1</v>
      </c>
      <c r="Q30" s="49" t="n">
        <f aca="false">L30*P30</f>
        <v>0</v>
      </c>
      <c r="R30" s="70" t="n">
        <f aca="false">IF(K30&gt;0,Q30*1000000/K30/Economy!Q30,0)</f>
        <v>0</v>
      </c>
      <c r="S30" s="65" t="n">
        <f aca="false">People!U30</f>
        <v>0</v>
      </c>
      <c r="T30" s="47" t="n">
        <v>0</v>
      </c>
      <c r="U30" s="71" t="n">
        <v>0</v>
      </c>
      <c r="V30" s="49" t="n">
        <f aca="false">IF(S30&gt;0,T30*1000000/S30,0)</f>
        <v>0</v>
      </c>
      <c r="W30" s="67" t="n">
        <f aca="false">IF(AND(U30&gt;0,V29&gt;0,B30&gt;0),MIN(conv_cap,conv_beta*1*U30*MAX(0,LN(B30/(V29*X29)))),0)</f>
        <v>0</v>
      </c>
      <c r="X30" s="68" t="n">
        <f aca="false">X29*(1+W30)</f>
        <v>1</v>
      </c>
      <c r="Y30" s="49" t="n">
        <f aca="false">T30*X30</f>
        <v>0</v>
      </c>
      <c r="Z30" s="70" t="n">
        <f aca="false">IF(S30&gt;0,Y30*1000000/S30/Economy!Q30,0)</f>
        <v>0</v>
      </c>
      <c r="AA30" s="47" t="n">
        <v>0</v>
      </c>
      <c r="AB30" s="47" t="n">
        <v>0</v>
      </c>
      <c r="AC30" s="71" t="n">
        <v>0</v>
      </c>
      <c r="AD30" s="49" t="n">
        <f aca="false">IF(AA30&gt;0,AB30*1000000/AA30,0)</f>
        <v>0</v>
      </c>
      <c r="AE30" s="67" t="n">
        <f aca="false">IF(AND(AC30&gt;0,AD29&gt;0,B30&gt;0),MIN(conv_cap,conv_beta*1*AC30*MAX(0,LN(B30/(AD29*AF29)))),0)</f>
        <v>0</v>
      </c>
      <c r="AF30" s="68" t="n">
        <f aca="false">AF29*(1+AE30)</f>
        <v>1</v>
      </c>
      <c r="AG30" s="49" t="n">
        <f aca="false">AB30*AF30</f>
        <v>0</v>
      </c>
      <c r="AH30" s="70" t="n">
        <f aca="false">IF(AA30&gt;0,AG30*1000000/AA30/Economy!Q30,0)</f>
        <v>0</v>
      </c>
      <c r="AI30" s="47" t="n">
        <v>358000000</v>
      </c>
      <c r="AJ30" s="47" t="n">
        <v>3500</v>
      </c>
      <c r="AK30" s="71" t="n">
        <v>0.081</v>
      </c>
      <c r="AL30" s="49" t="n">
        <f aca="false">IF(AI30&gt;0,AJ30*1000000/AI30,0)</f>
        <v>9.77653631284916</v>
      </c>
      <c r="AM30" s="67" t="n">
        <f aca="false">IF(AND(AK30&gt;0,AL29&gt;0,B30&gt;0),MIN(conv_cap,conv_beta*1*AK30*MAX(0,LN(B30/(AL29*AN29)))),0)</f>
        <v>0.00277166392208188</v>
      </c>
      <c r="AN30" s="68" t="n">
        <f aca="false">AN29*(1+AM30)</f>
        <v>1.0183198180476</v>
      </c>
      <c r="AO30" s="49" t="n">
        <f aca="false">AJ30*AN30</f>
        <v>3564.11936316658</v>
      </c>
      <c r="AP30" s="70" t="n">
        <f aca="false">IF(AI30&gt;0,AO30*1000000/AI30/Economy!Q30,0)</f>
        <v>0.0578816318560248</v>
      </c>
      <c r="AQ30" s="47" t="n">
        <v>10000000</v>
      </c>
      <c r="AR30" s="47" t="n">
        <v>150</v>
      </c>
      <c r="AS30" s="71" t="n">
        <v>0</v>
      </c>
      <c r="AT30" s="49" t="n">
        <f aca="false">IF(AQ30&gt;0,AR30*1000000/AQ30,0)</f>
        <v>15</v>
      </c>
      <c r="AU30" s="67" t="n">
        <f aca="false">IF(AND(AS30&gt;0,AT29&gt;0,B30&gt;0),MIN(conv_cap,conv_beta*1*AS30*MAX(0,LN(B30/(AT29*AV29)))),0)</f>
        <v>0</v>
      </c>
      <c r="AV30" s="68" t="n">
        <f aca="false">AV29*(1+AU30)</f>
        <v>1</v>
      </c>
      <c r="AW30" s="49" t="n">
        <f aca="false">AR30*AV30</f>
        <v>150</v>
      </c>
      <c r="AX30" s="70" t="n">
        <f aca="false">IF(AQ30&gt;0,AW30*1000000/AQ30/Economy!Q30,0)</f>
        <v>0.0872093023255814</v>
      </c>
      <c r="AY30" s="47" t="n">
        <v>50000000</v>
      </c>
      <c r="AZ30" s="47" t="n">
        <v>900</v>
      </c>
      <c r="BA30" s="71" t="n">
        <v>0</v>
      </c>
      <c r="BB30" s="49" t="n">
        <f aca="false">IF(AY30&gt;0,AZ30*1000000/AY30,0)</f>
        <v>18</v>
      </c>
      <c r="BC30" s="67" t="n">
        <f aca="false">IF(AND(BA30&gt;0,BB29&gt;0,B30&gt;0),MIN(conv_cap,conv_beta*1*BA30*MAX(0,LN(B30/(BB29*BD29)))),0)</f>
        <v>0</v>
      </c>
      <c r="BD30" s="68" t="n">
        <f aca="false">BD29*(1+BC30)</f>
        <v>1</v>
      </c>
      <c r="BE30" s="49" t="n">
        <f aca="false">AZ30*BD30</f>
        <v>900</v>
      </c>
      <c r="BF30" s="70" t="n">
        <f aca="false">IF(AY30&gt;0,BE30*1000000/AY30/Economy!Q30,0)</f>
        <v>0.104651162790698</v>
      </c>
      <c r="BG30" s="47" t="n">
        <v>22000000</v>
      </c>
      <c r="BH30" s="47" t="n">
        <v>1000</v>
      </c>
      <c r="BI30" s="71" t="n">
        <v>0.05</v>
      </c>
      <c r="BJ30" s="49" t="n">
        <f aca="false">IF(BG30&gt;0,BH30*1000000/BG30,0)</f>
        <v>45.4545454545455</v>
      </c>
      <c r="BK30" s="67" t="n">
        <f aca="false">IF(AND(BI30&gt;0,BJ29&gt;0,B30&gt;0),MIN(conv_cap,conv_beta*1*BI30*MAX(0,LN(B30/(BJ29*BL29)))),0)</f>
        <v>0</v>
      </c>
      <c r="BL30" s="68" t="n">
        <f aca="false">BL29*(1+BK30)</f>
        <v>1</v>
      </c>
      <c r="BM30" s="49" t="n">
        <f aca="false">BH30*BL30</f>
        <v>1000</v>
      </c>
      <c r="BN30" s="70" t="n">
        <f aca="false">IF(BG30&gt;0,BM30*1000000/BG30/Economy!Q30,0)</f>
        <v>0.264270613107822</v>
      </c>
      <c r="BO30" s="47" t="n">
        <v>12000000</v>
      </c>
      <c r="BP30" s="47" t="n">
        <v>500</v>
      </c>
      <c r="BQ30" s="71" t="n">
        <v>0</v>
      </c>
      <c r="BR30" s="49" t="n">
        <f aca="false">IF(BO30&gt;0,BP30*1000000/BO30,0)</f>
        <v>41.6666666666667</v>
      </c>
      <c r="BS30" s="67" t="n">
        <f aca="false">IF(AND(BQ30&gt;0,BR29&gt;0,B30&gt;0),MIN(conv_cap,conv_beta*1*BQ30*MAX(0,LN(B30/(BR29*BT29)))),0)</f>
        <v>0</v>
      </c>
      <c r="BT30" s="68" t="n">
        <f aca="false">BT29*(1+BS30)</f>
        <v>1</v>
      </c>
      <c r="BU30" s="49" t="n">
        <f aca="false">BP30*BT30</f>
        <v>500</v>
      </c>
      <c r="BV30" s="70" t="n">
        <f aca="false">IF(BO30&gt;0,BU30*1000000/BO30/Economy!Q30,0)</f>
        <v>0.242248062015504</v>
      </c>
      <c r="BW30" s="68" t="n">
        <f aca="false">0.25*IF(D30&gt;0,H30,1)+0.15*IF(AJ30&gt;0,AN30,1)+0.03*IF(AR30&gt;0,AV30,1)+0.08*IF(AZ30&gt;0,BD30,1)+0.12*IF(BH30&gt;0,BL30,1)+0.1*IF(L30&gt;0,P30,1)+0.07*IF(T30&gt;0,X30,1)+0.05*IF(AB30&gt;0,AF30,1)+0.05*IF(BP30&gt;0,BT30,1)+0.1</f>
        <v>1.0076375818011</v>
      </c>
      <c r="BX30" s="66" t="n">
        <f aca="false">MIN(mkt_cap,mkt_elast*MAX(0,BW30-1))</f>
        <v>0.00381879090054926</v>
      </c>
      <c r="BY30" s="49" t="n">
        <f aca="false">I30+Q30+Y30+AG30</f>
        <v>473.075114478388</v>
      </c>
      <c r="BZ30" s="49" t="n">
        <f aca="false">D30+L30+T30+AB30</f>
        <v>464</v>
      </c>
      <c r="CA30" s="68" t="n">
        <f aca="false">IF(BZ30&gt;0,BY30/BZ30,0)</f>
        <v>1.01955843637584</v>
      </c>
    </row>
    <row r="31" customFormat="false" ht="14.25" hidden="false" customHeight="true" outlineLevel="0" collapsed="false">
      <c r="A31" s="64" t="n">
        <v>1871</v>
      </c>
      <c r="B31" s="49" t="n">
        <f aca="false">Economy!P30</f>
        <v>309.383926227831</v>
      </c>
      <c r="C31" s="47" t="n">
        <v>34980000</v>
      </c>
      <c r="D31" s="65" t="n">
        <f aca="false">Japan!B31</f>
        <v>471</v>
      </c>
      <c r="E31" s="71" t="n">
        <v>0.325</v>
      </c>
      <c r="F31" s="49" t="n">
        <f aca="false">IF(C31&gt;0,D31*1000000/C31,0)</f>
        <v>13.4648370497427</v>
      </c>
      <c r="G31" s="67" t="n">
        <f aca="false">IF(AND(E31&gt;0,F30&gt;0,B31&gt;0),MIN(conv_cap,conv_beta*jp_uplift*E31*MAX(0,LN(B31/(F30*H30)))),0)</f>
        <v>0.0101560751235543</v>
      </c>
      <c r="H31" s="68" t="n">
        <f aca="false">H30*(1+G31)</f>
        <v>1.02991314844852</v>
      </c>
      <c r="I31" s="49" t="n">
        <f aca="false">D31*H31</f>
        <v>485.089092919254</v>
      </c>
      <c r="J31" s="70" t="n">
        <f aca="false">IF(C31&gt;0,I31*1000000/C31/Economy!Q31,0)</f>
        <v>0.0801596110939123</v>
      </c>
      <c r="K31" s="65" t="n">
        <f aca="false">Gulf!B31</f>
        <v>0</v>
      </c>
      <c r="L31" s="49" t="n">
        <f aca="false">Gulf!B31*Gulf!C31*Economy!Q31/1000000</f>
        <v>0</v>
      </c>
      <c r="M31" s="71" t="n">
        <v>0</v>
      </c>
      <c r="N31" s="49" t="n">
        <f aca="false">IF(K31&gt;0,L31*1000000/K31,0)</f>
        <v>0</v>
      </c>
      <c r="O31" s="67" t="n">
        <f aca="false">IF(AND(M31&gt;0,N30&gt;0,B31&gt;0),MIN(conv_cap,conv_beta*1*M31*MAX(0,LN(B31/(N30*P30)))),0)</f>
        <v>0</v>
      </c>
      <c r="P31" s="68" t="n">
        <f aca="false">P30*(1+O31)</f>
        <v>1</v>
      </c>
      <c r="Q31" s="49" t="n">
        <f aca="false">L31*P31</f>
        <v>0</v>
      </c>
      <c r="R31" s="70" t="n">
        <f aca="false">IF(K31&gt;0,Q31*1000000/K31/Economy!Q31,0)</f>
        <v>0</v>
      </c>
      <c r="S31" s="65" t="n">
        <f aca="false">People!U31</f>
        <v>0</v>
      </c>
      <c r="T31" s="47" t="n">
        <v>0</v>
      </c>
      <c r="U31" s="71" t="n">
        <v>0</v>
      </c>
      <c r="V31" s="49" t="n">
        <f aca="false">IF(S31&gt;0,T31*1000000/S31,0)</f>
        <v>0</v>
      </c>
      <c r="W31" s="67" t="n">
        <f aca="false">IF(AND(U31&gt;0,V30&gt;0,B31&gt;0),MIN(conv_cap,conv_beta*1*U31*MAX(0,LN(B31/(V30*X30)))),0)</f>
        <v>0</v>
      </c>
      <c r="X31" s="68" t="n">
        <f aca="false">X30*(1+W31)</f>
        <v>1</v>
      </c>
      <c r="Y31" s="49" t="n">
        <f aca="false">T31*X31</f>
        <v>0</v>
      </c>
      <c r="Z31" s="70" t="n">
        <f aca="false">IF(S31&gt;0,Y31*1000000/S31/Economy!Q31,0)</f>
        <v>0</v>
      </c>
      <c r="AA31" s="47" t="n">
        <v>0</v>
      </c>
      <c r="AB31" s="47" t="n">
        <v>0</v>
      </c>
      <c r="AC31" s="71" t="n">
        <v>0</v>
      </c>
      <c r="AD31" s="49" t="n">
        <f aca="false">IF(AA31&gt;0,AB31*1000000/AA31,0)</f>
        <v>0</v>
      </c>
      <c r="AE31" s="67" t="n">
        <f aca="false">IF(AND(AC31&gt;0,AD30&gt;0,B31&gt;0),MIN(conv_cap,conv_beta*1*AC31*MAX(0,LN(B31/(AD30*AF30)))),0)</f>
        <v>0</v>
      </c>
      <c r="AF31" s="68" t="n">
        <f aca="false">AF30*(1+AE31)</f>
        <v>1</v>
      </c>
      <c r="AG31" s="49" t="n">
        <f aca="false">AB31*AF31</f>
        <v>0</v>
      </c>
      <c r="AH31" s="70" t="n">
        <f aca="false">IF(AA31&gt;0,AG31*1000000/AA31/Economy!Q31,0)</f>
        <v>0</v>
      </c>
      <c r="AI31" s="47" t="n">
        <v>359400000</v>
      </c>
      <c r="AJ31" s="47" t="n">
        <v>3517</v>
      </c>
      <c r="AK31" s="71" t="n">
        <v>0.085</v>
      </c>
      <c r="AL31" s="49" t="n">
        <f aca="false">IF(AI31&gt;0,AJ31*1000000/AI31,0)</f>
        <v>9.78575403450195</v>
      </c>
      <c r="AM31" s="67" t="n">
        <f aca="false">IF(AND(AK31&gt;0,AL30&gt;0,B31&gt;0),MIN(conv_cap,conv_beta*1*AK31*MAX(0,LN(B31/(AL30*AN30)))),0)</f>
        <v>0.00292097713852513</v>
      </c>
      <c r="AN31" s="68" t="n">
        <f aca="false">AN30*(1+AM31)</f>
        <v>1.02129430695582</v>
      </c>
      <c r="AO31" s="49" t="n">
        <f aca="false">AJ31*AN31</f>
        <v>3591.89207756362</v>
      </c>
      <c r="AP31" s="70" t="n">
        <f aca="false">IF(AI31&gt;0,AO31*1000000/AI31/Economy!Q31,0)</f>
        <v>0.0577695658075536</v>
      </c>
      <c r="AQ31" s="47" t="n">
        <v>10070000</v>
      </c>
      <c r="AR31" s="47" t="n">
        <v>153</v>
      </c>
      <c r="AS31" s="71" t="n">
        <v>0</v>
      </c>
      <c r="AT31" s="49" t="n">
        <f aca="false">IF(AQ31&gt;0,AR31*1000000/AQ31,0)</f>
        <v>15.1936444885799</v>
      </c>
      <c r="AU31" s="67" t="n">
        <f aca="false">IF(AND(AS31&gt;0,AT30&gt;0,B31&gt;0),MIN(conv_cap,conv_beta*1*AS31*MAX(0,LN(B31/(AT30*AV30)))),0)</f>
        <v>0</v>
      </c>
      <c r="AV31" s="68" t="n">
        <f aca="false">AV30*(1+AU31)</f>
        <v>1</v>
      </c>
      <c r="AW31" s="49" t="n">
        <f aca="false">AR31*AV31</f>
        <v>153</v>
      </c>
      <c r="AX31" s="70" t="n">
        <f aca="false">IF(AQ31&gt;0,AW31*1000000/AQ31/Economy!Q31,0)</f>
        <v>0.087824534616069</v>
      </c>
      <c r="AY31" s="47" t="n">
        <v>51000000</v>
      </c>
      <c r="AZ31" s="47" t="n">
        <v>937</v>
      </c>
      <c r="BA31" s="71" t="n">
        <v>0</v>
      </c>
      <c r="BB31" s="49" t="n">
        <f aca="false">IF(AY31&gt;0,AZ31*1000000/AY31,0)</f>
        <v>18.3725490196078</v>
      </c>
      <c r="BC31" s="67" t="n">
        <f aca="false">IF(AND(BA31&gt;0,BB30&gt;0,B31&gt;0),MIN(conv_cap,conv_beta*1*BA31*MAX(0,LN(B31/(BB30*BD30)))),0)</f>
        <v>0</v>
      </c>
      <c r="BD31" s="68" t="n">
        <f aca="false">BD30*(1+BC31)</f>
        <v>1</v>
      </c>
      <c r="BE31" s="49" t="n">
        <f aca="false">AZ31*BD31</f>
        <v>937</v>
      </c>
      <c r="BF31" s="70" t="n">
        <f aca="false">IF(AY31&gt;0,BE31*1000000/AY31/Economy!Q31,0)</f>
        <v>0.106199705315652</v>
      </c>
      <c r="BG31" s="47" t="n">
        <v>22300000</v>
      </c>
      <c r="BH31" s="47" t="n">
        <v>1040</v>
      </c>
      <c r="BI31" s="71" t="n">
        <v>0.053</v>
      </c>
      <c r="BJ31" s="49" t="n">
        <f aca="false">IF(BG31&gt;0,BH31*1000000/BG31,0)</f>
        <v>46.6367713004484</v>
      </c>
      <c r="BK31" s="67" t="n">
        <f aca="false">IF(AND(BI31&gt;0,BJ30&gt;0,B31&gt;0),MIN(conv_cap,conv_beta*1*BI31*MAX(0,LN(B31/(BJ30*BL30)))),0)</f>
        <v>0.00101647118466035</v>
      </c>
      <c r="BL31" s="68" t="n">
        <f aca="false">BL30*(1+BK31)</f>
        <v>1.00101647118466</v>
      </c>
      <c r="BM31" s="49" t="n">
        <f aca="false">BH31*BL31</f>
        <v>1041.05713003205</v>
      </c>
      <c r="BN31" s="70" t="n">
        <f aca="false">IF(BG31&gt;0,BM31*1000000/BG31/Economy!Q31,0)</f>
        <v>0.26985072967989</v>
      </c>
      <c r="BO31" s="47" t="n">
        <v>12100000</v>
      </c>
      <c r="BP31" s="47" t="n">
        <v>510</v>
      </c>
      <c r="BQ31" s="71" t="n">
        <v>0</v>
      </c>
      <c r="BR31" s="49" t="n">
        <f aca="false">IF(BO31&gt;0,BP31*1000000/BO31,0)</f>
        <v>42.1487603305785</v>
      </c>
      <c r="BS31" s="67" t="n">
        <f aca="false">IF(AND(BQ31&gt;0,BR30&gt;0,B31&gt;0),MIN(conv_cap,conv_beta*1*BQ31*MAX(0,LN(B31/(BR30*BT30)))),0)</f>
        <v>0</v>
      </c>
      <c r="BT31" s="68" t="n">
        <f aca="false">BT30*(1+BS31)</f>
        <v>1</v>
      </c>
      <c r="BU31" s="49" t="n">
        <f aca="false">BP31*BT31</f>
        <v>510</v>
      </c>
      <c r="BV31" s="70" t="n">
        <f aca="false">IF(BO31&gt;0,BU31*1000000/BO31/Economy!Q31,0)</f>
        <v>0.24363445277791</v>
      </c>
      <c r="BW31" s="68" t="n">
        <f aca="false">0.25*IF(D31&gt;0,H31,1)+0.15*IF(AJ31&gt;0,AN31,1)+0.03*IF(AR31&gt;0,AV31,1)+0.08*IF(AZ31&gt;0,BD31,1)+0.12*IF(BH31&gt;0,BL31,1)+0.1*IF(L31&gt;0,P31,1)+0.07*IF(T31&gt;0,X31,1)+0.05*IF(AB31&gt;0,AF31,1)+0.05*IF(BP31&gt;0,BT31,1)+0.1</f>
        <v>1.01079440969766</v>
      </c>
      <c r="BX31" s="66" t="n">
        <f aca="false">MIN(mkt_cap,mkt_elast*MAX(0,BW31-1))</f>
        <v>0.00539720484883144</v>
      </c>
      <c r="BY31" s="49" t="n">
        <f aca="false">I31+Q31+Y31+AG31</f>
        <v>485.089092919254</v>
      </c>
      <c r="BZ31" s="49" t="n">
        <f aca="false">D31+L31+T31+AB31</f>
        <v>471</v>
      </c>
      <c r="CA31" s="68" t="n">
        <f aca="false">IF(BZ31&gt;0,BY31/BZ31,0)</f>
        <v>1.02991314844852</v>
      </c>
    </row>
    <row r="32" customFormat="false" ht="14.25" hidden="false" customHeight="true" outlineLevel="0" collapsed="false">
      <c r="A32" s="61" t="n">
        <v>1872</v>
      </c>
      <c r="B32" s="49" t="n">
        <f aca="false">Economy!P31</f>
        <v>312.958758168479</v>
      </c>
      <c r="C32" s="47" t="n">
        <v>35160000</v>
      </c>
      <c r="D32" s="65" t="n">
        <f aca="false">Japan!B32</f>
        <v>479</v>
      </c>
      <c r="E32" s="71" t="n">
        <v>0.333</v>
      </c>
      <c r="F32" s="49" t="n">
        <f aca="false">IF(C32&gt;0,D32*1000000/C32,0)</f>
        <v>13.6234357224118</v>
      </c>
      <c r="G32" s="67" t="n">
        <f aca="false">IF(AND(E32&gt;0,F31&gt;0,B32&gt;0),MIN(conv_cap,conv_beta*jp_uplift*E32*MAX(0,LN(B32/(F31*H31)))),0)</f>
        <v>0.0103779960076115</v>
      </c>
      <c r="H32" s="68" t="n">
        <f aca="false">H31*(1+G32)</f>
        <v>1.04060158299131</v>
      </c>
      <c r="I32" s="49" t="n">
        <f aca="false">D32*H32</f>
        <v>498.448158252837</v>
      </c>
      <c r="J32" s="70" t="n">
        <f aca="false">IF(C32&gt;0,I32*1000000/C32/Economy!Q32,0)</f>
        <v>0.0819454842689138</v>
      </c>
      <c r="K32" s="65" t="n">
        <f aca="false">Gulf!B32</f>
        <v>0</v>
      </c>
      <c r="L32" s="49" t="n">
        <f aca="false">Gulf!B32*Gulf!C32*Economy!Q32/1000000</f>
        <v>0</v>
      </c>
      <c r="M32" s="71" t="n">
        <v>0</v>
      </c>
      <c r="N32" s="49" t="n">
        <f aca="false">IF(K32&gt;0,L32*1000000/K32,0)</f>
        <v>0</v>
      </c>
      <c r="O32" s="67" t="n">
        <f aca="false">IF(AND(M32&gt;0,N31&gt;0,B32&gt;0),MIN(conv_cap,conv_beta*1*M32*MAX(0,LN(B32/(N31*P31)))),0)</f>
        <v>0</v>
      </c>
      <c r="P32" s="68" t="n">
        <f aca="false">P31*(1+O32)</f>
        <v>1</v>
      </c>
      <c r="Q32" s="49" t="n">
        <f aca="false">L32*P32</f>
        <v>0</v>
      </c>
      <c r="R32" s="70" t="n">
        <f aca="false">IF(K32&gt;0,Q32*1000000/K32/Economy!Q32,0)</f>
        <v>0</v>
      </c>
      <c r="S32" s="65" t="n">
        <f aca="false">People!U32</f>
        <v>0</v>
      </c>
      <c r="T32" s="47" t="n">
        <v>0</v>
      </c>
      <c r="U32" s="71" t="n">
        <v>0</v>
      </c>
      <c r="V32" s="49" t="n">
        <f aca="false">IF(S32&gt;0,T32*1000000/S32,0)</f>
        <v>0</v>
      </c>
      <c r="W32" s="67" t="n">
        <f aca="false">IF(AND(U32&gt;0,V31&gt;0,B32&gt;0),MIN(conv_cap,conv_beta*1*U32*MAX(0,LN(B32/(V31*X31)))),0)</f>
        <v>0</v>
      </c>
      <c r="X32" s="68" t="n">
        <f aca="false">X31*(1+W32)</f>
        <v>1</v>
      </c>
      <c r="Y32" s="49" t="n">
        <f aca="false">T32*X32</f>
        <v>0</v>
      </c>
      <c r="Z32" s="70" t="n">
        <f aca="false">IF(S32&gt;0,Y32*1000000/S32/Economy!Q32,0)</f>
        <v>0</v>
      </c>
      <c r="AA32" s="47" t="n">
        <v>0</v>
      </c>
      <c r="AB32" s="47" t="n">
        <v>0</v>
      </c>
      <c r="AC32" s="71" t="n">
        <v>0</v>
      </c>
      <c r="AD32" s="49" t="n">
        <f aca="false">IF(AA32&gt;0,AB32*1000000/AA32,0)</f>
        <v>0</v>
      </c>
      <c r="AE32" s="67" t="n">
        <f aca="false">IF(AND(AC32&gt;0,AD31&gt;0,B32&gt;0),MIN(conv_cap,conv_beta*1*AC32*MAX(0,LN(B32/(AD31*AF31)))),0)</f>
        <v>0</v>
      </c>
      <c r="AF32" s="68" t="n">
        <f aca="false">AF31*(1+AE32)</f>
        <v>1</v>
      </c>
      <c r="AG32" s="49" t="n">
        <f aca="false">AB32*AF32</f>
        <v>0</v>
      </c>
      <c r="AH32" s="70" t="n">
        <f aca="false">IF(AA32&gt;0,AG32*1000000/AA32/Economy!Q32,0)</f>
        <v>0</v>
      </c>
      <c r="AI32" s="47" t="n">
        <v>360800000</v>
      </c>
      <c r="AJ32" s="47" t="n">
        <v>3533</v>
      </c>
      <c r="AK32" s="71" t="n">
        <v>0.088</v>
      </c>
      <c r="AL32" s="49" t="n">
        <f aca="false">IF(AI32&gt;0,AJ32*1000000/AI32,0)</f>
        <v>9.79212860310421</v>
      </c>
      <c r="AM32" s="67" t="n">
        <f aca="false">IF(AND(AK32&gt;0,AL31&gt;0,B32&gt;0),MIN(conv_cap,conv_beta*1*AK32*MAX(0,LN(B32/(AL31*AN31)))),0)</f>
        <v>0.00303078424828879</v>
      </c>
      <c r="AN32" s="68" t="n">
        <f aca="false">AN31*(1+AM32)</f>
        <v>1.02438962965421</v>
      </c>
      <c r="AO32" s="49" t="n">
        <f aca="false">AJ32*AN32</f>
        <v>3619.16856156832</v>
      </c>
      <c r="AP32" s="70" t="n">
        <f aca="false">IF(AI32&gt;0,AO32*1000000/AI32/Economy!Q32,0)</f>
        <v>0.0579823988049729</v>
      </c>
      <c r="AQ32" s="47" t="n">
        <v>10130000</v>
      </c>
      <c r="AR32" s="47" t="n">
        <v>157</v>
      </c>
      <c r="AS32" s="71" t="n">
        <v>0</v>
      </c>
      <c r="AT32" s="49" t="n">
        <f aca="false">IF(AQ32&gt;0,AR32*1000000/AQ32,0)</f>
        <v>15.4985192497532</v>
      </c>
      <c r="AU32" s="67" t="n">
        <f aca="false">IF(AND(AS32&gt;0,AT31&gt;0,B32&gt;0),MIN(conv_cap,conv_beta*1*AS32*MAX(0,LN(B32/(AT31*AV31)))),0)</f>
        <v>0</v>
      </c>
      <c r="AV32" s="68" t="n">
        <f aca="false">AV31*(1+AU32)</f>
        <v>1</v>
      </c>
      <c r="AW32" s="49" t="n">
        <f aca="false">AR32*AV32</f>
        <v>157</v>
      </c>
      <c r="AX32" s="70" t="n">
        <f aca="false">IF(AQ32&gt;0,AW32*1000000/AQ32/Economy!Q32,0)</f>
        <v>0.0895868164725619</v>
      </c>
      <c r="AY32" s="47" t="n">
        <v>52000000</v>
      </c>
      <c r="AZ32" s="47" t="n">
        <v>973</v>
      </c>
      <c r="BA32" s="71" t="n">
        <v>0</v>
      </c>
      <c r="BB32" s="49" t="n">
        <f aca="false">IF(AY32&gt;0,AZ32*1000000/AY32,0)</f>
        <v>18.7115384615385</v>
      </c>
      <c r="BC32" s="67" t="n">
        <f aca="false">IF(AND(BA32&gt;0,BB31&gt;0,B32&gt;0),MIN(conv_cap,conv_beta*1*BA32*MAX(0,LN(B32/(BB31*BD31)))),0)</f>
        <v>0</v>
      </c>
      <c r="BD32" s="68" t="n">
        <f aca="false">BD31*(1+BC32)</f>
        <v>1</v>
      </c>
      <c r="BE32" s="49" t="n">
        <f aca="false">AZ32*BD32</f>
        <v>973</v>
      </c>
      <c r="BF32" s="70" t="n">
        <f aca="false">IF(AY32&gt;0,BE32*1000000/AY32/Economy!Q32,0)</f>
        <v>0.108159181858604</v>
      </c>
      <c r="BG32" s="47" t="n">
        <v>22500000</v>
      </c>
      <c r="BH32" s="47" t="n">
        <v>1080</v>
      </c>
      <c r="BI32" s="71" t="n">
        <v>0.057</v>
      </c>
      <c r="BJ32" s="49" t="n">
        <f aca="false">IF(BG32&gt;0,BH32*1000000/BG32,0)</f>
        <v>48</v>
      </c>
      <c r="BK32" s="67" t="n">
        <f aca="false">IF(AND(BI32&gt;0,BJ31&gt;0,B32&gt;0),MIN(conv_cap,conv_beta*1*BI32*MAX(0,LN(B32/(BJ31*BL31)))),0)</f>
        <v>0.00108451970562634</v>
      </c>
      <c r="BL32" s="68" t="n">
        <f aca="false">BL31*(1+BK32)</f>
        <v>1.00210209327332</v>
      </c>
      <c r="BM32" s="49" t="n">
        <f aca="false">BH32*BL32</f>
        <v>1082.27026073518</v>
      </c>
      <c r="BN32" s="70" t="n">
        <f aca="false">IF(BG32&gt;0,BM32*1000000/BG32/Economy!Q32,0)</f>
        <v>0.278039887150978</v>
      </c>
      <c r="BO32" s="47" t="n">
        <v>12100000</v>
      </c>
      <c r="BP32" s="47" t="n">
        <v>520</v>
      </c>
      <c r="BQ32" s="71" t="n">
        <v>0</v>
      </c>
      <c r="BR32" s="49" t="n">
        <f aca="false">IF(BO32&gt;0,BP32*1000000/BO32,0)</f>
        <v>42.9752066115703</v>
      </c>
      <c r="BS32" s="67" t="n">
        <f aca="false">IF(AND(BQ32&gt;0,BR31&gt;0,B32&gt;0),MIN(conv_cap,conv_beta*1*BQ32*MAX(0,LN(B32/(BR31*BT31)))),0)</f>
        <v>0</v>
      </c>
      <c r="BT32" s="68" t="n">
        <f aca="false">BT31*(1+BS32)</f>
        <v>1</v>
      </c>
      <c r="BU32" s="49" t="n">
        <f aca="false">BP32*BT32</f>
        <v>520</v>
      </c>
      <c r="BV32" s="70" t="n">
        <f aca="false">IF(BO32&gt;0,BU32*1000000/BO32/Economy!Q32,0)</f>
        <v>0.248411598910811</v>
      </c>
      <c r="BW32" s="68" t="n">
        <f aca="false">0.25*IF(D32&gt;0,H32,1)+0.15*IF(AJ32&gt;0,AN32,1)+0.03*IF(AR32&gt;0,AV32,1)+0.08*IF(AZ32&gt;0,BD32,1)+0.12*IF(BH32&gt;0,BL32,1)+0.1*IF(L32&gt;0,P32,1)+0.07*IF(T32&gt;0,X32,1)+0.05*IF(AB32&gt;0,AF32,1)+0.05*IF(BP32&gt;0,BT32,1)+0.1</f>
        <v>1.01406109138876</v>
      </c>
      <c r="BX32" s="66" t="n">
        <f aca="false">MIN(mkt_cap,mkt_elast*MAX(0,BW32-1))</f>
        <v>0.00703054569437822</v>
      </c>
      <c r="BY32" s="49" t="n">
        <f aca="false">I32+Q32+Y32+AG32</f>
        <v>498.448158252837</v>
      </c>
      <c r="BZ32" s="49" t="n">
        <f aca="false">D32+L32+T32+AB32</f>
        <v>479</v>
      </c>
      <c r="CA32" s="68" t="n">
        <f aca="false">IF(BZ32&gt;0,BY32/BZ32,0)</f>
        <v>1.04060158299131</v>
      </c>
    </row>
    <row r="33" customFormat="false" ht="14.25" hidden="false" customHeight="true" outlineLevel="0" collapsed="false">
      <c r="A33" s="61" t="n">
        <v>1873</v>
      </c>
      <c r="B33" s="49" t="n">
        <f aca="false">Economy!P32</f>
        <v>316.386851654329</v>
      </c>
      <c r="C33" s="47" t="n">
        <v>35340000</v>
      </c>
      <c r="D33" s="65" t="n">
        <f aca="false">Japan!B33</f>
        <v>486</v>
      </c>
      <c r="E33" s="71" t="n">
        <v>0.342</v>
      </c>
      <c r="F33" s="49" t="n">
        <f aca="false">IF(C33&gt;0,D33*1000000/C33,0)</f>
        <v>13.7521222410866</v>
      </c>
      <c r="G33" s="67" t="n">
        <f aca="false">IF(AND(E33&gt;0,F32&gt;0,B33&gt;0),MIN(conv_cap,conv_beta*jp_uplift*E33*MAX(0,LN(B33/(F32*H32)))),0)</f>
        <v>0.0106203830583067</v>
      </c>
      <c r="H33" s="68" t="n">
        <f aca="false">H32*(1+G33)</f>
        <v>1.05165317041376</v>
      </c>
      <c r="I33" s="49" t="n">
        <f aca="false">D33*H33</f>
        <v>511.103440821086</v>
      </c>
      <c r="J33" s="70" t="n">
        <f aca="false">IF(C33&gt;0,I33*1000000/C33/Economy!Q33,0)</f>
        <v>0.0831176031882542</v>
      </c>
      <c r="K33" s="65" t="n">
        <f aca="false">Gulf!B33</f>
        <v>0</v>
      </c>
      <c r="L33" s="49" t="n">
        <f aca="false">Gulf!B33*Gulf!C33*Economy!Q33/1000000</f>
        <v>0</v>
      </c>
      <c r="M33" s="71" t="n">
        <v>0</v>
      </c>
      <c r="N33" s="49" t="n">
        <f aca="false">IF(K33&gt;0,L33*1000000/K33,0)</f>
        <v>0</v>
      </c>
      <c r="O33" s="67" t="n">
        <f aca="false">IF(AND(M33&gt;0,N32&gt;0,B33&gt;0),MIN(conv_cap,conv_beta*1*M33*MAX(0,LN(B33/(N32*P32)))),0)</f>
        <v>0</v>
      </c>
      <c r="P33" s="68" t="n">
        <f aca="false">P32*(1+O33)</f>
        <v>1</v>
      </c>
      <c r="Q33" s="49" t="n">
        <f aca="false">L33*P33</f>
        <v>0</v>
      </c>
      <c r="R33" s="70" t="n">
        <f aca="false">IF(K33&gt;0,Q33*1000000/K33/Economy!Q33,0)</f>
        <v>0</v>
      </c>
      <c r="S33" s="65" t="n">
        <f aca="false">People!U33</f>
        <v>0</v>
      </c>
      <c r="T33" s="47" t="n">
        <v>0</v>
      </c>
      <c r="U33" s="71" t="n">
        <v>0</v>
      </c>
      <c r="V33" s="49" t="n">
        <f aca="false">IF(S33&gt;0,T33*1000000/S33,0)</f>
        <v>0</v>
      </c>
      <c r="W33" s="67" t="n">
        <f aca="false">IF(AND(U33&gt;0,V32&gt;0,B33&gt;0),MIN(conv_cap,conv_beta*1*U33*MAX(0,LN(B33/(V32*X32)))),0)</f>
        <v>0</v>
      </c>
      <c r="X33" s="68" t="n">
        <f aca="false">X32*(1+W33)</f>
        <v>1</v>
      </c>
      <c r="Y33" s="49" t="n">
        <f aca="false">T33*X33</f>
        <v>0</v>
      </c>
      <c r="Z33" s="70" t="n">
        <f aca="false">IF(S33&gt;0,Y33*1000000/S33/Economy!Q33,0)</f>
        <v>0</v>
      </c>
      <c r="AA33" s="47" t="n">
        <v>0</v>
      </c>
      <c r="AB33" s="47" t="n">
        <v>0</v>
      </c>
      <c r="AC33" s="71" t="n">
        <v>0</v>
      </c>
      <c r="AD33" s="49" t="n">
        <f aca="false">IF(AA33&gt;0,AB33*1000000/AA33,0)</f>
        <v>0</v>
      </c>
      <c r="AE33" s="67" t="n">
        <f aca="false">IF(AND(AC33&gt;0,AD32&gt;0,B33&gt;0),MIN(conv_cap,conv_beta*1*AC33*MAX(0,LN(B33/(AD32*AF32)))),0)</f>
        <v>0</v>
      </c>
      <c r="AF33" s="68" t="n">
        <f aca="false">AF32*(1+AE33)</f>
        <v>1</v>
      </c>
      <c r="AG33" s="49" t="n">
        <f aca="false">AB33*AF33</f>
        <v>0</v>
      </c>
      <c r="AH33" s="70" t="n">
        <f aca="false">IF(AA33&gt;0,AG33*1000000/AA33/Economy!Q33,0)</f>
        <v>0</v>
      </c>
      <c r="AI33" s="47" t="n">
        <v>362200000</v>
      </c>
      <c r="AJ33" s="47" t="n">
        <v>3550</v>
      </c>
      <c r="AK33" s="71" t="n">
        <v>0.092</v>
      </c>
      <c r="AL33" s="49" t="n">
        <f aca="false">IF(AI33&gt;0,AJ33*1000000/AI33,0)</f>
        <v>9.80121479845389</v>
      </c>
      <c r="AM33" s="67" t="n">
        <f aca="false">IF(AND(AK33&gt;0,AL32&gt;0,B33&gt;0),MIN(conv_cap,conv_beta*1*AK33*MAX(0,LN(B33/(AL32*AN32)))),0)</f>
        <v>0.00317518667839214</v>
      </c>
      <c r="AN33" s="68" t="n">
        <f aca="false">AN32*(1+AM33)</f>
        <v>1.02764225795977</v>
      </c>
      <c r="AO33" s="49" t="n">
        <f aca="false">AJ33*AN33</f>
        <v>3648.13001575718</v>
      </c>
      <c r="AP33" s="70" t="n">
        <f aca="false">IF(AI33&gt;0,AO33*1000000/AI33/Economy!Q33,0)</f>
        <v>0.0578858764725969</v>
      </c>
      <c r="AQ33" s="47" t="n">
        <v>10200000</v>
      </c>
      <c r="AR33" s="47" t="n">
        <v>160</v>
      </c>
      <c r="AS33" s="71" t="n">
        <v>0</v>
      </c>
      <c r="AT33" s="49" t="n">
        <f aca="false">IF(AQ33&gt;0,AR33*1000000/AQ33,0)</f>
        <v>15.6862745098039</v>
      </c>
      <c r="AU33" s="67" t="n">
        <f aca="false">IF(AND(AS33&gt;0,AT32&gt;0,B33&gt;0),MIN(conv_cap,conv_beta*1*AS33*MAX(0,LN(B33/(AT32*AV32)))),0)</f>
        <v>0</v>
      </c>
      <c r="AV33" s="68" t="n">
        <f aca="false">AV32*(1+AU33)</f>
        <v>1</v>
      </c>
      <c r="AW33" s="49" t="n">
        <f aca="false">AR33*AV33</f>
        <v>160</v>
      </c>
      <c r="AX33" s="70" t="n">
        <f aca="false">IF(AQ33&gt;0,AW33*1000000/AQ33/Economy!Q33,0)</f>
        <v>0.0901510029299076</v>
      </c>
      <c r="AY33" s="47" t="n">
        <v>53000000</v>
      </c>
      <c r="AZ33" s="47" t="n">
        <v>1010</v>
      </c>
      <c r="BA33" s="71" t="n">
        <v>0</v>
      </c>
      <c r="BB33" s="49" t="n">
        <f aca="false">IF(AY33&gt;0,AZ33*1000000/AY33,0)</f>
        <v>19.0566037735849</v>
      </c>
      <c r="BC33" s="67" t="n">
        <f aca="false">IF(AND(BA33&gt;0,BB32&gt;0,B33&gt;0),MIN(conv_cap,conv_beta*1*BA33*MAX(0,LN(B33/(BB32*BD32)))),0)</f>
        <v>0</v>
      </c>
      <c r="BD33" s="68" t="n">
        <f aca="false">BD32*(1+BC33)</f>
        <v>1</v>
      </c>
      <c r="BE33" s="49" t="n">
        <f aca="false">AZ33*BD33</f>
        <v>1010</v>
      </c>
      <c r="BF33" s="70" t="n">
        <f aca="false">IF(AY33&gt;0,BE33*1000000/AY33/Economy!Q33,0)</f>
        <v>0.109520711342442</v>
      </c>
      <c r="BG33" s="47" t="n">
        <v>22800000</v>
      </c>
      <c r="BH33" s="47" t="n">
        <v>1120</v>
      </c>
      <c r="BI33" s="71" t="n">
        <v>0.06</v>
      </c>
      <c r="BJ33" s="49" t="n">
        <f aca="false">IF(BG33&gt;0,BH33*1000000/BG33,0)</f>
        <v>49.1228070175439</v>
      </c>
      <c r="BK33" s="67" t="n">
        <f aca="false">IF(AND(BI33&gt;0,BJ32&gt;0,B33&gt;0),MIN(conv_cap,conv_beta*1*BI33*MAX(0,LN(B33/(BJ32*BL32)))),0)</f>
        <v>0.00113019886864159</v>
      </c>
      <c r="BL33" s="68" t="n">
        <f aca="false">BL32*(1+BK33)</f>
        <v>1.0032346679254</v>
      </c>
      <c r="BM33" s="49" t="n">
        <f aca="false">BH33*BL33</f>
        <v>1123.62282807645</v>
      </c>
      <c r="BN33" s="70" t="n">
        <f aca="false">IF(BG33&gt;0,BM33*1000000/BG33/Economy!Q33,0)</f>
        <v>0.283228178079362</v>
      </c>
      <c r="BO33" s="47" t="n">
        <v>12200000</v>
      </c>
      <c r="BP33" s="47" t="n">
        <v>530</v>
      </c>
      <c r="BQ33" s="71" t="n">
        <v>0</v>
      </c>
      <c r="BR33" s="49" t="n">
        <f aca="false">IF(BO33&gt;0,BP33*1000000/BO33,0)</f>
        <v>43.4426229508197</v>
      </c>
      <c r="BS33" s="67" t="n">
        <f aca="false">IF(AND(BQ33&gt;0,BR32&gt;0,B33&gt;0),MIN(conv_cap,conv_beta*1*BQ33*MAX(0,LN(B33/(BR32*BT32)))),0)</f>
        <v>0</v>
      </c>
      <c r="BT33" s="68" t="n">
        <f aca="false">BT32*(1+BS33)</f>
        <v>1</v>
      </c>
      <c r="BU33" s="49" t="n">
        <f aca="false">BP33*BT33</f>
        <v>530</v>
      </c>
      <c r="BV33" s="70" t="n">
        <f aca="false">IF(BO33&gt;0,BU33*1000000/BO33/Economy!Q33,0)</f>
        <v>0.249670246843791</v>
      </c>
      <c r="BW33" s="68" t="n">
        <f aca="false">0.25*IF(D33&gt;0,H33,1)+0.15*IF(AJ33&gt;0,AN33,1)+0.03*IF(AR33&gt;0,AV33,1)+0.08*IF(AZ33&gt;0,BD33,1)+0.12*IF(BH33&gt;0,BL33,1)+0.1*IF(L33&gt;0,P33,1)+0.07*IF(T33&gt;0,X33,1)+0.05*IF(AB33&gt;0,AF33,1)+0.05*IF(BP33&gt;0,BT33,1)+0.1</f>
        <v>1.01744779144845</v>
      </c>
      <c r="BX33" s="66" t="n">
        <f aca="false">MIN(mkt_cap,mkt_elast*MAX(0,BW33-1))</f>
        <v>0.00872389572422616</v>
      </c>
      <c r="BY33" s="49" t="n">
        <f aca="false">I33+Q33+Y33+AG33</f>
        <v>511.103440821086</v>
      </c>
      <c r="BZ33" s="49" t="n">
        <f aca="false">D33+L33+T33+AB33</f>
        <v>486</v>
      </c>
      <c r="CA33" s="68" t="n">
        <f aca="false">IF(BZ33&gt;0,BY33/BZ33,0)</f>
        <v>1.05165317041376</v>
      </c>
    </row>
    <row r="34" customFormat="false" ht="14.25" hidden="false" customHeight="true" outlineLevel="0" collapsed="false">
      <c r="A34" s="61" t="n">
        <v>1874</v>
      </c>
      <c r="B34" s="49" t="n">
        <f aca="false">Economy!P33</f>
        <v>314.896322337485</v>
      </c>
      <c r="C34" s="47" t="n">
        <v>35520000</v>
      </c>
      <c r="D34" s="65" t="n">
        <f aca="false">Japan!B34</f>
        <v>493</v>
      </c>
      <c r="E34" s="71" t="n">
        <v>0.35</v>
      </c>
      <c r="F34" s="49" t="n">
        <f aca="false">IF(C34&gt;0,D34*1000000/C34,0)</f>
        <v>13.8795045045045</v>
      </c>
      <c r="G34" s="67" t="n">
        <f aca="false">IF(AND(E34&gt;0,F33&gt;0,B34&gt;0),MIN(conv_cap,conv_beta*jp_uplift*E34*MAX(0,LN(B34/(F33*H33)))),0)</f>
        <v>0.0107824042135757</v>
      </c>
      <c r="H34" s="68" t="n">
        <f aca="false">H33*(1+G34)</f>
        <v>1.06299251998965</v>
      </c>
      <c r="I34" s="49" t="n">
        <f aca="false">D34*H34</f>
        <v>524.055312354895</v>
      </c>
      <c r="J34" s="70" t="n">
        <f aca="false">IF(C34&gt;0,I34*1000000/C34/Economy!Q34,0)</f>
        <v>0.08479200844512</v>
      </c>
      <c r="K34" s="65" t="n">
        <f aca="false">Gulf!B34</f>
        <v>0</v>
      </c>
      <c r="L34" s="49" t="n">
        <f aca="false">Gulf!B34*Gulf!C34*Economy!Q34/1000000</f>
        <v>0</v>
      </c>
      <c r="M34" s="71" t="n">
        <v>0</v>
      </c>
      <c r="N34" s="49" t="n">
        <f aca="false">IF(K34&gt;0,L34*1000000/K34,0)</f>
        <v>0</v>
      </c>
      <c r="O34" s="67" t="n">
        <f aca="false">IF(AND(M34&gt;0,N33&gt;0,B34&gt;0),MIN(conv_cap,conv_beta*1*M34*MAX(0,LN(B34/(N33*P33)))),0)</f>
        <v>0</v>
      </c>
      <c r="P34" s="68" t="n">
        <f aca="false">P33*(1+O34)</f>
        <v>1</v>
      </c>
      <c r="Q34" s="49" t="n">
        <f aca="false">L34*P34</f>
        <v>0</v>
      </c>
      <c r="R34" s="70" t="n">
        <f aca="false">IF(K34&gt;0,Q34*1000000/K34/Economy!Q34,0)</f>
        <v>0</v>
      </c>
      <c r="S34" s="65" t="n">
        <f aca="false">People!U34</f>
        <v>0</v>
      </c>
      <c r="T34" s="47" t="n">
        <v>0</v>
      </c>
      <c r="U34" s="71" t="n">
        <v>0</v>
      </c>
      <c r="V34" s="49" t="n">
        <f aca="false">IF(S34&gt;0,T34*1000000/S34,0)</f>
        <v>0</v>
      </c>
      <c r="W34" s="67" t="n">
        <f aca="false">IF(AND(U34&gt;0,V33&gt;0,B34&gt;0),MIN(conv_cap,conv_beta*1*U34*MAX(0,LN(B34/(V33*X33)))),0)</f>
        <v>0</v>
      </c>
      <c r="X34" s="68" t="n">
        <f aca="false">X33*(1+W34)</f>
        <v>1</v>
      </c>
      <c r="Y34" s="49" t="n">
        <f aca="false">T34*X34</f>
        <v>0</v>
      </c>
      <c r="Z34" s="70" t="n">
        <f aca="false">IF(S34&gt;0,Y34*1000000/S34/Economy!Q34,0)</f>
        <v>0</v>
      </c>
      <c r="AA34" s="47" t="n">
        <v>0</v>
      </c>
      <c r="AB34" s="47" t="n">
        <v>0</v>
      </c>
      <c r="AC34" s="71" t="n">
        <v>0</v>
      </c>
      <c r="AD34" s="49" t="n">
        <f aca="false">IF(AA34&gt;0,AB34*1000000/AA34,0)</f>
        <v>0</v>
      </c>
      <c r="AE34" s="67" t="n">
        <f aca="false">IF(AND(AC34&gt;0,AD33&gt;0,B34&gt;0),MIN(conv_cap,conv_beta*1*AC34*MAX(0,LN(B34/(AD33*AF33)))),0)</f>
        <v>0</v>
      </c>
      <c r="AF34" s="68" t="n">
        <f aca="false">AF33*(1+AE34)</f>
        <v>1</v>
      </c>
      <c r="AG34" s="49" t="n">
        <f aca="false">AB34*AF34</f>
        <v>0</v>
      </c>
      <c r="AH34" s="70" t="n">
        <f aca="false">IF(AA34&gt;0,AG34*1000000/AA34/Economy!Q34,0)</f>
        <v>0</v>
      </c>
      <c r="AI34" s="47" t="n">
        <v>363600000</v>
      </c>
      <c r="AJ34" s="47" t="n">
        <v>3567</v>
      </c>
      <c r="AK34" s="71" t="n">
        <v>0.096</v>
      </c>
      <c r="AL34" s="49" t="n">
        <f aca="false">IF(AI34&gt;0,AJ34*1000000/AI34,0)</f>
        <v>9.81023102310231</v>
      </c>
      <c r="AM34" s="67" t="n">
        <f aca="false">IF(AND(AK34&gt;0,AL33&gt;0,B34&gt;0),MIN(conv_cap,conv_beta*1*AK34*MAX(0,LN(B34/(AL33*AN33)))),0)</f>
        <v>0.00330477120366528</v>
      </c>
      <c r="AN34" s="68" t="n">
        <f aca="false">AN33*(1+AM34)</f>
        <v>1.03103838050154</v>
      </c>
      <c r="AO34" s="49" t="n">
        <f aca="false">AJ34*AN34</f>
        <v>3677.71390324901</v>
      </c>
      <c r="AP34" s="70" t="n">
        <f aca="false">IF(AI34&gt;0,AO34*1000000/AI34/Economy!Q34,0)</f>
        <v>0.0581306017609507</v>
      </c>
      <c r="AQ34" s="47" t="n">
        <v>10270000</v>
      </c>
      <c r="AR34" s="47" t="n">
        <v>163</v>
      </c>
      <c r="AS34" s="71" t="n">
        <v>0</v>
      </c>
      <c r="AT34" s="49" t="n">
        <f aca="false">IF(AQ34&gt;0,AR34*1000000/AQ34,0)</f>
        <v>15.8714703018501</v>
      </c>
      <c r="AU34" s="67" t="n">
        <f aca="false">IF(AND(AS34&gt;0,AT33&gt;0,B34&gt;0),MIN(conv_cap,conv_beta*1*AS34*MAX(0,LN(B34/(AT33*AV33)))),0)</f>
        <v>0</v>
      </c>
      <c r="AV34" s="68" t="n">
        <f aca="false">AV33*(1+AU34)</f>
        <v>1</v>
      </c>
      <c r="AW34" s="49" t="n">
        <f aca="false">AR34*AV34</f>
        <v>163</v>
      </c>
      <c r="AX34" s="70" t="n">
        <f aca="false">IF(AQ34&gt;0,AW34*1000000/AQ34/Economy!Q34,0)</f>
        <v>0.0912153465623566</v>
      </c>
      <c r="AY34" s="47" t="n">
        <v>54000000</v>
      </c>
      <c r="AZ34" s="47" t="n">
        <v>1047</v>
      </c>
      <c r="BA34" s="71" t="n">
        <v>0</v>
      </c>
      <c r="BB34" s="49" t="n">
        <f aca="false">IF(AY34&gt;0,AZ34*1000000/AY34,0)</f>
        <v>19.3888888888889</v>
      </c>
      <c r="BC34" s="67" t="n">
        <f aca="false">IF(AND(BA34&gt;0,BB33&gt;0,B34&gt;0),MIN(conv_cap,conv_beta*1*BA34*MAX(0,LN(B34/(BB33*BD33)))),0)</f>
        <v>0</v>
      </c>
      <c r="BD34" s="68" t="n">
        <f aca="false">BD33*(1+BC34)</f>
        <v>1</v>
      </c>
      <c r="BE34" s="49" t="n">
        <f aca="false">AZ34*BD34</f>
        <v>1047</v>
      </c>
      <c r="BF34" s="70" t="n">
        <f aca="false">IF(AY34&gt;0,BE34*1000000/AY34/Economy!Q34,0)</f>
        <v>0.111430395913155</v>
      </c>
      <c r="BG34" s="47" t="n">
        <v>23100000</v>
      </c>
      <c r="BH34" s="47" t="n">
        <v>1160</v>
      </c>
      <c r="BI34" s="71" t="n">
        <v>0.063</v>
      </c>
      <c r="BJ34" s="49" t="n">
        <f aca="false">IF(BG34&gt;0,BH34*1000000/BG34,0)</f>
        <v>50.2164502164502</v>
      </c>
      <c r="BK34" s="67" t="n">
        <f aca="false">IF(AND(BI34&gt;0,BJ33&gt;0,B34&gt;0),MIN(conv_cap,conv_beta*1*BI34*MAX(0,LN(B34/(BJ33*BL33)))),0)</f>
        <v>0.00116845506114249</v>
      </c>
      <c r="BL34" s="68" t="n">
        <f aca="false">BL33*(1+BK34)</f>
        <v>1.00440690255065</v>
      </c>
      <c r="BM34" s="49" t="n">
        <f aca="false">BH34*BL34</f>
        <v>1165.11200695875</v>
      </c>
      <c r="BN34" s="70" t="n">
        <f aca="false">IF(BG34&gt;0,BM34*1000000/BG34/Economy!Q34,0)</f>
        <v>0.289872121948239</v>
      </c>
      <c r="BO34" s="47" t="n">
        <v>12300000</v>
      </c>
      <c r="BP34" s="47" t="n">
        <v>540</v>
      </c>
      <c r="BQ34" s="71" t="n">
        <v>0</v>
      </c>
      <c r="BR34" s="49" t="n">
        <f aca="false">IF(BO34&gt;0,BP34*1000000/BO34,0)</f>
        <v>43.9024390243903</v>
      </c>
      <c r="BS34" s="67" t="n">
        <f aca="false">IF(AND(BQ34&gt;0,BR33&gt;0,B34&gt;0),MIN(conv_cap,conv_beta*1*BQ34*MAX(0,LN(B34/(BR33*BT33)))),0)</f>
        <v>0</v>
      </c>
      <c r="BT34" s="68" t="n">
        <f aca="false">BT33*(1+BS34)</f>
        <v>1</v>
      </c>
      <c r="BU34" s="49" t="n">
        <f aca="false">BP34*BT34</f>
        <v>540</v>
      </c>
      <c r="BV34" s="70" t="n">
        <f aca="false">IF(BO34&gt;0,BU34*1000000/BO34/Economy!Q34,0)</f>
        <v>0.252312867956266</v>
      </c>
      <c r="BW34" s="68" t="n">
        <f aca="false">0.25*IF(D34&gt;0,H34,1)+0.15*IF(AJ34&gt;0,AN34,1)+0.03*IF(AR34&gt;0,AV34,1)+0.08*IF(AZ34&gt;0,BD34,1)+0.12*IF(BH34&gt;0,BL34,1)+0.1*IF(L34&gt;0,P34,1)+0.07*IF(T34&gt;0,X34,1)+0.05*IF(AB34&gt;0,AF34,1)+0.05*IF(BP34&gt;0,BT34,1)+0.1</f>
        <v>1.02093271537872</v>
      </c>
      <c r="BX34" s="66" t="n">
        <f aca="false">MIN(mkt_cap,mkt_elast*MAX(0,BW34-1))</f>
        <v>0.0104663576893606</v>
      </c>
      <c r="BY34" s="49" t="n">
        <f aca="false">I34+Q34+Y34+AG34</f>
        <v>524.055312354895</v>
      </c>
      <c r="BZ34" s="49" t="n">
        <f aca="false">D34+L34+T34+AB34</f>
        <v>493</v>
      </c>
      <c r="CA34" s="68" t="n">
        <f aca="false">IF(BZ34&gt;0,BY34/BZ34,0)</f>
        <v>1.06299251998965</v>
      </c>
    </row>
    <row r="35" customFormat="false" ht="14.25" hidden="false" customHeight="true" outlineLevel="0" collapsed="false">
      <c r="A35" s="61" t="n">
        <v>1875</v>
      </c>
      <c r="B35" s="49" t="n">
        <f aca="false">Economy!P34</f>
        <v>314.977470153862</v>
      </c>
      <c r="C35" s="47" t="n">
        <v>35700000</v>
      </c>
      <c r="D35" s="65" t="n">
        <f aca="false">Japan!B35</f>
        <v>500</v>
      </c>
      <c r="E35" s="71" t="n">
        <v>0.358</v>
      </c>
      <c r="F35" s="49" t="n">
        <f aca="false">IF(C35&gt;0,D35*1000000/C35,0)</f>
        <v>14.0056022408964</v>
      </c>
      <c r="G35" s="67" t="n">
        <f aca="false">IF(AND(E35&gt;0,F34&gt;0,B35&gt;0),MIN(conv_cap,conv_beta*jp_uplift*E35*MAX(0,LN(B35/(F34*H34)))),0)</f>
        <v>0.0109583792639206</v>
      </c>
      <c r="H35" s="68" t="n">
        <f aca="false">H34*(1+G35)</f>
        <v>1.0746411951784</v>
      </c>
      <c r="I35" s="49" t="n">
        <f aca="false">D35*H35</f>
        <v>537.320597589202</v>
      </c>
      <c r="J35" s="70" t="n">
        <f aca="false">IF(C35&gt;0,I35*1000000/C35/Economy!Q35,0)</f>
        <v>0.0860056978934296</v>
      </c>
      <c r="K35" s="65" t="n">
        <f aca="false">Gulf!B35</f>
        <v>0</v>
      </c>
      <c r="L35" s="49" t="n">
        <f aca="false">Gulf!B35*Gulf!C35*Economy!Q35/1000000</f>
        <v>0</v>
      </c>
      <c r="M35" s="71" t="n">
        <v>0</v>
      </c>
      <c r="N35" s="49" t="n">
        <f aca="false">IF(K35&gt;0,L35*1000000/K35,0)</f>
        <v>0</v>
      </c>
      <c r="O35" s="67" t="n">
        <f aca="false">IF(AND(M35&gt;0,N34&gt;0,B35&gt;0),MIN(conv_cap,conv_beta*1*M35*MAX(0,LN(B35/(N34*P34)))),0)</f>
        <v>0</v>
      </c>
      <c r="P35" s="68" t="n">
        <f aca="false">P34*(1+O35)</f>
        <v>1</v>
      </c>
      <c r="Q35" s="49" t="n">
        <f aca="false">L35*P35</f>
        <v>0</v>
      </c>
      <c r="R35" s="70" t="n">
        <f aca="false">IF(K35&gt;0,Q35*1000000/K35/Economy!Q35,0)</f>
        <v>0</v>
      </c>
      <c r="S35" s="65" t="n">
        <f aca="false">People!U35</f>
        <v>0</v>
      </c>
      <c r="T35" s="47" t="n">
        <v>0</v>
      </c>
      <c r="U35" s="71" t="n">
        <v>0</v>
      </c>
      <c r="V35" s="49" t="n">
        <f aca="false">IF(S35&gt;0,T35*1000000/S35,0)</f>
        <v>0</v>
      </c>
      <c r="W35" s="67" t="n">
        <f aca="false">IF(AND(U35&gt;0,V34&gt;0,B35&gt;0),MIN(conv_cap,conv_beta*1*U35*MAX(0,LN(B35/(V34*X34)))),0)</f>
        <v>0</v>
      </c>
      <c r="X35" s="68" t="n">
        <f aca="false">X34*(1+W35)</f>
        <v>1</v>
      </c>
      <c r="Y35" s="49" t="n">
        <f aca="false">T35*X35</f>
        <v>0</v>
      </c>
      <c r="Z35" s="70" t="n">
        <f aca="false">IF(S35&gt;0,Y35*1000000/S35/Economy!Q35,0)</f>
        <v>0</v>
      </c>
      <c r="AA35" s="47" t="n">
        <v>0</v>
      </c>
      <c r="AB35" s="47" t="n">
        <v>0</v>
      </c>
      <c r="AC35" s="71" t="n">
        <v>0</v>
      </c>
      <c r="AD35" s="49" t="n">
        <f aca="false">IF(AA35&gt;0,AB35*1000000/AA35,0)</f>
        <v>0</v>
      </c>
      <c r="AE35" s="67" t="n">
        <f aca="false">IF(AND(AC35&gt;0,AD34&gt;0,B35&gt;0),MIN(conv_cap,conv_beta*1*AC35*MAX(0,LN(B35/(AD34*AF34)))),0)</f>
        <v>0</v>
      </c>
      <c r="AF35" s="68" t="n">
        <f aca="false">AF34*(1+AE35)</f>
        <v>1</v>
      </c>
      <c r="AG35" s="49" t="n">
        <f aca="false">AB35*AF35</f>
        <v>0</v>
      </c>
      <c r="AH35" s="70" t="n">
        <f aca="false">IF(AA35&gt;0,AG35*1000000/AA35/Economy!Q35,0)</f>
        <v>0</v>
      </c>
      <c r="AI35" s="47" t="n">
        <v>365000000</v>
      </c>
      <c r="AJ35" s="47" t="n">
        <v>3583</v>
      </c>
      <c r="AK35" s="71" t="n">
        <v>0.1</v>
      </c>
      <c r="AL35" s="49" t="n">
        <f aca="false">IF(AI35&gt;0,AJ35*1000000/AI35,0)</f>
        <v>9.81643835616438</v>
      </c>
      <c r="AM35" s="67" t="n">
        <f aca="false">IF(AND(AK35&gt;0,AL34&gt;0,B35&gt;0),MIN(conv_cap,conv_beta*1*AK35*MAX(0,LN(B35/(AL34*AN34)))),0)</f>
        <v>0.0034385088590685</v>
      </c>
      <c r="AN35" s="68" t="n">
        <f aca="false">AN34*(1+AM35)</f>
        <v>1.03458361510694</v>
      </c>
      <c r="AO35" s="49" t="n">
        <f aca="false">AJ35*AN35</f>
        <v>3706.91309292816</v>
      </c>
      <c r="AP35" s="70" t="n">
        <f aca="false">IF(AI35&gt;0,AO35*1000000/AI35/Economy!Q35,0)</f>
        <v>0.0580338644685426</v>
      </c>
      <c r="AQ35" s="47" t="n">
        <v>10330000</v>
      </c>
      <c r="AR35" s="47" t="n">
        <v>167</v>
      </c>
      <c r="AS35" s="71" t="n">
        <v>0</v>
      </c>
      <c r="AT35" s="49" t="n">
        <f aca="false">IF(AQ35&gt;0,AR35*1000000/AQ35,0)</f>
        <v>16.1665053242982</v>
      </c>
      <c r="AU35" s="67" t="n">
        <f aca="false">IF(AND(AS35&gt;0,AT34&gt;0,B35&gt;0),MIN(conv_cap,conv_beta*1*AS35*MAX(0,LN(B35/(AT34*AV34)))),0)</f>
        <v>0</v>
      </c>
      <c r="AV35" s="68" t="n">
        <f aca="false">AV34*(1+AU35)</f>
        <v>1</v>
      </c>
      <c r="AW35" s="49" t="n">
        <f aca="false">AR35*AV35</f>
        <v>167</v>
      </c>
      <c r="AX35" s="70" t="n">
        <f aca="false">IF(AQ35&gt;0,AW35*1000000/AQ35/Economy!Q35,0)</f>
        <v>0.0923800304245609</v>
      </c>
      <c r="AY35" s="47" t="n">
        <v>55000000</v>
      </c>
      <c r="AZ35" s="47" t="n">
        <v>1083</v>
      </c>
      <c r="BA35" s="71" t="n">
        <v>0</v>
      </c>
      <c r="BB35" s="49" t="n">
        <f aca="false">IF(AY35&gt;0,AZ35*1000000/AY35,0)</f>
        <v>19.6909090909091</v>
      </c>
      <c r="BC35" s="67" t="n">
        <f aca="false">IF(AND(BA35&gt;0,BB34&gt;0,B35&gt;0),MIN(conv_cap,conv_beta*1*BA35*MAX(0,LN(B35/(BB34*BD34)))),0)</f>
        <v>0</v>
      </c>
      <c r="BD35" s="68" t="n">
        <f aca="false">BD34*(1+BC35)</f>
        <v>1</v>
      </c>
      <c r="BE35" s="49" t="n">
        <f aca="false">AZ35*BD35</f>
        <v>1083</v>
      </c>
      <c r="BF35" s="70" t="n">
        <f aca="false">IF(AY35&gt;0,BE35*1000000/AY35/Economy!Q35,0)</f>
        <v>0.112519480519481</v>
      </c>
      <c r="BG35" s="47" t="n">
        <v>23300000</v>
      </c>
      <c r="BH35" s="47" t="n">
        <v>1200</v>
      </c>
      <c r="BI35" s="71" t="n">
        <v>0.067</v>
      </c>
      <c r="BJ35" s="49" t="n">
        <f aca="false">IF(BG35&gt;0,BH35*1000000/BG35,0)</f>
        <v>51.5021459227468</v>
      </c>
      <c r="BK35" s="67" t="n">
        <f aca="false">IF(AND(BI35&gt;0,BJ34&gt;0,B35&gt;0),MIN(conv_cap,conv_beta*1*BI35*MAX(0,LN(B35/(BJ34*BL34)))),0)</f>
        <v>0.00122728002127517</v>
      </c>
      <c r="BL35" s="68" t="n">
        <f aca="false">BL34*(1+BK35)</f>
        <v>1.00563959107538</v>
      </c>
      <c r="BM35" s="49" t="n">
        <f aca="false">BH35*BL35</f>
        <v>1206.76750929046</v>
      </c>
      <c r="BN35" s="70" t="n">
        <f aca="false">IF(BG35&gt;0,BM35*1000000/BG35/Economy!Q35,0)</f>
        <v>0.295957696944318</v>
      </c>
      <c r="BO35" s="47" t="n">
        <v>12300000</v>
      </c>
      <c r="BP35" s="47" t="n">
        <v>550</v>
      </c>
      <c r="BQ35" s="71" t="n">
        <v>0</v>
      </c>
      <c r="BR35" s="49" t="n">
        <f aca="false">IF(BO35&gt;0,BP35*1000000/BO35,0)</f>
        <v>44.7154471544716</v>
      </c>
      <c r="BS35" s="67" t="n">
        <f aca="false">IF(AND(BQ35&gt;0,BR34&gt;0,B35&gt;0),MIN(conv_cap,conv_beta*1*BQ35*MAX(0,LN(B35/(BR34*BT34)))),0)</f>
        <v>0</v>
      </c>
      <c r="BT35" s="68" t="n">
        <f aca="false">BT34*(1+BS35)</f>
        <v>1</v>
      </c>
      <c r="BU35" s="49" t="n">
        <f aca="false">BP35*BT35</f>
        <v>550</v>
      </c>
      <c r="BV35" s="70" t="n">
        <f aca="false">IF(BO35&gt;0,BU35*1000000/BO35/Economy!Q35,0)</f>
        <v>0.255516840882695</v>
      </c>
      <c r="BW35" s="68" t="n">
        <f aca="false">0.25*IF(D35&gt;0,H35,1)+0.15*IF(AJ35&gt;0,AN35,1)+0.03*IF(AR35&gt;0,AV35,1)+0.08*IF(AZ35&gt;0,BD35,1)+0.12*IF(BH35&gt;0,BL35,1)+0.1*IF(L35&gt;0,P35,1)+0.07*IF(T35&gt;0,X35,1)+0.05*IF(AB35&gt;0,AF35,1)+0.05*IF(BP35&gt;0,BT35,1)+0.1</f>
        <v>1.02452459198969</v>
      </c>
      <c r="BX35" s="66" t="n">
        <f aca="false">MIN(mkt_cap,mkt_elast*MAX(0,BW35-1))</f>
        <v>0.0122622959948436</v>
      </c>
      <c r="BY35" s="49" t="n">
        <f aca="false">I35+Q35+Y35+AG35</f>
        <v>537.320597589202</v>
      </c>
      <c r="BZ35" s="49" t="n">
        <f aca="false">D35+L35+T35+AB35</f>
        <v>500</v>
      </c>
      <c r="CA35" s="68" t="n">
        <f aca="false">IF(BZ35&gt;0,BY35/BZ35,0)</f>
        <v>1.0746411951784</v>
      </c>
    </row>
    <row r="36" customFormat="false" ht="14.25" hidden="false" customHeight="true" outlineLevel="0" collapsed="false">
      <c r="A36" s="61" t="n">
        <v>1876</v>
      </c>
      <c r="B36" s="49" t="n">
        <f aca="false">Economy!P35</f>
        <v>320.940903133981</v>
      </c>
      <c r="C36" s="47" t="n">
        <v>35880000</v>
      </c>
      <c r="D36" s="65" t="n">
        <f aca="false">Japan!B36</f>
        <v>520</v>
      </c>
      <c r="E36" s="71" t="n">
        <v>0.367</v>
      </c>
      <c r="F36" s="49" t="n">
        <f aca="false">IF(C36&gt;0,D36*1000000/C36,0)</f>
        <v>14.4927536231884</v>
      </c>
      <c r="G36" s="67" t="n">
        <f aca="false">IF(AND(E36&gt;0,F35&gt;0,B36&gt;0),MIN(conv_cap,conv_beta*jp_uplift*E36*MAX(0,LN(B36/(F35*H35)))),0)</f>
        <v>0.0112295128300068</v>
      </c>
      <c r="H36" s="68" t="n">
        <f aca="false">H35*(1+G36)</f>
        <v>1.08670889226731</v>
      </c>
      <c r="I36" s="49" t="n">
        <f aca="false">D36*H36</f>
        <v>565.088623979003</v>
      </c>
      <c r="J36" s="70" t="n">
        <f aca="false">IF(C36&gt;0,I36*1000000/C36/Economy!Q36,0)</f>
        <v>0.0865351881085613</v>
      </c>
      <c r="K36" s="65" t="n">
        <f aca="false">Gulf!B36</f>
        <v>0</v>
      </c>
      <c r="L36" s="49" t="n">
        <f aca="false">Gulf!B36*Gulf!C36*Economy!Q36/1000000</f>
        <v>0</v>
      </c>
      <c r="M36" s="71" t="n">
        <v>0</v>
      </c>
      <c r="N36" s="49" t="n">
        <f aca="false">IF(K36&gt;0,L36*1000000/K36,0)</f>
        <v>0</v>
      </c>
      <c r="O36" s="67" t="n">
        <f aca="false">IF(AND(M36&gt;0,N35&gt;0,B36&gt;0),MIN(conv_cap,conv_beta*1*M36*MAX(0,LN(B36/(N35*P35)))),0)</f>
        <v>0</v>
      </c>
      <c r="P36" s="68" t="n">
        <f aca="false">P35*(1+O36)</f>
        <v>1</v>
      </c>
      <c r="Q36" s="49" t="n">
        <f aca="false">L36*P36</f>
        <v>0</v>
      </c>
      <c r="R36" s="70" t="n">
        <f aca="false">IF(K36&gt;0,Q36*1000000/K36/Economy!Q36,0)</f>
        <v>0</v>
      </c>
      <c r="S36" s="65" t="n">
        <f aca="false">People!U36</f>
        <v>6000000</v>
      </c>
      <c r="T36" s="47" t="n">
        <v>100</v>
      </c>
      <c r="U36" s="71" t="n">
        <v>0.3</v>
      </c>
      <c r="V36" s="49" t="n">
        <f aca="false">IF(S36&gt;0,T36*1000000/S36,0)</f>
        <v>16.6666666666667</v>
      </c>
      <c r="W36" s="67" t="n">
        <f aca="false">IF(AND(U36&gt;0,V35&gt;0,B36&gt;0),MIN(conv_cap,conv_beta*1*U36*MAX(0,LN(B36/(V35*X35)))),0)</f>
        <v>0</v>
      </c>
      <c r="X36" s="68" t="n">
        <f aca="false">X35*(1+W36)</f>
        <v>1</v>
      </c>
      <c r="Y36" s="49" t="n">
        <f aca="false">T36*X36</f>
        <v>100</v>
      </c>
      <c r="Z36" s="70" t="n">
        <f aca="false">IF(S36&gt;0,Y36*1000000/S36/Economy!Q36,0)</f>
        <v>0.0915750915750916</v>
      </c>
      <c r="AA36" s="47" t="n">
        <v>0</v>
      </c>
      <c r="AB36" s="47" t="n">
        <v>0</v>
      </c>
      <c r="AC36" s="71" t="n">
        <v>0</v>
      </c>
      <c r="AD36" s="49" t="n">
        <f aca="false">IF(AA36&gt;0,AB36*1000000/AA36,0)</f>
        <v>0</v>
      </c>
      <c r="AE36" s="67" t="n">
        <f aca="false">IF(AND(AC36&gt;0,AD35&gt;0,B36&gt;0),MIN(conv_cap,conv_beta*1*AC36*MAX(0,LN(B36/(AD35*AF35)))),0)</f>
        <v>0</v>
      </c>
      <c r="AF36" s="68" t="n">
        <f aca="false">AF35*(1+AE36)</f>
        <v>1</v>
      </c>
      <c r="AG36" s="49" t="n">
        <f aca="false">AB36*AF36</f>
        <v>0</v>
      </c>
      <c r="AH36" s="70" t="n">
        <f aca="false">IF(AA36&gt;0,AG36*1000000/AA36/Economy!Q36,0)</f>
        <v>0</v>
      </c>
      <c r="AI36" s="47" t="n">
        <v>366400000</v>
      </c>
      <c r="AJ36" s="47" t="n">
        <v>3600</v>
      </c>
      <c r="AK36" s="71" t="n">
        <v>0.104</v>
      </c>
      <c r="AL36" s="49" t="n">
        <f aca="false">IF(AI36&gt;0,AJ36*1000000/AI36,0)</f>
        <v>9.82532751091703</v>
      </c>
      <c r="AM36" s="67" t="n">
        <f aca="false">IF(AND(AK36&gt;0,AL35&gt;0,B36&gt;0),MIN(conv_cap,conv_beta*1*AK36*MAX(0,LN(B36/(AL35*AN35)))),0)</f>
        <v>0.00359132758248733</v>
      </c>
      <c r="AN36" s="68" t="n">
        <f aca="false">AN35*(1+AM36)</f>
        <v>1.03829914378026</v>
      </c>
      <c r="AO36" s="49" t="n">
        <f aca="false">AJ36*AN36</f>
        <v>3737.87691760894</v>
      </c>
      <c r="AP36" s="70" t="n">
        <f aca="false">IF(AI36&gt;0,AO36*1000000/AI36/Economy!Q36,0)</f>
        <v>0.0560529073733286</v>
      </c>
      <c r="AQ36" s="47" t="n">
        <v>10400000</v>
      </c>
      <c r="AR36" s="47" t="n">
        <v>170</v>
      </c>
      <c r="AS36" s="71" t="n">
        <v>0</v>
      </c>
      <c r="AT36" s="49" t="n">
        <f aca="false">IF(AQ36&gt;0,AR36*1000000/AQ36,0)</f>
        <v>16.3461538461538</v>
      </c>
      <c r="AU36" s="67" t="n">
        <f aca="false">IF(AND(AS36&gt;0,AT35&gt;0,B36&gt;0),MIN(conv_cap,conv_beta*1*AS36*MAX(0,LN(B36/(AT35*AV35)))),0)</f>
        <v>0</v>
      </c>
      <c r="AV36" s="68" t="n">
        <f aca="false">AV35*(1+AU36)</f>
        <v>1</v>
      </c>
      <c r="AW36" s="49" t="n">
        <f aca="false">AR36*AV36</f>
        <v>170</v>
      </c>
      <c r="AX36" s="70" t="n">
        <f aca="false">IF(AQ36&gt;0,AW36*1000000/AQ36/Economy!Q36,0)</f>
        <v>0.0898140321217244</v>
      </c>
      <c r="AY36" s="47" t="n">
        <v>56000000</v>
      </c>
      <c r="AZ36" s="47" t="n">
        <v>1120</v>
      </c>
      <c r="BA36" s="71" t="n">
        <v>0</v>
      </c>
      <c r="BB36" s="49" t="n">
        <f aca="false">IF(AY36&gt;0,AZ36*1000000/AY36,0)</f>
        <v>20</v>
      </c>
      <c r="BC36" s="67" t="n">
        <f aca="false">IF(AND(BA36&gt;0,BB35&gt;0,B36&gt;0),MIN(conv_cap,conv_beta*1*BA36*MAX(0,LN(B36/(BB35*BD35)))),0)</f>
        <v>0</v>
      </c>
      <c r="BD36" s="68" t="n">
        <f aca="false">BD35*(1+BC36)</f>
        <v>1</v>
      </c>
      <c r="BE36" s="49" t="n">
        <f aca="false">AZ36*BD36</f>
        <v>1120</v>
      </c>
      <c r="BF36" s="70" t="n">
        <f aca="false">IF(AY36&gt;0,BE36*1000000/AY36/Economy!Q36,0)</f>
        <v>0.10989010989011</v>
      </c>
      <c r="BG36" s="47" t="n">
        <v>23600000</v>
      </c>
      <c r="BH36" s="47" t="n">
        <v>1240</v>
      </c>
      <c r="BI36" s="71" t="n">
        <v>0.07</v>
      </c>
      <c r="BJ36" s="49" t="n">
        <f aca="false">IF(BG36&gt;0,BH36*1000000/BG36,0)</f>
        <v>52.5423728813559</v>
      </c>
      <c r="BK36" s="67" t="n">
        <f aca="false">IF(AND(BI36&gt;0,BJ35&gt;0,B36&gt;0),MIN(conv_cap,conv_beta*1*BI36*MAX(0,LN(B36/(BJ35*BL35)))),0)</f>
        <v>0.00127680684632997</v>
      </c>
      <c r="BL36" s="68" t="n">
        <f aca="false">BL35*(1+BK36)</f>
        <v>1.00692359859021</v>
      </c>
      <c r="BM36" s="49" t="n">
        <f aca="false">BH36*BL36</f>
        <v>1248.58526225185</v>
      </c>
      <c r="BN36" s="70" t="n">
        <f aca="false">IF(BG36&gt;0,BM36*1000000/BG36/Economy!Q36,0)</f>
        <v>0.290693160330568</v>
      </c>
      <c r="BO36" s="47" t="n">
        <v>12400000</v>
      </c>
      <c r="BP36" s="47" t="n">
        <v>560</v>
      </c>
      <c r="BQ36" s="71" t="n">
        <v>0</v>
      </c>
      <c r="BR36" s="49" t="n">
        <f aca="false">IF(BO36&gt;0,BP36*1000000/BO36,0)</f>
        <v>45.1612903225807</v>
      </c>
      <c r="BS36" s="67" t="n">
        <f aca="false">IF(AND(BQ36&gt;0,BR35&gt;0,B36&gt;0),MIN(conv_cap,conv_beta*1*BQ36*MAX(0,LN(B36/(BR35*BT35)))),0)</f>
        <v>0</v>
      </c>
      <c r="BT36" s="68" t="n">
        <f aca="false">BT35*(1+BS36)</f>
        <v>1</v>
      </c>
      <c r="BU36" s="49" t="n">
        <f aca="false">BP36*BT36</f>
        <v>560</v>
      </c>
      <c r="BV36" s="70" t="n">
        <f aca="false">IF(BO36&gt;0,BU36*1000000/BO36/Economy!Q36,0)</f>
        <v>0.248138957816377</v>
      </c>
      <c r="BW36" s="68" t="n">
        <f aca="false">0.25*IF(D36&gt;0,H36,1)+0.15*IF(AJ36&gt;0,AN36,1)+0.03*IF(AR36&gt;0,AV36,1)+0.08*IF(AZ36&gt;0,BD36,1)+0.12*IF(BH36&gt;0,BL36,1)+0.1*IF(L36&gt;0,P36,1)+0.07*IF(T36&gt;0,X36,1)+0.05*IF(AB36&gt;0,AF36,1)+0.05*IF(BP36&gt;0,BT36,1)+0.1</f>
        <v>1.02825292646469</v>
      </c>
      <c r="BX36" s="66" t="n">
        <f aca="false">MIN(mkt_cap,mkt_elast*MAX(0,BW36-1))</f>
        <v>0.0141264632323461</v>
      </c>
      <c r="BY36" s="49" t="n">
        <f aca="false">I36+Q36+Y36+AG36</f>
        <v>665.088623979003</v>
      </c>
      <c r="BZ36" s="49" t="n">
        <f aca="false">D36+L36+T36+AB36</f>
        <v>620</v>
      </c>
      <c r="CA36" s="68" t="n">
        <f aca="false">IF(BZ36&gt;0,BY36/BZ36,0)</f>
        <v>1.07272358706291</v>
      </c>
    </row>
    <row r="37" customFormat="false" ht="14.25" hidden="false" customHeight="true" outlineLevel="0" collapsed="false">
      <c r="A37" s="61" t="n">
        <v>1877</v>
      </c>
      <c r="B37" s="49" t="n">
        <f aca="false">Economy!P36</f>
        <v>329.76602779474</v>
      </c>
      <c r="C37" s="47" t="n">
        <v>36060000</v>
      </c>
      <c r="D37" s="65" t="n">
        <f aca="false">Japan!B37</f>
        <v>540</v>
      </c>
      <c r="E37" s="71" t="n">
        <v>0.375</v>
      </c>
      <c r="F37" s="49" t="n">
        <f aca="false">IF(C37&gt;0,D37*1000000/C37,0)</f>
        <v>14.9750415973378</v>
      </c>
      <c r="G37" s="67" t="n">
        <f aca="false">IF(AND(E37&gt;0,F36&gt;0,B37&gt;0),MIN(conv_cap,conv_beta*jp_uplift*E37*MAX(0,LN(B37/(F36*H36)))),0)</f>
        <v>0.01140592821772</v>
      </c>
      <c r="H37" s="68" t="n">
        <f aca="false">H36*(1+G37)</f>
        <v>1.09910381588607</v>
      </c>
      <c r="I37" s="49" t="n">
        <f aca="false">D37*H37</f>
        <v>593.516060578479</v>
      </c>
      <c r="J37" s="70" t="n">
        <f aca="false">IF(C37&gt;0,I37*1000000/C37/Economy!Q37,0)</f>
        <v>0.0875485391632266</v>
      </c>
      <c r="K37" s="65" t="n">
        <f aca="false">Gulf!B37</f>
        <v>0</v>
      </c>
      <c r="L37" s="49" t="n">
        <f aca="false">Gulf!B37*Gulf!C37*Economy!Q37/1000000</f>
        <v>0</v>
      </c>
      <c r="M37" s="71" t="n">
        <v>0</v>
      </c>
      <c r="N37" s="49" t="n">
        <f aca="false">IF(K37&gt;0,L37*1000000/K37,0)</f>
        <v>0</v>
      </c>
      <c r="O37" s="67" t="n">
        <f aca="false">IF(AND(M37&gt;0,N36&gt;0,B37&gt;0),MIN(conv_cap,conv_beta*1*M37*MAX(0,LN(B37/(N36*P36)))),0)</f>
        <v>0</v>
      </c>
      <c r="P37" s="68" t="n">
        <f aca="false">P36*(1+O37)</f>
        <v>1</v>
      </c>
      <c r="Q37" s="49" t="n">
        <f aca="false">L37*P37</f>
        <v>0</v>
      </c>
      <c r="R37" s="70" t="n">
        <f aca="false">IF(K37&gt;0,Q37*1000000/K37/Economy!Q37,0)</f>
        <v>0</v>
      </c>
      <c r="S37" s="65" t="n">
        <f aca="false">People!U37</f>
        <v>6055000</v>
      </c>
      <c r="T37" s="47" t="n">
        <v>102</v>
      </c>
      <c r="U37" s="71" t="n">
        <v>0.309</v>
      </c>
      <c r="V37" s="49" t="n">
        <f aca="false">IF(S37&gt;0,T37*1000000/S37,0)</f>
        <v>16.8455821635012</v>
      </c>
      <c r="W37" s="67" t="n">
        <f aca="false">IF(AND(U37&gt;0,V36&gt;0,B37&gt;0),MIN(conv_cap,conv_beta*1*U37*MAX(0,LN(B37/(V36*X36)))),0)</f>
        <v>0.00922356557982118</v>
      </c>
      <c r="X37" s="68" t="n">
        <f aca="false">X36*(1+W37)</f>
        <v>1.00922356557982</v>
      </c>
      <c r="Y37" s="49" t="n">
        <f aca="false">T37*X37</f>
        <v>102.940803689142</v>
      </c>
      <c r="Z37" s="70" t="n">
        <f aca="false">IF(S37&gt;0,Y37*1000000/S37/Economy!Q37,0)</f>
        <v>0.090430630294237</v>
      </c>
      <c r="AA37" s="47" t="n">
        <v>0</v>
      </c>
      <c r="AB37" s="47" t="n">
        <v>0</v>
      </c>
      <c r="AC37" s="71" t="n">
        <v>0</v>
      </c>
      <c r="AD37" s="49" t="n">
        <f aca="false">IF(AA37&gt;0,AB37*1000000/AA37,0)</f>
        <v>0</v>
      </c>
      <c r="AE37" s="67" t="n">
        <f aca="false">IF(AND(AC37&gt;0,AD36&gt;0,B37&gt;0),MIN(conv_cap,conv_beta*1*AC37*MAX(0,LN(B37/(AD36*AF36)))),0)</f>
        <v>0</v>
      </c>
      <c r="AF37" s="68" t="n">
        <f aca="false">AF36*(1+AE37)</f>
        <v>1</v>
      </c>
      <c r="AG37" s="49" t="n">
        <f aca="false">AB37*AF37</f>
        <v>0</v>
      </c>
      <c r="AH37" s="70" t="n">
        <f aca="false">IF(AA37&gt;0,AG37*1000000/AA37/Economy!Q37,0)</f>
        <v>0</v>
      </c>
      <c r="AI37" s="47" t="n">
        <v>367800000</v>
      </c>
      <c r="AJ37" s="47" t="n">
        <v>3617</v>
      </c>
      <c r="AK37" s="71" t="n">
        <v>0.108</v>
      </c>
      <c r="AL37" s="49" t="n">
        <f aca="false">IF(AI37&gt;0,AJ37*1000000/AI37,0)</f>
        <v>9.83414899401849</v>
      </c>
      <c r="AM37" s="67" t="n">
        <f aca="false">IF(AND(AK37&gt;0,AL36&gt;0,B37&gt;0),MIN(conv_cap,conv_beta*1*AK37*MAX(0,LN(B37/(AL36*AN36)))),0)</f>
        <v>0.00375390284649714</v>
      </c>
      <c r="AN37" s="68" t="n">
        <f aca="false">AN36*(1+AM37)</f>
        <v>1.04219681789161</v>
      </c>
      <c r="AO37" s="49" t="n">
        <f aca="false">AJ37*AN37</f>
        <v>3769.62589031397</v>
      </c>
      <c r="AP37" s="70" t="n">
        <f aca="false">IF(AI37&gt;0,AO37*1000000/AI37/Economy!Q37,0)</f>
        <v>0.0545165892991387</v>
      </c>
      <c r="AQ37" s="47" t="n">
        <v>10470000</v>
      </c>
      <c r="AR37" s="47" t="n">
        <v>173</v>
      </c>
      <c r="AS37" s="71" t="n">
        <v>0</v>
      </c>
      <c r="AT37" s="49" t="n">
        <f aca="false">IF(AQ37&gt;0,AR37*1000000/AQ37,0)</f>
        <v>16.523400191022</v>
      </c>
      <c r="AU37" s="67" t="n">
        <f aca="false">IF(AND(AS37&gt;0,AT36&gt;0,B37&gt;0),MIN(conv_cap,conv_beta*1*AS37*MAX(0,LN(B37/(AT36*AV36)))),0)</f>
        <v>0</v>
      </c>
      <c r="AV37" s="68" t="n">
        <f aca="false">AV36*(1+AU37)</f>
        <v>1</v>
      </c>
      <c r="AW37" s="49" t="n">
        <f aca="false">AR37*AV37</f>
        <v>173</v>
      </c>
      <c r="AX37" s="70" t="n">
        <f aca="false">IF(AQ37&gt;0,AW37*1000000/AQ37/Economy!Q37,0)</f>
        <v>0.0878904265479892</v>
      </c>
      <c r="AY37" s="47" t="n">
        <v>57000000</v>
      </c>
      <c r="AZ37" s="47" t="n">
        <v>1157</v>
      </c>
      <c r="BA37" s="71" t="n">
        <v>0</v>
      </c>
      <c r="BB37" s="49" t="n">
        <f aca="false">IF(AY37&gt;0,AZ37*1000000/AY37,0)</f>
        <v>20.2982456140351</v>
      </c>
      <c r="BC37" s="67" t="n">
        <f aca="false">IF(AND(BA37&gt;0,BB36&gt;0,B37&gt;0),MIN(conv_cap,conv_beta*1*BA37*MAX(0,LN(B37/(BB36*BD36)))),0)</f>
        <v>0</v>
      </c>
      <c r="BD37" s="68" t="n">
        <f aca="false">BD36*(1+BC37)</f>
        <v>1</v>
      </c>
      <c r="BE37" s="49" t="n">
        <f aca="false">AZ37*BD37</f>
        <v>1157</v>
      </c>
      <c r="BF37" s="70" t="n">
        <f aca="false">IF(AY37&gt;0,BE37*1000000/AY37/Economy!Q37,0)</f>
        <v>0.107969391564016</v>
      </c>
      <c r="BG37" s="47" t="n">
        <v>23900000</v>
      </c>
      <c r="BH37" s="47" t="n">
        <v>1280</v>
      </c>
      <c r="BI37" s="71" t="n">
        <v>0.073</v>
      </c>
      <c r="BJ37" s="49" t="n">
        <f aca="false">IF(BG37&gt;0,BH37*1000000/BG37,0)</f>
        <v>53.5564853556485</v>
      </c>
      <c r="BK37" s="67" t="n">
        <f aca="false">IF(AND(BI37&gt;0,BJ36&gt;0,B37&gt;0),MIN(conv_cap,conv_beta*1*BI37*MAX(0,LN(B37/(BJ36*BL36)))),0)</f>
        <v>0.00133580050772019</v>
      </c>
      <c r="BL37" s="68" t="n">
        <f aca="false">BL36*(1+BK37)</f>
        <v>1.00826864764444</v>
      </c>
      <c r="BM37" s="49" t="n">
        <f aca="false">BH37*BL37</f>
        <v>1290.58386898488</v>
      </c>
      <c r="BN37" s="70" t="n">
        <f aca="false">IF(BG37&gt;0,BM37*1000000/BG37/Economy!Q37,0)</f>
        <v>0.287230452458132</v>
      </c>
      <c r="BO37" s="47" t="n">
        <v>12500000</v>
      </c>
      <c r="BP37" s="47" t="n">
        <v>570</v>
      </c>
      <c r="BQ37" s="71" t="n">
        <v>0</v>
      </c>
      <c r="BR37" s="49" t="n">
        <f aca="false">IF(BO37&gt;0,BP37*1000000/BO37,0)</f>
        <v>45.6</v>
      </c>
      <c r="BS37" s="67" t="n">
        <f aca="false">IF(AND(BQ37&gt;0,BR36&gt;0,B37&gt;0),MIN(conv_cap,conv_beta*1*BQ37*MAX(0,LN(B37/(BR36*BT36)))),0)</f>
        <v>0</v>
      </c>
      <c r="BT37" s="68" t="n">
        <f aca="false">BT36*(1+BS37)</f>
        <v>1</v>
      </c>
      <c r="BU37" s="49" t="n">
        <f aca="false">BP37*BT37</f>
        <v>570</v>
      </c>
      <c r="BV37" s="70" t="n">
        <f aca="false">IF(BO37&gt;0,BU37*1000000/BO37/Economy!Q37,0)</f>
        <v>0.242553191489362</v>
      </c>
      <c r="BW37" s="68" t="n">
        <f aca="false">0.25*IF(D37&gt;0,H37,1)+0.15*IF(AJ37&gt;0,AN37,1)+0.03*IF(AR37&gt;0,AV37,1)+0.08*IF(AZ37&gt;0,BD37,1)+0.12*IF(BH37&gt;0,BL37,1)+0.1*IF(L37&gt;0,P37,1)+0.07*IF(T37&gt;0,X37,1)+0.05*IF(AB37&gt;0,AF37,1)+0.05*IF(BP37&gt;0,BT37,1)+0.1</f>
        <v>1.03274336396318</v>
      </c>
      <c r="BX37" s="66" t="n">
        <f aca="false">MIN(mkt_cap,mkt_elast*MAX(0,BW37-1))</f>
        <v>0.01637168198159</v>
      </c>
      <c r="BY37" s="49" t="n">
        <f aca="false">I37+Q37+Y37+AG37</f>
        <v>696.456864267621</v>
      </c>
      <c r="BZ37" s="49" t="n">
        <f aca="false">D37+L37+T37+AB37</f>
        <v>642</v>
      </c>
      <c r="CA37" s="68" t="n">
        <f aca="false">IF(BZ37&gt;0,BY37/BZ37,0)</f>
        <v>1.08482377611779</v>
      </c>
    </row>
    <row r="38" customFormat="false" ht="14.25" hidden="false" customHeight="true" outlineLevel="0" collapsed="false">
      <c r="A38" s="61" t="n">
        <v>1878</v>
      </c>
      <c r="B38" s="49" t="n">
        <f aca="false">Economy!P37</f>
        <v>326.053724599325</v>
      </c>
      <c r="C38" s="47" t="n">
        <v>36240000</v>
      </c>
      <c r="D38" s="65" t="n">
        <f aca="false">Japan!B38</f>
        <v>560</v>
      </c>
      <c r="E38" s="71" t="n">
        <v>0.383</v>
      </c>
      <c r="F38" s="49" t="n">
        <f aca="false">IF(C38&gt;0,D38*1000000/C38,0)</f>
        <v>15.4525386313466</v>
      </c>
      <c r="G38" s="67" t="n">
        <f aca="false">IF(AND(E38&gt;0,F37&gt;0,B38&gt;0),MIN(conv_cap,conv_beta*jp_uplift*E38*MAX(0,LN(B38/(F37*H37)))),0)</f>
        <v>0.011437077483121</v>
      </c>
      <c r="H38" s="68" t="n">
        <f aca="false">H37*(1+G38)</f>
        <v>1.11167435139035</v>
      </c>
      <c r="I38" s="49" t="n">
        <f aca="false">D38*H38</f>
        <v>622.537636778599</v>
      </c>
      <c r="J38" s="70" t="n">
        <f aca="false">IF(C38&gt;0,I38*1000000/C38/Economy!Q38,0)</f>
        <v>0.0880932864632646</v>
      </c>
      <c r="K38" s="65" t="n">
        <f aca="false">Gulf!B38</f>
        <v>0</v>
      </c>
      <c r="L38" s="49" t="n">
        <f aca="false">Gulf!B38*Gulf!C38*Economy!Q38/1000000</f>
        <v>0</v>
      </c>
      <c r="M38" s="71" t="n">
        <v>0</v>
      </c>
      <c r="N38" s="49" t="n">
        <f aca="false">IF(K38&gt;0,L38*1000000/K38,0)</f>
        <v>0</v>
      </c>
      <c r="O38" s="67" t="n">
        <f aca="false">IF(AND(M38&gt;0,N37&gt;0,B38&gt;0),MIN(conv_cap,conv_beta*1*M38*MAX(0,LN(B38/(N37*P37)))),0)</f>
        <v>0</v>
      </c>
      <c r="P38" s="68" t="n">
        <f aca="false">P37*(1+O38)</f>
        <v>1</v>
      </c>
      <c r="Q38" s="49" t="n">
        <f aca="false">L38*P38</f>
        <v>0</v>
      </c>
      <c r="R38" s="70" t="n">
        <f aca="false">IF(K38&gt;0,Q38*1000000/K38/Economy!Q38,0)</f>
        <v>0</v>
      </c>
      <c r="S38" s="65" t="n">
        <f aca="false">People!U38</f>
        <v>6109000</v>
      </c>
      <c r="T38" s="47" t="n">
        <v>104</v>
      </c>
      <c r="U38" s="71" t="n">
        <v>0.318</v>
      </c>
      <c r="V38" s="49" t="n">
        <f aca="false">IF(S38&gt;0,T38*1000000/S38,0)</f>
        <v>17.0240628580782</v>
      </c>
      <c r="W38" s="67" t="n">
        <f aca="false">IF(AND(U38&gt;0,V37&gt;0,B38&gt;0),MIN(conv_cap,conv_beta*1*U38*MAX(0,LN(B38/(V37*X37)))),0)</f>
        <v>0.0093930599675601</v>
      </c>
      <c r="X38" s="68" t="n">
        <f aca="false">X37*(1+W38)</f>
        <v>1.01870326305199</v>
      </c>
      <c r="Y38" s="49" t="n">
        <f aca="false">T38*X38</f>
        <v>105.945139357407</v>
      </c>
      <c r="Z38" s="70" t="n">
        <f aca="false">IF(S38&gt;0,Y38*1000000/S38/Economy!Q38,0)</f>
        <v>0.0889357353021869</v>
      </c>
      <c r="AA38" s="47" t="n">
        <v>0</v>
      </c>
      <c r="AB38" s="47" t="n">
        <v>0</v>
      </c>
      <c r="AC38" s="71" t="n">
        <v>0</v>
      </c>
      <c r="AD38" s="49" t="n">
        <f aca="false">IF(AA38&gt;0,AB38*1000000/AA38,0)</f>
        <v>0</v>
      </c>
      <c r="AE38" s="67" t="n">
        <f aca="false">IF(AND(AC38&gt;0,AD37&gt;0,B38&gt;0),MIN(conv_cap,conv_beta*1*AC38*MAX(0,LN(B38/(AD37*AF37)))),0)</f>
        <v>0</v>
      </c>
      <c r="AF38" s="68" t="n">
        <f aca="false">AF37*(1+AE38)</f>
        <v>1</v>
      </c>
      <c r="AG38" s="49" t="n">
        <f aca="false">AB38*AF38</f>
        <v>0</v>
      </c>
      <c r="AH38" s="70" t="n">
        <f aca="false">IF(AA38&gt;0,AG38*1000000/AA38/Economy!Q38,0)</f>
        <v>0</v>
      </c>
      <c r="AI38" s="47" t="n">
        <v>369200000</v>
      </c>
      <c r="AJ38" s="47" t="n">
        <v>3633</v>
      </c>
      <c r="AK38" s="71" t="n">
        <v>0.113</v>
      </c>
      <c r="AL38" s="49" t="n">
        <f aca="false">IF(AI38&gt;0,AJ38*1000000/AI38,0)</f>
        <v>9.84019501625135</v>
      </c>
      <c r="AM38" s="67" t="n">
        <f aca="false">IF(AND(AK38&gt;0,AL37&gt;0,B38&gt;0),MIN(conv_cap,conv_beta*1*AK38*MAX(0,LN(B38/(AL37*AN37)))),0)</f>
        <v>0.00390965359399509</v>
      </c>
      <c r="AN38" s="68" t="n">
        <f aca="false">AN37*(1+AM38)</f>
        <v>1.04627144642633</v>
      </c>
      <c r="AO38" s="49" t="n">
        <f aca="false">AJ38*AN38</f>
        <v>3801.10416486687</v>
      </c>
      <c r="AP38" s="70" t="n">
        <f aca="false">IF(AI38&gt;0,AO38*1000000/AI38/Economy!Q38,0)</f>
        <v>0.0527975131936949</v>
      </c>
      <c r="AQ38" s="47" t="n">
        <v>10530000</v>
      </c>
      <c r="AR38" s="47" t="n">
        <v>177</v>
      </c>
      <c r="AS38" s="71" t="n">
        <v>0</v>
      </c>
      <c r="AT38" s="49" t="n">
        <f aca="false">IF(AQ38&gt;0,AR38*1000000/AQ38,0)</f>
        <v>16.8091168091168</v>
      </c>
      <c r="AU38" s="67" t="n">
        <f aca="false">IF(AND(AS38&gt;0,AT37&gt;0,B38&gt;0),MIN(conv_cap,conv_beta*1*AS38*MAX(0,LN(B38/(AT37*AV37)))),0)</f>
        <v>0</v>
      </c>
      <c r="AV38" s="68" t="n">
        <f aca="false">AV37*(1+AU38)</f>
        <v>1</v>
      </c>
      <c r="AW38" s="49" t="n">
        <f aca="false">AR38*AV38</f>
        <v>177</v>
      </c>
      <c r="AX38" s="70" t="n">
        <f aca="false">IF(AQ38&gt;0,AW38*1000000/AQ38/Economy!Q38,0)</f>
        <v>0.0862005990211118</v>
      </c>
      <c r="AY38" s="47" t="n">
        <v>58000000</v>
      </c>
      <c r="AZ38" s="47" t="n">
        <v>1193</v>
      </c>
      <c r="BA38" s="71" t="n">
        <v>0</v>
      </c>
      <c r="BB38" s="49" t="n">
        <f aca="false">IF(AY38&gt;0,AZ38*1000000/AY38,0)</f>
        <v>20.5689655172414</v>
      </c>
      <c r="BC38" s="67" t="n">
        <f aca="false">IF(AND(BA38&gt;0,BB37&gt;0,B38&gt;0),MIN(conv_cap,conv_beta*1*BA38*MAX(0,LN(B38/(BB37*BD37)))),0)</f>
        <v>0</v>
      </c>
      <c r="BD38" s="68" t="n">
        <f aca="false">BD37*(1+BC38)</f>
        <v>1</v>
      </c>
      <c r="BE38" s="49" t="n">
        <f aca="false">AZ38*BD38</f>
        <v>1193</v>
      </c>
      <c r="BF38" s="70" t="n">
        <f aca="false">IF(AY38&gt;0,BE38*1000000/AY38/Economy!Q38,0)</f>
        <v>0.105481874447392</v>
      </c>
      <c r="BG38" s="47" t="n">
        <v>24100000</v>
      </c>
      <c r="BH38" s="47" t="n">
        <v>1320</v>
      </c>
      <c r="BI38" s="71" t="n">
        <v>0.077</v>
      </c>
      <c r="BJ38" s="49" t="n">
        <f aca="false">IF(BG38&gt;0,BH38*1000000/BG38,0)</f>
        <v>54.7717842323651</v>
      </c>
      <c r="BK38" s="67" t="n">
        <f aca="false">IF(AND(BI38&gt;0,BJ37&gt;0,B38&gt;0),MIN(conv_cap,conv_beta*1*BI38*MAX(0,LN(B38/(BJ37*BL37)))),0)</f>
        <v>0.00138452977704312</v>
      </c>
      <c r="BL38" s="68" t="n">
        <f aca="false">BL37*(1+BK38)</f>
        <v>1.00966462561036</v>
      </c>
      <c r="BM38" s="49" t="n">
        <f aca="false">BH38*BL38</f>
        <v>1332.75730580568</v>
      </c>
      <c r="BN38" s="70" t="n">
        <f aca="false">IF(BG38&gt;0,BM38*1000000/BG38/Economy!Q38,0)</f>
        <v>0.283595553953756</v>
      </c>
      <c r="BO38" s="47" t="n">
        <v>12500000</v>
      </c>
      <c r="BP38" s="47" t="n">
        <v>580</v>
      </c>
      <c r="BQ38" s="71" t="n">
        <v>0</v>
      </c>
      <c r="BR38" s="49" t="n">
        <f aca="false">IF(BO38&gt;0,BP38*1000000/BO38,0)</f>
        <v>46.4</v>
      </c>
      <c r="BS38" s="67" t="n">
        <f aca="false">IF(AND(BQ38&gt;0,BR37&gt;0,B38&gt;0),MIN(conv_cap,conv_beta*1*BQ38*MAX(0,LN(B38/(BR37*BT37)))),0)</f>
        <v>0</v>
      </c>
      <c r="BT38" s="68" t="n">
        <f aca="false">BT37*(1+BS38)</f>
        <v>1</v>
      </c>
      <c r="BU38" s="49" t="n">
        <f aca="false">BP38*BT38</f>
        <v>580</v>
      </c>
      <c r="BV38" s="70" t="n">
        <f aca="false">IF(BO38&gt;0,BU38*1000000/BO38/Economy!Q38,0)</f>
        <v>0.237948717948718</v>
      </c>
      <c r="BW38" s="68" t="n">
        <f aca="false">0.25*IF(D38&gt;0,H38,1)+0.15*IF(AJ38&gt;0,AN38,1)+0.03*IF(AR38&gt;0,AV38,1)+0.08*IF(AZ38&gt;0,BD38,1)+0.12*IF(BH38&gt;0,BL38,1)+0.1*IF(L38&gt;0,P38,1)+0.07*IF(T38&gt;0,X38,1)+0.05*IF(AB38&gt;0,AF38,1)+0.05*IF(BP38&gt;0,BT38,1)+0.1</f>
        <v>1.03732828829842</v>
      </c>
      <c r="BX38" s="66" t="n">
        <f aca="false">MIN(mkt_cap,mkt_elast*MAX(0,BW38-1))</f>
        <v>0.0186641441492106</v>
      </c>
      <c r="BY38" s="49" t="n">
        <f aca="false">I38+Q38+Y38+AG38</f>
        <v>728.482776136005</v>
      </c>
      <c r="BZ38" s="49" t="n">
        <f aca="false">D38+L38+T38+AB38</f>
        <v>664</v>
      </c>
      <c r="CA38" s="68" t="n">
        <f aca="false">IF(BZ38&gt;0,BY38/BZ38,0)</f>
        <v>1.09711261466266</v>
      </c>
    </row>
    <row r="39" customFormat="false" ht="14.25" hidden="false" customHeight="true" outlineLevel="0" collapsed="false">
      <c r="A39" s="61" t="n">
        <v>1879</v>
      </c>
      <c r="B39" s="49" t="n">
        <f aca="false">Economy!P38</f>
        <v>330.627079011705</v>
      </c>
      <c r="C39" s="47" t="n">
        <v>36420000</v>
      </c>
      <c r="D39" s="65" t="n">
        <f aca="false">Japan!B39</f>
        <v>580</v>
      </c>
      <c r="E39" s="71" t="n">
        <v>0.392</v>
      </c>
      <c r="F39" s="49" t="n">
        <f aca="false">IF(C39&gt;0,D39*1000000/C39,0)</f>
        <v>15.9253157605711</v>
      </c>
      <c r="G39" s="67" t="n">
        <f aca="false">IF(AND(E39&gt;0,F38&gt;0,B39&gt;0),MIN(conv_cap,conv_beta*jp_uplift*E39*MAX(0,LN(B39/(F38*H38)))),0)</f>
        <v>0.0115928139000005</v>
      </c>
      <c r="H39" s="68" t="n">
        <f aca="false">H38*(1+G39)</f>
        <v>1.12456178526343</v>
      </c>
      <c r="I39" s="49" t="n">
        <f aca="false">D39*H39</f>
        <v>652.245835452788</v>
      </c>
      <c r="J39" s="70" t="n">
        <f aca="false">IF(C39&gt;0,I39*1000000/C39/Economy!Q39,0)</f>
        <v>0.089099510062645</v>
      </c>
      <c r="K39" s="65" t="n">
        <f aca="false">Gulf!B39</f>
        <v>0</v>
      </c>
      <c r="L39" s="49" t="n">
        <f aca="false">Gulf!B39*Gulf!C39*Economy!Q39/1000000</f>
        <v>0</v>
      </c>
      <c r="M39" s="71" t="n">
        <v>0</v>
      </c>
      <c r="N39" s="49" t="n">
        <f aca="false">IF(K39&gt;0,L39*1000000/K39,0)</f>
        <v>0</v>
      </c>
      <c r="O39" s="67" t="n">
        <f aca="false">IF(AND(M39&gt;0,N38&gt;0,B39&gt;0),MIN(conv_cap,conv_beta*1*M39*MAX(0,LN(B39/(N38*P38)))),0)</f>
        <v>0</v>
      </c>
      <c r="P39" s="68" t="n">
        <f aca="false">P38*(1+O39)</f>
        <v>1</v>
      </c>
      <c r="Q39" s="49" t="n">
        <f aca="false">L39*P39</f>
        <v>0</v>
      </c>
      <c r="R39" s="70" t="n">
        <f aca="false">IF(K39&gt;0,Q39*1000000/K39/Economy!Q39,0)</f>
        <v>0</v>
      </c>
      <c r="S39" s="65" t="n">
        <f aca="false">People!U39</f>
        <v>6164000</v>
      </c>
      <c r="T39" s="47" t="n">
        <v>105</v>
      </c>
      <c r="U39" s="71" t="n">
        <v>0.327</v>
      </c>
      <c r="V39" s="49" t="n">
        <f aca="false">IF(S39&gt;0,T39*1000000/S39,0)</f>
        <v>17.0343932511356</v>
      </c>
      <c r="W39" s="67" t="n">
        <f aca="false">IF(AND(U39&gt;0,V38&gt;0,B39&gt;0),MIN(conv_cap,conv_beta*1*U39*MAX(0,LN(B39/(V38*X38)))),0)</f>
        <v>0.00963941318237076</v>
      </c>
      <c r="X39" s="68" t="n">
        <f aca="false">X38*(1+W39)</f>
        <v>1.02852296471477</v>
      </c>
      <c r="Y39" s="49" t="n">
        <f aca="false">T39*X39</f>
        <v>107.994911295051</v>
      </c>
      <c r="Z39" s="70" t="n">
        <f aca="false">IF(S39&gt;0,Y39*1000000/S39/Economy!Q39,0)</f>
        <v>0.0871654957650516</v>
      </c>
      <c r="AA39" s="47" t="n">
        <v>0</v>
      </c>
      <c r="AB39" s="47" t="n">
        <v>0</v>
      </c>
      <c r="AC39" s="71" t="n">
        <v>0</v>
      </c>
      <c r="AD39" s="49" t="n">
        <f aca="false">IF(AA39&gt;0,AB39*1000000/AA39,0)</f>
        <v>0</v>
      </c>
      <c r="AE39" s="67" t="n">
        <f aca="false">IF(AND(AC39&gt;0,AD38&gt;0,B39&gt;0),MIN(conv_cap,conv_beta*1*AC39*MAX(0,LN(B39/(AD38*AF38)))),0)</f>
        <v>0</v>
      </c>
      <c r="AF39" s="68" t="n">
        <f aca="false">AF38*(1+AE39)</f>
        <v>1</v>
      </c>
      <c r="AG39" s="49" t="n">
        <f aca="false">AB39*AF39</f>
        <v>0</v>
      </c>
      <c r="AH39" s="70" t="n">
        <f aca="false">IF(AA39&gt;0,AG39*1000000/AA39/Economy!Q39,0)</f>
        <v>0</v>
      </c>
      <c r="AI39" s="47" t="n">
        <v>370600000</v>
      </c>
      <c r="AJ39" s="47" t="n">
        <v>3650</v>
      </c>
      <c r="AK39" s="71" t="n">
        <v>0.117</v>
      </c>
      <c r="AL39" s="49" t="n">
        <f aca="false">IF(AI39&gt;0,AJ39*1000000/AI39,0)</f>
        <v>9.84889368591473</v>
      </c>
      <c r="AM39" s="67" t="n">
        <f aca="false">IF(AND(AK39&gt;0,AL38&gt;0,B39&gt;0),MIN(conv_cap,conv_beta*1*AK39*MAX(0,LN(B39/(AL38*AN38)))),0)</f>
        <v>0.0040590607825621</v>
      </c>
      <c r="AN39" s="68" t="n">
        <f aca="false">AN38*(1+AM39)</f>
        <v>1.05051832582244</v>
      </c>
      <c r="AO39" s="49" t="n">
        <f aca="false">AJ39*AN39</f>
        <v>3834.3918892519</v>
      </c>
      <c r="AP39" s="70" t="n">
        <f aca="false">IF(AI39&gt;0,AO39*1000000/AI39/Economy!Q39,0)</f>
        <v>0.0514748423190563</v>
      </c>
      <c r="AQ39" s="47" t="n">
        <v>10600000</v>
      </c>
      <c r="AR39" s="47" t="n">
        <v>180</v>
      </c>
      <c r="AS39" s="71" t="n">
        <v>0</v>
      </c>
      <c r="AT39" s="49" t="n">
        <f aca="false">IF(AQ39&gt;0,AR39*1000000/AQ39,0)</f>
        <v>16.9811320754717</v>
      </c>
      <c r="AU39" s="67" t="n">
        <f aca="false">IF(AND(AS39&gt;0,AT38&gt;0,B39&gt;0),MIN(conv_cap,conv_beta*1*AS39*MAX(0,LN(B39/(AT38*AV38)))),0)</f>
        <v>0</v>
      </c>
      <c r="AV39" s="68" t="n">
        <f aca="false">AV38*(1+AU39)</f>
        <v>1</v>
      </c>
      <c r="AW39" s="49" t="n">
        <f aca="false">AR39*AV39</f>
        <v>180</v>
      </c>
      <c r="AX39" s="70" t="n">
        <f aca="false">IF(AQ39&gt;0,AW39*1000000/AQ39/Economy!Q39,0)</f>
        <v>0.0844832441565756</v>
      </c>
      <c r="AY39" s="47" t="n">
        <v>59000000</v>
      </c>
      <c r="AZ39" s="47" t="n">
        <v>1230</v>
      </c>
      <c r="BA39" s="71" t="n">
        <v>0</v>
      </c>
      <c r="BB39" s="49" t="n">
        <f aca="false">IF(AY39&gt;0,AZ39*1000000/AY39,0)</f>
        <v>20.8474576271186</v>
      </c>
      <c r="BC39" s="67" t="n">
        <f aca="false">IF(AND(BA39&gt;0,BB38&gt;0,B39&gt;0),MIN(conv_cap,conv_beta*1*BA39*MAX(0,LN(B39/(BB38*BD38)))),0)</f>
        <v>0</v>
      </c>
      <c r="BD39" s="68" t="n">
        <f aca="false">BD38*(1+BC39)</f>
        <v>1</v>
      </c>
      <c r="BE39" s="49" t="n">
        <f aca="false">AZ39*BD39</f>
        <v>1230</v>
      </c>
      <c r="BF39" s="70" t="n">
        <f aca="false">IF(AY39&gt;0,BE39*1000000/AY39/Economy!Q39,0)</f>
        <v>0.103718694662282</v>
      </c>
      <c r="BG39" s="47" t="n">
        <v>24400000</v>
      </c>
      <c r="BH39" s="47" t="n">
        <v>1360</v>
      </c>
      <c r="BI39" s="71" t="n">
        <v>0.08</v>
      </c>
      <c r="BJ39" s="49" t="n">
        <f aca="false">IF(BG39&gt;0,BH39*1000000/BG39,0)</f>
        <v>55.7377049180328</v>
      </c>
      <c r="BK39" s="67" t="n">
        <f aca="false">IF(AND(BI39&gt;0,BJ38&gt;0,B39&gt;0),MIN(conv_cap,conv_beta*1*BI39*MAX(0,LN(B39/(BJ38*BL38)))),0)</f>
        <v>0.00143055815502014</v>
      </c>
      <c r="BL39" s="68" t="n">
        <f aca="false">BL38*(1+BK39)</f>
        <v>1.01110900957436</v>
      </c>
      <c r="BM39" s="49" t="n">
        <f aca="false">BH39*BL39</f>
        <v>1375.10825302113</v>
      </c>
      <c r="BN39" s="70" t="n">
        <f aca="false">IF(BG39&gt;0,BM39*1000000/BG39/Economy!Q39,0)</f>
        <v>0.280382565251842</v>
      </c>
      <c r="BO39" s="47" t="n">
        <v>12600000</v>
      </c>
      <c r="BP39" s="47" t="n">
        <v>590</v>
      </c>
      <c r="BQ39" s="71" t="n">
        <v>0</v>
      </c>
      <c r="BR39" s="49" t="n">
        <f aca="false">IF(BO39&gt;0,BP39*1000000/BO39,0)</f>
        <v>46.8253968253968</v>
      </c>
      <c r="BS39" s="67" t="n">
        <f aca="false">IF(AND(BQ39&gt;0,BR38&gt;0,B39&gt;0),MIN(conv_cap,conv_beta*1*BQ39*MAX(0,LN(B39/(BR38*BT38)))),0)</f>
        <v>0</v>
      </c>
      <c r="BT39" s="68" t="n">
        <f aca="false">BT38*(1+BS39)</f>
        <v>1</v>
      </c>
      <c r="BU39" s="49" t="n">
        <f aca="false">BP39*BT39</f>
        <v>590</v>
      </c>
      <c r="BV39" s="70" t="n">
        <f aca="false">IF(BO39&gt;0,BU39*1000000/BO39/Economy!Q39,0)</f>
        <v>0.232962173260681</v>
      </c>
      <c r="BW39" s="68" t="n">
        <f aca="false">0.25*IF(D39&gt;0,H39,1)+0.15*IF(AJ39&gt;0,AN39,1)+0.03*IF(AR39&gt;0,AV39,1)+0.08*IF(AZ39&gt;0,BD39,1)+0.12*IF(BH39&gt;0,BL39,1)+0.1*IF(L39&gt;0,P39,1)+0.07*IF(T39&gt;0,X39,1)+0.05*IF(AB39&gt;0,AF39,1)+0.05*IF(BP39&gt;0,BT39,1)+0.1</f>
        <v>1.04204788386818</v>
      </c>
      <c r="BX39" s="66" t="n">
        <f aca="false">MIN(mkt_cap,mkt_elast*MAX(0,BW39-1))</f>
        <v>0.0210239419340901</v>
      </c>
      <c r="BY39" s="49" t="n">
        <f aca="false">I39+Q39+Y39+AG39</f>
        <v>760.240746747839</v>
      </c>
      <c r="BZ39" s="49" t="n">
        <f aca="false">D39+L39+T39+AB39</f>
        <v>685</v>
      </c>
      <c r="CA39" s="68" t="n">
        <f aca="false">IF(BZ39&gt;0,BY39/BZ39,0)</f>
        <v>1.10984050620122</v>
      </c>
    </row>
    <row r="40" customFormat="false" ht="14.25" hidden="false" customHeight="true" outlineLevel="0" collapsed="false">
      <c r="A40" s="61" t="n">
        <v>1880</v>
      </c>
      <c r="B40" s="49" t="n">
        <f aca="false">Economy!P39</f>
        <v>329.306053805147</v>
      </c>
      <c r="C40" s="47" t="n">
        <v>36600000</v>
      </c>
      <c r="D40" s="65" t="n">
        <f aca="false">Japan!B40</f>
        <v>600</v>
      </c>
      <c r="E40" s="71" t="n">
        <v>0.4</v>
      </c>
      <c r="F40" s="49" t="n">
        <f aca="false">IF(C40&gt;0,D40*1000000/C40,0)</f>
        <v>16.3934426229508</v>
      </c>
      <c r="G40" s="67" t="n">
        <f aca="false">IF(AND(E40&gt;0,F39&gt;0,B40&gt;0),MIN(conv_cap,conv_beta*jp_uplift*E40*MAX(0,LN(B40/(F39*H39)))),0)</f>
        <v>0.0116467364330826</v>
      </c>
      <c r="H40" s="68" t="n">
        <f aca="false">H39*(1+G40)</f>
        <v>1.13765925997911</v>
      </c>
      <c r="I40" s="49" t="n">
        <f aca="false">D40*H40</f>
        <v>682.595555987464</v>
      </c>
      <c r="J40" s="70" t="n">
        <f aca="false">IF(C40&gt;0,I40*1000000/C40/Economy!Q40,0)</f>
        <v>0.0896641913602701</v>
      </c>
      <c r="K40" s="65" t="n">
        <f aca="false">Gulf!B40</f>
        <v>0</v>
      </c>
      <c r="L40" s="49" t="n">
        <f aca="false">Gulf!B40*Gulf!C40*Economy!Q40/1000000</f>
        <v>0</v>
      </c>
      <c r="M40" s="71" t="n">
        <v>0</v>
      </c>
      <c r="N40" s="49" t="n">
        <f aca="false">IF(K40&gt;0,L40*1000000/K40,0)</f>
        <v>0</v>
      </c>
      <c r="O40" s="67" t="n">
        <f aca="false">IF(AND(M40&gt;0,N39&gt;0,B40&gt;0),MIN(conv_cap,conv_beta*1*M40*MAX(0,LN(B40/(N39*P39)))),0)</f>
        <v>0</v>
      </c>
      <c r="P40" s="68" t="n">
        <f aca="false">P39*(1+O40)</f>
        <v>1</v>
      </c>
      <c r="Q40" s="49" t="n">
        <f aca="false">L40*P40</f>
        <v>0</v>
      </c>
      <c r="R40" s="70" t="n">
        <f aca="false">IF(K40&gt;0,Q40*1000000/K40/Economy!Q40,0)</f>
        <v>0</v>
      </c>
      <c r="S40" s="65" t="n">
        <f aca="false">People!U40</f>
        <v>6218000</v>
      </c>
      <c r="T40" s="47" t="n">
        <v>107</v>
      </c>
      <c r="U40" s="71" t="n">
        <v>0.336</v>
      </c>
      <c r="V40" s="49" t="n">
        <f aca="false">IF(S40&gt;0,T40*1000000/S40,0)</f>
        <v>17.2081055001608</v>
      </c>
      <c r="W40" s="67" t="n">
        <f aca="false">IF(AND(U40&gt;0,V39&gt;0,B40&gt;0),MIN(conv_cap,conv_beta*1*U40*MAX(0,LN(B40/(V39*X39)))),0)</f>
        <v>0.00985699472404288</v>
      </c>
      <c r="X40" s="68" t="n">
        <f aca="false">X39*(1+W40)</f>
        <v>1.03866111015153</v>
      </c>
      <c r="Y40" s="49" t="n">
        <f aca="false">T40*X40</f>
        <v>111.136738786213</v>
      </c>
      <c r="Z40" s="70" t="n">
        <f aca="false">IF(S40&gt;0,Y40*1000000/S40/Economy!Q40,0)</f>
        <v>0.0859297594346231</v>
      </c>
      <c r="AA40" s="47" t="n">
        <v>0</v>
      </c>
      <c r="AB40" s="47" t="n">
        <v>0</v>
      </c>
      <c r="AC40" s="71" t="n">
        <v>0</v>
      </c>
      <c r="AD40" s="49" t="n">
        <f aca="false">IF(AA40&gt;0,AB40*1000000/AA40,0)</f>
        <v>0</v>
      </c>
      <c r="AE40" s="67" t="n">
        <f aca="false">IF(AND(AC40&gt;0,AD39&gt;0,B40&gt;0),MIN(conv_cap,conv_beta*1*AC40*MAX(0,LN(B40/(AD39*AF39)))),0)</f>
        <v>0</v>
      </c>
      <c r="AF40" s="68" t="n">
        <f aca="false">AF39*(1+AE40)</f>
        <v>1</v>
      </c>
      <c r="AG40" s="49" t="n">
        <f aca="false">AB40*AF40</f>
        <v>0</v>
      </c>
      <c r="AH40" s="70" t="n">
        <f aca="false">IF(AA40&gt;0,AG40*1000000/AA40/Economy!Q40,0)</f>
        <v>0</v>
      </c>
      <c r="AI40" s="47" t="n">
        <v>372000000</v>
      </c>
      <c r="AJ40" s="47" t="n">
        <v>3667</v>
      </c>
      <c r="AK40" s="71" t="n">
        <v>0.121</v>
      </c>
      <c r="AL40" s="49" t="n">
        <f aca="false">IF(AI40&gt;0,AJ40*1000000/AI40,0)</f>
        <v>9.85752688172043</v>
      </c>
      <c r="AM40" s="67" t="n">
        <f aca="false">IF(AND(AK40&gt;0,AL39&gt;0,B40&gt;0),MIN(conv_cap,conv_beta*1*AK40*MAX(0,LN(B40/(AL39*AN39)))),0)</f>
        <v>0.00418701715275176</v>
      </c>
      <c r="AN40" s="68" t="n">
        <f aca="false">AN39*(1+AM40)</f>
        <v>1.05491686407194</v>
      </c>
      <c r="AO40" s="49" t="n">
        <f aca="false">AJ40*AN40</f>
        <v>3868.38014055179</v>
      </c>
      <c r="AP40" s="70" t="n">
        <f aca="false">IF(AI40&gt;0,AO40*1000000/AI40/Economy!Q40,0)</f>
        <v>0.0499945737767756</v>
      </c>
      <c r="AQ40" s="47" t="n">
        <v>10670000</v>
      </c>
      <c r="AR40" s="47" t="n">
        <v>183</v>
      </c>
      <c r="AS40" s="71" t="n">
        <v>0.1</v>
      </c>
      <c r="AT40" s="49" t="n">
        <f aca="false">IF(AQ40&gt;0,AR40*1000000/AQ40,0)</f>
        <v>17.1508903467666</v>
      </c>
      <c r="AU40" s="67" t="n">
        <f aca="false">IF(AND(AS40&gt;0,AT39&gt;0,B40&gt;0),MIN(conv_cap,conv_beta*1*AS40*MAX(0,LN(B40/(AT39*AV39)))),0)</f>
        <v>0.0029648847233013</v>
      </c>
      <c r="AV40" s="68" t="n">
        <f aca="false">AV39*(1+AU40)</f>
        <v>1.0029648847233</v>
      </c>
      <c r="AW40" s="49" t="n">
        <f aca="false">AR40*AV40</f>
        <v>183.542573904364</v>
      </c>
      <c r="AX40" s="70" t="n">
        <f aca="false">IF(AQ40&gt;0,AW40*1000000/AQ40/Economy!Q40,0)</f>
        <v>0.0827006767285903</v>
      </c>
      <c r="AY40" s="47" t="n">
        <v>60000000</v>
      </c>
      <c r="AZ40" s="47" t="n">
        <v>1267</v>
      </c>
      <c r="BA40" s="71" t="n">
        <v>0.05</v>
      </c>
      <c r="BB40" s="49" t="n">
        <f aca="false">IF(AY40&gt;0,AZ40*1000000/AY40,0)</f>
        <v>21.1166666666667</v>
      </c>
      <c r="BC40" s="67" t="n">
        <f aca="false">IF(AND(BA40&gt;0,BB39&gt;0,B40&gt;0),MIN(conv_cap,conv_beta*1*BA40*MAX(0,LN(B40/(BB39*BD39)))),0)</f>
        <v>0.00137987778430637</v>
      </c>
      <c r="BD40" s="68" t="n">
        <f aca="false">BD39*(1+BC40)</f>
        <v>1.00137987778431</v>
      </c>
      <c r="BE40" s="49" t="n">
        <f aca="false">AZ40*BD40</f>
        <v>1268.74830515272</v>
      </c>
      <c r="BF40" s="70" t="n">
        <f aca="false">IF(AY40&gt;0,BE40*1000000/AY40/Economy!Q40,0)</f>
        <v>0.101662524451339</v>
      </c>
      <c r="BG40" s="47" t="n">
        <v>24700000</v>
      </c>
      <c r="BH40" s="47" t="n">
        <v>1400</v>
      </c>
      <c r="BI40" s="71" t="n">
        <v>0.083</v>
      </c>
      <c r="BJ40" s="49" t="n">
        <f aca="false">IF(BG40&gt;0,BH40*1000000/BG40,0)</f>
        <v>56.6801619433198</v>
      </c>
      <c r="BK40" s="67" t="n">
        <f aca="false">IF(AND(BI40&gt;0,BJ39&gt;0,B40&gt;0),MIN(conv_cap,conv_beta*1*BI40*MAX(0,LN(B40/(BJ39*BL39)))),0)</f>
        <v>0.00146518486418788</v>
      </c>
      <c r="BL40" s="68" t="n">
        <f aca="false">BL39*(1+BK40)</f>
        <v>1.01259047119124</v>
      </c>
      <c r="BM40" s="49" t="n">
        <f aca="false">BH40*BL40</f>
        <v>1417.62665966773</v>
      </c>
      <c r="BN40" s="70" t="n">
        <f aca="false">IF(BG40&gt;0,BM40*1000000/BG40/Economy!Q40,0)</f>
        <v>0.275931691775874</v>
      </c>
      <c r="BO40" s="47" t="n">
        <v>12700000</v>
      </c>
      <c r="BP40" s="47" t="n">
        <v>600</v>
      </c>
      <c r="BQ40" s="71" t="n">
        <v>0</v>
      </c>
      <c r="BR40" s="49" t="n">
        <f aca="false">IF(BO40&gt;0,BP40*1000000/BO40,0)</f>
        <v>47.244094488189</v>
      </c>
      <c r="BS40" s="67" t="n">
        <f aca="false">IF(AND(BQ40&gt;0,BR39&gt;0,B40&gt;0),MIN(conv_cap,conv_beta*1*BQ40*MAX(0,LN(B40/(BR39*BT39)))),0)</f>
        <v>0</v>
      </c>
      <c r="BT40" s="68" t="n">
        <f aca="false">BT39*(1+BS40)</f>
        <v>1</v>
      </c>
      <c r="BU40" s="49" t="n">
        <f aca="false">BP40*BT40</f>
        <v>600</v>
      </c>
      <c r="BV40" s="70" t="n">
        <f aca="false">IF(BO40&gt;0,BU40*1000000/BO40/Economy!Q40,0)</f>
        <v>0.227135069654755</v>
      </c>
      <c r="BW40" s="68" t="n">
        <f aca="false">0.25*IF(D40&gt;0,H40,1)+0.15*IF(AJ40&gt;0,AN40,1)+0.03*IF(AR40&gt;0,AV40,1)+0.08*IF(AZ40&gt;0,BD40,1)+0.12*IF(BH40&gt;0,BL40,1)+0.1*IF(L40&gt;0,P40,1)+0.07*IF(T40&gt;0,X40,1)+0.05*IF(AB40&gt;0,AF40,1)+0.05*IF(BP40&gt;0,BT40,1)+0.1</f>
        <v>1.04706881562357</v>
      </c>
      <c r="BX40" s="66" t="n">
        <f aca="false">MIN(mkt_cap,mkt_elast*MAX(0,BW40-1))</f>
        <v>0.023534407811783</v>
      </c>
      <c r="BY40" s="49" t="n">
        <f aca="false">I40+Q40+Y40+AG40</f>
        <v>793.732294773677</v>
      </c>
      <c r="BZ40" s="49" t="n">
        <f aca="false">D40+L40+T40+AB40</f>
        <v>707</v>
      </c>
      <c r="CA40" s="68" t="n">
        <f aca="false">IF(BZ40&gt;0,BY40/BZ40,0)</f>
        <v>1.12267651311694</v>
      </c>
    </row>
    <row r="41" customFormat="false" ht="14.25" hidden="false" customHeight="true" outlineLevel="0" collapsed="false">
      <c r="A41" s="61" t="n">
        <v>1881</v>
      </c>
      <c r="B41" s="49" t="n">
        <f aca="false">Economy!P40</f>
        <v>329.499383946518</v>
      </c>
      <c r="C41" s="47" t="n">
        <v>36940000</v>
      </c>
      <c r="D41" s="65" t="n">
        <f aca="false">Japan!B41</f>
        <v>610</v>
      </c>
      <c r="E41" s="71" t="n">
        <v>0.421</v>
      </c>
      <c r="F41" s="49" t="n">
        <f aca="false">IF(C41&gt;0,D41*1000000/C41,0)</f>
        <v>16.5132647536546</v>
      </c>
      <c r="G41" s="67" t="n">
        <f aca="false">IF(AND(E41&gt;0,F40&gt;0,B41&gt;0),MIN(conv_cap,conv_beta*jp_uplift*E41*MAX(0,LN(B41/(F40*H40)))),0)</f>
        <v>0.0120899420363373</v>
      </c>
      <c r="H41" s="68" t="n">
        <f aca="false">H40*(1+G41)</f>
        <v>1.15141349448936</v>
      </c>
      <c r="I41" s="49" t="n">
        <f aca="false">D41*H41</f>
        <v>702.362231638508</v>
      </c>
      <c r="J41" s="70" t="n">
        <f aca="false">IF(C41&gt;0,I41*1000000/C41/Economy!Q41,0)</f>
        <v>0.0918531201711756</v>
      </c>
      <c r="K41" s="65" t="n">
        <f aca="false">Gulf!B41</f>
        <v>0</v>
      </c>
      <c r="L41" s="49" t="n">
        <f aca="false">Gulf!B41*Gulf!C41*Economy!Q41/1000000</f>
        <v>0</v>
      </c>
      <c r="M41" s="71" t="n">
        <v>0</v>
      </c>
      <c r="N41" s="49" t="n">
        <f aca="false">IF(K41&gt;0,L41*1000000/K41,0)</f>
        <v>0</v>
      </c>
      <c r="O41" s="67" t="n">
        <f aca="false">IF(AND(M41&gt;0,N40&gt;0,B41&gt;0),MIN(conv_cap,conv_beta*1*M41*MAX(0,LN(B41/(N40*P40)))),0)</f>
        <v>0</v>
      </c>
      <c r="P41" s="68" t="n">
        <f aca="false">P40*(1+O41)</f>
        <v>1</v>
      </c>
      <c r="Q41" s="49" t="n">
        <f aca="false">L41*P41</f>
        <v>0</v>
      </c>
      <c r="R41" s="70" t="n">
        <f aca="false">IF(K41&gt;0,Q41*1000000/K41/Economy!Q41,0)</f>
        <v>0</v>
      </c>
      <c r="S41" s="65" t="n">
        <f aca="false">People!U41</f>
        <v>6273000</v>
      </c>
      <c r="T41" s="47" t="n">
        <v>109</v>
      </c>
      <c r="U41" s="71" t="n">
        <v>0.345</v>
      </c>
      <c r="V41" s="49" t="n">
        <f aca="false">IF(S41&gt;0,T41*1000000/S41,0)</f>
        <v>17.3760561135023</v>
      </c>
      <c r="W41" s="67" t="n">
        <f aca="false">IF(AND(U41&gt;0,V40&gt;0,B41&gt;0),MIN(conv_cap,conv_beta*1*U41*MAX(0,LN(B41/(V40*X40)))),0)</f>
        <v>0.0100542020776734</v>
      </c>
      <c r="X41" s="68" t="n">
        <f aca="false">X40*(1+W41)</f>
        <v>1.04910401884321</v>
      </c>
      <c r="Y41" s="49" t="n">
        <f aca="false">T41*X41</f>
        <v>114.35233805391</v>
      </c>
      <c r="Z41" s="70" t="n">
        <f aca="false">IF(S41&gt;0,Y41*1000000/S41/Economy!Q41,0)</f>
        <v>0.0880642043493739</v>
      </c>
      <c r="AA41" s="47" t="n">
        <v>0</v>
      </c>
      <c r="AB41" s="47" t="n">
        <v>0</v>
      </c>
      <c r="AC41" s="71" t="n">
        <v>0</v>
      </c>
      <c r="AD41" s="49" t="n">
        <f aca="false">IF(AA41&gt;0,AB41*1000000/AA41,0)</f>
        <v>0</v>
      </c>
      <c r="AE41" s="67" t="n">
        <f aca="false">IF(AND(AC41&gt;0,AD40&gt;0,B41&gt;0),MIN(conv_cap,conv_beta*1*AC41*MAX(0,LN(B41/(AD40*AF40)))),0)</f>
        <v>0</v>
      </c>
      <c r="AF41" s="68" t="n">
        <f aca="false">AF40*(1+AE41)</f>
        <v>1</v>
      </c>
      <c r="AG41" s="49" t="n">
        <f aca="false">AB41*AF41</f>
        <v>0</v>
      </c>
      <c r="AH41" s="70" t="n">
        <f aca="false">IF(AA41&gt;0,AG41*1000000/AA41/Economy!Q41,0)</f>
        <v>0</v>
      </c>
      <c r="AI41" s="47" t="n">
        <v>373400000</v>
      </c>
      <c r="AJ41" s="47" t="n">
        <v>3683</v>
      </c>
      <c r="AK41" s="71" t="n">
        <v>0.125</v>
      </c>
      <c r="AL41" s="49" t="n">
        <f aca="false">IF(AI41&gt;0,AJ41*1000000/AI41,0)</f>
        <v>9.86341724692019</v>
      </c>
      <c r="AM41" s="67" t="n">
        <f aca="false">IF(AND(AK41&gt;0,AL40&gt;0,B41&gt;0),MIN(conv_cap,conv_beta*1*AK41*MAX(0,LN(B41/(AL40*AN40)))),0)</f>
        <v>0.00431984651060703</v>
      </c>
      <c r="AN41" s="68" t="n">
        <f aca="false">AN40*(1+AM41)</f>
        <v>1.05947394300618</v>
      </c>
      <c r="AO41" s="49" t="n">
        <f aca="false">AJ41*AN41</f>
        <v>3902.04253209175</v>
      </c>
      <c r="AP41" s="70" t="n">
        <f aca="false">IF(AI41&gt;0,AO41*1000000/AI41/Economy!Q41,0)</f>
        <v>0.0504832539232352</v>
      </c>
      <c r="AQ41" s="47" t="n">
        <v>10730000</v>
      </c>
      <c r="AR41" s="47" t="n">
        <v>187</v>
      </c>
      <c r="AS41" s="71" t="n">
        <v>0.129</v>
      </c>
      <c r="AT41" s="49" t="n">
        <f aca="false">IF(AQ41&gt;0,AR41*1000000/AQ41,0)</f>
        <v>17.4277726001864</v>
      </c>
      <c r="AU41" s="67" t="n">
        <f aca="false">IF(AND(AS41&gt;0,AT40&gt;0,B41&gt;0),MIN(conv_cap,conv_beta*1*AS41*MAX(0,LN(B41/(AT40*AV40)))),0)</f>
        <v>0.00380880742923339</v>
      </c>
      <c r="AV41" s="68" t="n">
        <f aca="false">AV40*(1+AU41)</f>
        <v>1.0067849848275</v>
      </c>
      <c r="AW41" s="49" t="n">
        <f aca="false">AR41*AV41</f>
        <v>188.268792162742</v>
      </c>
      <c r="AX41" s="70" t="n">
        <f aca="false">IF(AQ41&gt;0,AW41*1000000/AQ41/Economy!Q41,0)</f>
        <v>0.0847633805451966</v>
      </c>
      <c r="AY41" s="47" t="n">
        <v>61000000</v>
      </c>
      <c r="AZ41" s="47" t="n">
        <v>1303</v>
      </c>
      <c r="BA41" s="71" t="n">
        <v>0.053</v>
      </c>
      <c r="BB41" s="49" t="n">
        <f aca="false">IF(AY41&gt;0,AZ41*1000000/AY41,0)</f>
        <v>21.3606557377049</v>
      </c>
      <c r="BC41" s="67" t="n">
        <f aca="false">IF(AND(BA41&gt;0,BB40&gt;0,B41&gt;0),MIN(conv_cap,conv_beta*1*BA41*MAX(0,LN(B41/(BB40*BD40)))),0)</f>
        <v>0.00145545045796276</v>
      </c>
      <c r="BD41" s="68" t="n">
        <f aca="false">BD40*(1+BC41)</f>
        <v>1.00283733658602</v>
      </c>
      <c r="BE41" s="49" t="n">
        <f aca="false">AZ41*BD41</f>
        <v>1306.69704957159</v>
      </c>
      <c r="BF41" s="70" t="n">
        <f aca="false">IF(AY41&gt;0,BE41*1000000/AY41/Economy!Q41,0)</f>
        <v>0.10348436283928</v>
      </c>
      <c r="BG41" s="47" t="n">
        <v>24900000</v>
      </c>
      <c r="BH41" s="47" t="n">
        <v>1440</v>
      </c>
      <c r="BI41" s="71" t="n">
        <v>0.087</v>
      </c>
      <c r="BJ41" s="49" t="n">
        <f aca="false">IF(BG41&gt;0,BH41*1000000/BG41,0)</f>
        <v>57.8313253012048</v>
      </c>
      <c r="BK41" s="67" t="n">
        <f aca="false">IF(AND(BI41&gt;0,BJ40&gt;0,B41&gt;0),MIN(conv_cap,conv_beta*1*BI41*MAX(0,LN(B41/(BJ40*BL40)))),0)</f>
        <v>0.00152044535757497</v>
      </c>
      <c r="BL41" s="68" t="n">
        <f aca="false">BL40*(1+BK41)</f>
        <v>1.01413005967228</v>
      </c>
      <c r="BM41" s="49" t="n">
        <f aca="false">BH41*BL41</f>
        <v>1460.34728592809</v>
      </c>
      <c r="BN41" s="70" t="n">
        <f aca="false">IF(BG41&gt;0,BM41*1000000/BG41/Economy!Q41,0)</f>
        <v>0.283326016321923</v>
      </c>
      <c r="BO41" s="47" t="n">
        <v>12700000</v>
      </c>
      <c r="BP41" s="47" t="n">
        <v>610</v>
      </c>
      <c r="BQ41" s="71" t="n">
        <v>0</v>
      </c>
      <c r="BR41" s="49" t="n">
        <f aca="false">IF(BO41&gt;0,BP41*1000000/BO41,0)</f>
        <v>48.0314960629921</v>
      </c>
      <c r="BS41" s="67" t="n">
        <f aca="false">IF(AND(BQ41&gt;0,BR40&gt;0,B41&gt;0),MIN(conv_cap,conv_beta*1*BQ41*MAX(0,LN(B41/(BR40*BT40)))),0)</f>
        <v>0</v>
      </c>
      <c r="BT41" s="68" t="n">
        <f aca="false">BT40*(1+BS41)</f>
        <v>1</v>
      </c>
      <c r="BU41" s="49" t="n">
        <f aca="false">BP41*BT41</f>
        <v>610</v>
      </c>
      <c r="BV41" s="70" t="n">
        <f aca="false">IF(BO41&gt;0,BU41*1000000/BO41/Economy!Q41,0)</f>
        <v>0.232036212864696</v>
      </c>
      <c r="BW41" s="68" t="n">
        <f aca="false">0.25*IF(D41&gt;0,H41,1)+0.15*IF(AJ41&gt;0,AN41,1)+0.03*IF(AR41&gt;0,AV41,1)+0.08*IF(AZ41&gt;0,BD41,1)+0.12*IF(BH41&gt;0,BL41,1)+0.1*IF(L41&gt;0,P41,1)+0.07*IF(T41&gt;0,X41,1)+0.05*IF(AB41&gt;0,AF41,1)+0.05*IF(BP41&gt;0,BT41,1)+0.1</f>
        <v>1.05233789002467</v>
      </c>
      <c r="BX41" s="66" t="n">
        <f aca="false">MIN(mkt_cap,mkt_elast*MAX(0,BW41-1))</f>
        <v>0.0261689450123356</v>
      </c>
      <c r="BY41" s="49" t="n">
        <f aca="false">I41+Q41+Y41+AG41</f>
        <v>816.714569692417</v>
      </c>
      <c r="BZ41" s="49" t="n">
        <f aca="false">D41+L41+T41+AB41</f>
        <v>719</v>
      </c>
      <c r="CA41" s="68" t="n">
        <f aca="false">IF(BZ41&gt;0,BY41/BZ41,0)</f>
        <v>1.13590343489905</v>
      </c>
    </row>
    <row r="42" customFormat="false" ht="14.25" hidden="false" customHeight="true" outlineLevel="0" collapsed="false">
      <c r="A42" s="61" t="n">
        <v>1882</v>
      </c>
      <c r="B42" s="49" t="n">
        <f aca="false">Economy!P41</f>
        <v>333.394677146697</v>
      </c>
      <c r="C42" s="47" t="n">
        <v>37280000</v>
      </c>
      <c r="D42" s="65" t="n">
        <f aca="false">Japan!B42</f>
        <v>620</v>
      </c>
      <c r="E42" s="71" t="n">
        <v>0.443</v>
      </c>
      <c r="F42" s="49" t="n">
        <f aca="false">IF(C42&gt;0,D42*1000000/C42,0)</f>
        <v>16.6309012875536</v>
      </c>
      <c r="G42" s="67" t="n">
        <f aca="false">IF(AND(E42&gt;0,F41&gt;0,B42&gt;0),MIN(conv_cap,conv_beta*jp_uplift*E42*MAX(0,LN(B42/(F41*H41)))),0)</f>
        <v>0.0126882851015992</v>
      </c>
      <c r="H42" s="68" t="n">
        <f aca="false">H41*(1+G42)</f>
        <v>1.16602295717727</v>
      </c>
      <c r="I42" s="49" t="n">
        <f aca="false">D42*H42</f>
        <v>722.934233449905</v>
      </c>
      <c r="J42" s="70" t="n">
        <f aca="false">IF(C42&gt;0,I42*1000000/C42/Economy!Q42,0)</f>
        <v>0.0936812207721571</v>
      </c>
      <c r="K42" s="65" t="n">
        <f aca="false">Gulf!B42</f>
        <v>0</v>
      </c>
      <c r="L42" s="49" t="n">
        <f aca="false">Gulf!B42*Gulf!C42*Economy!Q42/1000000</f>
        <v>0</v>
      </c>
      <c r="M42" s="71" t="n">
        <v>0</v>
      </c>
      <c r="N42" s="49" t="n">
        <f aca="false">IF(K42&gt;0,L42*1000000/K42,0)</f>
        <v>0</v>
      </c>
      <c r="O42" s="67" t="n">
        <f aca="false">IF(AND(M42&gt;0,N41&gt;0,B42&gt;0),MIN(conv_cap,conv_beta*1*M42*MAX(0,LN(B42/(N41*P41)))),0)</f>
        <v>0</v>
      </c>
      <c r="P42" s="68" t="n">
        <f aca="false">P41*(1+O42)</f>
        <v>1</v>
      </c>
      <c r="Q42" s="49" t="n">
        <f aca="false">L42*P42</f>
        <v>0</v>
      </c>
      <c r="R42" s="70" t="n">
        <f aca="false">IF(K42&gt;0,Q42*1000000/K42/Economy!Q42,0)</f>
        <v>0</v>
      </c>
      <c r="S42" s="65" t="n">
        <f aca="false">People!U42</f>
        <v>6327000</v>
      </c>
      <c r="T42" s="47" t="n">
        <v>111</v>
      </c>
      <c r="U42" s="71" t="n">
        <v>0.355</v>
      </c>
      <c r="V42" s="49" t="n">
        <f aca="false">IF(S42&gt;0,T42*1000000/S42,0)</f>
        <v>17.5438596491228</v>
      </c>
      <c r="W42" s="67" t="n">
        <f aca="false">IF(AND(U42&gt;0,V41&gt;0,B42&gt;0),MIN(conv_cap,conv_beta*1*U42*MAX(0,LN(B42/(V41*X41)))),0)</f>
        <v>0.0103173555825837</v>
      </c>
      <c r="X42" s="68" t="n">
        <f aca="false">X41*(1+W42)</f>
        <v>1.05992799804873</v>
      </c>
      <c r="Y42" s="49" t="n">
        <f aca="false">T42*X42</f>
        <v>117.652007783409</v>
      </c>
      <c r="Z42" s="70" t="n">
        <f aca="false">IF(S42&gt;0,Y42*1000000/S42/Economy!Q42,0)</f>
        <v>0.0898320194973076</v>
      </c>
      <c r="AA42" s="47" t="n">
        <v>0</v>
      </c>
      <c r="AB42" s="47" t="n">
        <v>0</v>
      </c>
      <c r="AC42" s="71" t="n">
        <v>0</v>
      </c>
      <c r="AD42" s="49" t="n">
        <f aca="false">IF(AA42&gt;0,AB42*1000000/AA42,0)</f>
        <v>0</v>
      </c>
      <c r="AE42" s="67" t="n">
        <f aca="false">IF(AND(AC42&gt;0,AD41&gt;0,B42&gt;0),MIN(conv_cap,conv_beta*1*AC42*MAX(0,LN(B42/(AD41*AF41)))),0)</f>
        <v>0</v>
      </c>
      <c r="AF42" s="68" t="n">
        <f aca="false">AF41*(1+AE42)</f>
        <v>1</v>
      </c>
      <c r="AG42" s="49" t="n">
        <f aca="false">AB42*AF42</f>
        <v>0</v>
      </c>
      <c r="AH42" s="70" t="n">
        <f aca="false">IF(AA42&gt;0,AG42*1000000/AA42/Economy!Q42,0)</f>
        <v>0</v>
      </c>
      <c r="AI42" s="47" t="n">
        <v>374800000</v>
      </c>
      <c r="AJ42" s="47" t="n">
        <v>3700</v>
      </c>
      <c r="AK42" s="71" t="n">
        <v>0.129</v>
      </c>
      <c r="AL42" s="49" t="n">
        <f aca="false">IF(AI42&gt;0,AJ42*1000000/AI42,0)</f>
        <v>9.87193169690502</v>
      </c>
      <c r="AM42" s="67" t="n">
        <f aca="false">IF(AND(AK42&gt;0,AL41&gt;0,B42&gt;0),MIN(conv_cap,conv_beta*1*AK42*MAX(0,LN(B42/(AL41*AN41)))),0)</f>
        <v>0.00446691114100378</v>
      </c>
      <c r="AN42" s="68" t="n">
        <f aca="false">AN41*(1+AM42)</f>
        <v>1.0642065189658</v>
      </c>
      <c r="AO42" s="49" t="n">
        <f aca="false">AJ42*AN42</f>
        <v>3937.56412017344</v>
      </c>
      <c r="AP42" s="70" t="n">
        <f aca="false">IF(AI42&gt;0,AO42*1000000/AI42/Economy!Q42,0)</f>
        <v>0.0507525317228569</v>
      </c>
      <c r="AQ42" s="47" t="n">
        <v>10800000</v>
      </c>
      <c r="AR42" s="47" t="n">
        <v>190</v>
      </c>
      <c r="AS42" s="71" t="n">
        <v>0.157</v>
      </c>
      <c r="AT42" s="49" t="n">
        <f aca="false">IF(AQ42&gt;0,AR42*1000000/AQ42,0)</f>
        <v>17.5925925925926</v>
      </c>
      <c r="AU42" s="67" t="n">
        <f aca="false">IF(AND(AS42&gt;0,AT41&gt;0,B42&gt;0),MIN(conv_cap,conv_beta*1*AS42*MAX(0,LN(B42/(AT41*AV41)))),0)</f>
        <v>0.00462286480249645</v>
      </c>
      <c r="AV42" s="68" t="n">
        <f aca="false">AV41*(1+AU42)</f>
        <v>1.01143921569754</v>
      </c>
      <c r="AW42" s="49" t="n">
        <f aca="false">AR42*AV42</f>
        <v>192.173450982532</v>
      </c>
      <c r="AX42" s="70" t="n">
        <f aca="false">IF(AQ42&gt;0,AW42*1000000/AQ42/Economy!Q42,0)</f>
        <v>0.0859605703088799</v>
      </c>
      <c r="AY42" s="47" t="n">
        <v>62000000</v>
      </c>
      <c r="AZ42" s="47" t="n">
        <v>1340</v>
      </c>
      <c r="BA42" s="71" t="n">
        <v>0.055</v>
      </c>
      <c r="BB42" s="49" t="n">
        <f aca="false">IF(AY42&gt;0,AZ42*1000000/AY42,0)</f>
        <v>21.6129032258065</v>
      </c>
      <c r="BC42" s="67" t="n">
        <f aca="false">IF(AND(BA42&gt;0,BB41&gt;0,B42&gt;0),MIN(conv_cap,conv_beta*1*BA42*MAX(0,LN(B42/(BB41*BD41)))),0)</f>
        <v>0.00150971863510957</v>
      </c>
      <c r="BD42" s="68" t="n">
        <f aca="false">BD41*(1+BC42)</f>
        <v>1.00435133880105</v>
      </c>
      <c r="BE42" s="49" t="n">
        <f aca="false">AZ42*BD42</f>
        <v>1345.83079399341</v>
      </c>
      <c r="BF42" s="70" t="n">
        <f aca="false">IF(AY42&gt;0,BE42*1000000/AY42/Economy!Q42,0)</f>
        <v>0.104864484493798</v>
      </c>
      <c r="BG42" s="47" t="n">
        <v>25200000</v>
      </c>
      <c r="BH42" s="47" t="n">
        <v>1480</v>
      </c>
      <c r="BI42" s="71" t="n">
        <v>0.09</v>
      </c>
      <c r="BJ42" s="49" t="n">
        <f aca="false">IF(BG42&gt;0,BH42*1000000/BG42,0)</f>
        <v>58.7301587301587</v>
      </c>
      <c r="BK42" s="67" t="n">
        <f aca="false">IF(AND(BI42&gt;0,BJ41&gt;0,B42&gt;0),MIN(conv_cap,conv_beta*1*BI42*MAX(0,LN(B42/(BJ41*BL41)))),0)</f>
        <v>0.00156398872932229</v>
      </c>
      <c r="BL42" s="68" t="n">
        <f aca="false">BL41*(1+BK42)</f>
        <v>1.01571614765568</v>
      </c>
      <c r="BM42" s="49" t="n">
        <f aca="false">BH42*BL42</f>
        <v>1503.2598985304</v>
      </c>
      <c r="BN42" s="70" t="n">
        <f aca="false">IF(BG42&gt;0,BM42*1000000/BG42/Economy!Q42,0)</f>
        <v>0.288179568002914</v>
      </c>
      <c r="BO42" s="47" t="n">
        <v>12800000</v>
      </c>
      <c r="BP42" s="47" t="n">
        <v>620</v>
      </c>
      <c r="BQ42" s="71" t="n">
        <v>0</v>
      </c>
      <c r="BR42" s="49" t="n">
        <f aca="false">IF(BO42&gt;0,BP42*1000000/BO42,0)</f>
        <v>48.4375</v>
      </c>
      <c r="BS42" s="67" t="n">
        <f aca="false">IF(AND(BQ42&gt;0,BR41&gt;0,B42&gt;0),MIN(conv_cap,conv_beta*1*BQ42*MAX(0,LN(B42/(BR41*BT41)))),0)</f>
        <v>0</v>
      </c>
      <c r="BT42" s="68" t="n">
        <f aca="false">BT41*(1+BS42)</f>
        <v>1</v>
      </c>
      <c r="BU42" s="49" t="n">
        <f aca="false">BP42*BT42</f>
        <v>620</v>
      </c>
      <c r="BV42" s="70" t="n">
        <f aca="false">IF(BO42&gt;0,BU42*1000000/BO42/Economy!Q42,0)</f>
        <v>0.233997584541063</v>
      </c>
      <c r="BW42" s="68" t="n">
        <f aca="false">0.25*IF(D42&gt;0,H42,1)+0.15*IF(AJ42&gt;0,AN42,1)+0.03*IF(AR42&gt;0,AV42,1)+0.08*IF(AZ42&gt;0,BD42,1)+0.12*IF(BH42&gt;0,BL42,1)+0.1*IF(L42&gt;0,P42,1)+0.07*IF(T42&gt;0,X42,1)+0.05*IF(AB42&gt;0,AF42,1)+0.05*IF(BP42&gt;0,BT42,1)+0.1</f>
        <v>1.05790889829629</v>
      </c>
      <c r="BX42" s="66" t="n">
        <f aca="false">MIN(mkt_cap,mkt_elast*MAX(0,BW42-1))</f>
        <v>0.0289544491481443</v>
      </c>
      <c r="BY42" s="49" t="n">
        <f aca="false">I42+Q42+Y42+AG42</f>
        <v>840.586241233315</v>
      </c>
      <c r="BZ42" s="49" t="n">
        <f aca="false">D42+L42+T42+AB42</f>
        <v>731</v>
      </c>
      <c r="CA42" s="68" t="n">
        <f aca="false">IF(BZ42&gt;0,BY42/BZ42,0)</f>
        <v>1.14991277870494</v>
      </c>
    </row>
    <row r="43" customFormat="false" ht="14.25" hidden="false" customHeight="true" outlineLevel="0" collapsed="false">
      <c r="A43" s="61" t="n">
        <v>1883</v>
      </c>
      <c r="B43" s="49" t="n">
        <f aca="false">Economy!P42</f>
        <v>336.685719419331</v>
      </c>
      <c r="C43" s="47" t="n">
        <v>37620000</v>
      </c>
      <c r="D43" s="65" t="n">
        <f aca="false">Japan!B43</f>
        <v>630</v>
      </c>
      <c r="E43" s="71" t="n">
        <v>0.464</v>
      </c>
      <c r="F43" s="49" t="n">
        <f aca="false">IF(C43&gt;0,D43*1000000/C43,0)</f>
        <v>16.7464114832536</v>
      </c>
      <c r="G43" s="67" t="n">
        <f aca="false">IF(AND(E43&gt;0,F42&gt;0,B43&gt;0),MIN(conv_cap,conv_beta*jp_uplift*E43*MAX(0,LN(B43/(F42*H42)))),0)</f>
        <v>0.0132438993226046</v>
      </c>
      <c r="H43" s="68" t="n">
        <f aca="false">H42*(1+G43)</f>
        <v>1.18146564782997</v>
      </c>
      <c r="I43" s="49" t="n">
        <f aca="false">D43*H43</f>
        <v>744.32335813288</v>
      </c>
      <c r="J43" s="70" t="n">
        <f aca="false">IF(C43&gt;0,I43*1000000/C43/Economy!Q43,0)</f>
        <v>0.0960451936499486</v>
      </c>
      <c r="K43" s="65" t="n">
        <f aca="false">Gulf!B43</f>
        <v>0</v>
      </c>
      <c r="L43" s="49" t="n">
        <f aca="false">Gulf!B43*Gulf!C43*Economy!Q43/1000000</f>
        <v>0</v>
      </c>
      <c r="M43" s="71" t="n">
        <v>0</v>
      </c>
      <c r="N43" s="49" t="n">
        <f aca="false">IF(K43&gt;0,L43*1000000/K43,0)</f>
        <v>0</v>
      </c>
      <c r="O43" s="67" t="n">
        <f aca="false">IF(AND(M43&gt;0,N42&gt;0,B43&gt;0),MIN(conv_cap,conv_beta*1*M43*MAX(0,LN(B43/(N42*P42)))),0)</f>
        <v>0</v>
      </c>
      <c r="P43" s="68" t="n">
        <f aca="false">P42*(1+O43)</f>
        <v>1</v>
      </c>
      <c r="Q43" s="49" t="n">
        <f aca="false">L43*P43</f>
        <v>0</v>
      </c>
      <c r="R43" s="70" t="n">
        <f aca="false">IF(K43&gt;0,Q43*1000000/K43/Economy!Q43,0)</f>
        <v>0</v>
      </c>
      <c r="S43" s="65" t="n">
        <f aca="false">People!U43</f>
        <v>6382000</v>
      </c>
      <c r="T43" s="47" t="n">
        <v>113</v>
      </c>
      <c r="U43" s="71" t="n">
        <v>0.364</v>
      </c>
      <c r="V43" s="49" t="n">
        <f aca="false">IF(S43&gt;0,T43*1000000/S43,0)</f>
        <v>17.7060482607333</v>
      </c>
      <c r="W43" s="67" t="n">
        <f aca="false">IF(AND(U43&gt;0,V42&gt;0,B43&gt;0),MIN(conv_cap,conv_beta*1*U43*MAX(0,LN(B43/(V42*X42)))),0)</f>
        <v>0.010542331513551</v>
      </c>
      <c r="X43" s="68" t="n">
        <f aca="false">X42*(1+W43)</f>
        <v>1.07110211038466</v>
      </c>
      <c r="Y43" s="49" t="n">
        <f aca="false">T43*X43</f>
        <v>121.034538473466</v>
      </c>
      <c r="Z43" s="70" t="n">
        <f aca="false">IF(S43&gt;0,Y43*1000000/S43/Economy!Q43,0)</f>
        <v>0.0920630371778836</v>
      </c>
      <c r="AA43" s="47" t="n">
        <v>0</v>
      </c>
      <c r="AB43" s="47" t="n">
        <v>0</v>
      </c>
      <c r="AC43" s="71" t="n">
        <v>0</v>
      </c>
      <c r="AD43" s="49" t="n">
        <f aca="false">IF(AA43&gt;0,AB43*1000000/AA43,0)</f>
        <v>0</v>
      </c>
      <c r="AE43" s="67" t="n">
        <f aca="false">IF(AND(AC43&gt;0,AD42&gt;0,B43&gt;0),MIN(conv_cap,conv_beta*1*AC43*MAX(0,LN(B43/(AD42*AF42)))),0)</f>
        <v>0</v>
      </c>
      <c r="AF43" s="68" t="n">
        <f aca="false">AF42*(1+AE43)</f>
        <v>1</v>
      </c>
      <c r="AG43" s="49" t="n">
        <f aca="false">AB43*AF43</f>
        <v>0</v>
      </c>
      <c r="AH43" s="70" t="n">
        <f aca="false">IF(AA43&gt;0,AG43*1000000/AA43/Economy!Q43,0)</f>
        <v>0</v>
      </c>
      <c r="AI43" s="47" t="n">
        <v>376200000</v>
      </c>
      <c r="AJ43" s="47" t="n">
        <v>3717</v>
      </c>
      <c r="AK43" s="71" t="n">
        <v>0.133</v>
      </c>
      <c r="AL43" s="49" t="n">
        <f aca="false">IF(AI43&gt;0,AJ43*1000000/AI43,0)</f>
        <v>9.88038277511962</v>
      </c>
      <c r="AM43" s="67" t="n">
        <f aca="false">IF(AND(AK43&gt;0,AL42&gt;0,B43&gt;0),MIN(conv_cap,conv_beta*1*AK43*MAX(0,LN(B43/(AL42*AN42)))),0)</f>
        <v>0.00461140911005079</v>
      </c>
      <c r="AN43" s="68" t="n">
        <f aca="false">AN42*(1+AM43)</f>
        <v>1.06911401060233</v>
      </c>
      <c r="AO43" s="49" t="n">
        <f aca="false">AJ43*AN43</f>
        <v>3973.89677740886</v>
      </c>
      <c r="AP43" s="70" t="n">
        <f aca="false">IF(AI43&gt;0,AO43*1000000/AI43/Economy!Q43,0)</f>
        <v>0.0512779400727879</v>
      </c>
      <c r="AQ43" s="47" t="n">
        <v>10870000</v>
      </c>
      <c r="AR43" s="47" t="n">
        <v>193</v>
      </c>
      <c r="AS43" s="71" t="n">
        <v>0.186</v>
      </c>
      <c r="AT43" s="49" t="n">
        <f aca="false">IF(AQ43&gt;0,AR43*1000000/AQ43,0)</f>
        <v>17.7552897884085</v>
      </c>
      <c r="AU43" s="67" t="n">
        <f aca="false">IF(AND(AS43&gt;0,AT42&gt;0,B43&gt;0),MIN(conv_cap,conv_beta*1*AS43*MAX(0,LN(B43/(AT42*AV42)))),0)</f>
        <v>0.00546895370578185</v>
      </c>
      <c r="AV43" s="68" t="n">
        <f aca="false">AV42*(1+AU43)</f>
        <v>1.0169707299444</v>
      </c>
      <c r="AW43" s="49" t="n">
        <f aca="false">AR43*AV43</f>
        <v>196.275350879269</v>
      </c>
      <c r="AX43" s="70" t="n">
        <f aca="false">IF(AQ43&gt;0,AW43*1000000/AQ43/Economy!Q43,0)</f>
        <v>0.0876534466820004</v>
      </c>
      <c r="AY43" s="47" t="n">
        <v>63000000</v>
      </c>
      <c r="AZ43" s="47" t="n">
        <v>1377</v>
      </c>
      <c r="BA43" s="71" t="n">
        <v>0.058</v>
      </c>
      <c r="BB43" s="49" t="n">
        <f aca="false">IF(AY43&gt;0,AZ43*1000000/AY43,0)</f>
        <v>21.8571428571429</v>
      </c>
      <c r="BC43" s="67" t="n">
        <f aca="false">IF(AND(BA43&gt;0,BB42&gt;0,B43&gt;0),MIN(conv_cap,conv_beta*1*BA43*MAX(0,LN(B43/(BB42*BD42)))),0)</f>
        <v>0.00159008015284239</v>
      </c>
      <c r="BD43" s="68" t="n">
        <f aca="false">BD42*(1+BC43)</f>
        <v>1.00594833793136</v>
      </c>
      <c r="BE43" s="49" t="n">
        <f aca="false">AZ43*BD43</f>
        <v>1385.19086133148</v>
      </c>
      <c r="BF43" s="70" t="n">
        <f aca="false">IF(AY43&gt;0,BE43*1000000/AY43/Economy!Q43,0)</f>
        <v>0.106733769558598</v>
      </c>
      <c r="BG43" s="47" t="n">
        <v>25500000</v>
      </c>
      <c r="BH43" s="47" t="n">
        <v>1520</v>
      </c>
      <c r="BI43" s="71" t="n">
        <v>0.093</v>
      </c>
      <c r="BJ43" s="49" t="n">
        <f aca="false">IF(BG43&gt;0,BH43*1000000/BG43,0)</f>
        <v>59.6078431372549</v>
      </c>
      <c r="BK43" s="67" t="n">
        <f aca="false">IF(AND(BI43&gt;0,BJ42&gt;0,B43&gt;0),MIN(conv_cap,conv_beta*1*BI43*MAX(0,LN(B43/(BJ42*BL42)))),0)</f>
        <v>0.00160946042894297</v>
      </c>
      <c r="BL43" s="68" t="n">
        <f aca="false">BL42*(1+BK43)</f>
        <v>1.01735090260237</v>
      </c>
      <c r="BM43" s="49" t="n">
        <f aca="false">BH43*BL43</f>
        <v>1546.3733719556</v>
      </c>
      <c r="BN43" s="70" t="n">
        <f aca="false">IF(BG43&gt;0,BM43*1000000/BG43/Economy!Q43,0)</f>
        <v>0.294379092319741</v>
      </c>
      <c r="BO43" s="47" t="n">
        <v>12900000</v>
      </c>
      <c r="BP43" s="47" t="n">
        <v>630</v>
      </c>
      <c r="BQ43" s="71" t="n">
        <v>0</v>
      </c>
      <c r="BR43" s="49" t="n">
        <f aca="false">IF(BO43&gt;0,BP43*1000000/BO43,0)</f>
        <v>48.8372093023256</v>
      </c>
      <c r="BS43" s="67" t="n">
        <f aca="false">IF(AND(BQ43&gt;0,BR42&gt;0,B43&gt;0),MIN(conv_cap,conv_beta*1*BQ43*MAX(0,LN(B43/(BR42*BT42)))),0)</f>
        <v>0</v>
      </c>
      <c r="BT43" s="68" t="n">
        <f aca="false">BT42*(1+BS43)</f>
        <v>1</v>
      </c>
      <c r="BU43" s="49" t="n">
        <f aca="false">BP43*BT43</f>
        <v>630</v>
      </c>
      <c r="BV43" s="70" t="n">
        <f aca="false">IF(BO43&gt;0,BU43*1000000/BO43/Economy!Q43,0)</f>
        <v>0.237073831564687</v>
      </c>
      <c r="BW43" s="68" t="n">
        <f aca="false">0.25*IF(D43&gt;0,H43,1)+0.15*IF(AJ43&gt;0,AN43,1)+0.03*IF(AR43&gt;0,AV43,1)+0.08*IF(AZ43&gt;0,BD43,1)+0.12*IF(BH43&gt;0,BL43,1)+0.1*IF(L43&gt;0,P43,1)+0.07*IF(T43&gt;0,X43,1)+0.05*IF(AB43&gt;0,AF43,1)+0.05*IF(BP43&gt;0,BT43,1)+0.1</f>
        <v>1.06377775851989</v>
      </c>
      <c r="BX43" s="66" t="n">
        <f aca="false">MIN(mkt_cap,mkt_elast*MAX(0,BW43-1))</f>
        <v>0.0318888792599461</v>
      </c>
      <c r="BY43" s="49" t="n">
        <f aca="false">I43+Q43+Y43+AG43</f>
        <v>865.357896606346</v>
      </c>
      <c r="BZ43" s="49" t="n">
        <f aca="false">D43+L43+T43+AB43</f>
        <v>743</v>
      </c>
      <c r="CA43" s="68" t="n">
        <f aca="false">IF(BZ43&gt;0,BY43/BZ43,0)</f>
        <v>1.16468088372321</v>
      </c>
    </row>
    <row r="44" customFormat="false" ht="14.25" hidden="false" customHeight="true" outlineLevel="0" collapsed="false">
      <c r="A44" s="61" t="n">
        <v>1884</v>
      </c>
      <c r="B44" s="49" t="n">
        <f aca="false">Economy!P43</f>
        <v>339.448093641483</v>
      </c>
      <c r="C44" s="47" t="n">
        <v>37960000</v>
      </c>
      <c r="D44" s="65" t="n">
        <f aca="false">Japan!B44</f>
        <v>640</v>
      </c>
      <c r="E44" s="71" t="n">
        <v>0.486</v>
      </c>
      <c r="F44" s="49" t="n">
        <f aca="false">IF(C44&gt;0,D44*1000000/C44,0)</f>
        <v>16.8598524762908</v>
      </c>
      <c r="G44" s="67" t="n">
        <f aca="false">IF(AND(E44&gt;0,F43&gt;0,B44&gt;0),MIN(conv_cap,conv_beta*jp_uplift*E44*MAX(0,LN(B44/(F43*H43)))),0)</f>
        <v>0.0138139731521376</v>
      </c>
      <c r="H44" s="68" t="n">
        <f aca="false">H43*(1+G44)</f>
        <v>1.19778638256926</v>
      </c>
      <c r="I44" s="49" t="n">
        <f aca="false">D44*H44</f>
        <v>766.583284844329</v>
      </c>
      <c r="J44" s="70" t="n">
        <f aca="false">IF(C44&gt;0,I44*1000000/C44/Economy!Q44,0)</f>
        <v>0.0980315616904264</v>
      </c>
      <c r="K44" s="65" t="n">
        <f aca="false">Gulf!B44</f>
        <v>0</v>
      </c>
      <c r="L44" s="49" t="n">
        <f aca="false">Gulf!B44*Gulf!C44*Economy!Q44/1000000</f>
        <v>0</v>
      </c>
      <c r="M44" s="71" t="n">
        <v>0</v>
      </c>
      <c r="N44" s="49" t="n">
        <f aca="false">IF(K44&gt;0,L44*1000000/K44,0)</f>
        <v>0</v>
      </c>
      <c r="O44" s="67" t="n">
        <f aca="false">IF(AND(M44&gt;0,N43&gt;0,B44&gt;0),MIN(conv_cap,conv_beta*1*M44*MAX(0,LN(B44/(N43*P43)))),0)</f>
        <v>0</v>
      </c>
      <c r="P44" s="68" t="n">
        <f aca="false">P43*(1+O44)</f>
        <v>1</v>
      </c>
      <c r="Q44" s="49" t="n">
        <f aca="false">L44*P44</f>
        <v>0</v>
      </c>
      <c r="R44" s="70" t="n">
        <f aca="false">IF(K44&gt;0,Q44*1000000/K44/Economy!Q44,0)</f>
        <v>0</v>
      </c>
      <c r="S44" s="65" t="n">
        <f aca="false">People!U44</f>
        <v>6436000</v>
      </c>
      <c r="T44" s="47" t="n">
        <v>115</v>
      </c>
      <c r="U44" s="71" t="n">
        <v>0.373</v>
      </c>
      <c r="V44" s="49" t="n">
        <f aca="false">IF(S44&gt;0,T44*1000000/S44,0)</f>
        <v>17.8682411435674</v>
      </c>
      <c r="W44" s="67" t="n">
        <f aca="false">IF(AND(U44&gt;0,V43&gt;0,B44&gt;0),MIN(conv_cap,conv_beta*1*U44*MAX(0,LN(B44/(V43*X43)))),0)</f>
        <v>0.0107600303141257</v>
      </c>
      <c r="X44" s="68" t="n">
        <f aca="false">X43*(1+W44)</f>
        <v>1.08262720156192</v>
      </c>
      <c r="Y44" s="49" t="n">
        <f aca="false">T44*X44</f>
        <v>124.502128179621</v>
      </c>
      <c r="Z44" s="70" t="n">
        <f aca="false">IF(S44&gt;0,Y44*1000000/S44/Economy!Q44,0)</f>
        <v>0.0939060383790969</v>
      </c>
      <c r="AA44" s="47" t="n">
        <v>0</v>
      </c>
      <c r="AB44" s="47" t="n">
        <v>0</v>
      </c>
      <c r="AC44" s="71" t="n">
        <v>0</v>
      </c>
      <c r="AD44" s="49" t="n">
        <f aca="false">IF(AA44&gt;0,AB44*1000000/AA44,0)</f>
        <v>0</v>
      </c>
      <c r="AE44" s="67" t="n">
        <f aca="false">IF(AND(AC44&gt;0,AD43&gt;0,B44&gt;0),MIN(conv_cap,conv_beta*1*AC44*MAX(0,LN(B44/(AD43*AF43)))),0)</f>
        <v>0</v>
      </c>
      <c r="AF44" s="68" t="n">
        <f aca="false">AF43*(1+AE44)</f>
        <v>1</v>
      </c>
      <c r="AG44" s="49" t="n">
        <f aca="false">AB44*AF44</f>
        <v>0</v>
      </c>
      <c r="AH44" s="70" t="n">
        <f aca="false">IF(AA44&gt;0,AG44*1000000/AA44/Economy!Q44,0)</f>
        <v>0</v>
      </c>
      <c r="AI44" s="47" t="n">
        <v>377600000</v>
      </c>
      <c r="AJ44" s="47" t="n">
        <v>3733</v>
      </c>
      <c r="AK44" s="71" t="n">
        <v>0.138</v>
      </c>
      <c r="AL44" s="49" t="n">
        <f aca="false">IF(AI44&gt;0,AJ44*1000000/AI44,0)</f>
        <v>9.88612288135593</v>
      </c>
      <c r="AM44" s="67" t="n">
        <f aca="false">IF(AND(AK44&gt;0,AL43&gt;0,B44&gt;0),MIN(conv_cap,conv_beta*1*AK44*MAX(0,LN(B44/(AL43*AN43)))),0)</f>
        <v>0.00478851652833297</v>
      </c>
      <c r="AN44" s="68" t="n">
        <f aca="false">AN43*(1+AM44)</f>
        <v>1.07423348071277</v>
      </c>
      <c r="AO44" s="49" t="n">
        <f aca="false">AJ44*AN44</f>
        <v>4010.11358350078</v>
      </c>
      <c r="AP44" s="70" t="n">
        <f aca="false">IF(AI44&gt;0,AO44*1000000/AI44/Economy!Q44,0)</f>
        <v>0.0515534184155008</v>
      </c>
      <c r="AQ44" s="47" t="n">
        <v>10930000</v>
      </c>
      <c r="AR44" s="47" t="n">
        <v>197</v>
      </c>
      <c r="AS44" s="71" t="n">
        <v>0.214</v>
      </c>
      <c r="AT44" s="49" t="n">
        <f aca="false">IF(AQ44&gt;0,AR44*1000000/AQ44,0)</f>
        <v>18.0237877401647</v>
      </c>
      <c r="AU44" s="67" t="n">
        <f aca="false">IF(AND(AS44&gt;0,AT43&gt;0,B44&gt;0),MIN(conv_cap,conv_beta*1*AS44*MAX(0,LN(B44/(AT43*AV43)))),0)</f>
        <v>0.00627835173308684</v>
      </c>
      <c r="AV44" s="68" t="n">
        <f aca="false">AV43*(1+AU44)</f>
        <v>1.02335562988924</v>
      </c>
      <c r="AW44" s="49" t="n">
        <f aca="false">AR44*AV44</f>
        <v>201.601059088181</v>
      </c>
      <c r="AX44" s="70" t="n">
        <f aca="false">IF(AQ44&gt;0,AW44*1000000/AQ44/Economy!Q44,0)</f>
        <v>0.0895375954166323</v>
      </c>
      <c r="AY44" s="47" t="n">
        <v>64000000</v>
      </c>
      <c r="AZ44" s="47" t="n">
        <v>1413</v>
      </c>
      <c r="BA44" s="71" t="n">
        <v>0.06</v>
      </c>
      <c r="BB44" s="49" t="n">
        <f aca="false">IF(AY44&gt;0,AZ44*1000000/AY44,0)</f>
        <v>22.078125</v>
      </c>
      <c r="BC44" s="67" t="n">
        <f aca="false">IF(AND(BA44&gt;0,BB43&gt;0,B44&gt;0),MIN(conv_cap,conv_beta*1*BA44*MAX(0,LN(B44/(BB43*BD43)))),0)</f>
        <v>0.00164211753357557</v>
      </c>
      <c r="BD44" s="68" t="n">
        <f aca="false">BD43*(1+BC44)</f>
        <v>1.00760022333495</v>
      </c>
      <c r="BE44" s="49" t="n">
        <f aca="false">AZ44*BD44</f>
        <v>1423.73911557228</v>
      </c>
      <c r="BF44" s="70" t="n">
        <f aca="false">IF(AY44&gt;0,BE44*1000000/AY44/Economy!Q44,0)</f>
        <v>0.107989920780664</v>
      </c>
      <c r="BG44" s="47" t="n">
        <v>25700000</v>
      </c>
      <c r="BH44" s="47" t="n">
        <v>1560</v>
      </c>
      <c r="BI44" s="71" t="n">
        <v>0.097</v>
      </c>
      <c r="BJ44" s="49" t="n">
        <f aca="false">IF(BG44&gt;0,BH44*1000000/BG44,0)</f>
        <v>60.7003891050584</v>
      </c>
      <c r="BK44" s="67" t="n">
        <f aca="false">IF(AND(BI44&gt;0,BJ43&gt;0,B44&gt;0),MIN(conv_cap,conv_beta*1*BI44*MAX(0,LN(B44/(BJ43*BL43)))),0)</f>
        <v>0.00167066183485055</v>
      </c>
      <c r="BL44" s="68" t="n">
        <f aca="false">BL43*(1+BK44)</f>
        <v>1.019050551928</v>
      </c>
      <c r="BM44" s="49" t="n">
        <f aca="false">BH44*BL44</f>
        <v>1589.71886100767</v>
      </c>
      <c r="BN44" s="70" t="n">
        <f aca="false">IF(BG44&gt;0,BM44*1000000/BG44/Economy!Q44,0)</f>
        <v>0.30027555834832</v>
      </c>
      <c r="BO44" s="47" t="n">
        <v>12900000</v>
      </c>
      <c r="BP44" s="47" t="n">
        <v>640</v>
      </c>
      <c r="BQ44" s="71" t="n">
        <v>0</v>
      </c>
      <c r="BR44" s="49" t="n">
        <f aca="false">IF(BO44&gt;0,BP44*1000000/BO44,0)</f>
        <v>49.6124031007752</v>
      </c>
      <c r="BS44" s="67" t="n">
        <f aca="false">IF(AND(BQ44&gt;0,BR43&gt;0,B44&gt;0),MIN(conv_cap,conv_beta*1*BQ44*MAX(0,LN(B44/(BR43*BT43)))),0)</f>
        <v>0</v>
      </c>
      <c r="BT44" s="68" t="n">
        <f aca="false">BT43*(1+BS44)</f>
        <v>1</v>
      </c>
      <c r="BU44" s="49" t="n">
        <f aca="false">BP44*BT44</f>
        <v>640</v>
      </c>
      <c r="BV44" s="70" t="n">
        <f aca="false">IF(BO44&gt;0,BU44*1000000/BO44/Economy!Q44,0)</f>
        <v>0.24083690825619</v>
      </c>
      <c r="BW44" s="68" t="n">
        <f aca="false">0.25*IF(D44&gt;0,H44,1)+0.15*IF(AJ44&gt;0,AN44,1)+0.03*IF(AR44&gt;0,AV44,1)+0.08*IF(AZ44&gt;0,BD44,1)+0.12*IF(BH44&gt;0,BL44,1)+0.1*IF(L44&gt;0,P44,1)+0.07*IF(T44&gt;0,X44,1)+0.05*IF(AB44&gt;0,AF44,1)+0.05*IF(BP44&gt;0,BT44,1)+0.1</f>
        <v>1.0699602748534</v>
      </c>
      <c r="BX44" s="66" t="n">
        <f aca="false">MIN(mkt_cap,mkt_elast*MAX(0,BW44-1))</f>
        <v>0.0349801374266994</v>
      </c>
      <c r="BY44" s="49" t="n">
        <f aca="false">I44+Q44+Y44+AG44</f>
        <v>891.08541302395</v>
      </c>
      <c r="BZ44" s="49" t="n">
        <f aca="false">D44+L44+T44+AB44</f>
        <v>755</v>
      </c>
      <c r="CA44" s="68" t="n">
        <f aca="false">IF(BZ44&gt;0,BY44/BZ44,0)</f>
        <v>1.18024558016417</v>
      </c>
    </row>
    <row r="45" customFormat="false" ht="14.25" hidden="false" customHeight="true" outlineLevel="0" collapsed="false">
      <c r="A45" s="61" t="n">
        <v>1885</v>
      </c>
      <c r="B45" s="49" t="n">
        <f aca="false">Economy!P44</f>
        <v>335.443648223759</v>
      </c>
      <c r="C45" s="47" t="n">
        <v>38300000</v>
      </c>
      <c r="D45" s="65" t="n">
        <f aca="false">Japan!B45</f>
        <v>650</v>
      </c>
      <c r="E45" s="71" t="n">
        <v>0.507</v>
      </c>
      <c r="F45" s="49" t="n">
        <f aca="false">IF(C45&gt;0,D45*1000000/C45,0)</f>
        <v>16.9712793733681</v>
      </c>
      <c r="G45" s="67" t="n">
        <f aca="false">IF(AND(E45&gt;0,F44&gt;0,B45&gt;0),MIN(conv_cap,conv_beta*jp_uplift*E45*MAX(0,LN(B45/(F44*H44)))),0)</f>
        <v>0.0142469210725067</v>
      </c>
      <c r="H45" s="68" t="n">
        <f aca="false">H44*(1+G45)</f>
        <v>1.21485115062345</v>
      </c>
      <c r="I45" s="49" t="n">
        <f aca="false">D45*H45</f>
        <v>789.653247905243</v>
      </c>
      <c r="J45" s="70" t="n">
        <f aca="false">IF(C45&gt;0,I45*1000000/C45/Economy!Q45,0)</f>
        <v>0.100573552557504</v>
      </c>
      <c r="K45" s="65" t="n">
        <f aca="false">Gulf!B45</f>
        <v>0</v>
      </c>
      <c r="L45" s="49" t="n">
        <f aca="false">Gulf!B45*Gulf!C45*Economy!Q45/1000000</f>
        <v>0</v>
      </c>
      <c r="M45" s="71" t="n">
        <v>0</v>
      </c>
      <c r="N45" s="49" t="n">
        <f aca="false">IF(K45&gt;0,L45*1000000/K45,0)</f>
        <v>0</v>
      </c>
      <c r="O45" s="67" t="n">
        <f aca="false">IF(AND(M45&gt;0,N44&gt;0,B45&gt;0),MIN(conv_cap,conv_beta*1*M45*MAX(0,LN(B45/(N44*P44)))),0)</f>
        <v>0</v>
      </c>
      <c r="P45" s="68" t="n">
        <f aca="false">P44*(1+O45)</f>
        <v>1</v>
      </c>
      <c r="Q45" s="49" t="n">
        <f aca="false">L45*P45</f>
        <v>0</v>
      </c>
      <c r="R45" s="70" t="n">
        <f aca="false">IF(K45&gt;0,Q45*1000000/K45/Economy!Q45,0)</f>
        <v>0</v>
      </c>
      <c r="S45" s="65" t="n">
        <f aca="false">People!U45</f>
        <v>6491000</v>
      </c>
      <c r="T45" s="47" t="n">
        <v>116</v>
      </c>
      <c r="U45" s="71" t="n">
        <v>0.382</v>
      </c>
      <c r="V45" s="49" t="n">
        <f aca="false">IF(S45&gt;0,T45*1000000/S45,0)</f>
        <v>17.8708981666923</v>
      </c>
      <c r="W45" s="67" t="n">
        <f aca="false">IF(AND(U45&gt;0,V44&gt;0,B45&gt;0),MIN(conv_cap,conv_beta*1*U45*MAX(0,LN(B45/(V44*X44)))),0)</f>
        <v>0.0108986066814983</v>
      </c>
      <c r="X45" s="68" t="n">
        <f aca="false">X44*(1+W45)</f>
        <v>1.09442632961443</v>
      </c>
      <c r="Y45" s="49" t="n">
        <f aca="false">T45*X45</f>
        <v>126.953454235274</v>
      </c>
      <c r="Z45" s="70" t="n">
        <f aca="false">IF(S45&gt;0,Y45*1000000/S45/Economy!Q45,0)</f>
        <v>0.0954067389633484</v>
      </c>
      <c r="AA45" s="47" t="n">
        <v>0</v>
      </c>
      <c r="AB45" s="47" t="n">
        <v>0</v>
      </c>
      <c r="AC45" s="71" t="n">
        <v>0</v>
      </c>
      <c r="AD45" s="49" t="n">
        <f aca="false">IF(AA45&gt;0,AB45*1000000/AA45,0)</f>
        <v>0</v>
      </c>
      <c r="AE45" s="67" t="n">
        <f aca="false">IF(AND(AC45&gt;0,AD44&gt;0,B45&gt;0),MIN(conv_cap,conv_beta*1*AC45*MAX(0,LN(B45/(AD44*AF44)))),0)</f>
        <v>0</v>
      </c>
      <c r="AF45" s="68" t="n">
        <f aca="false">AF44*(1+AE45)</f>
        <v>1</v>
      </c>
      <c r="AG45" s="49" t="n">
        <f aca="false">AB45*AF45</f>
        <v>0</v>
      </c>
      <c r="AH45" s="70" t="n">
        <f aca="false">IF(AA45&gt;0,AG45*1000000/AA45/Economy!Q45,0)</f>
        <v>0</v>
      </c>
      <c r="AI45" s="47" t="n">
        <v>379000000</v>
      </c>
      <c r="AJ45" s="47" t="n">
        <v>3750</v>
      </c>
      <c r="AK45" s="71" t="n">
        <v>0.142</v>
      </c>
      <c r="AL45" s="49" t="n">
        <f aca="false">IF(AI45&gt;0,AJ45*1000000/AI45,0)</f>
        <v>9.89445910290237</v>
      </c>
      <c r="AM45" s="67" t="n">
        <f aca="false">IF(AND(AK45&gt;0,AL44&gt;0,B45&gt;0),MIN(conv_cap,conv_beta*1*AK45*MAX(0,LN(B45/(AL44*AN44)))),0)</f>
        <v>0.00490285468662826</v>
      </c>
      <c r="AN45" s="68" t="n">
        <f aca="false">AN44*(1+AM45)</f>
        <v>1.07950029136822</v>
      </c>
      <c r="AO45" s="49" t="n">
        <f aca="false">AJ45*AN45</f>
        <v>4048.12609263081</v>
      </c>
      <c r="AP45" s="70" t="n">
        <f aca="false">IF(AI45&gt;0,AO45*1000000/AI45/Economy!Q45,0)</f>
        <v>0.0521027877293367</v>
      </c>
      <c r="AQ45" s="47" t="n">
        <v>11000000</v>
      </c>
      <c r="AR45" s="47" t="n">
        <v>200</v>
      </c>
      <c r="AS45" s="71" t="n">
        <v>0.243</v>
      </c>
      <c r="AT45" s="49" t="n">
        <f aca="false">IF(AQ45&gt;0,AR45*1000000/AQ45,0)</f>
        <v>18.1818181818182</v>
      </c>
      <c r="AU45" s="67" t="n">
        <f aca="false">IF(AND(AS45&gt;0,AT44&gt;0,B45&gt;0),MIN(conv_cap,conv_beta*1*AS45*MAX(0,LN(B45/(AT44*AV44)))),0)</f>
        <v>0.00704863901393231</v>
      </c>
      <c r="AV45" s="68" t="n">
        <f aca="false">AV44*(1+AU45)</f>
        <v>1.03056889430721</v>
      </c>
      <c r="AW45" s="49" t="n">
        <f aca="false">AR45*AV45</f>
        <v>206.113778861442</v>
      </c>
      <c r="AX45" s="70" t="n">
        <f aca="false">IF(AQ45&gt;0,AW45*1000000/AQ45/Economy!Q45,0)</f>
        <v>0.0914030061469808</v>
      </c>
      <c r="AY45" s="47" t="n">
        <v>65000000</v>
      </c>
      <c r="AZ45" s="47" t="n">
        <v>1450</v>
      </c>
      <c r="BA45" s="71" t="n">
        <v>0.062</v>
      </c>
      <c r="BB45" s="49" t="n">
        <f aca="false">IF(AY45&gt;0,AZ45*1000000/AY45,0)</f>
        <v>22.3076923076923</v>
      </c>
      <c r="BC45" s="67" t="n">
        <f aca="false">IF(AND(BA45&gt;0,BB44&gt;0,B45&gt;0),MIN(conv_cap,conv_beta*1*BA45*MAX(0,LN(B45/(BB44*BD44)))),0)</f>
        <v>0.00168224301920565</v>
      </c>
      <c r="BD45" s="68" t="n">
        <f aca="false">BD44*(1+BC45)</f>
        <v>1.0092952517768</v>
      </c>
      <c r="BE45" s="49" t="n">
        <f aca="false">AZ45*BD45</f>
        <v>1463.47811507636</v>
      </c>
      <c r="BF45" s="70" t="n">
        <f aca="false">IF(AY45&gt;0,BE45*1000000/AY45/Economy!Q45,0)</f>
        <v>0.109829502069521</v>
      </c>
      <c r="BG45" s="47" t="n">
        <v>26000000</v>
      </c>
      <c r="BH45" s="47" t="n">
        <v>1600</v>
      </c>
      <c r="BI45" s="71" t="n">
        <v>0.1</v>
      </c>
      <c r="BJ45" s="49" t="n">
        <f aca="false">IF(BG45&gt;0,BH45*1000000/BG45,0)</f>
        <v>61.5384615384615</v>
      </c>
      <c r="BK45" s="67" t="n">
        <f aca="false">IF(AND(BI45&gt;0,BJ44&gt;0,B45&gt;0),MIN(conv_cap,conv_beta*1*BI45*MAX(0,LN(B45/(BJ44*BL44)))),0)</f>
        <v>0.0016906325080359</v>
      </c>
      <c r="BL45" s="68" t="n">
        <f aca="false">BL44*(1+BK45)</f>
        <v>1.02077339191842</v>
      </c>
      <c r="BM45" s="49" t="n">
        <f aca="false">BH45*BL45</f>
        <v>1633.23742706947</v>
      </c>
      <c r="BN45" s="70" t="n">
        <f aca="false">IF(BG45&gt;0,BM45*1000000/BG45/Economy!Q45,0)</f>
        <v>0.306423532283202</v>
      </c>
      <c r="BO45" s="47" t="n">
        <v>13000000</v>
      </c>
      <c r="BP45" s="47" t="n">
        <v>650</v>
      </c>
      <c r="BQ45" s="71" t="n">
        <v>0</v>
      </c>
      <c r="BR45" s="49" t="n">
        <f aca="false">IF(BO45&gt;0,BP45*1000000/BO45,0)</f>
        <v>50</v>
      </c>
      <c r="BS45" s="67" t="n">
        <f aca="false">IF(AND(BQ45&gt;0,BR44&gt;0,B45&gt;0),MIN(conv_cap,conv_beta*1*BQ45*MAX(0,LN(B45/(BR44*BT44)))),0)</f>
        <v>0</v>
      </c>
      <c r="BT45" s="68" t="n">
        <f aca="false">BT44*(1+BS45)</f>
        <v>1</v>
      </c>
      <c r="BU45" s="49" t="n">
        <f aca="false">BP45*BT45</f>
        <v>650</v>
      </c>
      <c r="BV45" s="70" t="n">
        <f aca="false">IF(BO45&gt;0,BU45*1000000/BO45/Economy!Q45,0)</f>
        <v>0.24390243902439</v>
      </c>
      <c r="BW45" s="68" t="n">
        <f aca="false">0.25*IF(D45&gt;0,H45,1)+0.15*IF(AJ45&gt;0,AN45,1)+0.03*IF(AR45&gt;0,AV45,1)+0.08*IF(AZ45&gt;0,BD45,1)+0.12*IF(BH45&gt;0,BL45,1)+0.1*IF(L45&gt;0,P45,1)+0.07*IF(T45&gt;0,X45,1)+0.05*IF(AB45&gt;0,AF45,1)+0.05*IF(BP45&gt;0,BT45,1)+0.1</f>
        <v>1.07640116843568</v>
      </c>
      <c r="BX45" s="66" t="n">
        <f aca="false">MIN(mkt_cap,mkt_elast*MAX(0,BW45-1))</f>
        <v>0.0382005842178381</v>
      </c>
      <c r="BY45" s="49" t="n">
        <f aca="false">I45+Q45+Y45+AG45</f>
        <v>916.606702140518</v>
      </c>
      <c r="BZ45" s="49" t="n">
        <f aca="false">D45+L45+T45+AB45</f>
        <v>766</v>
      </c>
      <c r="CA45" s="68" t="n">
        <f aca="false">IF(BZ45&gt;0,BY45/BZ45,0)</f>
        <v>1.19661449365603</v>
      </c>
    </row>
    <row r="46" customFormat="false" ht="14.25" hidden="false" customHeight="true" outlineLevel="0" collapsed="false">
      <c r="A46" s="61" t="n">
        <v>1886</v>
      </c>
      <c r="B46" s="49" t="n">
        <f aca="false">Economy!P45</f>
        <v>338.724155905116</v>
      </c>
      <c r="C46" s="47" t="n">
        <v>38640000</v>
      </c>
      <c r="D46" s="65" t="n">
        <f aca="false">Japan!B46</f>
        <v>680</v>
      </c>
      <c r="E46" s="71" t="n">
        <v>0.529</v>
      </c>
      <c r="F46" s="49" t="n">
        <f aca="false">IF(C46&gt;0,D46*1000000/C46,0)</f>
        <v>17.5983436853002</v>
      </c>
      <c r="G46" s="67" t="n">
        <f aca="false">IF(AND(E46&gt;0,F45&gt;0,B46&gt;0),MIN(conv_cap,conv_beta*jp_uplift*E46*MAX(0,LN(B46/(F45*H45)))),0)</f>
        <v>0.0148069324473394</v>
      </c>
      <c r="H46" s="68" t="n">
        <f aca="false">H45*(1+G46)</f>
        <v>1.23283936954431</v>
      </c>
      <c r="I46" s="49" t="n">
        <f aca="false">D46*H46</f>
        <v>838.330771290128</v>
      </c>
      <c r="J46" s="70" t="n">
        <f aca="false">IF(C46&gt;0,I46*1000000/C46/Economy!Q46,0)</f>
        <v>0.105320053077716</v>
      </c>
      <c r="K46" s="65" t="n">
        <f aca="false">Gulf!B46</f>
        <v>0</v>
      </c>
      <c r="L46" s="49" t="n">
        <f aca="false">Gulf!B46*Gulf!C46*Economy!Q46/1000000</f>
        <v>0</v>
      </c>
      <c r="M46" s="71" t="n">
        <v>0</v>
      </c>
      <c r="N46" s="49" t="n">
        <f aca="false">IF(K46&gt;0,L46*1000000/K46,0)</f>
        <v>0</v>
      </c>
      <c r="O46" s="67" t="n">
        <f aca="false">IF(AND(M46&gt;0,N45&gt;0,B46&gt;0),MIN(conv_cap,conv_beta*1*M46*MAX(0,LN(B46/(N45*P45)))),0)</f>
        <v>0</v>
      </c>
      <c r="P46" s="68" t="n">
        <f aca="false">P45*(1+O46)</f>
        <v>1</v>
      </c>
      <c r="Q46" s="49" t="n">
        <f aca="false">L46*P46</f>
        <v>0</v>
      </c>
      <c r="R46" s="70" t="n">
        <f aca="false">IF(K46&gt;0,Q46*1000000/K46/Economy!Q46,0)</f>
        <v>0</v>
      </c>
      <c r="S46" s="65" t="n">
        <f aca="false">People!U46</f>
        <v>6545000</v>
      </c>
      <c r="T46" s="47" t="n">
        <v>118</v>
      </c>
      <c r="U46" s="71" t="n">
        <v>0.431</v>
      </c>
      <c r="V46" s="49" t="n">
        <f aca="false">IF(S46&gt;0,T46*1000000/S46,0)</f>
        <v>18.0290297937357</v>
      </c>
      <c r="W46" s="67" t="n">
        <f aca="false">IF(AND(U46&gt;0,V45&gt;0,B46&gt;0),MIN(conv_cap,conv_beta*1*U46*MAX(0,LN(B46/(V45*X45)))),0)</f>
        <v>0.0122911811165303</v>
      </c>
      <c r="X46" s="68" t="n">
        <f aca="false">X45*(1+W46)</f>
        <v>1.10787812185042</v>
      </c>
      <c r="Y46" s="49" t="n">
        <f aca="false">T46*X46</f>
        <v>130.72961837835</v>
      </c>
      <c r="Z46" s="70" t="n">
        <f aca="false">IF(S46&gt;0,Y46*1000000/S46/Economy!Q46,0)</f>
        <v>0.0969610080906273</v>
      </c>
      <c r="AA46" s="47" t="n">
        <v>0</v>
      </c>
      <c r="AB46" s="47" t="n">
        <v>0</v>
      </c>
      <c r="AC46" s="71" t="n">
        <v>0</v>
      </c>
      <c r="AD46" s="49" t="n">
        <f aca="false">IF(AA46&gt;0,AB46*1000000/AA46,0)</f>
        <v>0</v>
      </c>
      <c r="AE46" s="67" t="n">
        <f aca="false">IF(AND(AC46&gt;0,AD45&gt;0,B46&gt;0),MIN(conv_cap,conv_beta*1*AC46*MAX(0,LN(B46/(AD45*AF45)))),0)</f>
        <v>0</v>
      </c>
      <c r="AF46" s="68" t="n">
        <f aca="false">AF45*(1+AE46)</f>
        <v>1</v>
      </c>
      <c r="AG46" s="49" t="n">
        <f aca="false">AB46*AF46</f>
        <v>0</v>
      </c>
      <c r="AH46" s="70" t="n">
        <f aca="false">IF(AA46&gt;0,AG46*1000000/AA46/Economy!Q46,0)</f>
        <v>0</v>
      </c>
      <c r="AI46" s="47" t="n">
        <v>380400000</v>
      </c>
      <c r="AJ46" s="47" t="n">
        <v>3767</v>
      </c>
      <c r="AK46" s="71" t="n">
        <v>0.146</v>
      </c>
      <c r="AL46" s="49" t="n">
        <f aca="false">IF(AI46&gt;0,AJ46*1000000/AI46,0)</f>
        <v>9.90273396424816</v>
      </c>
      <c r="AM46" s="67" t="n">
        <f aca="false">IF(AND(AK46&gt;0,AL45&gt;0,B46&gt;0),MIN(conv_cap,conv_beta*1*AK46*MAX(0,LN(B46/(AL45*AN45)))),0)</f>
        <v>0.00504680086610161</v>
      </c>
      <c r="AN46" s="68" t="n">
        <f aca="false">AN45*(1+AM46)</f>
        <v>1.08494831437365</v>
      </c>
      <c r="AO46" s="49" t="n">
        <f aca="false">AJ46*AN46</f>
        <v>4087.00030024554</v>
      </c>
      <c r="AP46" s="70" t="n">
        <f aca="false">IF(AI46&gt;0,AO46*1000000/AI46/Economy!Q46,0)</f>
        <v>0.0521551190398143</v>
      </c>
      <c r="AQ46" s="47" t="n">
        <v>11070000</v>
      </c>
      <c r="AR46" s="47" t="n">
        <v>203</v>
      </c>
      <c r="AS46" s="71" t="n">
        <v>0.271</v>
      </c>
      <c r="AT46" s="49" t="n">
        <f aca="false">IF(AQ46&gt;0,AR46*1000000/AQ46,0)</f>
        <v>18.3378500451671</v>
      </c>
      <c r="AU46" s="67" t="n">
        <f aca="false">IF(AND(AS46&gt;0,AT45&gt;0,B46&gt;0),MIN(conv_cap,conv_beta*1*AS46*MAX(0,LN(B46/(AT45*AV45)))),0)</f>
        <v>0.00784450965348547</v>
      </c>
      <c r="AV46" s="68" t="n">
        <f aca="false">AV45*(1+AU46)</f>
        <v>1.03865320194718</v>
      </c>
      <c r="AW46" s="49" t="n">
        <f aca="false">AR46*AV46</f>
        <v>210.846599995278</v>
      </c>
      <c r="AX46" s="70" t="n">
        <f aca="false">IF(AQ46&gt;0,AW46*1000000/AQ46/Economy!Q46,0)</f>
        <v>0.0924595469234957</v>
      </c>
      <c r="AY46" s="47" t="n">
        <v>66000000</v>
      </c>
      <c r="AZ46" s="47" t="n">
        <v>1487</v>
      </c>
      <c r="BA46" s="71" t="n">
        <v>0.065</v>
      </c>
      <c r="BB46" s="49" t="n">
        <f aca="false">IF(AY46&gt;0,AZ46*1000000/AY46,0)</f>
        <v>22.530303030303</v>
      </c>
      <c r="BC46" s="67" t="n">
        <f aca="false">IF(AND(BA46&gt;0,BB45&gt;0,B46&gt;0),MIN(conv_cap,conv_beta*1*BA46*MAX(0,LN(B46/(BB45*BD45)))),0)</f>
        <v>0.00176215142639477</v>
      </c>
      <c r="BD46" s="68" t="n">
        <f aca="false">BD45*(1+BC46)</f>
        <v>1.01107378284437</v>
      </c>
      <c r="BE46" s="49" t="n">
        <f aca="false">AZ46*BD46</f>
        <v>1503.46671508958</v>
      </c>
      <c r="BF46" s="70" t="n">
        <f aca="false">IF(AY46&gt;0,BE46*1000000/AY46/Economy!Q46,0)</f>
        <v>0.110581547152808</v>
      </c>
      <c r="BG46" s="47" t="n">
        <v>26300000</v>
      </c>
      <c r="BH46" s="47" t="n">
        <v>1640</v>
      </c>
      <c r="BI46" s="71" t="n">
        <v>0.106</v>
      </c>
      <c r="BJ46" s="49" t="n">
        <f aca="false">IF(BG46&gt;0,BH46*1000000/BG46,0)</f>
        <v>62.3574144486692</v>
      </c>
      <c r="BK46" s="67" t="n">
        <f aca="false">IF(AND(BI46&gt;0,BJ45&gt;0,B46&gt;0),MIN(conv_cap,conv_beta*1*BI46*MAX(0,LN(B46/(BJ45*BL45)))),0)</f>
        <v>0.00178606092753933</v>
      </c>
      <c r="BL46" s="68" t="n">
        <f aca="false">BL45*(1+BK46)</f>
        <v>1.02259655538959</v>
      </c>
      <c r="BM46" s="49" t="n">
        <f aca="false">BH46*BL46</f>
        <v>1677.05835083893</v>
      </c>
      <c r="BN46" s="70" t="n">
        <f aca="false">IF(BG46&gt;0,BM46*1000000/BG46/Economy!Q46,0)</f>
        <v>0.309546005913643</v>
      </c>
      <c r="BO46" s="47" t="n">
        <v>13100000</v>
      </c>
      <c r="BP46" s="47" t="n">
        <v>660</v>
      </c>
      <c r="BQ46" s="71" t="n">
        <v>0</v>
      </c>
      <c r="BR46" s="49" t="n">
        <f aca="false">IF(BO46&gt;0,BP46*1000000/BO46,0)</f>
        <v>50.381679389313</v>
      </c>
      <c r="BS46" s="67" t="n">
        <f aca="false">IF(AND(BQ46&gt;0,BR45&gt;0,B46&gt;0),MIN(conv_cap,conv_beta*1*BQ46*MAX(0,LN(B46/(BR45*BT45)))),0)</f>
        <v>0</v>
      </c>
      <c r="BT46" s="68" t="n">
        <f aca="false">BT45*(1+BS46)</f>
        <v>1</v>
      </c>
      <c r="BU46" s="49" t="n">
        <f aca="false">BP46*BT46</f>
        <v>660</v>
      </c>
      <c r="BV46" s="70" t="n">
        <f aca="false">IF(BO46&gt;0,BU46*1000000/BO46/Economy!Q46,0)</f>
        <v>0.244571259171422</v>
      </c>
      <c r="BW46" s="68" t="n">
        <f aca="false">0.25*IF(D46&gt;0,H46,1)+0.15*IF(AJ46&gt;0,AN46,1)+0.03*IF(AR46&gt;0,AV46,1)+0.08*IF(AZ46&gt;0,BD46,1)+0.12*IF(BH46&gt;0,BL46,1)+0.1*IF(L46&gt;0,P46,1)+0.07*IF(T46&gt;0,X46,1)+0.05*IF(AB46&gt;0,AF46,1)+0.05*IF(BP46&gt;0,BT46,1)+0.1</f>
        <v>1.08326064340437</v>
      </c>
      <c r="BX46" s="66" t="n">
        <f aca="false">MIN(mkt_cap,mkt_elast*MAX(0,BW46-1))</f>
        <v>0.0416303217021853</v>
      </c>
      <c r="BY46" s="49" t="n">
        <f aca="false">I46+Q46+Y46+AG46</f>
        <v>969.060389668478</v>
      </c>
      <c r="BZ46" s="49" t="n">
        <f aca="false">D46+L46+T46+AB46</f>
        <v>798</v>
      </c>
      <c r="CA46" s="68" t="n">
        <f aca="false">IF(BZ46&gt;0,BY46/BZ46,0)</f>
        <v>1.214361390562</v>
      </c>
    </row>
    <row r="47" customFormat="false" ht="14.25" hidden="false" customHeight="true" outlineLevel="0" collapsed="false">
      <c r="A47" s="61" t="n">
        <v>1887</v>
      </c>
      <c r="B47" s="49" t="n">
        <f aca="false">Economy!P46</f>
        <v>353.290341499908</v>
      </c>
      <c r="C47" s="47" t="n">
        <v>38980000</v>
      </c>
      <c r="D47" s="65" t="n">
        <f aca="false">Japan!B47</f>
        <v>710</v>
      </c>
      <c r="E47" s="71" t="n">
        <v>0.55</v>
      </c>
      <c r="F47" s="49" t="n">
        <f aca="false">IF(C47&gt;0,D47*1000000/C47,0)</f>
        <v>18.2144689584402</v>
      </c>
      <c r="G47" s="67" t="n">
        <f aca="false">IF(AND(E47&gt;0,F46&gt;0,B47&gt;0),MIN(conv_cap,conv_beta*jp_uplift*E47*MAX(0,LN(B47/(F46*H46)))),0)</f>
        <v>0.0153459101819823</v>
      </c>
      <c r="H47" s="68" t="n">
        <f aca="false">H46*(1+G47)</f>
        <v>1.25175841177814</v>
      </c>
      <c r="I47" s="49" t="n">
        <f aca="false">D47*H47</f>
        <v>888.748472362482</v>
      </c>
      <c r="J47" s="70" t="n">
        <f aca="false">IF(C47&gt;0,I47*1000000/C47/Economy!Q47,0)</f>
        <v>0.110680168615531</v>
      </c>
      <c r="K47" s="65" t="n">
        <f aca="false">Gulf!B47</f>
        <v>0</v>
      </c>
      <c r="L47" s="49" t="n">
        <f aca="false">Gulf!B47*Gulf!C47*Economy!Q47/1000000</f>
        <v>0</v>
      </c>
      <c r="M47" s="71" t="n">
        <v>0</v>
      </c>
      <c r="N47" s="49" t="n">
        <f aca="false">IF(K47&gt;0,L47*1000000/K47,0)</f>
        <v>0</v>
      </c>
      <c r="O47" s="67" t="n">
        <f aca="false">IF(AND(M47&gt;0,N46&gt;0,B47&gt;0),MIN(conv_cap,conv_beta*1*M47*MAX(0,LN(B47/(N46*P46)))),0)</f>
        <v>0</v>
      </c>
      <c r="P47" s="68" t="n">
        <f aca="false">P46*(1+O47)</f>
        <v>1</v>
      </c>
      <c r="Q47" s="49" t="n">
        <f aca="false">L47*P47</f>
        <v>0</v>
      </c>
      <c r="R47" s="70" t="n">
        <f aca="false">IF(K47&gt;0,Q47*1000000/K47/Economy!Q47,0)</f>
        <v>0</v>
      </c>
      <c r="S47" s="65" t="n">
        <f aca="false">People!U47</f>
        <v>6600000</v>
      </c>
      <c r="T47" s="47" t="n">
        <v>120</v>
      </c>
      <c r="U47" s="71" t="n">
        <v>0.44</v>
      </c>
      <c r="V47" s="49" t="n">
        <f aca="false">IF(S47&gt;0,T47*1000000/S47,0)</f>
        <v>18.1818181818182</v>
      </c>
      <c r="W47" s="67" t="n">
        <f aca="false">IF(AND(U47&gt;0,V46&gt;0,B47&gt;0),MIN(conv_cap,conv_beta*1*U47*MAX(0,LN(B47/(V46*X46)))),0)</f>
        <v>0.0126405857907386</v>
      </c>
      <c r="X47" s="68" t="n">
        <f aca="false">X46*(1+W47)</f>
        <v>1.12188235029536</v>
      </c>
      <c r="Y47" s="49" t="n">
        <f aca="false">T47*X47</f>
        <v>134.625882035443</v>
      </c>
      <c r="Z47" s="70" t="n">
        <f aca="false">IF(S47&gt;0,Y47*1000000/S47/Economy!Q47,0)</f>
        <v>0.0990187423032089</v>
      </c>
      <c r="AA47" s="47" t="n">
        <v>0</v>
      </c>
      <c r="AB47" s="47" t="n">
        <v>0</v>
      </c>
      <c r="AC47" s="71" t="n">
        <v>0</v>
      </c>
      <c r="AD47" s="49" t="n">
        <f aca="false">IF(AA47&gt;0,AB47*1000000/AA47,0)</f>
        <v>0</v>
      </c>
      <c r="AE47" s="67" t="n">
        <f aca="false">IF(AND(AC47&gt;0,AD46&gt;0,B47&gt;0),MIN(conv_cap,conv_beta*1*AC47*MAX(0,LN(B47/(AD46*AF46)))),0)</f>
        <v>0</v>
      </c>
      <c r="AF47" s="68" t="n">
        <f aca="false">AF46*(1+AE47)</f>
        <v>1</v>
      </c>
      <c r="AG47" s="49" t="n">
        <f aca="false">AB47*AF47</f>
        <v>0</v>
      </c>
      <c r="AH47" s="70" t="n">
        <f aca="false">IF(AA47&gt;0,AG47*1000000/AA47/Economy!Q47,0)</f>
        <v>0</v>
      </c>
      <c r="AI47" s="47" t="n">
        <v>381800000</v>
      </c>
      <c r="AJ47" s="47" t="n">
        <v>3783</v>
      </c>
      <c r="AK47" s="71" t="n">
        <v>0.15</v>
      </c>
      <c r="AL47" s="49" t="n">
        <f aca="false">IF(AI47&gt;0,AJ47*1000000/AI47,0)</f>
        <v>9.9083289680461</v>
      </c>
      <c r="AM47" s="67" t="n">
        <f aca="false">IF(AND(AK47&gt;0,AL46&gt;0,B47&gt;0),MIN(conv_cap,conv_beta*1*AK47*MAX(0,LN(B47/(AL46*AN46)))),0)</f>
        <v>0.00523942048451722</v>
      </c>
      <c r="AN47" s="68" t="n">
        <f aca="false">AN46*(1+AM47)</f>
        <v>1.09063281479662</v>
      </c>
      <c r="AO47" s="49" t="n">
        <f aca="false">AJ47*AN47</f>
        <v>4125.86393837562</v>
      </c>
      <c r="AP47" s="70" t="n">
        <f aca="false">IF(AI47&gt;0,AO47*1000000/AI47/Economy!Q47,0)</f>
        <v>0.0524580034580147</v>
      </c>
      <c r="AQ47" s="47" t="n">
        <v>11130000</v>
      </c>
      <c r="AR47" s="47" t="n">
        <v>207</v>
      </c>
      <c r="AS47" s="71" t="n">
        <v>0.3</v>
      </c>
      <c r="AT47" s="49" t="n">
        <f aca="false">IF(AQ47&gt;0,AR47*1000000/AQ47,0)</f>
        <v>18.5983827493261</v>
      </c>
      <c r="AU47" s="67" t="n">
        <f aca="false">IF(AND(AS47&gt;0,AT46&gt;0,B47&gt;0),MIN(conv_cap,conv_beta*1*AS47*MAX(0,LN(B47/(AT46*AV46)))),0)</f>
        <v>0.00876119432376785</v>
      </c>
      <c r="AV47" s="68" t="n">
        <f aca="false">AV46*(1+AU47)</f>
        <v>1.04775304448445</v>
      </c>
      <c r="AW47" s="49" t="n">
        <f aca="false">AR47*AV47</f>
        <v>216.88488020828</v>
      </c>
      <c r="AX47" s="70" t="n">
        <f aca="false">IF(AQ47&gt;0,AW47*1000000/AQ47/Economy!Q47,0)</f>
        <v>0.0945947191655023</v>
      </c>
      <c r="AY47" s="47" t="n">
        <v>67000000</v>
      </c>
      <c r="AZ47" s="47" t="n">
        <v>1523</v>
      </c>
      <c r="BA47" s="71" t="n">
        <v>0.068</v>
      </c>
      <c r="BB47" s="49" t="n">
        <f aca="false">IF(AY47&gt;0,AZ47*1000000/AY47,0)</f>
        <v>22.7313432835821</v>
      </c>
      <c r="BC47" s="67" t="n">
        <f aca="false">IF(AND(BA47&gt;0,BB46&gt;0,B47&gt;0),MIN(conv_cap,conv_beta*1*BA47*MAX(0,LN(B47/(BB46*BD46)))),0)</f>
        <v>0.0018641629440301</v>
      </c>
      <c r="BD47" s="68" t="n">
        <f aca="false">BD46*(1+BC47)</f>
        <v>1.01295858912403</v>
      </c>
      <c r="BE47" s="49" t="n">
        <f aca="false">AZ47*BD47</f>
        <v>1542.7359312359</v>
      </c>
      <c r="BF47" s="70" t="n">
        <f aca="false">IF(AY47&gt;0,BE47*1000000/AY47/Economy!Q47,0)</f>
        <v>0.111776259327337</v>
      </c>
      <c r="BG47" s="47" t="n">
        <v>26500000</v>
      </c>
      <c r="BH47" s="47" t="n">
        <v>1680</v>
      </c>
      <c r="BI47" s="71" t="n">
        <v>0.113</v>
      </c>
      <c r="BJ47" s="49" t="n">
        <f aca="false">IF(BG47&gt;0,BH47*1000000/BG47,0)</f>
        <v>63.3962264150943</v>
      </c>
      <c r="BK47" s="67" t="n">
        <f aca="false">IF(AND(BI47&gt;0,BJ46&gt;0,B47&gt;0),MIN(conv_cap,conv_beta*1*BI47*MAX(0,LN(B47/(BJ46*BL46)))),0)</f>
        <v>0.00193463073712405</v>
      </c>
      <c r="BL47" s="68" t="n">
        <f aca="false">BL46*(1+BK47)</f>
        <v>1.02457490211733</v>
      </c>
      <c r="BM47" s="49" t="n">
        <f aca="false">BH47*BL47</f>
        <v>1721.28583555711</v>
      </c>
      <c r="BN47" s="70" t="n">
        <f aca="false">IF(BG47&gt;0,BM47*1000000/BG47/Economy!Q47,0)</f>
        <v>0.315311565407055</v>
      </c>
      <c r="BO47" s="47" t="n">
        <v>13100000</v>
      </c>
      <c r="BP47" s="47" t="n">
        <v>670</v>
      </c>
      <c r="BQ47" s="71" t="n">
        <v>0</v>
      </c>
      <c r="BR47" s="49" t="n">
        <f aca="false">IF(BO47&gt;0,BP47*1000000/BO47,0)</f>
        <v>51.1450381679389</v>
      </c>
      <c r="BS47" s="67" t="n">
        <f aca="false">IF(AND(BQ47&gt;0,BR46&gt;0,B47&gt;0),MIN(conv_cap,conv_beta*1*BQ47*MAX(0,LN(B47/(BR46*BT46)))),0)</f>
        <v>0</v>
      </c>
      <c r="BT47" s="68" t="n">
        <f aca="false">BT46*(1+BS47)</f>
        <v>1</v>
      </c>
      <c r="BU47" s="49" t="n">
        <f aca="false">BP47*BT47</f>
        <v>670</v>
      </c>
      <c r="BV47" s="70" t="n">
        <f aca="false">IF(BO47&gt;0,BU47*1000000/BO47/Economy!Q47,0)</f>
        <v>0.248276884310383</v>
      </c>
      <c r="BW47" s="68" t="n">
        <f aca="false">0.25*IF(D47&gt;0,H47,1)+0.15*IF(AJ47&gt;0,AN47,1)+0.03*IF(AR47&gt;0,AV47,1)+0.08*IF(AZ47&gt;0,BD47,1)+0.12*IF(BH47&gt;0,BL47,1)+0.1*IF(L47&gt;0,P47,1)+0.07*IF(T47&gt;0,X47,1)+0.05*IF(AB47&gt;0,AF47,1)+0.05*IF(BP47&gt;0,BT47,1)+0.1</f>
        <v>1.09048455640324</v>
      </c>
      <c r="BX47" s="66" t="n">
        <f aca="false">MIN(mkt_cap,mkt_elast*MAX(0,BW47-1))</f>
        <v>0.04524227820162</v>
      </c>
      <c r="BY47" s="49" t="n">
        <f aca="false">I47+Q47+Y47+AG47</f>
        <v>1023.37435439793</v>
      </c>
      <c r="BZ47" s="49" t="n">
        <f aca="false">D47+L47+T47+AB47</f>
        <v>830</v>
      </c>
      <c r="CA47" s="68" t="n">
        <f aca="false">IF(BZ47&gt;0,BY47/BZ47,0)</f>
        <v>1.23298114987702</v>
      </c>
    </row>
    <row r="48" customFormat="false" ht="14.25" hidden="false" customHeight="true" outlineLevel="0" collapsed="false">
      <c r="A48" s="61" t="n">
        <v>1888</v>
      </c>
      <c r="B48" s="49" t="n">
        <f aca="false">Economy!P47</f>
        <v>361.34373274352</v>
      </c>
      <c r="C48" s="47" t="n">
        <v>39320000</v>
      </c>
      <c r="D48" s="65" t="n">
        <f aca="false">Japan!B48</f>
        <v>740</v>
      </c>
      <c r="E48" s="71" t="n">
        <v>0.562</v>
      </c>
      <c r="F48" s="49" t="n">
        <f aca="false">IF(C48&gt;0,D48*1000000/C48,0)</f>
        <v>18.8199389623601</v>
      </c>
      <c r="G48" s="67" t="n">
        <f aca="false">IF(AND(E48&gt;0,F47&gt;0,B48&gt;0),MIN(conv_cap,conv_beta*jp_uplift*E48*MAX(0,LN(B48/(F47*H47)))),0)</f>
        <v>0.0155284202723314</v>
      </c>
      <c r="H48" s="68" t="n">
        <f aca="false">H47*(1+G48)</f>
        <v>1.27119624247566</v>
      </c>
      <c r="I48" s="49" t="n">
        <f aca="false">D48*H48</f>
        <v>940.685219431989</v>
      </c>
      <c r="J48" s="70" t="n">
        <f aca="false">IF(C48&gt;0,I48*1000000/C48/Economy!Q48,0)</f>
        <v>0.115574085471369</v>
      </c>
      <c r="K48" s="65" t="n">
        <f aca="false">Gulf!B48</f>
        <v>0</v>
      </c>
      <c r="L48" s="49" t="n">
        <f aca="false">Gulf!B48*Gulf!C48*Economy!Q48/1000000</f>
        <v>0</v>
      </c>
      <c r="M48" s="71" t="n">
        <v>0</v>
      </c>
      <c r="N48" s="49" t="n">
        <f aca="false">IF(K48&gt;0,L48*1000000/K48,0)</f>
        <v>0</v>
      </c>
      <c r="O48" s="67" t="n">
        <f aca="false">IF(AND(M48&gt;0,N47&gt;0,B48&gt;0),MIN(conv_cap,conv_beta*1*M48*MAX(0,LN(B48/(N47*P47)))),0)</f>
        <v>0</v>
      </c>
      <c r="P48" s="68" t="n">
        <f aca="false">P47*(1+O48)</f>
        <v>1</v>
      </c>
      <c r="Q48" s="49" t="n">
        <f aca="false">L48*P48</f>
        <v>0</v>
      </c>
      <c r="R48" s="70" t="n">
        <f aca="false">IF(K48&gt;0,Q48*1000000/K48/Economy!Q48,0)</f>
        <v>0</v>
      </c>
      <c r="S48" s="65" t="n">
        <f aca="false">People!U48</f>
        <v>6662000</v>
      </c>
      <c r="T48" s="47" t="n">
        <v>130</v>
      </c>
      <c r="U48" s="71" t="n">
        <v>0.448</v>
      </c>
      <c r="V48" s="49" t="n">
        <f aca="false">IF(S48&gt;0,T48*1000000/S48,0)</f>
        <v>19.5136595616932</v>
      </c>
      <c r="W48" s="67" t="n">
        <f aca="false">IF(AND(U48&gt;0,V47&gt;0,B48&gt;0),MIN(conv_cap,conv_beta*1*U48*MAX(0,LN(B48/(V47*X47)))),0)</f>
        <v>0.0128773103663895</v>
      </c>
      <c r="X48" s="68" t="n">
        <f aca="false">X47*(1+W48)</f>
        <v>1.13632917751468</v>
      </c>
      <c r="Y48" s="49" t="n">
        <f aca="false">T48*X48</f>
        <v>147.722793076909</v>
      </c>
      <c r="Z48" s="70" t="n">
        <f aca="false">IF(S48&gt;0,Y48*1000000/S48/Economy!Q48,0)</f>
        <v>0.107120486570243</v>
      </c>
      <c r="AA48" s="47" t="n">
        <v>0</v>
      </c>
      <c r="AB48" s="47" t="n">
        <v>0</v>
      </c>
      <c r="AC48" s="71" t="n">
        <v>0</v>
      </c>
      <c r="AD48" s="49" t="n">
        <f aca="false">IF(AA48&gt;0,AB48*1000000/AA48,0)</f>
        <v>0</v>
      </c>
      <c r="AE48" s="67" t="n">
        <f aca="false">IF(AND(AC48&gt;0,AD47&gt;0,B48&gt;0),MIN(conv_cap,conv_beta*1*AC48*MAX(0,LN(B48/(AD47*AF47)))),0)</f>
        <v>0</v>
      </c>
      <c r="AF48" s="68" t="n">
        <f aca="false">AF47*(1+AE48)</f>
        <v>1</v>
      </c>
      <c r="AG48" s="49" t="n">
        <f aca="false">AB48*AF48</f>
        <v>0</v>
      </c>
      <c r="AH48" s="70" t="n">
        <f aca="false">IF(AA48&gt;0,AG48*1000000/AA48/Economy!Q48,0)</f>
        <v>0</v>
      </c>
      <c r="AI48" s="47" t="n">
        <v>383200000</v>
      </c>
      <c r="AJ48" s="47" t="n">
        <v>3800</v>
      </c>
      <c r="AK48" s="71" t="n">
        <v>0.154</v>
      </c>
      <c r="AL48" s="49" t="n">
        <f aca="false">IF(AI48&gt;0,AJ48*1000000/AI48,0)</f>
        <v>9.91649269311065</v>
      </c>
      <c r="AM48" s="67" t="n">
        <f aca="false">IF(AND(AK48&gt;0,AL47&gt;0,B48&gt;0),MIN(conv_cap,conv_beta*1*AK48*MAX(0,LN(B48/(AL47*AN47)))),0)</f>
        <v>0.00540493163736509</v>
      </c>
      <c r="AN48" s="68" t="n">
        <f aca="false">AN47*(1+AM48)</f>
        <v>1.09652761060207</v>
      </c>
      <c r="AO48" s="49" t="n">
        <f aca="false">AJ48*AN48</f>
        <v>4166.80492028785</v>
      </c>
      <c r="AP48" s="70" t="n">
        <f aca="false">IF(AI48&gt;0,AO48*1000000/AI48/Economy!Q48,0)</f>
        <v>0.0525299905233307</v>
      </c>
      <c r="AQ48" s="47" t="n">
        <v>11200000</v>
      </c>
      <c r="AR48" s="47" t="n">
        <v>210</v>
      </c>
      <c r="AS48" s="71" t="n">
        <v>0.312</v>
      </c>
      <c r="AT48" s="49" t="n">
        <f aca="false">IF(AQ48&gt;0,AR48*1000000/AQ48,0)</f>
        <v>18.75</v>
      </c>
      <c r="AU48" s="67" t="n">
        <f aca="false">IF(AND(AS48&gt;0,AT47&gt;0,B48&gt;0),MIN(conv_cap,conv_beta*1*AS48*MAX(0,LN(B48/(AT47*AV47)))),0)</f>
        <v>0.0091107342519664</v>
      </c>
      <c r="AV48" s="68" t="n">
        <f aca="false">AV47*(1+AU48)</f>
        <v>1.05729884403443</v>
      </c>
      <c r="AW48" s="49" t="n">
        <f aca="false">AR48*AV48</f>
        <v>222.032757247231</v>
      </c>
      <c r="AX48" s="70" t="n">
        <f aca="false">IF(AQ48&gt;0,AW48*1000000/AQ48/Economy!Q48,0)</f>
        <v>0.0957698228292058</v>
      </c>
      <c r="AY48" s="47" t="n">
        <v>68000000</v>
      </c>
      <c r="AZ48" s="47" t="n">
        <v>1560</v>
      </c>
      <c r="BA48" s="71" t="n">
        <v>0.07</v>
      </c>
      <c r="BB48" s="49" t="n">
        <f aca="false">IF(AY48&gt;0,AZ48*1000000/AY48,0)</f>
        <v>22.9411764705882</v>
      </c>
      <c r="BC48" s="67" t="n">
        <f aca="false">IF(AND(BA48&gt;0,BB47&gt;0,B48&gt;0),MIN(conv_cap,conv_beta*1*BA48*MAX(0,LN(B48/(BB47*BD47)))),0)</f>
        <v>0.00192724671655661</v>
      </c>
      <c r="BD48" s="68" t="n">
        <f aca="false">BD47*(1+BC48)</f>
        <v>1.01491081023893</v>
      </c>
      <c r="BE48" s="49" t="n">
        <f aca="false">AZ48*BD48</f>
        <v>1583.26086397273</v>
      </c>
      <c r="BF48" s="70" t="n">
        <f aca="false">IF(AY48&gt;0,BE48*1000000/AY48/Economy!Q48,0)</f>
        <v>0.112479458935261</v>
      </c>
      <c r="BG48" s="47" t="n">
        <v>26800000</v>
      </c>
      <c r="BH48" s="47" t="n">
        <v>1720</v>
      </c>
      <c r="BI48" s="71" t="n">
        <v>0.119</v>
      </c>
      <c r="BJ48" s="49" t="n">
        <f aca="false">IF(BG48&gt;0,BH48*1000000/BG48,0)</f>
        <v>64.1791044776119</v>
      </c>
      <c r="BK48" s="67" t="n">
        <f aca="false">IF(AND(BI48&gt;0,BJ47&gt;0,B48&gt;0),MIN(conv_cap,conv_beta*1*BI48*MAX(0,LN(B48/(BJ47*BL47)))),0)</f>
        <v>0.00204221556931926</v>
      </c>
      <c r="BL48" s="68" t="n">
        <f aca="false">BL47*(1+BK48)</f>
        <v>1.02666730493437</v>
      </c>
      <c r="BM48" s="49" t="n">
        <f aca="false">BH48*BL48</f>
        <v>1765.86776448711</v>
      </c>
      <c r="BN48" s="70" t="n">
        <f aca="false">IF(BG48&gt;0,BM48*1000000/BG48/Economy!Q48,0)</f>
        <v>0.318312020420922</v>
      </c>
      <c r="BO48" s="47" t="n">
        <v>13200000</v>
      </c>
      <c r="BP48" s="47" t="n">
        <v>680</v>
      </c>
      <c r="BQ48" s="71" t="n">
        <v>0</v>
      </c>
      <c r="BR48" s="49" t="n">
        <f aca="false">IF(BO48&gt;0,BP48*1000000/BO48,0)</f>
        <v>51.5151515151515</v>
      </c>
      <c r="BS48" s="67" t="n">
        <f aca="false">IF(AND(BQ48&gt;0,BR47&gt;0,B48&gt;0),MIN(conv_cap,conv_beta*1*BQ48*MAX(0,LN(B48/(BR47*BT47)))),0)</f>
        <v>0</v>
      </c>
      <c r="BT48" s="68" t="n">
        <f aca="false">BT47*(1+BS48)</f>
        <v>1</v>
      </c>
      <c r="BU48" s="49" t="n">
        <f aca="false">BP48*BT48</f>
        <v>680</v>
      </c>
      <c r="BV48" s="70" t="n">
        <f aca="false">IF(BO48&gt;0,BU48*1000000/BO48/Economy!Q48,0)</f>
        <v>0.248865466256771</v>
      </c>
      <c r="BW48" s="68" t="n">
        <f aca="false">0.25*IF(D48&gt;0,H48,1)+0.15*IF(AJ48&gt;0,AN48,1)+0.03*IF(AR48&gt;0,AV48,1)+0.08*IF(AZ48&gt;0,BD48,1)+0.12*IF(BH48&gt;0,BL48,1)+0.1*IF(L48&gt;0,P48,1)+0.07*IF(T48&gt;0,X48,1)+0.05*IF(AB48&gt;0,AF48,1)+0.05*IF(BP48&gt;0,BT48,1)+0.1</f>
        <v>1.09793315136752</v>
      </c>
      <c r="BX48" s="66" t="n">
        <f aca="false">MIN(mkt_cap,mkt_elast*MAX(0,BW48-1))</f>
        <v>0.0489665756837622</v>
      </c>
      <c r="BY48" s="49" t="n">
        <f aca="false">I48+Q48+Y48+AG48</f>
        <v>1088.4080125089</v>
      </c>
      <c r="BZ48" s="49" t="n">
        <f aca="false">D48+L48+T48+AB48</f>
        <v>870</v>
      </c>
      <c r="CA48" s="68" t="n">
        <f aca="false">IF(BZ48&gt;0,BY48/BZ48,0)</f>
        <v>1.25104369253896</v>
      </c>
    </row>
    <row r="49" customFormat="false" ht="14.25" hidden="false" customHeight="true" outlineLevel="0" collapsed="false">
      <c r="A49" s="61" t="n">
        <v>1889</v>
      </c>
      <c r="B49" s="49" t="n">
        <f aca="false">Economy!P48</f>
        <v>371.280500069709</v>
      </c>
      <c r="C49" s="47" t="n">
        <v>39660000</v>
      </c>
      <c r="D49" s="65" t="n">
        <f aca="false">Japan!B49</f>
        <v>770</v>
      </c>
      <c r="E49" s="71" t="n">
        <v>0.575</v>
      </c>
      <c r="F49" s="49" t="n">
        <f aca="false">IF(C49&gt;0,D49*1000000/C49,0)</f>
        <v>19.4150277357539</v>
      </c>
      <c r="G49" s="67" t="n">
        <f aca="false">IF(AND(E49&gt;0,F48&gt;0,B49&gt;0),MIN(conv_cap,conv_beta*jp_uplift*E49*MAX(0,LN(B49/(F48*H48)))),0)</f>
        <v>0.0157669747806318</v>
      </c>
      <c r="H49" s="68" t="n">
        <f aca="false">H48*(1+G49)</f>
        <v>1.29123916157201</v>
      </c>
      <c r="I49" s="49" t="n">
        <f aca="false">D49*H49</f>
        <v>994.254154410447</v>
      </c>
      <c r="J49" s="70" t="n">
        <f aca="false">IF(C49&gt;0,I49*1000000/C49/Economy!Q49,0)</f>
        <v>0.121108425774938</v>
      </c>
      <c r="K49" s="65" t="n">
        <f aca="false">Gulf!B49</f>
        <v>0</v>
      </c>
      <c r="L49" s="49" t="n">
        <f aca="false">Gulf!B49*Gulf!C49*Economy!Q49/1000000</f>
        <v>0</v>
      </c>
      <c r="M49" s="71" t="n">
        <v>0</v>
      </c>
      <c r="N49" s="49" t="n">
        <f aca="false">IF(K49&gt;0,L49*1000000/K49,0)</f>
        <v>0</v>
      </c>
      <c r="O49" s="67" t="n">
        <f aca="false">IF(AND(M49&gt;0,N48&gt;0,B49&gt;0),MIN(conv_cap,conv_beta*1*M49*MAX(0,LN(B49/(N48*P48)))),0)</f>
        <v>0</v>
      </c>
      <c r="P49" s="68" t="n">
        <f aca="false">P48*(1+O49)</f>
        <v>1</v>
      </c>
      <c r="Q49" s="49" t="n">
        <f aca="false">L49*P49</f>
        <v>0</v>
      </c>
      <c r="R49" s="70" t="n">
        <f aca="false">IF(K49&gt;0,Q49*1000000/K49/Economy!Q49,0)</f>
        <v>0</v>
      </c>
      <c r="S49" s="65" t="n">
        <f aca="false">People!U49</f>
        <v>6743000</v>
      </c>
      <c r="T49" s="47" t="n">
        <v>140.375</v>
      </c>
      <c r="U49" s="71" t="n">
        <v>0.455</v>
      </c>
      <c r="V49" s="49" t="n">
        <f aca="false">IF(S49&gt;0,T49*1000000/S49,0)</f>
        <v>20.8178852142963</v>
      </c>
      <c r="W49" s="67" t="n">
        <f aca="false">IF(AND(U49&gt;0,V48&gt;0,B49&gt;0),MIN(conv_cap,conv_beta*1*U49*MAX(0,LN(B49/(V48*X48)))),0)</f>
        <v>0.0128220823815865</v>
      </c>
      <c r="X49" s="68" t="n">
        <f aca="false">X48*(1+W49)</f>
        <v>1.15089928384138</v>
      </c>
      <c r="Y49" s="49" t="n">
        <f aca="false">T49*X49</f>
        <v>161.557486969234</v>
      </c>
      <c r="Z49" s="70" t="n">
        <f aca="false">IF(S49&gt;0,Y49*1000000/S49/Economy!Q49,0)</f>
        <v>0.115745358377902</v>
      </c>
      <c r="AA49" s="47" t="n">
        <v>0</v>
      </c>
      <c r="AB49" s="47" t="n">
        <v>0</v>
      </c>
      <c r="AC49" s="71" t="n">
        <v>0</v>
      </c>
      <c r="AD49" s="49" t="n">
        <f aca="false">IF(AA49&gt;0,AB49*1000000/AA49,0)</f>
        <v>0</v>
      </c>
      <c r="AE49" s="67" t="n">
        <f aca="false">IF(AND(AC49&gt;0,AD48&gt;0,B49&gt;0),MIN(conv_cap,conv_beta*1*AC49*MAX(0,LN(B49/(AD48*AF48)))),0)</f>
        <v>0</v>
      </c>
      <c r="AF49" s="68" t="n">
        <f aca="false">AF48*(1+AE49)</f>
        <v>1</v>
      </c>
      <c r="AG49" s="49" t="n">
        <f aca="false">AB49*AF49</f>
        <v>0</v>
      </c>
      <c r="AH49" s="70" t="n">
        <f aca="false">IF(AA49&gt;0,AG49*1000000/AA49/Economy!Q49,0)</f>
        <v>0</v>
      </c>
      <c r="AI49" s="47" t="n">
        <v>384600000</v>
      </c>
      <c r="AJ49" s="47" t="n">
        <v>3817</v>
      </c>
      <c r="AK49" s="71" t="n">
        <v>0.158</v>
      </c>
      <c r="AL49" s="49" t="n">
        <f aca="false">IF(AI49&gt;0,AJ49*1000000/AI49,0)</f>
        <v>9.92459698387936</v>
      </c>
      <c r="AM49" s="67" t="n">
        <f aca="false">IF(AND(AK49&gt;0,AL48&gt;0,B49&gt;0),MIN(conv_cap,conv_beta*1*AK49*MAX(0,LN(B49/(AL48*AN48)))),0)</f>
        <v>0.0055783639152896</v>
      </c>
      <c r="AN49" s="68" t="n">
        <f aca="false">AN48*(1+AM49)</f>
        <v>1.10264444065717</v>
      </c>
      <c r="AO49" s="49" t="n">
        <f aca="false">AJ49*AN49</f>
        <v>4208.79382998841</v>
      </c>
      <c r="AP49" s="70" t="n">
        <f aca="false">IF(AI49&gt;0,AO49*1000000/AI49/Economy!Q49,0)</f>
        <v>0.0528661917393114</v>
      </c>
      <c r="AQ49" s="47" t="n">
        <v>11270000</v>
      </c>
      <c r="AR49" s="47" t="n">
        <v>213</v>
      </c>
      <c r="AS49" s="71" t="n">
        <v>0.325</v>
      </c>
      <c r="AT49" s="49" t="n">
        <f aca="false">IF(AQ49&gt;0,AR49*1000000/AQ49,0)</f>
        <v>18.8997338065661</v>
      </c>
      <c r="AU49" s="67" t="n">
        <f aca="false">IF(AND(AS49&gt;0,AT48&gt;0,B49&gt;0),MIN(conv_cap,conv_beta*1*AS49*MAX(0,LN(B49/(AT48*AV48)))),0)</f>
        <v>0.00952265175536527</v>
      </c>
      <c r="AV49" s="68" t="n">
        <f aca="false">AV48*(1+AU49)</f>
        <v>1.06736713272752</v>
      </c>
      <c r="AW49" s="49" t="n">
        <f aca="false">AR49*AV49</f>
        <v>227.349199270962</v>
      </c>
      <c r="AX49" s="70" t="n">
        <f aca="false">IF(AQ49&gt;0,AW49*1000000/AQ49/Economy!Q49,0)</f>
        <v>0.0974538873547241</v>
      </c>
      <c r="AY49" s="47" t="n">
        <v>69000000</v>
      </c>
      <c r="AZ49" s="47" t="n">
        <v>1597</v>
      </c>
      <c r="BA49" s="71" t="n">
        <v>0.073</v>
      </c>
      <c r="BB49" s="49" t="n">
        <f aca="false">IF(AY49&gt;0,AZ49*1000000/AY49,0)</f>
        <v>23.1449275362319</v>
      </c>
      <c r="BC49" s="67" t="n">
        <f aca="false">IF(AND(BA49&gt;0,BB48&gt;0,B49&gt;0),MIN(conv_cap,conv_beta*1*BA49*MAX(0,LN(B49/(BB48*BD48)))),0)</f>
        <v>0.00202153330815239</v>
      </c>
      <c r="BD49" s="68" t="n">
        <f aca="false">BD48*(1+BC49)</f>
        <v>1.01696248624663</v>
      </c>
      <c r="BE49" s="49" t="n">
        <f aca="false">AZ49*BD49</f>
        <v>1624.08909053587</v>
      </c>
      <c r="BF49" s="70" t="n">
        <f aca="false">IF(AY49&gt;0,BE49*1000000/AY49/Economy!Q49,0)</f>
        <v>0.113707840827268</v>
      </c>
      <c r="BG49" s="47" t="n">
        <v>27100000</v>
      </c>
      <c r="BH49" s="47" t="n">
        <v>1760</v>
      </c>
      <c r="BI49" s="71" t="n">
        <v>0.125</v>
      </c>
      <c r="BJ49" s="49" t="n">
        <f aca="false">IF(BG49&gt;0,BH49*1000000/BG49,0)</f>
        <v>64.9446494464945</v>
      </c>
      <c r="BK49" s="67" t="n">
        <f aca="false">IF(AND(BI49&gt;0,BJ48&gt;0,B49&gt;0),MIN(conv_cap,conv_beta*1*BI49*MAX(0,LN(B49/(BJ48*BL48)))),0)</f>
        <v>0.00216120278689388</v>
      </c>
      <c r="BL49" s="68" t="n">
        <f aca="false">BL48*(1+BK49)</f>
        <v>1.028886141175</v>
      </c>
      <c r="BM49" s="49" t="n">
        <f aca="false">BH49*BL49</f>
        <v>1810.839608468</v>
      </c>
      <c r="BN49" s="70" t="n">
        <f aca="false">IF(BG49&gt;0,BM49*1000000/BG49/Economy!Q49,0)</f>
        <v>0.322805071299357</v>
      </c>
      <c r="BO49" s="47" t="n">
        <v>13300000</v>
      </c>
      <c r="BP49" s="47" t="n">
        <v>690</v>
      </c>
      <c r="BQ49" s="71" t="n">
        <v>0</v>
      </c>
      <c r="BR49" s="49" t="n">
        <f aca="false">IF(BO49&gt;0,BP49*1000000/BO49,0)</f>
        <v>51.8796992481203</v>
      </c>
      <c r="BS49" s="67" t="n">
        <f aca="false">IF(AND(BQ49&gt;0,BR48&gt;0,B49&gt;0),MIN(conv_cap,conv_beta*1*BQ49*MAX(0,LN(B49/(BR48*BT48)))),0)</f>
        <v>0</v>
      </c>
      <c r="BT49" s="68" t="n">
        <f aca="false">BT48*(1+BS49)</f>
        <v>1</v>
      </c>
      <c r="BU49" s="49" t="n">
        <f aca="false">BP49*BT49</f>
        <v>690</v>
      </c>
      <c r="BV49" s="70" t="n">
        <f aca="false">IF(BO49&gt;0,BU49*1000000/BO49/Economy!Q49,0)</f>
        <v>0.25062656641604</v>
      </c>
      <c r="BW49" s="68" t="n">
        <f aca="false">0.25*IF(D49&gt;0,H49,1)+0.15*IF(AJ49&gt;0,AN49,1)+0.03*IF(AR49&gt;0,AV49,1)+0.08*IF(AZ49&gt;0,BD49,1)+0.12*IF(BH49&gt;0,BL49,1)+0.1*IF(L49&gt;0,P49,1)+0.07*IF(T49&gt;0,X49,1)+0.05*IF(AB49&gt;0,AF49,1)+0.05*IF(BP49&gt;0,BT49,1)+0.1</f>
        <v>1.10561375618303</v>
      </c>
      <c r="BX49" s="66" t="n">
        <f aca="false">MIN(mkt_cap,mkt_elast*MAX(0,BW49-1))</f>
        <v>0.0528068780915152</v>
      </c>
      <c r="BY49" s="49" t="n">
        <f aca="false">I49+Q49+Y49+AG49</f>
        <v>1155.81164137968</v>
      </c>
      <c r="BZ49" s="49" t="n">
        <f aca="false">D49+L49+T49+AB49</f>
        <v>910.375</v>
      </c>
      <c r="CA49" s="68" t="n">
        <f aca="false">IF(BZ49&gt;0,BY49/BZ49,0)</f>
        <v>1.26959949622922</v>
      </c>
    </row>
    <row r="50" customFormat="false" ht="14.25" hidden="false" customHeight="true" outlineLevel="0" collapsed="false">
      <c r="A50" s="61" t="n">
        <v>1890</v>
      </c>
      <c r="B50" s="49" t="n">
        <f aca="false">Economy!P49</f>
        <v>380.892038418742</v>
      </c>
      <c r="C50" s="47" t="n">
        <v>40000000</v>
      </c>
      <c r="D50" s="65" t="n">
        <f aca="false">Japan!B50</f>
        <v>800</v>
      </c>
      <c r="E50" s="71" t="n">
        <v>0.588</v>
      </c>
      <c r="F50" s="49" t="n">
        <f aca="false">IF(C50&gt;0,D50*1000000/C50,0)</f>
        <v>20</v>
      </c>
      <c r="G50" s="67" t="n">
        <f aca="false">IF(AND(E50&gt;0,F49&gt;0,B50&gt;0),MIN(conv_cap,conv_beta*jp_uplift*E50*MAX(0,LN(B50/(F49*H49)))),0)</f>
        <v>0.0159986934430863</v>
      </c>
      <c r="H50" s="68" t="n">
        <f aca="false">H49*(1+G50)</f>
        <v>1.31189730107971</v>
      </c>
      <c r="I50" s="49" t="n">
        <f aca="false">D50*H50</f>
        <v>1049.51784086377</v>
      </c>
      <c r="J50" s="70" t="n">
        <f aca="false">IF(C50&gt;0,I50*1000000/C50/Economy!Q50,0)</f>
        <v>0.126143971257664</v>
      </c>
      <c r="K50" s="65" t="n">
        <f aca="false">Gulf!B50</f>
        <v>0</v>
      </c>
      <c r="L50" s="49" t="n">
        <f aca="false">Gulf!B50*Gulf!C50*Economy!Q50/1000000</f>
        <v>0</v>
      </c>
      <c r="M50" s="71" t="n">
        <v>0</v>
      </c>
      <c r="N50" s="49" t="n">
        <f aca="false">IF(K50&gt;0,L50*1000000/K50,0)</f>
        <v>0</v>
      </c>
      <c r="O50" s="67" t="n">
        <f aca="false">IF(AND(M50&gt;0,N49&gt;0,B50&gt;0),MIN(conv_cap,conv_beta*1*M50*MAX(0,LN(B50/(N49*P49)))),0)</f>
        <v>0</v>
      </c>
      <c r="P50" s="68" t="n">
        <f aca="false">P49*(1+O50)</f>
        <v>1</v>
      </c>
      <c r="Q50" s="49" t="n">
        <f aca="false">L50*P50</f>
        <v>0</v>
      </c>
      <c r="R50" s="70" t="n">
        <f aca="false">IF(K50&gt;0,Q50*1000000/K50/Economy!Q50,0)</f>
        <v>0</v>
      </c>
      <c r="S50" s="65" t="n">
        <f aca="false">People!U50</f>
        <v>6806324</v>
      </c>
      <c r="T50" s="47" t="n">
        <v>150.405</v>
      </c>
      <c r="U50" s="71" t="n">
        <v>0.463</v>
      </c>
      <c r="V50" s="49" t="n">
        <f aca="false">IF(S50&gt;0,T50*1000000/S50,0)</f>
        <v>22.0978313697673</v>
      </c>
      <c r="W50" s="67" t="n">
        <f aca="false">IF(AND(U50&gt;0,V49&gt;0,B50&gt;0),MIN(conv_cap,conv_beta*1*U50*MAX(0,LN(B50/(V49*X49)))),0)</f>
        <v>0.0128073201758882</v>
      </c>
      <c r="X50" s="68" t="n">
        <f aca="false">X49*(1+W50)</f>
        <v>1.16563921945974</v>
      </c>
      <c r="Y50" s="49" t="n">
        <f aca="false">T50*X50</f>
        <v>175.317966802842</v>
      </c>
      <c r="Z50" s="70" t="n">
        <f aca="false">IF(S50&gt;0,Y50*1000000/S50/Economy!Q50,0)</f>
        <v>0.123837013988502</v>
      </c>
      <c r="AA50" s="47" t="n">
        <v>0</v>
      </c>
      <c r="AB50" s="47" t="n">
        <v>0</v>
      </c>
      <c r="AC50" s="71" t="n">
        <v>0</v>
      </c>
      <c r="AD50" s="49" t="n">
        <f aca="false">IF(AA50&gt;0,AB50*1000000/AA50,0)</f>
        <v>0</v>
      </c>
      <c r="AE50" s="67" t="n">
        <f aca="false">IF(AND(AC50&gt;0,AD49&gt;0,B50&gt;0),MIN(conv_cap,conv_beta*1*AC50*MAX(0,LN(B50/(AD49*AF49)))),0)</f>
        <v>0</v>
      </c>
      <c r="AF50" s="68" t="n">
        <f aca="false">AF49*(1+AE50)</f>
        <v>1</v>
      </c>
      <c r="AG50" s="49" t="n">
        <f aca="false">AB50*AF50</f>
        <v>0</v>
      </c>
      <c r="AH50" s="70" t="n">
        <f aca="false">IF(AA50&gt;0,AG50*1000000/AA50/Economy!Q50,0)</f>
        <v>0</v>
      </c>
      <c r="AI50" s="47" t="n">
        <v>386000000</v>
      </c>
      <c r="AJ50" s="47" t="n">
        <v>3833</v>
      </c>
      <c r="AK50" s="71" t="n">
        <v>0.162</v>
      </c>
      <c r="AL50" s="49" t="n">
        <f aca="false">IF(AI50&gt;0,AJ50*1000000/AI50,0)</f>
        <v>9.9300518134715</v>
      </c>
      <c r="AM50" s="67" t="n">
        <f aca="false">IF(AND(AK50&gt;0,AL49&gt;0,B50&gt;0),MIN(conv_cap,conv_beta*1*AK50*MAX(0,LN(B50/(AL49*AN49)))),0)</f>
        <v>0.00575065724033397</v>
      </c>
      <c r="AN50" s="68" t="n">
        <f aca="false">AN49*(1+AM50)</f>
        <v>1.10898537089335</v>
      </c>
      <c r="AO50" s="49" t="n">
        <f aca="false">AJ50*AN50</f>
        <v>4250.7409266342</v>
      </c>
      <c r="AP50" s="70" t="n">
        <f aca="false">IF(AI50&gt;0,AO50*1000000/AI50/Economy!Q50,0)</f>
        <v>0.0529436643911194</v>
      </c>
      <c r="AQ50" s="47" t="n">
        <v>11330000</v>
      </c>
      <c r="AR50" s="47" t="n">
        <v>217</v>
      </c>
      <c r="AS50" s="71" t="n">
        <v>0.338</v>
      </c>
      <c r="AT50" s="49" t="n">
        <f aca="false">IF(AQ50&gt;0,AR50*1000000/AQ50,0)</f>
        <v>19.1526919682259</v>
      </c>
      <c r="AU50" s="67" t="n">
        <f aca="false">IF(AND(AS50&gt;0,AT49&gt;0,B50&gt;0),MIN(conv_cap,conv_beta*1*AS50*MAX(0,LN(B50/(AT49*AV49)))),0)</f>
        <v>0.00993102521670989</v>
      </c>
      <c r="AV50" s="68" t="n">
        <f aca="false">AV49*(1+AU50)</f>
        <v>1.07796718263813</v>
      </c>
      <c r="AW50" s="49" t="n">
        <f aca="false">AR50*AV50</f>
        <v>233.918878632474</v>
      </c>
      <c r="AX50" s="70" t="n">
        <f aca="false">IF(AQ50&gt;0,AW50*1000000/AQ50/Economy!Q50,0)</f>
        <v>0.0992594875044443</v>
      </c>
      <c r="AY50" s="47" t="n">
        <v>70000000</v>
      </c>
      <c r="AZ50" s="47" t="n">
        <v>1633</v>
      </c>
      <c r="BA50" s="71" t="n">
        <v>0.075</v>
      </c>
      <c r="BB50" s="49" t="n">
        <f aca="false">IF(AY50&gt;0,AZ50*1000000/AY50,0)</f>
        <v>23.3285714285714</v>
      </c>
      <c r="BC50" s="67" t="n">
        <f aca="false">IF(AND(BA50&gt;0,BB49&gt;0,B50&gt;0),MIN(conv_cap,conv_beta*1*BA50*MAX(0,LN(B50/(BB49*BD49)))),0)</f>
        <v>0.00208794007343793</v>
      </c>
      <c r="BD50" s="68" t="n">
        <f aca="false">BD49*(1+BC50)</f>
        <v>1.01908584297485</v>
      </c>
      <c r="BE50" s="49" t="n">
        <f aca="false">AZ50*BD50</f>
        <v>1664.16718157793</v>
      </c>
      <c r="BF50" s="70" t="n">
        <f aca="false">IF(AY50&gt;0,BE50*1000000/AY50/Economy!Q50,0)</f>
        <v>0.114297196536946</v>
      </c>
      <c r="BG50" s="47" t="n">
        <v>27300000</v>
      </c>
      <c r="BH50" s="47" t="n">
        <v>1800</v>
      </c>
      <c r="BI50" s="71" t="n">
        <v>0.131</v>
      </c>
      <c r="BJ50" s="49" t="n">
        <f aca="false">IF(BG50&gt;0,BH50*1000000/BG50,0)</f>
        <v>65.9340659340659</v>
      </c>
      <c r="BK50" s="67" t="n">
        <f aca="false">IF(AND(BI50&gt;0,BJ49&gt;0,B50&gt;0),MIN(conv_cap,conv_beta*1*BI50*MAX(0,LN(B50/(BJ49*BL49)))),0)</f>
        <v>0.0022800599915463</v>
      </c>
      <c r="BL50" s="68" t="n">
        <f aca="false">BL49*(1+BK50)</f>
        <v>1.03123206330135</v>
      </c>
      <c r="BM50" s="49" t="n">
        <f aca="false">BH50*BL50</f>
        <v>1856.21771394243</v>
      </c>
      <c r="BN50" s="70" t="n">
        <f aca="false">IF(BG50&gt;0,BM50*1000000/BG50/Economy!Q50,0)</f>
        <v>0.326890975264588</v>
      </c>
      <c r="BO50" s="47" t="n">
        <v>13300000</v>
      </c>
      <c r="BP50" s="47" t="n">
        <v>700</v>
      </c>
      <c r="BQ50" s="71" t="n">
        <v>0</v>
      </c>
      <c r="BR50" s="49" t="n">
        <f aca="false">IF(BO50&gt;0,BP50*1000000/BO50,0)</f>
        <v>52.6315789473684</v>
      </c>
      <c r="BS50" s="67" t="n">
        <f aca="false">IF(AND(BQ50&gt;0,BR49&gt;0,B50&gt;0),MIN(conv_cap,conv_beta*1*BQ50*MAX(0,LN(B50/(BR49*BT49)))),0)</f>
        <v>0</v>
      </c>
      <c r="BT50" s="68" t="n">
        <f aca="false">BT49*(1+BS50)</f>
        <v>1</v>
      </c>
      <c r="BU50" s="49" t="n">
        <f aca="false">BP50*BT50</f>
        <v>700</v>
      </c>
      <c r="BV50" s="70" t="n">
        <f aca="false">IF(BO50&gt;0,BU50*1000000/BO50/Economy!Q50,0)</f>
        <v>0.253036437246964</v>
      </c>
      <c r="BW50" s="68" t="n">
        <f aca="false">0.25*IF(D50&gt;0,H50,1)+0.15*IF(AJ50&gt;0,AN50,1)+0.03*IF(AR50&gt;0,AV50,1)+0.08*IF(AZ50&gt;0,BD50,1)+0.12*IF(BH50&gt;0,BL50,1)+0.1*IF(L50&gt;0,P50,1)+0.07*IF(T50&gt;0,X50,1)+0.05*IF(AB50&gt;0,AF50,1)+0.05*IF(BP50&gt;0,BT50,1)+0.1</f>
        <v>1.1135306067794</v>
      </c>
      <c r="BX50" s="66" t="n">
        <f aca="false">MIN(mkt_cap,mkt_elast*MAX(0,BW50-1))</f>
        <v>0.056765303389702</v>
      </c>
      <c r="BY50" s="49" t="n">
        <f aca="false">I50+Q50+Y50+AG50</f>
        <v>1224.83580766661</v>
      </c>
      <c r="BZ50" s="49" t="n">
        <f aca="false">D50+L50+T50+AB50</f>
        <v>950.405</v>
      </c>
      <c r="CA50" s="68" t="n">
        <f aca="false">IF(BZ50&gt;0,BY50/BZ50,0)</f>
        <v>1.28875143508989</v>
      </c>
    </row>
    <row r="51" customFormat="false" ht="14.25" hidden="false" customHeight="true" outlineLevel="0" collapsed="false">
      <c r="A51" s="61" t="n">
        <v>1891</v>
      </c>
      <c r="B51" s="49" t="n">
        <f aca="false">Economy!P50</f>
        <v>391.325760647686</v>
      </c>
      <c r="C51" s="47" t="n">
        <v>40400000</v>
      </c>
      <c r="D51" s="65" t="n">
        <f aca="false">Japan!B51</f>
        <v>804</v>
      </c>
      <c r="E51" s="71" t="n">
        <v>0.6</v>
      </c>
      <c r="F51" s="49" t="n">
        <f aca="false">IF(C51&gt;0,D51*1000000/C51,0)</f>
        <v>19.9009900990099</v>
      </c>
      <c r="G51" s="67" t="n">
        <f aca="false">IF(AND(E51&gt;0,F50&gt;0,B51&gt;0),MIN(conv_cap,conv_beta*jp_uplift*E51*MAX(0,LN(B51/(F50*H50)))),0)</f>
        <v>0.0162140020569072</v>
      </c>
      <c r="H51" s="68" t="n">
        <f aca="false">H50*(1+G51)</f>
        <v>1.33316840661786</v>
      </c>
      <c r="I51" s="49" t="n">
        <f aca="false">D51*H51</f>
        <v>1071.86739892076</v>
      </c>
      <c r="J51" s="70" t="n">
        <f aca="false">IF(C51&gt;0,I51*1000000/C51/Economy!Q51,0)</f>
        <v>0.128793064370946</v>
      </c>
      <c r="K51" s="65" t="n">
        <f aca="false">Gulf!B51</f>
        <v>0</v>
      </c>
      <c r="L51" s="49" t="n">
        <f aca="false">Gulf!B51*Gulf!C51*Economy!Q51/1000000</f>
        <v>0</v>
      </c>
      <c r="M51" s="71" t="n">
        <v>0</v>
      </c>
      <c r="N51" s="49" t="n">
        <f aca="false">IF(K51&gt;0,L51*1000000/K51,0)</f>
        <v>0</v>
      </c>
      <c r="O51" s="67" t="n">
        <f aca="false">IF(AND(M51&gt;0,N50&gt;0,B51&gt;0),MIN(conv_cap,conv_beta*1*M51*MAX(0,LN(B51/(N50*P50)))),0)</f>
        <v>0</v>
      </c>
      <c r="P51" s="68" t="n">
        <f aca="false">P50*(1+O51)</f>
        <v>1</v>
      </c>
      <c r="Q51" s="49" t="n">
        <f aca="false">L51*P51</f>
        <v>0</v>
      </c>
      <c r="R51" s="70" t="n">
        <f aca="false">IF(K51&gt;0,Q51*1000000/K51/Economy!Q51,0)</f>
        <v>0</v>
      </c>
      <c r="S51" s="65" t="n">
        <f aca="false">People!U51</f>
        <v>6868654</v>
      </c>
      <c r="T51" s="47" t="n">
        <v>160.436</v>
      </c>
      <c r="U51" s="71" t="n">
        <v>0.471</v>
      </c>
      <c r="V51" s="49" t="n">
        <f aca="false">IF(S51&gt;0,T51*1000000/S51,0)</f>
        <v>23.3577058911397</v>
      </c>
      <c r="W51" s="67" t="n">
        <f aca="false">IF(AND(U51&gt;0,V50&gt;0,B51&gt;0),MIN(conv_cap,conv_beta*1*U51*MAX(0,LN(B51/(V50*X50)))),0)</f>
        <v>0.0128149268446195</v>
      </c>
      <c r="X51" s="68" t="n">
        <f aca="false">X50*(1+W51)</f>
        <v>1.18057680078433</v>
      </c>
      <c r="Y51" s="49" t="n">
        <f aca="false">T51*X51</f>
        <v>189.407019610635</v>
      </c>
      <c r="Z51" s="70" t="n">
        <f aca="false">IF(S51&gt;0,Y51*1000000/S51/Economy!Q51,0)</f>
        <v>0.133861969391374</v>
      </c>
      <c r="AA51" s="47" t="n">
        <v>0</v>
      </c>
      <c r="AB51" s="47" t="n">
        <v>0</v>
      </c>
      <c r="AC51" s="71" t="n">
        <v>0</v>
      </c>
      <c r="AD51" s="49" t="n">
        <f aca="false">IF(AA51&gt;0,AB51*1000000/AA51,0)</f>
        <v>0</v>
      </c>
      <c r="AE51" s="67" t="n">
        <f aca="false">IF(AND(AC51&gt;0,AD50&gt;0,B51&gt;0),MIN(conv_cap,conv_beta*1*AC51*MAX(0,LN(B51/(AD50*AF50)))),0)</f>
        <v>0</v>
      </c>
      <c r="AF51" s="68" t="n">
        <f aca="false">AF50*(1+AE51)</f>
        <v>1</v>
      </c>
      <c r="AG51" s="49" t="n">
        <f aca="false">AB51*AF51</f>
        <v>0</v>
      </c>
      <c r="AH51" s="70" t="n">
        <f aca="false">IF(AA51&gt;0,AG51*1000000/AA51/Economy!Q51,0)</f>
        <v>0</v>
      </c>
      <c r="AI51" s="47" t="n">
        <v>387400000</v>
      </c>
      <c r="AJ51" s="47" t="n">
        <v>3850</v>
      </c>
      <c r="AK51" s="71" t="n">
        <v>0.165</v>
      </c>
      <c r="AL51" s="49" t="n">
        <f aca="false">IF(AI51&gt;0,AJ51*1000000/AI51,0)</f>
        <v>9.93804852865256</v>
      </c>
      <c r="AM51" s="67" t="n">
        <f aca="false">IF(AND(AK51&gt;0,AL50&gt;0,B51&gt;0),MIN(conv_cap,conv_beta*1*AK51*MAX(0,LN(B51/(AL50*AN50)))),0)</f>
        <v>0.00589137309355594</v>
      </c>
      <c r="AN51" s="68" t="n">
        <f aca="false">AN50*(1+AM51)</f>
        <v>1.11551881746857</v>
      </c>
      <c r="AO51" s="49" t="n">
        <f aca="false">AJ51*AN51</f>
        <v>4294.74744725401</v>
      </c>
      <c r="AP51" s="70" t="n">
        <f aca="false">IF(AI51&gt;0,AO51*1000000/AI51/Economy!Q51,0)</f>
        <v>0.0538159230224651</v>
      </c>
      <c r="AQ51" s="47" t="n">
        <v>11400000</v>
      </c>
      <c r="AR51" s="47" t="n">
        <v>220</v>
      </c>
      <c r="AS51" s="71" t="n">
        <v>0.35</v>
      </c>
      <c r="AT51" s="49" t="n">
        <f aca="false">IF(AQ51&gt;0,AR51*1000000/AQ51,0)</f>
        <v>19.2982456140351</v>
      </c>
      <c r="AU51" s="67" t="n">
        <f aca="false">IF(AND(AS51&gt;0,AT50&gt;0,B51&gt;0),MIN(conv_cap,conv_beta*1*AS51*MAX(0,LN(B51/(AT50*AV50)))),0)</f>
        <v>0.0102970701849577</v>
      </c>
      <c r="AV51" s="68" t="n">
        <f aca="false">AV50*(1+AU51)</f>
        <v>1.08906708637483</v>
      </c>
      <c r="AW51" s="49" t="n">
        <f aca="false">AR51*AV51</f>
        <v>239.594759002463</v>
      </c>
      <c r="AX51" s="70" t="n">
        <f aca="false">IF(AQ51&gt;0,AW51*1000000/AQ51/Economy!Q51,0)</f>
        <v>0.10202468020885</v>
      </c>
      <c r="AY51" s="47" t="n">
        <v>71000000</v>
      </c>
      <c r="AZ51" s="47" t="n">
        <v>1670</v>
      </c>
      <c r="BA51" s="71" t="n">
        <v>0.078</v>
      </c>
      <c r="BB51" s="49" t="n">
        <f aca="false">IF(AY51&gt;0,AZ51*1000000/AY51,0)</f>
        <v>23.5211267605634</v>
      </c>
      <c r="BC51" s="67" t="n">
        <f aca="false">IF(AND(BA51&gt;0,BB50&gt;0,B51&gt;0),MIN(conv_cap,conv_beta*1*BA51*MAX(0,LN(B51/(BB50*BD50)))),0)</f>
        <v>0.00218474530291984</v>
      </c>
      <c r="BD51" s="68" t="n">
        <f aca="false">BD50*(1+BC51)</f>
        <v>1.02131228598356</v>
      </c>
      <c r="BE51" s="49" t="n">
        <f aca="false">AZ51*BD51</f>
        <v>1705.59151759255</v>
      </c>
      <c r="BF51" s="70" t="n">
        <f aca="false">IF(AY51&gt;0,BE51*1000000/AY51/Economy!Q51,0)</f>
        <v>0.116613668644369</v>
      </c>
      <c r="BG51" s="47" t="n">
        <v>27600000</v>
      </c>
      <c r="BH51" s="47" t="n">
        <v>1840</v>
      </c>
      <c r="BI51" s="71" t="n">
        <v>0.138</v>
      </c>
      <c r="BJ51" s="49" t="n">
        <f aca="false">IF(BG51&gt;0,BH51*1000000/BG51,0)</f>
        <v>66.6666666666667</v>
      </c>
      <c r="BK51" s="67" t="n">
        <f aca="false">IF(AND(BI51&gt;0,BJ50&gt;0,B51&gt;0),MIN(conv_cap,conv_beta*1*BI51*MAX(0,LN(B51/(BJ50*BL50)))),0)</f>
        <v>0.002415180577831</v>
      </c>
      <c r="BL51" s="68" t="n">
        <f aca="false">BL50*(1+BK51)</f>
        <v>1.03372267495187</v>
      </c>
      <c r="BM51" s="49" t="n">
        <f aca="false">BH51*BL51</f>
        <v>1902.04972191145</v>
      </c>
      <c r="BN51" s="70" t="n">
        <f aca="false">IF(BG51&gt;0,BM51*1000000/BG51/Economy!Q51,0)</f>
        <v>0.334538082508697</v>
      </c>
      <c r="BO51" s="47" t="n">
        <v>13400000</v>
      </c>
      <c r="BP51" s="47" t="n">
        <v>710</v>
      </c>
      <c r="BQ51" s="71" t="n">
        <v>0</v>
      </c>
      <c r="BR51" s="49" t="n">
        <f aca="false">IF(BO51&gt;0,BP51*1000000/BO51,0)</f>
        <v>52.9850746268657</v>
      </c>
      <c r="BS51" s="67" t="n">
        <f aca="false">IF(AND(BQ51&gt;0,BR50&gt;0,B51&gt;0),MIN(conv_cap,conv_beta*1*BQ51*MAX(0,LN(B51/(BR50*BT50)))),0)</f>
        <v>0</v>
      </c>
      <c r="BT51" s="68" t="n">
        <f aca="false">BT50*(1+BS51)</f>
        <v>1</v>
      </c>
      <c r="BU51" s="49" t="n">
        <f aca="false">BP51*BT51</f>
        <v>710</v>
      </c>
      <c r="BV51" s="70" t="n">
        <f aca="false">IF(BO51&gt;0,BU51*1000000/BO51/Economy!Q51,0)</f>
        <v>0.257209100130416</v>
      </c>
      <c r="BW51" s="68" t="n">
        <f aca="false">0.25*IF(D51&gt;0,H51,1)+0.15*IF(AJ51&gt;0,AN51,1)+0.03*IF(AR51&gt;0,AV51,1)+0.08*IF(AZ51&gt;0,BD51,1)+0.12*IF(BH51&gt;0,BL51,1)+0.1*IF(L51&gt;0,P51,1)+0.07*IF(T51&gt;0,X51,1)+0.05*IF(AB51&gt;0,AF51,1)+0.05*IF(BP51&gt;0,BT51,1)+0.1</f>
        <v>1.12168401679381</v>
      </c>
      <c r="BX51" s="66" t="n">
        <f aca="false">MIN(mkt_cap,mkt_elast*MAX(0,BW51-1))</f>
        <v>0.0608420083969051</v>
      </c>
      <c r="BY51" s="49" t="n">
        <f aca="false">I51+Q51+Y51+AG51</f>
        <v>1261.2744185314</v>
      </c>
      <c r="BZ51" s="49" t="n">
        <f aca="false">D51+L51+T51+AB51</f>
        <v>964.436</v>
      </c>
      <c r="CA51" s="68" t="n">
        <f aca="false">IF(BZ51&gt;0,BY51/BZ51,0)</f>
        <v>1.30778446525368</v>
      </c>
    </row>
    <row r="52" customFormat="false" ht="14.25" hidden="false" customHeight="true" outlineLevel="0" collapsed="false">
      <c r="A52" s="61" t="n">
        <v>1892</v>
      </c>
      <c r="B52" s="49" t="n">
        <f aca="false">Economy!P51</f>
        <v>398.920912241696</v>
      </c>
      <c r="C52" s="47" t="n">
        <v>40800000</v>
      </c>
      <c r="D52" s="65" t="n">
        <f aca="false">Japan!B52</f>
        <v>808</v>
      </c>
      <c r="E52" s="71" t="n">
        <v>0.613</v>
      </c>
      <c r="F52" s="49" t="n">
        <f aca="false">IF(C52&gt;0,D52*1000000/C52,0)</f>
        <v>19.8039215686275</v>
      </c>
      <c r="G52" s="67" t="n">
        <f aca="false">IF(AND(E52&gt;0,F51&gt;0,B52&gt;0),MIN(conv_cap,conv_beta*jp_uplift*E52*MAX(0,LN(B52/(F51*H51)))),0)</f>
        <v>0.0166149685626838</v>
      </c>
      <c r="H52" s="68" t="n">
        <f aca="false">H51*(1+G52)</f>
        <v>1.35531895778258</v>
      </c>
      <c r="I52" s="49" t="n">
        <f aca="false">D52*H52</f>
        <v>1095.09771788833</v>
      </c>
      <c r="J52" s="70" t="n">
        <f aca="false">IF(C52&gt;0,I52*1000000/C52/Economy!Q52,0)</f>
        <v>0.130929904099513</v>
      </c>
      <c r="K52" s="65" t="n">
        <f aca="false">Gulf!B52</f>
        <v>0</v>
      </c>
      <c r="L52" s="49" t="n">
        <f aca="false">Gulf!B52*Gulf!C52*Economy!Q52/1000000</f>
        <v>0</v>
      </c>
      <c r="M52" s="71" t="n">
        <v>0</v>
      </c>
      <c r="N52" s="49" t="n">
        <f aca="false">IF(K52&gt;0,L52*1000000/K52,0)</f>
        <v>0</v>
      </c>
      <c r="O52" s="67" t="n">
        <f aca="false">IF(AND(M52&gt;0,N51&gt;0,B52&gt;0),MIN(conv_cap,conv_beta*1*M52*MAX(0,LN(B52/(N51*P51)))),0)</f>
        <v>0</v>
      </c>
      <c r="P52" s="68" t="n">
        <f aca="false">P51*(1+O52)</f>
        <v>1</v>
      </c>
      <c r="Q52" s="49" t="n">
        <f aca="false">L52*P52</f>
        <v>0</v>
      </c>
      <c r="R52" s="70" t="n">
        <f aca="false">IF(K52&gt;0,Q52*1000000/K52/Economy!Q52,0)</f>
        <v>0</v>
      </c>
      <c r="S52" s="65" t="n">
        <f aca="false">People!U52</f>
        <v>6930990</v>
      </c>
      <c r="T52" s="47" t="n">
        <v>170.467</v>
      </c>
      <c r="U52" s="71" t="n">
        <v>0.478</v>
      </c>
      <c r="V52" s="49" t="n">
        <f aca="false">IF(S52&gt;0,T52*1000000/S52,0)</f>
        <v>24.5948991413925</v>
      </c>
      <c r="W52" s="67" t="n">
        <f aca="false">IF(AND(U52&gt;0,V51&gt;0,B52&gt;0),MIN(conv_cap,conv_beta*1*U52*MAX(0,LN(B52/(V51*X51)))),0)</f>
        <v>0.0127713622305057</v>
      </c>
      <c r="X52" s="68" t="n">
        <f aca="false">X51*(1+W52)</f>
        <v>1.19565437474808</v>
      </c>
      <c r="Y52" s="49" t="n">
        <f aca="false">T52*X52</f>
        <v>203.819614300181</v>
      </c>
      <c r="Z52" s="70" t="n">
        <f aca="false">IF(S52&gt;0,Y52*1000000/S52/Economy!Q52,0)</f>
        <v>0.143448774414116</v>
      </c>
      <c r="AA52" s="47" t="n">
        <v>0</v>
      </c>
      <c r="AB52" s="47" t="n">
        <v>0</v>
      </c>
      <c r="AC52" s="71" t="n">
        <v>0</v>
      </c>
      <c r="AD52" s="49" t="n">
        <f aca="false">IF(AA52&gt;0,AB52*1000000/AA52,0)</f>
        <v>0</v>
      </c>
      <c r="AE52" s="67" t="n">
        <f aca="false">IF(AND(AC52&gt;0,AD51&gt;0,B52&gt;0),MIN(conv_cap,conv_beta*1*AC52*MAX(0,LN(B52/(AD51*AF51)))),0)</f>
        <v>0</v>
      </c>
      <c r="AF52" s="68" t="n">
        <f aca="false">AF51*(1+AE52)</f>
        <v>1</v>
      </c>
      <c r="AG52" s="49" t="n">
        <f aca="false">AB52*AF52</f>
        <v>0</v>
      </c>
      <c r="AH52" s="70" t="n">
        <f aca="false">IF(AA52&gt;0,AG52*1000000/AA52/Economy!Q52,0)</f>
        <v>0</v>
      </c>
      <c r="AI52" s="47" t="n">
        <v>388800000</v>
      </c>
      <c r="AJ52" s="47" t="n">
        <v>3867</v>
      </c>
      <c r="AK52" s="71" t="n">
        <v>0.169</v>
      </c>
      <c r="AL52" s="49" t="n">
        <f aca="false">IF(AI52&gt;0,AJ52*1000000/AI52,0)</f>
        <v>9.94598765432099</v>
      </c>
      <c r="AM52" s="67" t="n">
        <f aca="false">IF(AND(AK52&gt;0,AL51&gt;0,B52&gt;0),MIN(conv_cap,conv_beta*1*AK52*MAX(0,LN(B52/(AL51*AN51)))),0)</f>
        <v>0.00605539320465661</v>
      </c>
      <c r="AN52" s="68" t="n">
        <f aca="false">AN51*(1+AM52)</f>
        <v>1.12227372253554</v>
      </c>
      <c r="AO52" s="49" t="n">
        <f aca="false">AJ52*AN52</f>
        <v>4339.83248504493</v>
      </c>
      <c r="AP52" s="70" t="n">
        <f aca="false">IF(AI52&gt;0,AO52*1000000/AI52/Economy!Q52,0)</f>
        <v>0.0544493687273529</v>
      </c>
      <c r="AQ52" s="47" t="n">
        <v>11470000</v>
      </c>
      <c r="AR52" s="47" t="n">
        <v>223</v>
      </c>
      <c r="AS52" s="71" t="n">
        <v>0.363</v>
      </c>
      <c r="AT52" s="49" t="n">
        <f aca="false">IF(AQ52&gt;0,AR52*1000000/AQ52,0)</f>
        <v>19.4420226678291</v>
      </c>
      <c r="AU52" s="67" t="n">
        <f aca="false">IF(AND(AS52&gt;0,AT51&gt;0,B52&gt;0),MIN(conv_cap,conv_beta*1*AS52*MAX(0,LN(B52/(AT51*AV51)))),0)</f>
        <v>0.0106846419907251</v>
      </c>
      <c r="AV52" s="68" t="n">
        <f aca="false">AV51*(1+AU52)</f>
        <v>1.10070337829663</v>
      </c>
      <c r="AW52" s="49" t="n">
        <f aca="false">AR52*AV52</f>
        <v>245.456853360148</v>
      </c>
      <c r="AX52" s="70" t="n">
        <f aca="false">IF(AQ52&gt;0,AW52*1000000/AQ52/Economy!Q52,0)</f>
        <v>0.104389756250728</v>
      </c>
      <c r="AY52" s="47" t="n">
        <v>72000000</v>
      </c>
      <c r="AZ52" s="47" t="n">
        <v>1707</v>
      </c>
      <c r="BA52" s="71" t="n">
        <v>0.08</v>
      </c>
      <c r="BB52" s="49" t="n">
        <f aca="false">IF(AY52&gt;0,AZ52*1000000/AY52,0)</f>
        <v>23.7083333333333</v>
      </c>
      <c r="BC52" s="67" t="n">
        <f aca="false">IF(AND(BA52&gt;0,BB51&gt;0,B52&gt;0),MIN(conv_cap,conv_beta*1*BA52*MAX(0,LN(B52/(BB51*BD51)))),0)</f>
        <v>0.00224782063892853</v>
      </c>
      <c r="BD52" s="68" t="n">
        <f aca="false">BD51*(1+BC52)</f>
        <v>1.02360801281879</v>
      </c>
      <c r="BE52" s="49" t="n">
        <f aca="false">AZ52*BD52</f>
        <v>1747.29887788167</v>
      </c>
      <c r="BF52" s="70" t="n">
        <f aca="false">IF(AY52&gt;0,BE52*1000000/AY52/Economy!Q52,0)</f>
        <v>0.118380682783311</v>
      </c>
      <c r="BG52" s="47" t="n">
        <v>27900000</v>
      </c>
      <c r="BH52" s="47" t="n">
        <v>1880</v>
      </c>
      <c r="BI52" s="71" t="n">
        <v>0.144</v>
      </c>
      <c r="BJ52" s="49" t="n">
        <f aca="false">IF(BG52&gt;0,BH52*1000000/BG52,0)</f>
        <v>67.3835125448029</v>
      </c>
      <c r="BK52" s="67" t="n">
        <f aca="false">IF(AND(BI52&gt;0,BJ51&gt;0,B52&gt;0),MIN(conv_cap,conv_beta*1*BI52*MAX(0,LN(B52/(BJ51*BL51)))),0)</f>
        <v>0.00252848386131808</v>
      </c>
      <c r="BL52" s="68" t="n">
        <f aca="false">BL51*(1+BK52)</f>
        <v>1.03633642605257</v>
      </c>
      <c r="BM52" s="49" t="n">
        <f aca="false">BH52*BL52</f>
        <v>1948.31248097883</v>
      </c>
      <c r="BN52" s="70" t="n">
        <f aca="false">IF(BG52&gt;0,BM52*1000000/BG52/Economy!Q52,0)</f>
        <v>0.340643846661217</v>
      </c>
      <c r="BO52" s="47" t="n">
        <v>13500000</v>
      </c>
      <c r="BP52" s="47" t="n">
        <v>720</v>
      </c>
      <c r="BQ52" s="71" t="n">
        <v>0</v>
      </c>
      <c r="BR52" s="49" t="n">
        <f aca="false">IF(BO52&gt;0,BP52*1000000/BO52,0)</f>
        <v>53.3333333333333</v>
      </c>
      <c r="BS52" s="67" t="n">
        <f aca="false">IF(AND(BQ52&gt;0,BR51&gt;0,B52&gt;0),MIN(conv_cap,conv_beta*1*BQ52*MAX(0,LN(B52/(BR51*BT51)))),0)</f>
        <v>0</v>
      </c>
      <c r="BT52" s="68" t="n">
        <f aca="false">BT51*(1+BS52)</f>
        <v>1</v>
      </c>
      <c r="BU52" s="49" t="n">
        <f aca="false">BP52*BT52</f>
        <v>720</v>
      </c>
      <c r="BV52" s="70" t="n">
        <f aca="false">IF(BO52&gt;0,BU52*1000000/BO52/Economy!Q52,0)</f>
        <v>0.260162601626016</v>
      </c>
      <c r="BW52" s="68" t="n">
        <f aca="false">0.25*IF(D52&gt;0,H52,1)+0.15*IF(AJ52&gt;0,AN52,1)+0.03*IF(AR52&gt;0,AV52,1)+0.08*IF(AZ52&gt;0,BD52,1)+0.12*IF(BH52&gt;0,BL52,1)+0.1*IF(L52&gt;0,P52,1)+0.07*IF(T52&gt;0,X52,1)+0.05*IF(AB52&gt;0,AF52,1)+0.05*IF(BP52&gt;0,BT52,1)+0.1</f>
        <v>1.13013671755905</v>
      </c>
      <c r="BX52" s="66" t="n">
        <f aca="false">MIN(mkt_cap,mkt_elast*MAX(0,BW52-1))</f>
        <v>0.0650683587795262</v>
      </c>
      <c r="BY52" s="49" t="n">
        <f aca="false">I52+Q52+Y52+AG52</f>
        <v>1298.91733218851</v>
      </c>
      <c r="BZ52" s="49" t="n">
        <f aca="false">D52+L52+T52+AB52</f>
        <v>978.467</v>
      </c>
      <c r="CA52" s="68" t="n">
        <f aca="false">IF(BZ52&gt;0,BY52/BZ52,0)</f>
        <v>1.32750244227808</v>
      </c>
    </row>
    <row r="53" customFormat="false" ht="14.25" hidden="false" customHeight="true" outlineLevel="0" collapsed="false">
      <c r="A53" s="61" t="n">
        <v>1893</v>
      </c>
      <c r="B53" s="49" t="n">
        <f aca="false">Economy!P52</f>
        <v>406.335872737375</v>
      </c>
      <c r="C53" s="47" t="n">
        <v>41200000</v>
      </c>
      <c r="D53" s="65" t="n">
        <f aca="false">Japan!B53</f>
        <v>812</v>
      </c>
      <c r="E53" s="71" t="n">
        <v>0.625</v>
      </c>
      <c r="F53" s="49" t="n">
        <f aca="false">IF(C53&gt;0,D53*1000000/C53,0)</f>
        <v>19.7087378640777</v>
      </c>
      <c r="G53" s="67" t="n">
        <f aca="false">IF(AND(E53&gt;0,F52&gt;0,B53&gt;0),MIN(conv_cap,conv_beta*jp_uplift*E53*MAX(0,LN(B53/(F52*H52)))),0)</f>
        <v>0.0169828955838306</v>
      </c>
      <c r="H53" s="68" t="n">
        <f aca="false">H52*(1+G53)</f>
        <v>1.37833619812539</v>
      </c>
      <c r="I53" s="49" t="n">
        <f aca="false">D53*H53</f>
        <v>1119.20899287782</v>
      </c>
      <c r="J53" s="70" t="n">
        <f aca="false">IF(C53&gt;0,I53*1000000/C53/Economy!Q53,0)</f>
        <v>0.133819048361689</v>
      </c>
      <c r="K53" s="65" t="n">
        <f aca="false">Gulf!B53</f>
        <v>0</v>
      </c>
      <c r="L53" s="49" t="n">
        <f aca="false">Gulf!B53*Gulf!C53*Economy!Q53/1000000</f>
        <v>0</v>
      </c>
      <c r="M53" s="71" t="n">
        <v>0</v>
      </c>
      <c r="N53" s="49" t="n">
        <f aca="false">IF(K53&gt;0,L53*1000000/K53,0)</f>
        <v>0</v>
      </c>
      <c r="O53" s="67" t="n">
        <f aca="false">IF(AND(M53&gt;0,N52&gt;0,B53&gt;0),MIN(conv_cap,conv_beta*1*M53*MAX(0,LN(B53/(N52*P52)))),0)</f>
        <v>0</v>
      </c>
      <c r="P53" s="68" t="n">
        <f aca="false">P52*(1+O53)</f>
        <v>1</v>
      </c>
      <c r="Q53" s="49" t="n">
        <f aca="false">L53*P53</f>
        <v>0</v>
      </c>
      <c r="R53" s="70" t="n">
        <f aca="false">IF(K53&gt;0,Q53*1000000/K53/Economy!Q53,0)</f>
        <v>0</v>
      </c>
      <c r="S53" s="65" t="n">
        <f aca="false">People!U53</f>
        <v>6994331</v>
      </c>
      <c r="T53" s="47" t="n">
        <v>180.499</v>
      </c>
      <c r="U53" s="71" t="n">
        <v>0.486</v>
      </c>
      <c r="V53" s="49" t="n">
        <f aca="false">IF(S53&gt;0,T53*1000000/S53,0)</f>
        <v>25.8064709834293</v>
      </c>
      <c r="W53" s="67" t="n">
        <f aca="false">IF(AND(U53&gt;0,V52&gt;0,B53&gt;0),MIN(conv_cap,conv_beta*1*U53*MAX(0,LN(B53/(V52*X52)))),0)</f>
        <v>0.0127621043224485</v>
      </c>
      <c r="X53" s="68" t="n">
        <f aca="false">X52*(1+W53)</f>
        <v>1.21091344061221</v>
      </c>
      <c r="Y53" s="49" t="n">
        <f aca="false">T53*X53</f>
        <v>218.568665117063</v>
      </c>
      <c r="Z53" s="70" t="n">
        <f aca="false">IF(S53&gt;0,Y53*1000000/S53/Economy!Q53,0)</f>
        <v>0.153937943687702</v>
      </c>
      <c r="AA53" s="47" t="n">
        <v>0</v>
      </c>
      <c r="AB53" s="47" t="n">
        <v>0</v>
      </c>
      <c r="AC53" s="71" t="n">
        <v>0</v>
      </c>
      <c r="AD53" s="49" t="n">
        <f aca="false">IF(AA53&gt;0,AB53*1000000/AA53,0)</f>
        <v>0</v>
      </c>
      <c r="AE53" s="67" t="n">
        <f aca="false">IF(AND(AC53&gt;0,AD52&gt;0,B53&gt;0),MIN(conv_cap,conv_beta*1*AC53*MAX(0,LN(B53/(AD52*AF52)))),0)</f>
        <v>0</v>
      </c>
      <c r="AF53" s="68" t="n">
        <f aca="false">AF52*(1+AE53)</f>
        <v>1</v>
      </c>
      <c r="AG53" s="49" t="n">
        <f aca="false">AB53*AF53</f>
        <v>0</v>
      </c>
      <c r="AH53" s="70" t="n">
        <f aca="false">IF(AA53&gt;0,AG53*1000000/AA53/Economy!Q53,0)</f>
        <v>0</v>
      </c>
      <c r="AI53" s="47" t="n">
        <v>390200000</v>
      </c>
      <c r="AJ53" s="47" t="n">
        <v>3883</v>
      </c>
      <c r="AK53" s="71" t="n">
        <v>0.173</v>
      </c>
      <c r="AL53" s="49" t="n">
        <f aca="false">IF(AI53&gt;0,AJ53*1000000/AI53,0)</f>
        <v>9.95130702203998</v>
      </c>
      <c r="AM53" s="67" t="n">
        <f aca="false">IF(AND(AK53&gt;0,AL52&gt;0,B53&gt;0),MIN(conv_cap,conv_beta*1*AK53*MAX(0,LN(B53/(AL52*AN52)))),0)</f>
        <v>0.00621875165269375</v>
      </c>
      <c r="AN53" s="68" t="n">
        <f aca="false">AN52*(1+AM53)</f>
        <v>1.12925286410233</v>
      </c>
      <c r="AO53" s="49" t="n">
        <f aca="false">AJ53*AN53</f>
        <v>4384.88887130936</v>
      </c>
      <c r="AP53" s="70" t="n">
        <f aca="false">IF(AI53&gt;0,AO53*1000000/AI53/Economy!Q53,0)</f>
        <v>0.0553573495379325</v>
      </c>
      <c r="AQ53" s="47" t="n">
        <v>11530000</v>
      </c>
      <c r="AR53" s="47" t="n">
        <v>227</v>
      </c>
      <c r="AS53" s="71" t="n">
        <v>0.375</v>
      </c>
      <c r="AT53" s="49" t="n">
        <f aca="false">IF(AQ53&gt;0,AR53*1000000/AQ53,0)</f>
        <v>19.6877710320902</v>
      </c>
      <c r="AU53" s="67" t="n">
        <f aca="false">IF(AND(AS53&gt;0,AT52&gt;0,B53&gt;0),MIN(conv_cap,conv_beta*1*AS53*MAX(0,LN(B53/(AT52*AV52)))),0)</f>
        <v>0.0110392268991204</v>
      </c>
      <c r="AV53" s="68" t="n">
        <f aca="false">AV52*(1+AU53)</f>
        <v>1.11285429263827</v>
      </c>
      <c r="AW53" s="49" t="n">
        <f aca="false">AR53*AV53</f>
        <v>252.617924428888</v>
      </c>
      <c r="AX53" s="70" t="n">
        <f aca="false">IF(AQ53&gt;0,AW53*1000000/AQ53/Economy!Q53,0)</f>
        <v>0.107929165051926</v>
      </c>
      <c r="AY53" s="47" t="n">
        <v>73000000</v>
      </c>
      <c r="AZ53" s="47" t="n">
        <v>1743</v>
      </c>
      <c r="BA53" s="71" t="n">
        <v>0.083</v>
      </c>
      <c r="BB53" s="49" t="n">
        <f aca="false">IF(AY53&gt;0,AZ53*1000000/AY53,0)</f>
        <v>23.8767123287671</v>
      </c>
      <c r="BC53" s="67" t="n">
        <f aca="false">IF(AND(BA53&gt;0,BB52&gt;0,B53&gt;0),MIN(conv_cap,conv_beta*1*BA53*MAX(0,LN(B53/(BB52*BD52)))),0)</f>
        <v>0.00233895646157672</v>
      </c>
      <c r="BD53" s="68" t="n">
        <f aca="false">BD52*(1+BC53)</f>
        <v>1.02600218739449</v>
      </c>
      <c r="BE53" s="49" t="n">
        <f aca="false">AZ53*BD53</f>
        <v>1788.3218126286</v>
      </c>
      <c r="BF53" s="70" t="n">
        <f aca="false">IF(AY53&gt;0,BE53*1000000/AY53/Economy!Q53,0)</f>
        <v>0.120677630921695</v>
      </c>
      <c r="BG53" s="47" t="n">
        <v>28100000</v>
      </c>
      <c r="BH53" s="47" t="n">
        <v>1920</v>
      </c>
      <c r="BI53" s="71" t="n">
        <v>0.15</v>
      </c>
      <c r="BJ53" s="49" t="n">
        <f aca="false">IF(BG53&gt;0,BH53*1000000/BG53,0)</f>
        <v>68.3274021352313</v>
      </c>
      <c r="BK53" s="67" t="n">
        <f aca="false">IF(AND(BI53&gt;0,BJ52&gt;0,B53&gt;0),MIN(conv_cap,conv_beta*1*BI53*MAX(0,LN(B53/(BJ52*BL52)))),0)</f>
        <v>0.00264163184499245</v>
      </c>
      <c r="BL53" s="68" t="n">
        <f aca="false">BL52*(1+BK53)</f>
        <v>1.03907404535775</v>
      </c>
      <c r="BM53" s="49" t="n">
        <f aca="false">BH53*BL53</f>
        <v>1995.02216708689</v>
      </c>
      <c r="BN53" s="70" t="n">
        <f aca="false">IF(BG53&gt;0,BM53*1000000/BG53/Economy!Q53,0)</f>
        <v>0.349740049977541</v>
      </c>
      <c r="BO53" s="47" t="n">
        <v>13500000</v>
      </c>
      <c r="BP53" s="47" t="n">
        <v>730</v>
      </c>
      <c r="BQ53" s="71" t="n">
        <v>0</v>
      </c>
      <c r="BR53" s="49" t="n">
        <f aca="false">IF(BO53&gt;0,BP53*1000000/BO53,0)</f>
        <v>54.0740740740741</v>
      </c>
      <c r="BS53" s="67" t="n">
        <f aca="false">IF(AND(BQ53&gt;0,BR52&gt;0,B53&gt;0),MIN(conv_cap,conv_beta*1*BQ53*MAX(0,LN(B53/(BR52*BT52)))),0)</f>
        <v>0</v>
      </c>
      <c r="BT53" s="68" t="n">
        <f aca="false">BT52*(1+BS53)</f>
        <v>1</v>
      </c>
      <c r="BU53" s="49" t="n">
        <f aca="false">BP53*BT53</f>
        <v>730</v>
      </c>
      <c r="BV53" s="70" t="n">
        <f aca="false">IF(BO53&gt;0,BU53*1000000/BO53/Economy!Q53,0)</f>
        <v>0.26637474913337</v>
      </c>
      <c r="BW53" s="68" t="n">
        <f aca="false">0.25*IF(D53&gt;0,H53,1)+0.15*IF(AJ53&gt;0,AN53,1)+0.03*IF(AR53&gt;0,AV53,1)+0.08*IF(AZ53&gt;0,BD53,1)+0.12*IF(BH53&gt;0,BL53,1)+0.1*IF(L53&gt;0,P53,1)+0.07*IF(T53&gt;0,X53,1)+0.05*IF(AB53&gt;0,AF53,1)+0.05*IF(BP53&gt;0,BT53,1)+0.1</f>
        <v>1.13889060920319</v>
      </c>
      <c r="BX53" s="66" t="n">
        <f aca="false">MIN(mkt_cap,mkt_elast*MAX(0,BW53-1))</f>
        <v>0.069445304601595</v>
      </c>
      <c r="BY53" s="49" t="n">
        <f aca="false">I53+Q53+Y53+AG53</f>
        <v>1337.77765799488</v>
      </c>
      <c r="BZ53" s="49" t="n">
        <f aca="false">D53+L53+T53+AB53</f>
        <v>992.499</v>
      </c>
      <c r="CA53" s="68" t="n">
        <f aca="false">IF(BZ53&gt;0,BY53/BZ53,0)</f>
        <v>1.34788816713657</v>
      </c>
    </row>
    <row r="54" customFormat="false" ht="14.25" hidden="false" customHeight="true" outlineLevel="0" collapsed="false">
      <c r="A54" s="61" t="n">
        <v>1894</v>
      </c>
      <c r="B54" s="49" t="n">
        <f aca="false">Economy!P53</f>
        <v>393.601301234731</v>
      </c>
      <c r="C54" s="47" t="n">
        <v>41600000</v>
      </c>
      <c r="D54" s="65" t="n">
        <f aca="false">Japan!B54</f>
        <v>816</v>
      </c>
      <c r="E54" s="71" t="n">
        <v>0.638</v>
      </c>
      <c r="F54" s="49" t="n">
        <f aca="false">IF(C54&gt;0,D54*1000000/C54,0)</f>
        <v>19.6153846153846</v>
      </c>
      <c r="G54" s="67" t="n">
        <f aca="false">IF(AND(E54&gt;0,F53&gt;0,B54&gt;0),MIN(conv_cap,conv_beta*jp_uplift*E54*MAX(0,LN(B54/(F53*H53)))),0)</f>
        <v>0.0170562873368397</v>
      </c>
      <c r="H54" s="68" t="n">
        <f aca="false">H53*(1+G54)</f>
        <v>1.40184549636739</v>
      </c>
      <c r="I54" s="49" t="n">
        <f aca="false">D54*H54</f>
        <v>1143.90592503579</v>
      </c>
      <c r="J54" s="70" t="n">
        <f aca="false">IF(C54&gt;0,I54*1000000/C54/Economy!Q54,0)</f>
        <v>0.136127418725698</v>
      </c>
      <c r="K54" s="65" t="n">
        <f aca="false">Gulf!B54</f>
        <v>0</v>
      </c>
      <c r="L54" s="49" t="n">
        <f aca="false">Gulf!B54*Gulf!C54*Economy!Q54/1000000</f>
        <v>0</v>
      </c>
      <c r="M54" s="71" t="n">
        <v>0</v>
      </c>
      <c r="N54" s="49" t="n">
        <f aca="false">IF(K54&gt;0,L54*1000000/K54,0)</f>
        <v>0</v>
      </c>
      <c r="O54" s="67" t="n">
        <f aca="false">IF(AND(M54&gt;0,N53&gt;0,B54&gt;0),MIN(conv_cap,conv_beta*1*M54*MAX(0,LN(B54/(N53*P53)))),0)</f>
        <v>0</v>
      </c>
      <c r="P54" s="68" t="n">
        <f aca="false">P53*(1+O54)</f>
        <v>1</v>
      </c>
      <c r="Q54" s="49" t="n">
        <f aca="false">L54*P54</f>
        <v>0</v>
      </c>
      <c r="R54" s="70" t="n">
        <f aca="false">IF(K54&gt;0,Q54*1000000/K54/Economy!Q54,0)</f>
        <v>0</v>
      </c>
      <c r="S54" s="65" t="n">
        <f aca="false">People!U54</f>
        <v>7057679</v>
      </c>
      <c r="T54" s="47" t="n">
        <v>190.531</v>
      </c>
      <c r="U54" s="71" t="n">
        <v>0.494</v>
      </c>
      <c r="V54" s="49" t="n">
        <f aca="false">IF(S54&gt;0,T54*1000000/S54,0)</f>
        <v>26.9962688866977</v>
      </c>
      <c r="W54" s="67" t="n">
        <f aca="false">IF(AND(U54&gt;0,V53&gt;0,B54&gt;0),MIN(conv_cap,conv_beta*1*U54*MAX(0,LN(B54/(V53*X53)))),0)</f>
        <v>0.0125146907720234</v>
      </c>
      <c r="X54" s="68" t="n">
        <f aca="false">X53*(1+W54)</f>
        <v>1.22606764787316</v>
      </c>
      <c r="Y54" s="49" t="n">
        <f aca="false">T54*X54</f>
        <v>233.60389501692</v>
      </c>
      <c r="Z54" s="70" t="n">
        <f aca="false">IF(S54&gt;0,Y54*1000000/S54/Economy!Q54,0)</f>
        <v>0.163857682649825</v>
      </c>
      <c r="AA54" s="47" t="n">
        <v>0</v>
      </c>
      <c r="AB54" s="47" t="n">
        <v>0</v>
      </c>
      <c r="AC54" s="71" t="n">
        <v>0</v>
      </c>
      <c r="AD54" s="49" t="n">
        <f aca="false">IF(AA54&gt;0,AB54*1000000/AA54,0)</f>
        <v>0</v>
      </c>
      <c r="AE54" s="67" t="n">
        <f aca="false">IF(AND(AC54&gt;0,AD53&gt;0,B54&gt;0),MIN(conv_cap,conv_beta*1*AC54*MAX(0,LN(B54/(AD53*AF53)))),0)</f>
        <v>0</v>
      </c>
      <c r="AF54" s="68" t="n">
        <f aca="false">AF53*(1+AE54)</f>
        <v>1</v>
      </c>
      <c r="AG54" s="49" t="n">
        <f aca="false">AB54*AF54</f>
        <v>0</v>
      </c>
      <c r="AH54" s="70" t="n">
        <f aca="false">IF(AA54&gt;0,AG54*1000000/AA54/Economy!Q54,0)</f>
        <v>0</v>
      </c>
      <c r="AI54" s="47" t="n">
        <v>391600000</v>
      </c>
      <c r="AJ54" s="47" t="n">
        <v>3900</v>
      </c>
      <c r="AK54" s="71" t="n">
        <v>0.177</v>
      </c>
      <c r="AL54" s="49" t="n">
        <f aca="false">IF(AI54&gt;0,AJ54*1000000/AI54,0)</f>
        <v>9.95914198161389</v>
      </c>
      <c r="AM54" s="67" t="n">
        <f aca="false">IF(AND(AK54&gt;0,AL53&gt;0,B54&gt;0),MIN(conv_cap,conv_beta*1*AK54*MAX(0,LN(B54/(AL53*AN53)))),0)</f>
        <v>0.00629425865786344</v>
      </c>
      <c r="AN54" s="68" t="n">
        <f aca="false">AN53*(1+AM54)</f>
        <v>1.13636067371913</v>
      </c>
      <c r="AO54" s="49" t="n">
        <f aca="false">AJ54*AN54</f>
        <v>4431.80662750459</v>
      </c>
      <c r="AP54" s="70" t="n">
        <f aca="false">IF(AI54&gt;0,AO54*1000000/AI54/Economy!Q54,0)</f>
        <v>0.0560256301578772</v>
      </c>
      <c r="AQ54" s="47" t="n">
        <v>11600000</v>
      </c>
      <c r="AR54" s="47" t="n">
        <v>230</v>
      </c>
      <c r="AS54" s="71" t="n">
        <v>0.388</v>
      </c>
      <c r="AT54" s="49" t="n">
        <f aca="false">IF(AQ54&gt;0,AR54*1000000/AQ54,0)</f>
        <v>19.8275862068966</v>
      </c>
      <c r="AU54" s="67" t="n">
        <f aca="false">IF(AND(AS54&gt;0,AT53&gt;0,B54&gt;0),MIN(conv_cap,conv_beta*1*AS54*MAX(0,LN(B54/(AT53*AV53)))),0)</f>
        <v>0.0112070410366155</v>
      </c>
      <c r="AV54" s="68" t="n">
        <f aca="false">AV53*(1+AU54)</f>
        <v>1.12532609636365</v>
      </c>
      <c r="AW54" s="49" t="n">
        <f aca="false">AR54*AV54</f>
        <v>258.825002163639</v>
      </c>
      <c r="AX54" s="70" t="n">
        <f aca="false">IF(AQ54&gt;0,AW54*1000000/AQ54/Economy!Q54,0)</f>
        <v>0.110457921715448</v>
      </c>
      <c r="AY54" s="47" t="n">
        <v>74000000</v>
      </c>
      <c r="AZ54" s="47" t="n">
        <v>1780</v>
      </c>
      <c r="BA54" s="71" t="n">
        <v>0.085</v>
      </c>
      <c r="BB54" s="49" t="n">
        <f aca="false">IF(AY54&gt;0,AZ54*1000000/AY54,0)</f>
        <v>24.0540540540541</v>
      </c>
      <c r="BC54" s="67" t="n">
        <f aca="false">IF(AND(BA54&gt;0,BB53&gt;0,B54&gt;0),MIN(conv_cap,conv_beta*1*BA54*MAX(0,LN(B54/(BB53*BD53)))),0)</f>
        <v>0.00236025023986274</v>
      </c>
      <c r="BD54" s="68" t="n">
        <f aca="false">BD53*(1+BC54)</f>
        <v>1.02842380930339</v>
      </c>
      <c r="BE54" s="49" t="n">
        <f aca="false">AZ54*BD54</f>
        <v>1830.59438056003</v>
      </c>
      <c r="BF54" s="70" t="n">
        <f aca="false">IF(AY54&gt;0,BE54*1000000/AY54/Economy!Q54,0)</f>
        <v>0.122464167819108</v>
      </c>
      <c r="BG54" s="47" t="n">
        <v>28400000</v>
      </c>
      <c r="BH54" s="47" t="n">
        <v>1960</v>
      </c>
      <c r="BI54" s="71" t="n">
        <v>0.156</v>
      </c>
      <c r="BJ54" s="49" t="n">
        <f aca="false">IF(BG54&gt;0,BH54*1000000/BG54,0)</f>
        <v>69.0140845070423</v>
      </c>
      <c r="BK54" s="67" t="n">
        <f aca="false">IF(AND(BI54&gt;0,BJ53&gt;0,B54&gt;0),MIN(conv_cap,conv_beta*1*BI54*MAX(0,LN(B54/(BJ53*BL53)))),0)</f>
        <v>0.002671808266781</v>
      </c>
      <c r="BL54" s="68" t="n">
        <f aca="false">BL53*(1+BK54)</f>
        <v>1.04185025198194</v>
      </c>
      <c r="BM54" s="49" t="n">
        <f aca="false">BH54*BL54</f>
        <v>2042.0264938846</v>
      </c>
      <c r="BN54" s="70" t="n">
        <f aca="false">IF(BG54&gt;0,BM54*1000000/BG54/Economy!Q54,0)</f>
        <v>0.355952184821608</v>
      </c>
      <c r="BO54" s="47" t="n">
        <v>13600000</v>
      </c>
      <c r="BP54" s="47" t="n">
        <v>740</v>
      </c>
      <c r="BQ54" s="71" t="n">
        <v>0</v>
      </c>
      <c r="BR54" s="49" t="n">
        <f aca="false">IF(BO54&gt;0,BP54*1000000/BO54,0)</f>
        <v>54.4117647058824</v>
      </c>
      <c r="BS54" s="67" t="n">
        <f aca="false">IF(AND(BQ54&gt;0,BR53&gt;0,B54&gt;0),MIN(conv_cap,conv_beta*1*BQ54*MAX(0,LN(B54/(BR53*BT53)))),0)</f>
        <v>0</v>
      </c>
      <c r="BT54" s="68" t="n">
        <f aca="false">BT53*(1+BS54)</f>
        <v>1</v>
      </c>
      <c r="BU54" s="49" t="n">
        <f aca="false">BP54*BT54</f>
        <v>740</v>
      </c>
      <c r="BV54" s="70" t="n">
        <f aca="false">IF(BO54&gt;0,BU54*1000000/BO54/Economy!Q54,0)</f>
        <v>0.269365171811299</v>
      </c>
      <c r="BW54" s="68" t="n">
        <f aca="false">0.25*IF(D54&gt;0,H54,1)+0.15*IF(AJ54&gt;0,AN54,1)+0.03*IF(AR54&gt;0,AV54,1)+0.08*IF(AZ54&gt;0,BD54,1)+0.12*IF(BH54&gt;0,BL54,1)+0.1*IF(L54&gt;0,P54,1)+0.07*IF(T54&gt;0,X54,1)+0.05*IF(AB54&gt;0,AF54,1)+0.05*IF(BP54&gt;0,BT54,1)+0.1</f>
        <v>1.14779592837385</v>
      </c>
      <c r="BX54" s="66" t="n">
        <f aca="false">MIN(mkt_cap,mkt_elast*MAX(0,BW54-1))</f>
        <v>0.0738979641869245</v>
      </c>
      <c r="BY54" s="49" t="n">
        <f aca="false">I54+Q54+Y54+AG54</f>
        <v>1377.50982005271</v>
      </c>
      <c r="BZ54" s="49" t="n">
        <f aca="false">D54+L54+T54+AB54</f>
        <v>1006.531</v>
      </c>
      <c r="CA54" s="68" t="n">
        <f aca="false">IF(BZ54&gt;0,BY54/BZ54,0)</f>
        <v>1.36857167842094</v>
      </c>
    </row>
    <row r="55" customFormat="false" ht="14.25" hidden="false" customHeight="true" outlineLevel="0" collapsed="false">
      <c r="A55" s="61" t="n">
        <v>1895</v>
      </c>
      <c r="B55" s="49" t="n">
        <f aca="false">Economy!P54</f>
        <v>395.972934253541</v>
      </c>
      <c r="C55" s="47" t="n">
        <v>42000000</v>
      </c>
      <c r="D55" s="65" t="n">
        <f aca="false">Japan!B55</f>
        <v>820</v>
      </c>
      <c r="E55" s="71" t="n">
        <v>0.65</v>
      </c>
      <c r="F55" s="49" t="n">
        <f aca="false">IF(C55&gt;0,D55*1000000/C55,0)</f>
        <v>19.5238095238095</v>
      </c>
      <c r="G55" s="67" t="n">
        <f aca="false">IF(AND(E55&gt;0,F54&gt;0,B55&gt;0),MIN(conv_cap,conv_beta*jp_uplift*E55*MAX(0,LN(B55/(F54*H54)))),0)</f>
        <v>0.0173370736054309</v>
      </c>
      <c r="H55" s="68" t="n">
        <f aca="false">H54*(1+G55)</f>
        <v>1.42614939492135</v>
      </c>
      <c r="I55" s="49" t="n">
        <f aca="false">D55*H55</f>
        <v>1169.44250383551</v>
      </c>
      <c r="J55" s="70" t="n">
        <f aca="false">IF(C55&gt;0,I55*1000000/C55/Economy!Q55,0)</f>
        <v>0.139219345694703</v>
      </c>
      <c r="K55" s="65" t="n">
        <f aca="false">Gulf!B55</f>
        <v>0</v>
      </c>
      <c r="L55" s="49" t="n">
        <f aca="false">Gulf!B55*Gulf!C55*Economy!Q55/1000000</f>
        <v>0</v>
      </c>
      <c r="M55" s="71" t="n">
        <v>0.3</v>
      </c>
      <c r="N55" s="49" t="n">
        <f aca="false">IF(K55&gt;0,L55*1000000/K55,0)</f>
        <v>0</v>
      </c>
      <c r="O55" s="67" t="n">
        <f aca="false">IF(AND(M55&gt;0,N54&gt;0,B55&gt;0),MIN(conv_cap,conv_beta*1*M55*MAX(0,LN(B55/(N54*P54)))),0)</f>
        <v>0</v>
      </c>
      <c r="P55" s="68" t="n">
        <f aca="false">P54*(1+O55)</f>
        <v>1</v>
      </c>
      <c r="Q55" s="49" t="n">
        <f aca="false">L55*P55</f>
        <v>0</v>
      </c>
      <c r="R55" s="70" t="n">
        <f aca="false">IF(K55&gt;0,Q55*1000000/K55/Economy!Q55,0)</f>
        <v>0</v>
      </c>
      <c r="S55" s="65" t="n">
        <f aca="false">People!U55</f>
        <v>7120034</v>
      </c>
      <c r="T55" s="47" t="n">
        <v>200.564</v>
      </c>
      <c r="U55" s="71" t="n">
        <v>0.502</v>
      </c>
      <c r="V55" s="49" t="n">
        <f aca="false">IF(S55&gt;0,T55*1000000/S55,0)</f>
        <v>28.1689666088673</v>
      </c>
      <c r="W55" s="67" t="n">
        <f aca="false">IF(AND(U55&gt;0,V54&gt;0,B55&gt;0),MIN(conv_cap,conv_beta*1*U55*MAX(0,LN(B55/(V54*X54)))),0)</f>
        <v>0.0124588126050959</v>
      </c>
      <c r="X55" s="68" t="n">
        <f aca="false">X54*(1+W55)</f>
        <v>1.24134299493918</v>
      </c>
      <c r="Y55" s="49" t="n">
        <f aca="false">T55*X55</f>
        <v>248.968716436981</v>
      </c>
      <c r="Z55" s="70" t="n">
        <f aca="false">IF(S55&gt;0,Y55*1000000/S55/Economy!Q55,0)</f>
        <v>0.174836746872965</v>
      </c>
      <c r="AA55" s="47" t="n">
        <v>0</v>
      </c>
      <c r="AB55" s="47" t="n">
        <v>0</v>
      </c>
      <c r="AC55" s="71" t="n">
        <v>0</v>
      </c>
      <c r="AD55" s="49" t="n">
        <f aca="false">IF(AA55&gt;0,AB55*1000000/AA55,0)</f>
        <v>0</v>
      </c>
      <c r="AE55" s="67" t="n">
        <f aca="false">IF(AND(AC55&gt;0,AD54&gt;0,B55&gt;0),MIN(conv_cap,conv_beta*1*AC55*MAX(0,LN(B55/(AD54*AF54)))),0)</f>
        <v>0</v>
      </c>
      <c r="AF55" s="68" t="n">
        <f aca="false">AF54*(1+AE55)</f>
        <v>1</v>
      </c>
      <c r="AG55" s="49" t="n">
        <f aca="false">AB55*AF55</f>
        <v>0</v>
      </c>
      <c r="AH55" s="70" t="n">
        <f aca="false">IF(AA55&gt;0,AG55*1000000/AA55/Economy!Q55,0)</f>
        <v>0</v>
      </c>
      <c r="AI55" s="47" t="n">
        <v>393000000</v>
      </c>
      <c r="AJ55" s="47" t="n">
        <v>3917</v>
      </c>
      <c r="AK55" s="71" t="n">
        <v>0.181</v>
      </c>
      <c r="AL55" s="49" t="n">
        <f aca="false">IF(AI55&gt;0,AJ55*1000000/AI55,0)</f>
        <v>9.96692111959288</v>
      </c>
      <c r="AM55" s="67" t="n">
        <f aca="false">IF(AND(AK55&gt;0,AL54&gt;0,B55&gt;0),MIN(conv_cap,conv_beta*1*AK55*MAX(0,LN(B55/(AL54*AN54)))),0)</f>
        <v>0.0064345937571724</v>
      </c>
      <c r="AN55" s="68" t="n">
        <f aca="false">AN54*(1+AM55)</f>
        <v>1.14367269301614</v>
      </c>
      <c r="AO55" s="49" t="n">
        <f aca="false">AJ55*AN55</f>
        <v>4479.7659385442</v>
      </c>
      <c r="AP55" s="70" t="n">
        <f aca="false">IF(AI55&gt;0,AO55*1000000/AI55/Economy!Q55,0)</f>
        <v>0.0569944775896209</v>
      </c>
      <c r="AQ55" s="47" t="n">
        <v>11670000</v>
      </c>
      <c r="AR55" s="47" t="n">
        <v>233</v>
      </c>
      <c r="AS55" s="71" t="n">
        <v>0.4</v>
      </c>
      <c r="AT55" s="49" t="n">
        <f aca="false">IF(AQ55&gt;0,AR55*1000000/AQ55,0)</f>
        <v>19.9657240788346</v>
      </c>
      <c r="AU55" s="67" t="n">
        <f aca="false">IF(AND(AS55&gt;0,AT54&gt;0,B55&gt;0),MIN(conv_cap,conv_beta*1*AS55*MAX(0,LN(B55/(AT54*AV54)))),0)</f>
        <v>0.011504795172699</v>
      </c>
      <c r="AV55" s="68" t="n">
        <f aca="false">AV54*(1+AU55)</f>
        <v>1.1382727426048</v>
      </c>
      <c r="AW55" s="49" t="n">
        <f aca="false">AR55*AV55</f>
        <v>265.217549026919</v>
      </c>
      <c r="AX55" s="70" t="n">
        <f aca="false">IF(AQ55&gt;0,AW55*1000000/AQ55/Economy!Q55,0)</f>
        <v>0.113632197526529</v>
      </c>
      <c r="AY55" s="47" t="n">
        <v>75000000</v>
      </c>
      <c r="AZ55" s="47" t="n">
        <v>1817</v>
      </c>
      <c r="BA55" s="71" t="n">
        <v>0.087</v>
      </c>
      <c r="BB55" s="49" t="n">
        <f aca="false">IF(AY55&gt;0,AZ55*1000000/AY55,0)</f>
        <v>24.2266666666667</v>
      </c>
      <c r="BC55" s="67" t="n">
        <f aca="false">IF(AND(BA55&gt;0,BB54&gt;0,B55&gt;0),MIN(conv_cap,conv_beta*1*BA55*MAX(0,LN(B55/(BB54*BD54)))),0)</f>
        <v>0.00241252301786048</v>
      </c>
      <c r="BD55" s="68" t="n">
        <f aca="false">BD54*(1+BC55)</f>
        <v>1.03090490541545</v>
      </c>
      <c r="BE55" s="49" t="n">
        <f aca="false">AZ55*BD55</f>
        <v>1873.15421313987</v>
      </c>
      <c r="BF55" s="70" t="n">
        <f aca="false">IF(AY55&gt;0,BE55*1000000/AY55/Economy!Q55,0)</f>
        <v>0.124876947542658</v>
      </c>
      <c r="BG55" s="47" t="n">
        <v>28700000</v>
      </c>
      <c r="BH55" s="47" t="n">
        <v>2000</v>
      </c>
      <c r="BI55" s="71" t="n">
        <v>0.163</v>
      </c>
      <c r="BJ55" s="49" t="n">
        <f aca="false">IF(BG55&gt;0,BH55*1000000/BG55,0)</f>
        <v>69.6864111498258</v>
      </c>
      <c r="BK55" s="67" t="n">
        <f aca="false">IF(AND(BI55&gt;0,BJ54&gt;0,B55&gt;0),MIN(conv_cap,conv_beta*1*BI55*MAX(0,LN(B55/(BJ54*BL54)))),0)</f>
        <v>0.00278084036398972</v>
      </c>
      <c r="BL55" s="68" t="n">
        <f aca="false">BL54*(1+BK55)</f>
        <v>1.04474747121588</v>
      </c>
      <c r="BM55" s="49" t="n">
        <f aca="false">BH55*BL55</f>
        <v>2089.49494243177</v>
      </c>
      <c r="BN55" s="70" t="n">
        <f aca="false">IF(BG55&gt;0,BM55*1000000/BG55/Economy!Q55,0)</f>
        <v>0.364023509134454</v>
      </c>
      <c r="BO55" s="47" t="n">
        <v>13700000</v>
      </c>
      <c r="BP55" s="47" t="n">
        <v>750</v>
      </c>
      <c r="BQ55" s="71" t="n">
        <v>0</v>
      </c>
      <c r="BR55" s="49" t="n">
        <f aca="false">IF(BO55&gt;0,BP55*1000000/BO55,0)</f>
        <v>54.7445255474453</v>
      </c>
      <c r="BS55" s="67" t="n">
        <f aca="false">IF(AND(BQ55&gt;0,BR54&gt;0,B55&gt;0),MIN(conv_cap,conv_beta*1*BQ55*MAX(0,LN(B55/(BR54*BT54)))),0)</f>
        <v>0</v>
      </c>
      <c r="BT55" s="68" t="n">
        <f aca="false">BT54*(1+BS55)</f>
        <v>1</v>
      </c>
      <c r="BU55" s="49" t="n">
        <f aca="false">BP55*BT55</f>
        <v>750</v>
      </c>
      <c r="BV55" s="70" t="n">
        <f aca="false">IF(BO55&gt;0,BU55*1000000/BO55/Economy!Q55,0)</f>
        <v>0.273722627737226</v>
      </c>
      <c r="BW55" s="68" t="n">
        <f aca="false">0.25*IF(D55&gt;0,H55,1)+0.15*IF(AJ55&gt;0,AN55,1)+0.03*IF(AR55&gt;0,AV55,1)+0.08*IF(AZ55&gt;0,BD55,1)+0.12*IF(BH55&gt;0,BL55,1)+0.1*IF(L55&gt;0,P55,1)+0.07*IF(T55&gt;0,X55,1)+0.05*IF(AB55&gt;0,AF55,1)+0.05*IF(BP55&gt;0,BT55,1)+0.1</f>
        <v>1.15697253358579</v>
      </c>
      <c r="BX55" s="66" t="n">
        <f aca="false">MIN(mkt_cap,mkt_elast*MAX(0,BW55-1))</f>
        <v>0.0784862667928928</v>
      </c>
      <c r="BY55" s="49" t="n">
        <f aca="false">I55+Q55+Y55+AG55</f>
        <v>1418.41122027249</v>
      </c>
      <c r="BZ55" s="49" t="n">
        <f aca="false">D55+L55+T55+AB55</f>
        <v>1020.564</v>
      </c>
      <c r="CA55" s="68" t="n">
        <f aca="false">IF(BZ55&gt;0,BY55/BZ55,0)</f>
        <v>1.38983074091628</v>
      </c>
    </row>
    <row r="56" customFormat="false" ht="14.25" hidden="false" customHeight="true" outlineLevel="0" collapsed="false">
      <c r="A56" s="61" t="n">
        <v>1896</v>
      </c>
      <c r="B56" s="49" t="n">
        <f aca="false">Economy!P55</f>
        <v>414.644134612749</v>
      </c>
      <c r="C56" s="47" t="n">
        <v>42400000</v>
      </c>
      <c r="D56" s="65" t="n">
        <f aca="false">Japan!B56</f>
        <v>960</v>
      </c>
      <c r="E56" s="71" t="n">
        <v>0.66</v>
      </c>
      <c r="F56" s="49" t="n">
        <f aca="false">IF(C56&gt;0,D56*1000000/C56,0)</f>
        <v>22.6415094339623</v>
      </c>
      <c r="G56" s="67" t="n">
        <f aca="false">IF(AND(E56&gt;0,F55&gt;0,B56&gt;0),MIN(conv_cap,conv_beta*jp_uplift*E56*MAX(0,LN(B56/(F55*H55)))),0)</f>
        <v>0.0178253317565566</v>
      </c>
      <c r="H56" s="68" t="n">
        <f aca="false">H55*(1+G56)</f>
        <v>1.45157098102023</v>
      </c>
      <c r="I56" s="49" t="n">
        <f aca="false">D56*H56</f>
        <v>1393.50814177942</v>
      </c>
      <c r="J56" s="70" t="n">
        <f aca="false">IF(C56&gt;0,I56*1000000/C56/Economy!Q56,0)</f>
        <v>0.157252430913088</v>
      </c>
      <c r="K56" s="65" t="n">
        <f aca="false">Gulf!B56</f>
        <v>0</v>
      </c>
      <c r="L56" s="49" t="n">
        <f aca="false">Gulf!B56*Gulf!C56*Economy!Q56/1000000</f>
        <v>0</v>
      </c>
      <c r="M56" s="71" t="n">
        <v>0.34</v>
      </c>
      <c r="N56" s="49" t="n">
        <f aca="false">IF(K56&gt;0,L56*1000000/K56,0)</f>
        <v>0</v>
      </c>
      <c r="O56" s="67" t="n">
        <f aca="false">IF(AND(M56&gt;0,N55&gt;0,B56&gt;0),MIN(conv_cap,conv_beta*1*M56*MAX(0,LN(B56/(N55*P55)))),0)</f>
        <v>0</v>
      </c>
      <c r="P56" s="68" t="n">
        <f aca="false">P55*(1+O56)</f>
        <v>1</v>
      </c>
      <c r="Q56" s="49" t="n">
        <f aca="false">L56*P56</f>
        <v>0</v>
      </c>
      <c r="R56" s="70" t="n">
        <f aca="false">IF(K56&gt;0,Q56*1000000/K56/Economy!Q56,0)</f>
        <v>0</v>
      </c>
      <c r="S56" s="65" t="n">
        <f aca="false">People!U56</f>
        <v>7182394</v>
      </c>
      <c r="T56" s="47" t="n">
        <v>210.598</v>
      </c>
      <c r="U56" s="71" t="n">
        <v>0.509</v>
      </c>
      <c r="V56" s="49" t="n">
        <f aca="false">IF(S56&gt;0,T56*1000000/S56,0)</f>
        <v>29.3214212419981</v>
      </c>
      <c r="W56" s="67" t="n">
        <f aca="false">IF(AND(U56&gt;0,V55&gt;0,B56&gt;0),MIN(conv_cap,conv_beta*1*U56*MAX(0,LN(B56/(V55*X55)))),0)</f>
        <v>0.0125876000021141</v>
      </c>
      <c r="X56" s="68" t="n">
        <f aca="false">X55*(1+W56)</f>
        <v>1.2569685240249</v>
      </c>
      <c r="Y56" s="49" t="n">
        <f aca="false">T56*X56</f>
        <v>264.715057222596</v>
      </c>
      <c r="Z56" s="70" t="n">
        <f aca="false">IF(S56&gt;0,Y56*1000000/S56/Economy!Q56,0)</f>
        <v>0.176344993209889</v>
      </c>
      <c r="AA56" s="47" t="n">
        <v>0</v>
      </c>
      <c r="AB56" s="47" t="n">
        <v>0</v>
      </c>
      <c r="AC56" s="71" t="n">
        <v>0</v>
      </c>
      <c r="AD56" s="49" t="n">
        <f aca="false">IF(AA56&gt;0,AB56*1000000/AA56,0)</f>
        <v>0</v>
      </c>
      <c r="AE56" s="67" t="n">
        <f aca="false">IF(AND(AC56&gt;0,AD55&gt;0,B56&gt;0),MIN(conv_cap,conv_beta*1*AC56*MAX(0,LN(B56/(AD55*AF55)))),0)</f>
        <v>0</v>
      </c>
      <c r="AF56" s="68" t="n">
        <f aca="false">AF55*(1+AE56)</f>
        <v>1</v>
      </c>
      <c r="AG56" s="49" t="n">
        <f aca="false">AB56*AF56</f>
        <v>0</v>
      </c>
      <c r="AH56" s="70" t="n">
        <f aca="false">IF(AA56&gt;0,AG56*1000000/AA56/Economy!Q56,0)</f>
        <v>0</v>
      </c>
      <c r="AI56" s="47" t="n">
        <v>394400000</v>
      </c>
      <c r="AJ56" s="47" t="n">
        <v>3933</v>
      </c>
      <c r="AK56" s="71" t="n">
        <v>0.185</v>
      </c>
      <c r="AL56" s="49" t="n">
        <f aca="false">IF(AI56&gt;0,AJ56*1000000/AI56,0)</f>
        <v>9.97210953346856</v>
      </c>
      <c r="AM56" s="67" t="n">
        <f aca="false">IF(AND(AK56&gt;0,AL55&gt;0,B56&gt;0),MIN(conv_cap,conv_beta*1*AK56*MAX(0,LN(B56/(AL55*AN55)))),0)</f>
        <v>0.00664872273131617</v>
      </c>
      <c r="AN56" s="68" t="n">
        <f aca="false">AN55*(1+AM56)</f>
        <v>1.15127665564738</v>
      </c>
      <c r="AO56" s="49" t="n">
        <f aca="false">AJ56*AN56</f>
        <v>4527.97108666113</v>
      </c>
      <c r="AP56" s="70" t="n">
        <f aca="false">IF(AI56&gt;0,AO56*1000000/AI56/Economy!Q56,0)</f>
        <v>0.0549313727915838</v>
      </c>
      <c r="AQ56" s="47" t="n">
        <v>11730000</v>
      </c>
      <c r="AR56" s="47" t="n">
        <v>237</v>
      </c>
      <c r="AS56" s="71" t="n">
        <v>0.41</v>
      </c>
      <c r="AT56" s="49" t="n">
        <f aca="false">IF(AQ56&gt;0,AR56*1000000/AQ56,0)</f>
        <v>20.2046035805627</v>
      </c>
      <c r="AU56" s="67" t="n">
        <f aca="false">IF(AND(AS56&gt;0,AT55&gt;0,B56&gt;0),MIN(conv_cap,conv_beta*1*AS56*MAX(0,LN(B56/(AT55*AV55)))),0)</f>
        <v>0.011905955817393</v>
      </c>
      <c r="AV56" s="68" t="n">
        <f aca="false">AV55*(1+AU56)</f>
        <v>1.1518249675864</v>
      </c>
      <c r="AW56" s="49" t="n">
        <f aca="false">AR56*AV56</f>
        <v>272.982517317976</v>
      </c>
      <c r="AX56" s="70" t="n">
        <f aca="false">IF(AQ56&gt;0,AW56*1000000/AQ56/Economy!Q56,0)</f>
        <v>0.111350080690323</v>
      </c>
      <c r="AY56" s="47" t="n">
        <v>76000000</v>
      </c>
      <c r="AZ56" s="47" t="n">
        <v>1853</v>
      </c>
      <c r="BA56" s="71" t="n">
        <v>0.09</v>
      </c>
      <c r="BB56" s="49" t="n">
        <f aca="false">IF(AY56&gt;0,AZ56*1000000/AY56,0)</f>
        <v>24.3815789473684</v>
      </c>
      <c r="BC56" s="67" t="n">
        <f aca="false">IF(AND(BA56&gt;0,BB55&gt;0,B56&gt;0),MIN(conv_cap,conv_beta*1*BA56*MAX(0,LN(B56/(BB55*BD55)))),0)</f>
        <v>0.00252857675254847</v>
      </c>
      <c r="BD56" s="68" t="n">
        <f aca="false">BD55*(1+BC56)</f>
        <v>1.03351162759337</v>
      </c>
      <c r="BE56" s="49" t="n">
        <f aca="false">AZ56*BD56</f>
        <v>1915.09704593051</v>
      </c>
      <c r="BF56" s="70" t="n">
        <f aca="false">IF(AY56&gt;0,BE56*1000000/AY56/Economy!Q56,0)</f>
        <v>0.12056768105833</v>
      </c>
      <c r="BG56" s="47" t="n">
        <v>28900000</v>
      </c>
      <c r="BH56" s="47" t="n">
        <v>2040</v>
      </c>
      <c r="BI56" s="71" t="n">
        <v>0.169</v>
      </c>
      <c r="BJ56" s="49" t="n">
        <f aca="false">IF(BG56&gt;0,BH56*1000000/BG56,0)</f>
        <v>70.5882352941177</v>
      </c>
      <c r="BK56" s="67" t="n">
        <f aca="false">IF(AND(BI56&gt;0,BJ55&gt;0,B56&gt;0),MIN(conv_cap,conv_beta*1*BI56*MAX(0,LN(B56/(BJ55*BL55)))),0)</f>
        <v>0.00293999178041217</v>
      </c>
      <c r="BL56" s="68" t="n">
        <f aca="false">BL55*(1+BK56)</f>
        <v>1.04781902019386</v>
      </c>
      <c r="BM56" s="49" t="n">
        <f aca="false">BH56*BL56</f>
        <v>2137.55080119548</v>
      </c>
      <c r="BN56" s="70" t="n">
        <f aca="false">IF(BG56&gt;0,BM56*1000000/BG56/Economy!Q56,0)</f>
        <v>0.353893280110509</v>
      </c>
      <c r="BO56" s="47" t="n">
        <v>13700000</v>
      </c>
      <c r="BP56" s="47" t="n">
        <v>760</v>
      </c>
      <c r="BQ56" s="71" t="n">
        <v>0</v>
      </c>
      <c r="BR56" s="49" t="n">
        <f aca="false">IF(BO56&gt;0,BP56*1000000/BO56,0)</f>
        <v>55.4744525547445</v>
      </c>
      <c r="BS56" s="67" t="n">
        <f aca="false">IF(AND(BQ56&gt;0,BR55&gt;0,B56&gt;0),MIN(conv_cap,conv_beta*1*BQ56*MAX(0,LN(B56/(BR55*BT55)))),0)</f>
        <v>0</v>
      </c>
      <c r="BT56" s="68" t="n">
        <f aca="false">BT55*(1+BS56)</f>
        <v>1</v>
      </c>
      <c r="BU56" s="49" t="n">
        <f aca="false">BP56*BT56</f>
        <v>760</v>
      </c>
      <c r="BV56" s="70" t="n">
        <f aca="false">IF(BO56&gt;0,BU56*1000000/BO56/Economy!Q56,0)</f>
        <v>0.26542800265428</v>
      </c>
      <c r="BW56" s="68" t="n">
        <f aca="false">0.25*IF(D56&gt;0,H56,1)+0.15*IF(AJ56&gt;0,AN56,1)+0.03*IF(AR56&gt;0,AV56,1)+0.08*IF(AZ56&gt;0,BD56,1)+0.12*IF(BH56&gt;0,BL56,1)+0.1*IF(L56&gt;0,P56,1)+0.07*IF(T56&gt;0,X56,1)+0.05*IF(AB56&gt;0,AF56,1)+0.05*IF(BP56&gt;0,BT56,1)+0.1</f>
        <v>1.16654600194223</v>
      </c>
      <c r="BX56" s="66" t="n">
        <f aca="false">MIN(mkt_cap,mkt_elast*MAX(0,BW56-1))</f>
        <v>0.0832730009711166</v>
      </c>
      <c r="BY56" s="49" t="n">
        <f aca="false">I56+Q56+Y56+AG56</f>
        <v>1658.22319900202</v>
      </c>
      <c r="BZ56" s="49" t="n">
        <f aca="false">D56+L56+T56+AB56</f>
        <v>1170.598</v>
      </c>
      <c r="CA56" s="68" t="n">
        <f aca="false">IF(BZ56&gt;0,BY56/BZ56,0)</f>
        <v>1.41656076552499</v>
      </c>
    </row>
    <row r="57" customFormat="false" ht="14.25" hidden="false" customHeight="true" outlineLevel="0" collapsed="false">
      <c r="A57" s="61" t="n">
        <v>1897</v>
      </c>
      <c r="B57" s="49" t="n">
        <f aca="false">Economy!P56</f>
        <v>422.936623300887</v>
      </c>
      <c r="C57" s="47" t="n">
        <v>42800000</v>
      </c>
      <c r="D57" s="65" t="n">
        <f aca="false">Japan!B57</f>
        <v>1100</v>
      </c>
      <c r="E57" s="71" t="n">
        <v>0.67</v>
      </c>
      <c r="F57" s="49" t="n">
        <f aca="false">IF(C57&gt;0,D57*1000000/C57,0)</f>
        <v>25.7009345794393</v>
      </c>
      <c r="G57" s="67" t="n">
        <f aca="false">IF(AND(E57&gt;0,F56&gt;0,B57&gt;0),MIN(conv_cap,conv_beta*jp_uplift*E57*MAX(0,LN(B57/(F56*H56)))),0)</f>
        <v>0.0171170997921839</v>
      </c>
      <c r="H57" s="68" t="n">
        <f aca="false">H56*(1+G57)</f>
        <v>1.4764176663578</v>
      </c>
      <c r="I57" s="49" t="n">
        <f aca="false">D57*H57</f>
        <v>1624.05943299357</v>
      </c>
      <c r="J57" s="70" t="n">
        <f aca="false">IF(C57&gt;0,I57*1000000/C57/Economy!Q57,0)</f>
        <v>0.174061072729312</v>
      </c>
      <c r="K57" s="65" t="n">
        <f aca="false">Gulf!B57</f>
        <v>0</v>
      </c>
      <c r="L57" s="49" t="n">
        <f aca="false">Gulf!B57*Gulf!C57*Economy!Q57/1000000</f>
        <v>0</v>
      </c>
      <c r="M57" s="71" t="n">
        <v>0.38</v>
      </c>
      <c r="N57" s="49" t="n">
        <f aca="false">IF(K57&gt;0,L57*1000000/K57,0)</f>
        <v>0</v>
      </c>
      <c r="O57" s="67" t="n">
        <f aca="false">IF(AND(M57&gt;0,N56&gt;0,B57&gt;0),MIN(conv_cap,conv_beta*1*M57*MAX(0,LN(B57/(N56*P56)))),0)</f>
        <v>0</v>
      </c>
      <c r="P57" s="68" t="n">
        <f aca="false">P56*(1+O57)</f>
        <v>1</v>
      </c>
      <c r="Q57" s="49" t="n">
        <f aca="false">L57*P57</f>
        <v>0</v>
      </c>
      <c r="R57" s="70" t="n">
        <f aca="false">IF(K57&gt;0,Q57*1000000/K57/Economy!Q57,0)</f>
        <v>0</v>
      </c>
      <c r="S57" s="65" t="n">
        <f aca="false">People!U57</f>
        <v>7245761</v>
      </c>
      <c r="T57" s="47" t="n">
        <v>220.632</v>
      </c>
      <c r="U57" s="71" t="n">
        <v>0.517</v>
      </c>
      <c r="V57" s="49" t="n">
        <f aca="false">IF(S57&gt;0,T57*1000000/S57,0)</f>
        <v>30.4498036852168</v>
      </c>
      <c r="W57" s="67" t="n">
        <f aca="false">IF(AND(U57&gt;0,V56&gt;0,B57&gt;0),MIN(conv_cap,conv_beta*1*U57*MAX(0,LN(B57/(V56*X56)))),0)</f>
        <v>0.0126158397028144</v>
      </c>
      <c r="X57" s="68" t="n">
        <f aca="false">X56*(1+W57)</f>
        <v>1.27282623743548</v>
      </c>
      <c r="Y57" s="49" t="n">
        <f aca="false">T57*X57</f>
        <v>280.826198417865</v>
      </c>
      <c r="Z57" s="70" t="n">
        <f aca="false">IF(S57&gt;0,Y57*1000000/S57/Economy!Q57,0)</f>
        <v>0.177785821354603</v>
      </c>
      <c r="AA57" s="47" t="n">
        <v>0</v>
      </c>
      <c r="AB57" s="47" t="n">
        <v>0</v>
      </c>
      <c r="AC57" s="71" t="n">
        <v>0</v>
      </c>
      <c r="AD57" s="49" t="n">
        <f aca="false">IF(AA57&gt;0,AB57*1000000/AA57,0)</f>
        <v>0</v>
      </c>
      <c r="AE57" s="67" t="n">
        <f aca="false">IF(AND(AC57&gt;0,AD56&gt;0,B57&gt;0),MIN(conv_cap,conv_beta*1*AC57*MAX(0,LN(B57/(AD56*AF56)))),0)</f>
        <v>0</v>
      </c>
      <c r="AF57" s="68" t="n">
        <f aca="false">AF56*(1+AE57)</f>
        <v>1</v>
      </c>
      <c r="AG57" s="49" t="n">
        <f aca="false">AB57*AF57</f>
        <v>0</v>
      </c>
      <c r="AH57" s="70" t="n">
        <f aca="false">IF(AA57&gt;0,AG57*1000000/AA57/Economy!Q57,0)</f>
        <v>0</v>
      </c>
      <c r="AI57" s="47" t="n">
        <v>395800000</v>
      </c>
      <c r="AJ57" s="47" t="n">
        <v>3950</v>
      </c>
      <c r="AK57" s="71" t="n">
        <v>0.188</v>
      </c>
      <c r="AL57" s="49" t="n">
        <f aca="false">IF(AI57&gt;0,AJ57*1000000/AI57,0)</f>
        <v>9.97978777160182</v>
      </c>
      <c r="AM57" s="67" t="n">
        <f aca="false">IF(AND(AK57&gt;0,AL56&gt;0,B57&gt;0),MIN(conv_cap,conv_beta*1*AK57*MAX(0,LN(B57/(AL56*AN56)))),0)</f>
        <v>0.00678033041132808</v>
      </c>
      <c r="AN57" s="68" t="n">
        <f aca="false">AN56*(1+AM57)</f>
        <v>1.15908269176751</v>
      </c>
      <c r="AO57" s="49" t="n">
        <f aca="false">AJ57*AN57</f>
        <v>4578.37663248168</v>
      </c>
      <c r="AP57" s="70" t="n">
        <f aca="false">IF(AI57&gt;0,AO57*1000000/AI57/Economy!Q57,0)</f>
        <v>0.0530614645576916</v>
      </c>
      <c r="AQ57" s="47" t="n">
        <v>11800000</v>
      </c>
      <c r="AR57" s="47" t="n">
        <v>240</v>
      </c>
      <c r="AS57" s="71" t="n">
        <v>0.42</v>
      </c>
      <c r="AT57" s="49" t="n">
        <f aca="false">IF(AQ57&gt;0,AR57*1000000/AQ57,0)</f>
        <v>20.3389830508475</v>
      </c>
      <c r="AU57" s="67" t="n">
        <f aca="false">IF(AND(AS57&gt;0,AT56&gt;0,B57&gt;0),MIN(conv_cap,conv_beta*1*AS57*MAX(0,LN(B57/(AT56*AV56)))),0)</f>
        <v>0.0121798498490281</v>
      </c>
      <c r="AV57" s="68" t="n">
        <f aca="false">AV56*(1+AU57)</f>
        <v>1.16585402274396</v>
      </c>
      <c r="AW57" s="49" t="n">
        <f aca="false">AR57*AV57</f>
        <v>279.804965458551</v>
      </c>
      <c r="AX57" s="70" t="n">
        <f aca="false">IF(AQ57&gt;0,AW57*1000000/AQ57/Economy!Q57,0)</f>
        <v>0.108771950497026</v>
      </c>
      <c r="AY57" s="47" t="n">
        <v>77000000</v>
      </c>
      <c r="AZ57" s="47" t="n">
        <v>1890</v>
      </c>
      <c r="BA57" s="71" t="n">
        <v>0.092</v>
      </c>
      <c r="BB57" s="49" t="n">
        <f aca="false">IF(AY57&gt;0,AZ57*1000000/AY57,0)</f>
        <v>24.5454545454545</v>
      </c>
      <c r="BC57" s="67" t="n">
        <f aca="false">IF(AND(BA57&gt;0,BB56&gt;0,B57&gt;0),MIN(conv_cap,conv_beta*1*BA57*MAX(0,LN(B57/(BB56*BD56)))),0)</f>
        <v>0.00259479753599167</v>
      </c>
      <c r="BD57" s="68" t="n">
        <f aca="false">BD56*(1+BC57)</f>
        <v>1.03619338101807</v>
      </c>
      <c r="BE57" s="49" t="n">
        <f aca="false">AZ57*BD57</f>
        <v>1958.40549012415</v>
      </c>
      <c r="BF57" s="70" t="n">
        <f aca="false">IF(AY57&gt;0,BE57*1000000/AY57/Economy!Q57,0)</f>
        <v>0.116668979514128</v>
      </c>
      <c r="BG57" s="47" t="n">
        <v>29200000</v>
      </c>
      <c r="BH57" s="47" t="n">
        <v>2080</v>
      </c>
      <c r="BI57" s="71" t="n">
        <v>0.175</v>
      </c>
      <c r="BJ57" s="49" t="n">
        <f aca="false">IF(BG57&gt;0,BH57*1000000/BG57,0)</f>
        <v>71.2328767123288</v>
      </c>
      <c r="BK57" s="67" t="n">
        <f aca="false">IF(AND(BI57&gt;0,BJ56&gt;0,B57&gt;0),MIN(conv_cap,conv_beta*1*BI57*MAX(0,LN(B57/(BJ56*BL56)))),0)</f>
        <v>0.00305138394585153</v>
      </c>
      <c r="BL57" s="68" t="n">
        <f aca="false">BL56*(1+BK57)</f>
        <v>1.05101631833024</v>
      </c>
      <c r="BM57" s="49" t="n">
        <f aca="false">BH57*BL57</f>
        <v>2186.1139421269</v>
      </c>
      <c r="BN57" s="70" t="n">
        <f aca="false">IF(BG57&gt;0,BM57*1000000/BG57/Economy!Q57,0)</f>
        <v>0.343426219386531</v>
      </c>
      <c r="BO57" s="47" t="n">
        <v>13800000</v>
      </c>
      <c r="BP57" s="47" t="n">
        <v>770</v>
      </c>
      <c r="BQ57" s="71" t="n">
        <v>0</v>
      </c>
      <c r="BR57" s="49" t="n">
        <f aca="false">IF(BO57&gt;0,BP57*1000000/BO57,0)</f>
        <v>55.7971014492754</v>
      </c>
      <c r="BS57" s="67" t="n">
        <f aca="false">IF(AND(BQ57&gt;0,BR56&gt;0,B57&gt;0),MIN(conv_cap,conv_beta*1*BQ57*MAX(0,LN(B57/(BR56*BT56)))),0)</f>
        <v>0</v>
      </c>
      <c r="BT57" s="68" t="n">
        <f aca="false">BT56*(1+BS57)</f>
        <v>1</v>
      </c>
      <c r="BU57" s="49" t="n">
        <f aca="false">BP57*BT57</f>
        <v>770</v>
      </c>
      <c r="BV57" s="70" t="n">
        <f aca="false">IF(BO57&gt;0,BU57*1000000/BO57/Economy!Q57,0)</f>
        <v>0.255950006648052</v>
      </c>
      <c r="BW57" s="68" t="n">
        <f aca="false">0.25*IF(D57&gt;0,H57,1)+0.15*IF(AJ57&gt;0,AN57,1)+0.03*IF(AR57&gt;0,AV57,1)+0.08*IF(AZ57&gt;0,BD57,1)+0.12*IF(BH57&gt;0,BL57,1)+0.1*IF(L57&gt;0,P57,1)+0.07*IF(T57&gt;0,X57,1)+0.05*IF(AB57&gt;0,AF57,1)+0.05*IF(BP57&gt;0,BT57,1)+0.1</f>
        <v>1.17605770633845</v>
      </c>
      <c r="BX57" s="66" t="n">
        <f aca="false">MIN(mkt_cap,mkt_elast*MAX(0,BW57-1))</f>
        <v>0.0880288531692265</v>
      </c>
      <c r="BY57" s="49" t="n">
        <f aca="false">I57+Q57+Y57+AG57</f>
        <v>1904.88563141144</v>
      </c>
      <c r="BZ57" s="49" t="n">
        <f aca="false">D57+L57+T57+AB57</f>
        <v>1320.632</v>
      </c>
      <c r="CA57" s="68" t="n">
        <f aca="false">IF(BZ57&gt;0,BY57/BZ57,0)</f>
        <v>1.44240456948752</v>
      </c>
    </row>
    <row r="58" customFormat="false" ht="14.25" hidden="false" customHeight="true" outlineLevel="0" collapsed="false">
      <c r="A58" s="61" t="n">
        <v>1898</v>
      </c>
      <c r="B58" s="49" t="n">
        <f aca="false">Economy!P57</f>
        <v>454.841627822188</v>
      </c>
      <c r="C58" s="47" t="n">
        <v>43200000</v>
      </c>
      <c r="D58" s="65" t="n">
        <f aca="false">Japan!B58</f>
        <v>1133</v>
      </c>
      <c r="E58" s="71" t="n">
        <v>0.68</v>
      </c>
      <c r="F58" s="49" t="n">
        <f aca="false">IF(C58&gt;0,D58*1000000/C58,0)</f>
        <v>26.2268518518519</v>
      </c>
      <c r="G58" s="67" t="n">
        <f aca="false">IF(AND(E58&gt;0,F57&gt;0,B58&gt;0),MIN(conv_cap,conv_beta*jp_uplift*E58*MAX(0,LN(B58/(F57*H57)))),0)</f>
        <v>0.0168898622598317</v>
      </c>
      <c r="H58" s="68" t="n">
        <f aca="false">H57*(1+G58)</f>
        <v>1.50135415738056</v>
      </c>
      <c r="I58" s="49" t="n">
        <f aca="false">D58*H58</f>
        <v>1701.03426031218</v>
      </c>
      <c r="J58" s="70" t="n">
        <f aca="false">IF(C58&gt;0,I58*1000000/C58/Economy!Q58,0)</f>
        <v>0.172700846766587</v>
      </c>
      <c r="K58" s="65" t="n">
        <f aca="false">Gulf!B58</f>
        <v>0</v>
      </c>
      <c r="L58" s="49" t="n">
        <f aca="false">Gulf!B58*Gulf!C58*Economy!Q58/1000000</f>
        <v>0</v>
      </c>
      <c r="M58" s="71" t="n">
        <v>0.42</v>
      </c>
      <c r="N58" s="49" t="n">
        <f aca="false">IF(K58&gt;0,L58*1000000/K58,0)</f>
        <v>0</v>
      </c>
      <c r="O58" s="67" t="n">
        <f aca="false">IF(AND(M58&gt;0,N57&gt;0,B58&gt;0),MIN(conv_cap,conv_beta*1*M58*MAX(0,LN(B58/(N57*P57)))),0)</f>
        <v>0</v>
      </c>
      <c r="P58" s="68" t="n">
        <f aca="false">P57*(1+O58)</f>
        <v>1</v>
      </c>
      <c r="Q58" s="49" t="n">
        <f aca="false">L58*P58</f>
        <v>0</v>
      </c>
      <c r="R58" s="70" t="n">
        <f aca="false">IF(K58&gt;0,Q58*1000000/K58/Economy!Q58,0)</f>
        <v>0</v>
      </c>
      <c r="S58" s="65" t="n">
        <f aca="false">People!U58</f>
        <v>7309135</v>
      </c>
      <c r="T58" s="47" t="n">
        <v>230.667</v>
      </c>
      <c r="U58" s="71" t="n">
        <v>0.525</v>
      </c>
      <c r="V58" s="49" t="n">
        <f aca="false">IF(S58&gt;0,T58*1000000/S58,0)</f>
        <v>31.5587275375267</v>
      </c>
      <c r="W58" s="67" t="n">
        <f aca="false">IF(AND(U58&gt;0,V57&gt;0,B58&gt;0),MIN(conv_cap,conv_beta*1*U58*MAX(0,LN(B58/(V57*X57)))),0)</f>
        <v>0.0129288071264367</v>
      </c>
      <c r="X58" s="68" t="n">
        <f aca="false">X57*(1+W58)</f>
        <v>1.28928236236475</v>
      </c>
      <c r="Y58" s="49" t="n">
        <f aca="false">T58*X58</f>
        <v>297.39489467959</v>
      </c>
      <c r="Z58" s="70" t="n">
        <f aca="false">IF(S58&gt;0,Y58*1000000/S58/Economy!Q58,0)</f>
        <v>0.178456626284245</v>
      </c>
      <c r="AA58" s="47" t="n">
        <v>0</v>
      </c>
      <c r="AB58" s="47" t="n">
        <v>0</v>
      </c>
      <c r="AC58" s="71" t="n">
        <v>0</v>
      </c>
      <c r="AD58" s="49" t="n">
        <f aca="false">IF(AA58&gt;0,AB58*1000000/AA58,0)</f>
        <v>0</v>
      </c>
      <c r="AE58" s="67" t="n">
        <f aca="false">IF(AND(AC58&gt;0,AD57&gt;0,B58&gt;0),MIN(conv_cap,conv_beta*1*AC58*MAX(0,LN(B58/(AD57*AF57)))),0)</f>
        <v>0</v>
      </c>
      <c r="AF58" s="68" t="n">
        <f aca="false">AF57*(1+AE58)</f>
        <v>1</v>
      </c>
      <c r="AG58" s="49" t="n">
        <f aca="false">AB58*AF58</f>
        <v>0</v>
      </c>
      <c r="AH58" s="70" t="n">
        <f aca="false">IF(AA58&gt;0,AG58*1000000/AA58/Economy!Q58,0)</f>
        <v>0</v>
      </c>
      <c r="AI58" s="47" t="n">
        <v>397200000</v>
      </c>
      <c r="AJ58" s="47" t="n">
        <v>3967</v>
      </c>
      <c r="AK58" s="71" t="n">
        <v>0.192</v>
      </c>
      <c r="AL58" s="49" t="n">
        <f aca="false">IF(AI58&gt;0,AJ58*1000000/AI58,0)</f>
        <v>9.98741188318228</v>
      </c>
      <c r="AM58" s="67" t="n">
        <f aca="false">IF(AND(AK58&gt;0,AL57&gt;0,B58&gt;0),MIN(conv_cap,conv_beta*1*AK58*MAX(0,LN(B58/(AL57*AN57)))),0)</f>
        <v>0.00704977642288829</v>
      </c>
      <c r="AN58" s="68" t="n">
        <f aca="false">AN57*(1+AM58)</f>
        <v>1.16725396560012</v>
      </c>
      <c r="AO58" s="49" t="n">
        <f aca="false">AJ58*AN58</f>
        <v>4630.49648153566</v>
      </c>
      <c r="AP58" s="70" t="n">
        <f aca="false">IF(AI58&gt;0,AO58*1000000/AI58/Economy!Q58,0)</f>
        <v>0.0511309040645887</v>
      </c>
      <c r="AQ58" s="47" t="n">
        <v>11870000</v>
      </c>
      <c r="AR58" s="47" t="n">
        <v>243</v>
      </c>
      <c r="AS58" s="71" t="n">
        <v>0.43</v>
      </c>
      <c r="AT58" s="49" t="n">
        <f aca="false">IF(AQ58&gt;0,AR58*1000000/AQ58,0)</f>
        <v>20.4717775905644</v>
      </c>
      <c r="AU58" s="67" t="n">
        <f aca="false">IF(AND(AS58&gt;0,AT57&gt;0,B58&gt;0),MIN(conv_cap,conv_beta*1*AS58*MAX(0,LN(B58/(AT57*AV57)))),0)</f>
        <v>0.012702010845498</v>
      </c>
      <c r="AV58" s="68" t="n">
        <f aca="false">AV57*(1+AU58)</f>
        <v>1.18066271318512</v>
      </c>
      <c r="AW58" s="49" t="n">
        <f aca="false">AR58*AV58</f>
        <v>286.901039303985</v>
      </c>
      <c r="AX58" s="70" t="n">
        <f aca="false">IF(AQ58&gt;0,AW58*1000000/AQ58/Economy!Q58,0)</f>
        <v>0.106009931902624</v>
      </c>
      <c r="AY58" s="47" t="n">
        <v>78000000</v>
      </c>
      <c r="AZ58" s="47" t="n">
        <v>1927</v>
      </c>
      <c r="BA58" s="71" t="n">
        <v>0.095</v>
      </c>
      <c r="BB58" s="49" t="n">
        <f aca="false">IF(AY58&gt;0,AZ58*1000000/AY58,0)</f>
        <v>24.7051282051282</v>
      </c>
      <c r="BC58" s="67" t="n">
        <f aca="false">IF(AND(BA58&gt;0,BB57&gt;0,B58&gt;0),MIN(conv_cap,conv_beta*1*BA58*MAX(0,LN(B58/(BB57*BD57)))),0)</f>
        <v>0.00273967537311684</v>
      </c>
      <c r="BD58" s="68" t="n">
        <f aca="false">BD57*(1+BC58)</f>
        <v>1.03903221450583</v>
      </c>
      <c r="BE58" s="49" t="n">
        <f aca="false">AZ58*BD58</f>
        <v>2002.21507735273</v>
      </c>
      <c r="BF58" s="70" t="n">
        <f aca="false">IF(AY58&gt;0,BE58*1000000/AY58/Economy!Q58,0)</f>
        <v>0.112585193283442</v>
      </c>
      <c r="BG58" s="47" t="n">
        <v>29500000</v>
      </c>
      <c r="BH58" s="47" t="n">
        <v>2120</v>
      </c>
      <c r="BI58" s="71" t="n">
        <v>0.181</v>
      </c>
      <c r="BJ58" s="49" t="n">
        <f aca="false">IF(BG58&gt;0,BH58*1000000/BG58,0)</f>
        <v>71.864406779661</v>
      </c>
      <c r="BK58" s="67" t="n">
        <f aca="false">IF(AND(BI58&gt;0,BJ57&gt;0,B58&gt;0),MIN(conv_cap,conv_beta*1*BI58*MAX(0,LN(B58/(BJ57*BL57)))),0)</f>
        <v>0.00326566934279598</v>
      </c>
      <c r="BL58" s="68" t="n">
        <f aca="false">BL57*(1+BK58)</f>
        <v>1.05444859009979</v>
      </c>
      <c r="BM58" s="49" t="n">
        <f aca="false">BH58*BL58</f>
        <v>2235.43101101156</v>
      </c>
      <c r="BN58" s="70" t="n">
        <f aca="false">IF(BG58&gt;0,BM58*1000000/BG58/Economy!Q58,0)</f>
        <v>0.332356677224436</v>
      </c>
      <c r="BO58" s="47" t="n">
        <v>13900000</v>
      </c>
      <c r="BP58" s="47" t="n">
        <v>780</v>
      </c>
      <c r="BQ58" s="71" t="n">
        <v>0</v>
      </c>
      <c r="BR58" s="49" t="n">
        <f aca="false">IF(BO58&gt;0,BP58*1000000/BO58,0)</f>
        <v>56.1151079136691</v>
      </c>
      <c r="BS58" s="67" t="n">
        <f aca="false">IF(AND(BQ58&gt;0,BR57&gt;0,B58&gt;0),MIN(conv_cap,conv_beta*1*BQ58*MAX(0,LN(B58/(BR57*BT57)))),0)</f>
        <v>0</v>
      </c>
      <c r="BT58" s="68" t="n">
        <f aca="false">BT57*(1+BS58)</f>
        <v>1</v>
      </c>
      <c r="BU58" s="49" t="n">
        <f aca="false">BP58*BT58</f>
        <v>780</v>
      </c>
      <c r="BV58" s="70" t="n">
        <f aca="false">IF(BO58&gt;0,BU58*1000000/BO58/Economy!Q58,0)</f>
        <v>0.246118894358198</v>
      </c>
      <c r="BW58" s="68" t="n">
        <f aca="false">0.25*IF(D58&gt;0,H58,1)+0.15*IF(AJ58&gt;0,AN58,1)+0.03*IF(AR58&gt;0,AV58,1)+0.08*IF(AZ58&gt;0,BD58,1)+0.12*IF(BH58&gt;0,BL58,1)+0.1*IF(L58&gt;0,P58,1)+0.07*IF(T58&gt;0,X58,1)+0.05*IF(AB58&gt;0,AF58,1)+0.05*IF(BP58&gt;0,BT58,1)+0.1</f>
        <v>1.18575268891869</v>
      </c>
      <c r="BX58" s="66" t="n">
        <f aca="false">MIN(mkt_cap,mkt_elast*MAX(0,BW58-1))</f>
        <v>0.0928763444593426</v>
      </c>
      <c r="BY58" s="49" t="n">
        <f aca="false">I58+Q58+Y58+AG58</f>
        <v>1998.42915499177</v>
      </c>
      <c r="BZ58" s="49" t="n">
        <f aca="false">D58+L58+T58+AB58</f>
        <v>1363.667</v>
      </c>
      <c r="CA58" s="68" t="n">
        <f aca="false">IF(BZ58&gt;0,BY58/BZ58,0)</f>
        <v>1.46548178916976</v>
      </c>
    </row>
    <row r="59" customFormat="false" ht="14.25" hidden="false" customHeight="true" outlineLevel="0" collapsed="false">
      <c r="A59" s="61" t="n">
        <v>1899</v>
      </c>
      <c r="B59" s="49" t="n">
        <f aca="false">Economy!P58</f>
        <v>478.432026161585</v>
      </c>
      <c r="C59" s="47" t="n">
        <v>43600000</v>
      </c>
      <c r="D59" s="65" t="n">
        <f aca="false">Japan!B59</f>
        <v>1167</v>
      </c>
      <c r="E59" s="71" t="n">
        <v>0.69</v>
      </c>
      <c r="F59" s="49" t="n">
        <f aca="false">IF(C59&gt;0,D59*1000000/C59,0)</f>
        <v>26.7660550458716</v>
      </c>
      <c r="G59" s="67" t="n">
        <f aca="false">IF(AND(E59&gt;0,F58&gt;0,B59&gt;0),MIN(conv_cap,conv_beta*jp_uplift*E59*MAX(0,LN(B59/(F58*H58)))),0)</f>
        <v>0.017231804054805</v>
      </c>
      <c r="H59" s="68" t="n">
        <f aca="false">H58*(1+G59)</f>
        <v>1.52722519803741</v>
      </c>
      <c r="I59" s="49" t="n">
        <f aca="false">D59*H59</f>
        <v>1782.27180610966</v>
      </c>
      <c r="J59" s="70" t="n">
        <f aca="false">IF(C59&gt;0,I59*1000000/C59/Economy!Q59,0)</f>
        <v>0.172480142270512</v>
      </c>
      <c r="K59" s="65" t="n">
        <f aca="false">Gulf!B59</f>
        <v>0</v>
      </c>
      <c r="L59" s="49" t="n">
        <f aca="false">Gulf!B59*Gulf!C59*Economy!Q59/1000000</f>
        <v>0</v>
      </c>
      <c r="M59" s="71" t="n">
        <v>0.46</v>
      </c>
      <c r="N59" s="49" t="n">
        <f aca="false">IF(K59&gt;0,L59*1000000/K59,0)</f>
        <v>0</v>
      </c>
      <c r="O59" s="67" t="n">
        <f aca="false">IF(AND(M59&gt;0,N58&gt;0,B59&gt;0),MIN(conv_cap,conv_beta*1*M59*MAX(0,LN(B59/(N58*P58)))),0)</f>
        <v>0</v>
      </c>
      <c r="P59" s="68" t="n">
        <f aca="false">P58*(1+O59)</f>
        <v>1</v>
      </c>
      <c r="Q59" s="49" t="n">
        <f aca="false">L59*P59</f>
        <v>0</v>
      </c>
      <c r="R59" s="70" t="n">
        <f aca="false">IF(K59&gt;0,Q59*1000000/K59/Economy!Q59,0)</f>
        <v>0</v>
      </c>
      <c r="S59" s="65" t="n">
        <f aca="false">People!U59</f>
        <v>7371515</v>
      </c>
      <c r="T59" s="47" t="n">
        <v>240.703</v>
      </c>
      <c r="U59" s="71" t="n">
        <v>0.532</v>
      </c>
      <c r="V59" s="49" t="n">
        <f aca="false">IF(S59&gt;0,T59*1000000/S59,0)</f>
        <v>32.6531249003767</v>
      </c>
      <c r="W59" s="67" t="n">
        <f aca="false">IF(AND(U59&gt;0,V58&gt;0,B59&gt;0),MIN(conv_cap,conv_beta*1*U59*MAX(0,LN(B59/(V58*X58)))),0)</f>
        <v>0.0131115560934395</v>
      </c>
      <c r="X59" s="68" t="n">
        <f aca="false">X58*(1+W59)</f>
        <v>1.30618686037918</v>
      </c>
      <c r="Y59" s="49" t="n">
        <f aca="false">T59*X59</f>
        <v>314.40309585385</v>
      </c>
      <c r="Z59" s="70" t="n">
        <f aca="false">IF(S59&gt;0,Y59*1000000/S59/Economy!Q59,0)</f>
        <v>0.179962374241317</v>
      </c>
      <c r="AA59" s="47" t="n">
        <v>0</v>
      </c>
      <c r="AB59" s="47" t="n">
        <v>0</v>
      </c>
      <c r="AC59" s="71" t="n">
        <v>0</v>
      </c>
      <c r="AD59" s="49" t="n">
        <f aca="false">IF(AA59&gt;0,AB59*1000000/AA59,0)</f>
        <v>0</v>
      </c>
      <c r="AE59" s="67" t="n">
        <f aca="false">IF(AND(AC59&gt;0,AD58&gt;0,B59&gt;0),MIN(conv_cap,conv_beta*1*AC59*MAX(0,LN(B59/(AD58*AF58)))),0)</f>
        <v>0</v>
      </c>
      <c r="AF59" s="68" t="n">
        <f aca="false">AF58*(1+AE59)</f>
        <v>1</v>
      </c>
      <c r="AG59" s="49" t="n">
        <f aca="false">AB59*AF59</f>
        <v>0</v>
      </c>
      <c r="AH59" s="70" t="n">
        <f aca="false">IF(AA59&gt;0,AG59*1000000/AA59/Economy!Q59,0)</f>
        <v>0</v>
      </c>
      <c r="AI59" s="47" t="n">
        <v>398600000</v>
      </c>
      <c r="AJ59" s="47" t="n">
        <v>3983</v>
      </c>
      <c r="AK59" s="71" t="n">
        <v>0.196</v>
      </c>
      <c r="AL59" s="49" t="n">
        <f aca="false">IF(AI59&gt;0,AJ59*1000000/AI59,0)</f>
        <v>9.99247365780231</v>
      </c>
      <c r="AM59" s="67" t="n">
        <f aca="false">IF(AND(AK59&gt;0,AL58&gt;0,B59&gt;0),MIN(conv_cap,conv_beta*1*AK59*MAX(0,LN(B59/(AL58*AN58)))),0)</f>
        <v>0.00728048802007495</v>
      </c>
      <c r="AN59" s="68" t="n">
        <f aca="false">AN58*(1+AM59)</f>
        <v>1.17575214411305</v>
      </c>
      <c r="AO59" s="49" t="n">
        <f aca="false">AJ59*AN59</f>
        <v>4683.02079000229</v>
      </c>
      <c r="AP59" s="70" t="n">
        <f aca="false">IF(AI59&gt;0,AO59*1000000/AI59/Economy!Q59,0)</f>
        <v>0.0495724570808196</v>
      </c>
      <c r="AQ59" s="47" t="n">
        <v>11930000</v>
      </c>
      <c r="AR59" s="47" t="n">
        <v>247</v>
      </c>
      <c r="AS59" s="71" t="n">
        <v>0.44</v>
      </c>
      <c r="AT59" s="49" t="n">
        <f aca="false">IF(AQ59&gt;0,AR59*1000000/AQ59,0)</f>
        <v>20.7041072925398</v>
      </c>
      <c r="AU59" s="67" t="n">
        <f aca="false">IF(AND(AS59&gt;0,AT58&gt;0,B59&gt;0),MIN(conv_cap,conv_beta*1*AS59*MAX(0,LN(B59/(AT58*AV58)))),0)</f>
        <v>0.0131357204344248</v>
      </c>
      <c r="AV59" s="68" t="n">
        <f aca="false">AV58*(1+AU59)</f>
        <v>1.19617156851287</v>
      </c>
      <c r="AW59" s="49" t="n">
        <f aca="false">AR59*AV59</f>
        <v>295.45437742268</v>
      </c>
      <c r="AX59" s="70" t="n">
        <f aca="false">IF(AQ59&gt;0,AW59*1000000/AQ59/Economy!Q59,0)</f>
        <v>0.104496474661503</v>
      </c>
      <c r="AY59" s="47" t="n">
        <v>79000000</v>
      </c>
      <c r="AZ59" s="47" t="n">
        <v>1963</v>
      </c>
      <c r="BA59" s="71" t="n">
        <v>0.098</v>
      </c>
      <c r="BB59" s="49" t="n">
        <f aca="false">IF(AY59&gt;0,AZ59*1000000/AY59,0)</f>
        <v>24.8481012658228</v>
      </c>
      <c r="BC59" s="67" t="n">
        <f aca="false">IF(AND(BA59&gt;0,BB58&gt;0,B59&gt;0),MIN(conv_cap,conv_beta*1*BA59*MAX(0,LN(B59/(BB58*BD58)))),0)</f>
        <v>0.00286670931433201</v>
      </c>
      <c r="BD59" s="68" t="n">
        <f aca="false">BD58*(1+BC59)</f>
        <v>1.04201081783304</v>
      </c>
      <c r="BE59" s="49" t="n">
        <f aca="false">AZ59*BD59</f>
        <v>2045.46723540626</v>
      </c>
      <c r="BF59" s="70" t="n">
        <f aca="false">IF(AY59&gt;0,BE59*1000000/AY59/Economy!Q59,0)</f>
        <v>0.109248904310541</v>
      </c>
      <c r="BG59" s="47" t="n">
        <v>29700000</v>
      </c>
      <c r="BH59" s="47" t="n">
        <v>2160</v>
      </c>
      <c r="BI59" s="71" t="n">
        <v>0.188</v>
      </c>
      <c r="BJ59" s="49" t="n">
        <f aca="false">IF(BG59&gt;0,BH59*1000000/BG59,0)</f>
        <v>72.7272727272727</v>
      </c>
      <c r="BK59" s="67" t="n">
        <f aca="false">IF(AND(BI59&gt;0,BJ58&gt;0,B59&gt;0),MIN(conv_cap,conv_beta*1*BI59*MAX(0,LN(B59/(BJ58*BL58)))),0)</f>
        <v>0.00346430433820591</v>
      </c>
      <c r="BL59" s="68" t="n">
        <f aca="false">BL58*(1+BK59)</f>
        <v>1.05810152092489</v>
      </c>
      <c r="BM59" s="49" t="n">
        <f aca="false">BH59*BL59</f>
        <v>2285.49928519776</v>
      </c>
      <c r="BN59" s="70" t="n">
        <f aca="false">IF(BG59&gt;0,BM59*1000000/BG59/Economy!Q59,0)</f>
        <v>0.324695518503994</v>
      </c>
      <c r="BO59" s="47" t="n">
        <v>13900000</v>
      </c>
      <c r="BP59" s="47" t="n">
        <v>790</v>
      </c>
      <c r="BQ59" s="71" t="n">
        <v>0</v>
      </c>
      <c r="BR59" s="49" t="n">
        <f aca="false">IF(BO59&gt;0,BP59*1000000/BO59,0)</f>
        <v>56.8345323741007</v>
      </c>
      <c r="BS59" s="67" t="n">
        <f aca="false">IF(AND(BQ59&gt;0,BR58&gt;0,B59&gt;0),MIN(conv_cap,conv_beta*1*BQ59*MAX(0,LN(B59/(BR58*BT58)))),0)</f>
        <v>0</v>
      </c>
      <c r="BT59" s="68" t="n">
        <f aca="false">BT58*(1+BS59)</f>
        <v>1</v>
      </c>
      <c r="BU59" s="49" t="n">
        <f aca="false">BP59*BT59</f>
        <v>790</v>
      </c>
      <c r="BV59" s="70" t="n">
        <f aca="false">IF(BO59&gt;0,BU59*1000000/BO59/Economy!Q59,0)</f>
        <v>0.239808153477218</v>
      </c>
      <c r="BW59" s="68" t="n">
        <f aca="false">0.25*IF(D59&gt;0,H59,1)+0.15*IF(AJ59&gt;0,AN59,1)+0.03*IF(AR59&gt;0,AV59,1)+0.08*IF(AZ59&gt;0,BD59,1)+0.12*IF(BH59&gt;0,BL59,1)+0.1*IF(L59&gt;0,P59,1)+0.07*IF(T59&gt;0,X59,1)+0.05*IF(AB59&gt;0,AF59,1)+0.05*IF(BP59&gt;0,BT59,1)+0.1</f>
        <v>1.19582039634587</v>
      </c>
      <c r="BX59" s="66" t="n">
        <f aca="false">MIN(mkt_cap,mkt_elast*MAX(0,BW59-1))</f>
        <v>0.0979101981729345</v>
      </c>
      <c r="BY59" s="49" t="n">
        <f aca="false">I59+Q59+Y59+AG59</f>
        <v>2096.67490196351</v>
      </c>
      <c r="BZ59" s="49" t="n">
        <f aca="false">D59+L59+T59+AB59</f>
        <v>1407.703</v>
      </c>
      <c r="CA59" s="68" t="n">
        <f aca="false">IF(BZ59&gt;0,BY59/BZ59,0)</f>
        <v>1.48942987403132</v>
      </c>
    </row>
    <row r="60" customFormat="false" ht="14.25" hidden="false" customHeight="true" outlineLevel="0" collapsed="false">
      <c r="A60" s="61" t="n">
        <v>1900</v>
      </c>
      <c r="B60" s="49" t="n">
        <f aca="false">Economy!P59</f>
        <v>502.587959449114</v>
      </c>
      <c r="C60" s="47" t="n">
        <v>44000000</v>
      </c>
      <c r="D60" s="65" t="n">
        <f aca="false">Japan!B60</f>
        <v>1200</v>
      </c>
      <c r="E60" s="71" t="n">
        <v>0.7</v>
      </c>
      <c r="F60" s="49" t="n">
        <f aca="false">IF(C60&gt;0,D60*1000000/C60,0)</f>
        <v>27.2727272727273</v>
      </c>
      <c r="G60" s="67" t="n">
        <f aca="false">IF(AND(E60&gt;0,F59&gt;0,B60&gt;0),MIN(conv_cap,conv_beta*jp_uplift*E60*MAX(0,LN(B60/(F59*H59)))),0)</f>
        <v>0.0175642858549843</v>
      </c>
      <c r="H60" s="68" t="n">
        <f aca="false">H59*(1+G60)</f>
        <v>1.55404981798067</v>
      </c>
      <c r="I60" s="49" t="n">
        <f aca="false">D60*H60</f>
        <v>1864.85978157681</v>
      </c>
      <c r="J60" s="70" t="n">
        <f aca="false">IF(C60&gt;0,I60*1000000/C60/Economy!Q60,0)</f>
        <v>0.172289336804953</v>
      </c>
      <c r="K60" s="65" t="n">
        <f aca="false">Gulf!B60</f>
        <v>6100000</v>
      </c>
      <c r="L60" s="49" t="n">
        <f aca="false">Gulf!B60*Gulf!C60*Economy!Q60/1000000</f>
        <v>870.348</v>
      </c>
      <c r="M60" s="71" t="n">
        <v>0.5</v>
      </c>
      <c r="N60" s="49" t="n">
        <f aca="false">IF(K60&gt;0,L60*1000000/K60,0)</f>
        <v>142.68</v>
      </c>
      <c r="O60" s="67" t="n">
        <f aca="false">IF(AND(M60&gt;0,N59&gt;0,B60&gt;0),MIN(conv_cap,conv_beta*1*M60*MAX(0,LN(B60/(N59*P59)))),0)</f>
        <v>0</v>
      </c>
      <c r="P60" s="68" t="n">
        <f aca="false">P59*(1+O60)</f>
        <v>1</v>
      </c>
      <c r="Q60" s="49" t="n">
        <f aca="false">L60*P60</f>
        <v>870.348</v>
      </c>
      <c r="R60" s="70" t="n">
        <f aca="false">IF(K60&gt;0,Q60*1000000/K60/Economy!Q60,0)</f>
        <v>0.58</v>
      </c>
      <c r="S60" s="65" t="n">
        <f aca="false">People!U60</f>
        <v>7433903</v>
      </c>
      <c r="T60" s="47" t="n">
        <v>250.739</v>
      </c>
      <c r="U60" s="71" t="n">
        <v>0.54</v>
      </c>
      <c r="V60" s="49" t="n">
        <f aca="false">IF(S60&gt;0,T60*1000000/S60,0)</f>
        <v>33.7291191450844</v>
      </c>
      <c r="W60" s="67" t="n">
        <f aca="false">IF(AND(U60&gt;0,V59&gt;0,B60&gt;0),MIN(conv_cap,conv_beta*1*U60*MAX(0,LN(B60/(V59*X59)))),0)</f>
        <v>0.0133202772491098</v>
      </c>
      <c r="X60" s="68" t="n">
        <f aca="false">X59*(1+W60)</f>
        <v>1.32358563149857</v>
      </c>
      <c r="Y60" s="49" t="n">
        <f aca="false">T60*X60</f>
        <v>331.874537656321</v>
      </c>
      <c r="Z60" s="70" t="n">
        <f aca="false">IF(S60&gt;0,Y60*1000000/S60/Economy!Q60,0)</f>
        <v>0.18147714416072</v>
      </c>
      <c r="AA60" s="47" t="n">
        <v>0</v>
      </c>
      <c r="AB60" s="47" t="n">
        <v>0</v>
      </c>
      <c r="AC60" s="71" t="n">
        <v>0</v>
      </c>
      <c r="AD60" s="49" t="n">
        <f aca="false">IF(AA60&gt;0,AB60*1000000/AA60,0)</f>
        <v>0</v>
      </c>
      <c r="AE60" s="67" t="n">
        <f aca="false">IF(AND(AC60&gt;0,AD59&gt;0,B60&gt;0),MIN(conv_cap,conv_beta*1*AC60*MAX(0,LN(B60/(AD59*AF59)))),0)</f>
        <v>0</v>
      </c>
      <c r="AF60" s="68" t="n">
        <f aca="false">AF59*(1+AE60)</f>
        <v>1</v>
      </c>
      <c r="AG60" s="49" t="n">
        <f aca="false">AB60*AF60</f>
        <v>0</v>
      </c>
      <c r="AH60" s="70" t="n">
        <f aca="false">IF(AA60&gt;0,AG60*1000000/AA60/Economy!Q60,0)</f>
        <v>0</v>
      </c>
      <c r="AI60" s="47" t="n">
        <v>400000000</v>
      </c>
      <c r="AJ60" s="47" t="n">
        <v>4000</v>
      </c>
      <c r="AK60" s="71" t="n">
        <v>0.2</v>
      </c>
      <c r="AL60" s="49" t="n">
        <f aca="false">IF(AI60&gt;0,AJ60*1000000/AI60,0)</f>
        <v>10</v>
      </c>
      <c r="AM60" s="67" t="n">
        <f aca="false">IF(AND(AK60&gt;0,AL59&gt;0,B60&gt;0),MIN(conv_cap,conv_beta*1*AK60*MAX(0,LN(B60/(AL59*AN59)))),0)</f>
        <v>0.00751206085487468</v>
      </c>
      <c r="AN60" s="68" t="n">
        <f aca="false">AN59*(1+AM60)</f>
        <v>1.18458446576988</v>
      </c>
      <c r="AO60" s="49" t="n">
        <f aca="false">AJ60*AN60</f>
        <v>4738.33786307951</v>
      </c>
      <c r="AP60" s="70" t="n">
        <f aca="false">IF(AI60&gt;0,AO60*1000000/AI60/Economy!Q60,0)</f>
        <v>0.0481538400719463</v>
      </c>
      <c r="AQ60" s="47" t="n">
        <v>12000000</v>
      </c>
      <c r="AR60" s="47" t="n">
        <v>250</v>
      </c>
      <c r="AS60" s="71" t="n">
        <v>0.45</v>
      </c>
      <c r="AT60" s="49" t="n">
        <f aca="false">IF(AQ60&gt;0,AR60*1000000/AQ60,0)</f>
        <v>20.8333333333333</v>
      </c>
      <c r="AU60" s="67" t="n">
        <f aca="false">IF(AND(AS60&gt;0,AT59&gt;0,B60&gt;0),MIN(conv_cap,conv_beta*1*AS60*MAX(0,LN(B60/(AT59*AV59)))),0)</f>
        <v>0.0135464061177113</v>
      </c>
      <c r="AV60" s="68" t="n">
        <f aca="false">AV59*(1+AU60)</f>
        <v>1.21237539436641</v>
      </c>
      <c r="AW60" s="49" t="n">
        <f aca="false">AR60*AV60</f>
        <v>303.093848591602</v>
      </c>
      <c r="AX60" s="70" t="n">
        <f aca="false">IF(AQ60&gt;0,AW60*1000000/AQ60/Economy!Q60,0)</f>
        <v>0.102674067951085</v>
      </c>
      <c r="AY60" s="47" t="n">
        <v>80000000</v>
      </c>
      <c r="AZ60" s="47" t="n">
        <v>2000</v>
      </c>
      <c r="BA60" s="71" t="n">
        <v>0.1</v>
      </c>
      <c r="BB60" s="49" t="n">
        <f aca="false">IF(AY60&gt;0,AZ60*1000000/AY60,0)</f>
        <v>25</v>
      </c>
      <c r="BC60" s="67" t="n">
        <f aca="false">IF(AND(BA60&gt;0,BB59&gt;0,B60&gt;0),MIN(conv_cap,conv_beta*1*BA60*MAX(0,LN(B60/(BB59*BD59)))),0)</f>
        <v>0.00296583700141043</v>
      </c>
      <c r="BD60" s="68" t="n">
        <f aca="false">BD59*(1+BC60)</f>
        <v>1.04510125207244</v>
      </c>
      <c r="BE60" s="49" t="n">
        <f aca="false">AZ60*BD60</f>
        <v>2090.20250414489</v>
      </c>
      <c r="BF60" s="70" t="n">
        <f aca="false">IF(AY60&gt;0,BE60*1000000/AY60/Economy!Q60,0)</f>
        <v>0.10620947683663</v>
      </c>
      <c r="BG60" s="47" t="n">
        <v>30000000</v>
      </c>
      <c r="BH60" s="47" t="n">
        <v>2200</v>
      </c>
      <c r="BI60" s="71" t="n">
        <v>0.194</v>
      </c>
      <c r="BJ60" s="49" t="n">
        <f aca="false">IF(BG60&gt;0,BH60*1000000/BG60,0)</f>
        <v>73.3333333333333</v>
      </c>
      <c r="BK60" s="67" t="n">
        <f aca="false">IF(AND(BI60&gt;0,BJ59&gt;0,B60&gt;0),MIN(conv_cap,conv_beta*1*BI60*MAX(0,LN(B60/(BJ59*BL59)))),0)</f>
        <v>0.0036405611824286</v>
      </c>
      <c r="BL60" s="68" t="n">
        <f aca="false">BL59*(1+BK60)</f>
        <v>1.06195360424904</v>
      </c>
      <c r="BM60" s="49" t="n">
        <f aca="false">BH60*BL60</f>
        <v>2336.29792934788</v>
      </c>
      <c r="BN60" s="70" t="n">
        <f aca="false">IF(BG60&gt;0,BM60*1000000/BG60/Economy!Q60,0)</f>
        <v>0.316571535141989</v>
      </c>
      <c r="BO60" s="47" t="n">
        <v>14000000</v>
      </c>
      <c r="BP60" s="47" t="n">
        <v>800</v>
      </c>
      <c r="BQ60" s="71" t="n">
        <v>0</v>
      </c>
      <c r="BR60" s="49" t="n">
        <f aca="false">IF(BO60&gt;0,BP60*1000000/BO60,0)</f>
        <v>57.1428571428571</v>
      </c>
      <c r="BS60" s="67" t="n">
        <f aca="false">IF(AND(BQ60&gt;0,BR59&gt;0,B60&gt;0),MIN(conv_cap,conv_beta*1*BQ60*MAX(0,LN(B60/(BR59*BT59)))),0)</f>
        <v>0</v>
      </c>
      <c r="BT60" s="68" t="n">
        <f aca="false">BT59*(1+BS60)</f>
        <v>1</v>
      </c>
      <c r="BU60" s="49" t="n">
        <f aca="false">BP60*BT60</f>
        <v>800</v>
      </c>
      <c r="BV60" s="70" t="n">
        <f aca="false">IF(BO60&gt;0,BU60*1000000/BO60/Economy!Q60,0)</f>
        <v>0.232288037166086</v>
      </c>
      <c r="BW60" s="68" t="n">
        <f aca="false">0.25*IF(D60&gt;0,H60,1)+0.15*IF(AJ60&gt;0,AN60,1)+0.03*IF(AR60&gt;0,AV60,1)+0.08*IF(AZ60&gt;0,BD60,1)+0.12*IF(BH60&gt;0,BL60,1)+0.1*IF(L60&gt;0,P60,1)+0.07*IF(T60&gt;0,X60,1)+0.05*IF(AB60&gt;0,AF60,1)+0.05*IF(BP60&gt;0,BT60,1)+0.1</f>
        <v>1.20626491307222</v>
      </c>
      <c r="BX60" s="66" t="n">
        <f aca="false">MIN(mkt_cap,mkt_elast*MAX(0,BW60-1))</f>
        <v>0.103132456536111</v>
      </c>
      <c r="BY60" s="49" t="n">
        <f aca="false">I60+Q60+Y60+AG60</f>
        <v>3067.08231923313</v>
      </c>
      <c r="BZ60" s="49" t="n">
        <f aca="false">D60+L60+T60+AB60</f>
        <v>2321.087</v>
      </c>
      <c r="CA60" s="68" t="n">
        <f aca="false">IF(BZ60&gt;0,BY60/BZ60,0)</f>
        <v>1.32139911999556</v>
      </c>
    </row>
    <row r="61" customFormat="false" ht="14.25" hidden="false" customHeight="true" outlineLevel="0" collapsed="false">
      <c r="A61" s="61" t="n">
        <v>1901</v>
      </c>
      <c r="B61" s="49" t="n">
        <f aca="false">Economy!P60</f>
        <v>527.629786283065</v>
      </c>
      <c r="C61" s="47" t="n">
        <v>44560000</v>
      </c>
      <c r="D61" s="65" t="n">
        <f aca="false">Japan!B61</f>
        <v>1270</v>
      </c>
      <c r="E61" s="71" t="n">
        <v>0.71</v>
      </c>
      <c r="F61" s="49" t="n">
        <f aca="false">IF(C61&gt;0,D61*1000000/C61,0)</f>
        <v>28.5008976660682</v>
      </c>
      <c r="G61" s="67" t="n">
        <f aca="false">IF(AND(E61&gt;0,F60&gt;0,B61&gt;0),MIN(conv_cap,conv_beta*jp_uplift*E61*MAX(0,LN(B61/(F60*H60)))),0)</f>
        <v>0.0179036678861199</v>
      </c>
      <c r="H61" s="68" t="n">
        <f aca="false">H60*(1+G61)</f>
        <v>1.58187300980028</v>
      </c>
      <c r="I61" s="49" t="n">
        <f aca="false">D61*H61</f>
        <v>2008.97872244636</v>
      </c>
      <c r="J61" s="70" t="n">
        <f aca="false">IF(C61&gt;0,I61*1000000/C61/Economy!Q61,0)</f>
        <v>0.176803140286405</v>
      </c>
      <c r="K61" s="65" t="n">
        <f aca="false">Gulf!B61</f>
        <v>6290000</v>
      </c>
      <c r="L61" s="49" t="n">
        <f aca="false">Gulf!B61*Gulf!C61*Economy!Q61/1000000</f>
        <v>935.10285</v>
      </c>
      <c r="M61" s="71" t="n">
        <v>0.512</v>
      </c>
      <c r="N61" s="49" t="n">
        <f aca="false">IF(K61&gt;0,L61*1000000/K61,0)</f>
        <v>148.665</v>
      </c>
      <c r="O61" s="67" t="n">
        <f aca="false">IF(AND(M61&gt;0,N60&gt;0,B61&gt;0),MIN(conv_cap,conv_beta*1*M61*MAX(0,LN(B61/(N60*P60)))),0)</f>
        <v>0.00669588743651129</v>
      </c>
      <c r="P61" s="68" t="n">
        <f aca="false">P60*(1+O61)</f>
        <v>1.00669588743651</v>
      </c>
      <c r="Q61" s="49" t="n">
        <f aca="false">L61*P61</f>
        <v>941.364193425161</v>
      </c>
      <c r="R61" s="70" t="n">
        <f aca="false">IF(K61&gt;0,Q61*1000000/K61/Economy!Q61,0)</f>
        <v>0.586903702375486</v>
      </c>
      <c r="S61" s="65" t="n">
        <f aca="false">People!U61</f>
        <v>7497297</v>
      </c>
      <c r="T61" s="47" t="n">
        <v>263.784</v>
      </c>
      <c r="U61" s="71" t="n">
        <v>0.548</v>
      </c>
      <c r="V61" s="49" t="n">
        <f aca="false">IF(S61&gt;0,T61*1000000/S61,0)</f>
        <v>35.1838802704495</v>
      </c>
      <c r="W61" s="67" t="n">
        <f aca="false">IF(AND(U61&gt;0,V60&gt;0,B61&gt;0),MIN(conv_cap,conv_beta*1*U61*MAX(0,LN(B61/(V60*X60)))),0)</f>
        <v>0.0135338951730842</v>
      </c>
      <c r="X61" s="68" t="n">
        <f aca="false">X60*(1+W61)</f>
        <v>1.34149890068788</v>
      </c>
      <c r="Y61" s="49" t="n">
        <f aca="false">T61*X61</f>
        <v>353.865946019051</v>
      </c>
      <c r="Z61" s="70" t="n">
        <f aca="false">IF(S61&gt;0,Y61*1000000/S61/Economy!Q61,0)</f>
        <v>0.185094653744086</v>
      </c>
      <c r="AA61" s="47" t="n">
        <v>0</v>
      </c>
      <c r="AB61" s="47" t="n">
        <v>0</v>
      </c>
      <c r="AC61" s="71" t="n">
        <v>0</v>
      </c>
      <c r="AD61" s="49" t="n">
        <f aca="false">IF(AA61&gt;0,AB61*1000000/AA61,0)</f>
        <v>0</v>
      </c>
      <c r="AE61" s="67" t="n">
        <f aca="false">IF(AND(AC61&gt;0,AD60&gt;0,B61&gt;0),MIN(conv_cap,conv_beta*1*AC61*MAX(0,LN(B61/(AD60*AF60)))),0)</f>
        <v>0</v>
      </c>
      <c r="AF61" s="68" t="n">
        <f aca="false">AF60*(1+AE61)</f>
        <v>1</v>
      </c>
      <c r="AG61" s="49" t="n">
        <f aca="false">AB61*AF61</f>
        <v>0</v>
      </c>
      <c r="AH61" s="70" t="n">
        <f aca="false">IF(AA61&gt;0,AG61*1000000/AA61/Economy!Q61,0)</f>
        <v>0</v>
      </c>
      <c r="AI61" s="47" t="n">
        <v>402300000</v>
      </c>
      <c r="AJ61" s="47" t="n">
        <v>4077</v>
      </c>
      <c r="AK61" s="71" t="n">
        <v>0.204</v>
      </c>
      <c r="AL61" s="49" t="n">
        <f aca="false">IF(AI61&gt;0,AJ61*1000000/AI61,0)</f>
        <v>10.1342281879195</v>
      </c>
      <c r="AM61" s="67" t="n">
        <f aca="false">IF(AND(AK61&gt;0,AL60&gt;0,B61&gt;0),MIN(conv_cap,conv_beta*1*AK61*MAX(0,LN(B61/(AL60*AN60)))),0)</f>
        <v>0.00774469217153979</v>
      </c>
      <c r="AN61" s="68" t="n">
        <f aca="false">AN60*(1+AM61)</f>
        <v>1.19375870780845</v>
      </c>
      <c r="AO61" s="49" t="n">
        <f aca="false">AJ61*AN61</f>
        <v>4866.95425173507</v>
      </c>
      <c r="AP61" s="70" t="n">
        <f aca="false">IF(AI61&gt;0,AO61*1000000/AI61/Economy!Q61,0)</f>
        <v>0.0474424437107716</v>
      </c>
      <c r="AQ61" s="47" t="n">
        <v>12230000</v>
      </c>
      <c r="AR61" s="47" t="n">
        <v>262</v>
      </c>
      <c r="AS61" s="71" t="n">
        <v>0.46</v>
      </c>
      <c r="AT61" s="49" t="n">
        <f aca="false">IF(AQ61&gt;0,AR61*1000000/AQ61,0)</f>
        <v>21.4227309893704</v>
      </c>
      <c r="AU61" s="67" t="n">
        <f aca="false">IF(AND(AS61&gt;0,AT60&gt;0,B61&gt;0),MIN(conv_cap,conv_beta*1*AS61*MAX(0,LN(B61/(AT60*AV60)))),0)</f>
        <v>0.0139805915671841</v>
      </c>
      <c r="AV61" s="68" t="n">
        <f aca="false">AV60*(1+AU61)</f>
        <v>1.22932511958115</v>
      </c>
      <c r="AW61" s="49" t="n">
        <f aca="false">AR61*AV61</f>
        <v>322.083181330261</v>
      </c>
      <c r="AX61" s="70" t="n">
        <f aca="false">IF(AQ61&gt;0,AW61*1000000/AQ61/Economy!Q61,0)</f>
        <v>0.103276475824559</v>
      </c>
      <c r="AY61" s="47" t="n">
        <v>81200000</v>
      </c>
      <c r="AZ61" s="47" t="n">
        <v>2077</v>
      </c>
      <c r="BA61" s="71" t="n">
        <v>0.104</v>
      </c>
      <c r="BB61" s="49" t="n">
        <f aca="false">IF(AY61&gt;0,AZ61*1000000/AY61,0)</f>
        <v>25.5788177339902</v>
      </c>
      <c r="BC61" s="67" t="n">
        <f aca="false">IF(AND(BA61&gt;0,BB60&gt;0,B61&gt;0),MIN(conv_cap,conv_beta*1*BA61*MAX(0,LN(B61/(BB60*BD60)))),0)</f>
        <v>0.003125621489024</v>
      </c>
      <c r="BD61" s="68" t="n">
        <f aca="false">BD60*(1+BC61)</f>
        <v>1.04836784300413</v>
      </c>
      <c r="BE61" s="49" t="n">
        <f aca="false">AZ61*BD61</f>
        <v>2177.46000991957</v>
      </c>
      <c r="BF61" s="70" t="n">
        <f aca="false">IF(AY61&gt;0,BE61*1000000/AY61/Economy!Q61,0)</f>
        <v>0.105160823428937</v>
      </c>
      <c r="BG61" s="47" t="n">
        <v>30500000</v>
      </c>
      <c r="BH61" s="47" t="n">
        <v>2315</v>
      </c>
      <c r="BI61" s="71" t="n">
        <v>0.2</v>
      </c>
      <c r="BJ61" s="49" t="n">
        <f aca="false">IF(BG61&gt;0,BH61*1000000/BG61,0)</f>
        <v>75.9016393442623</v>
      </c>
      <c r="BK61" s="67" t="n">
        <f aca="false">IF(AND(BI61&gt;0,BJ60&gt;0,B61&gt;0),MIN(conv_cap,conv_beta*1*BI61*MAX(0,LN(B61/(BJ60*BL60)))),0)</f>
        <v>0.00382653876606483</v>
      </c>
      <c r="BL61" s="68" t="n">
        <f aca="false">BL60*(1+BK61)</f>
        <v>1.06601721088346</v>
      </c>
      <c r="BM61" s="49" t="n">
        <f aca="false">BH61*BL61</f>
        <v>2467.8298431952</v>
      </c>
      <c r="BN61" s="70" t="n">
        <f aca="false">IF(BG61&gt;0,BM61*1000000/BG61/Economy!Q61,0)</f>
        <v>0.317303740687265</v>
      </c>
      <c r="BO61" s="47" t="n">
        <v>14200000</v>
      </c>
      <c r="BP61" s="47" t="n">
        <v>823</v>
      </c>
      <c r="BQ61" s="71" t="n">
        <v>0</v>
      </c>
      <c r="BR61" s="49" t="n">
        <f aca="false">IF(BO61&gt;0,BP61*1000000/BO61,0)</f>
        <v>57.9577464788732</v>
      </c>
      <c r="BS61" s="67" t="n">
        <f aca="false">IF(AND(BQ61&gt;0,BR60&gt;0,B61&gt;0),MIN(conv_cap,conv_beta*1*BQ61*MAX(0,LN(B61/(BR60*BT60)))),0)</f>
        <v>0</v>
      </c>
      <c r="BT61" s="68" t="n">
        <f aca="false">BT60*(1+BS61)</f>
        <v>1</v>
      </c>
      <c r="BU61" s="49" t="n">
        <f aca="false">BP61*BT61</f>
        <v>823</v>
      </c>
      <c r="BV61" s="70" t="n">
        <f aca="false">IF(BO61&gt;0,BU61*1000000/BO61/Economy!Q61,0)</f>
        <v>0.227285280309307</v>
      </c>
      <c r="BW61" s="68" t="n">
        <f aca="false">0.25*IF(D61&gt;0,H61,1)+0.15*IF(AJ61&gt;0,AN61,1)+0.03*IF(AR61&gt;0,AV61,1)+0.08*IF(AZ61&gt;0,BD61,1)+0.12*IF(BH61&gt;0,BL61,1)+0.1*IF(L61&gt;0,P61,1)+0.07*IF(T61&gt;0,X61,1)+0.05*IF(AB61&gt;0,AF61,1)+0.05*IF(BP61&gt;0,BT61,1)+0.1</f>
        <v>1.21777781674692</v>
      </c>
      <c r="BX61" s="66" t="n">
        <f aca="false">MIN(mkt_cap,mkt_elast*MAX(0,BW61-1))</f>
        <v>0.108888908373461</v>
      </c>
      <c r="BY61" s="49" t="n">
        <f aca="false">I61+Q61+Y61+AG61</f>
        <v>3304.20886189057</v>
      </c>
      <c r="BZ61" s="49" t="n">
        <f aca="false">D61+L61+T61+AB61</f>
        <v>2468.88685</v>
      </c>
      <c r="CA61" s="68" t="n">
        <f aca="false">IF(BZ61&gt;0,BY61/BZ61,0)</f>
        <v>1.33833952815236</v>
      </c>
    </row>
    <row r="62" customFormat="false" ht="14.25" hidden="false" customHeight="true" outlineLevel="0" collapsed="false">
      <c r="A62" s="61" t="n">
        <v>1902</v>
      </c>
      <c r="B62" s="49" t="n">
        <f aca="false">Economy!P61</f>
        <v>548.707624543384</v>
      </c>
      <c r="C62" s="47" t="n">
        <v>45120000</v>
      </c>
      <c r="D62" s="65" t="n">
        <f aca="false">Japan!B62</f>
        <v>1340</v>
      </c>
      <c r="E62" s="71" t="n">
        <v>0.72</v>
      </c>
      <c r="F62" s="49" t="n">
        <f aca="false">IF(C62&gt;0,D62*1000000/C62,0)</f>
        <v>29.6985815602837</v>
      </c>
      <c r="G62" s="67" t="n">
        <f aca="false">IF(AND(E62&gt;0,F61&gt;0,B62&gt;0),MIN(conv_cap,conv_beta*jp_uplift*E62*MAX(0,LN(B62/(F61*H61)))),0)</f>
        <v>0.0179929480434896</v>
      </c>
      <c r="H62" s="68" t="n">
        <f aca="false">H61*(1+G62)</f>
        <v>1.61033556867702</v>
      </c>
      <c r="I62" s="49" t="n">
        <f aca="false">D62*H62</f>
        <v>2157.84966202721</v>
      </c>
      <c r="J62" s="70" t="n">
        <f aca="false">IF(C62&gt;0,I62*1000000/C62/Economy!Q62,0)</f>
        <v>0.181154099340077</v>
      </c>
      <c r="K62" s="65" t="n">
        <f aca="false">Gulf!B62</f>
        <v>6480000</v>
      </c>
      <c r="L62" s="49" t="n">
        <f aca="false">Gulf!B62*Gulf!C62*Economy!Q62/1000000</f>
        <v>1002.48192</v>
      </c>
      <c r="M62" s="71" t="n">
        <v>0.523</v>
      </c>
      <c r="N62" s="49" t="n">
        <f aca="false">IF(K62&gt;0,L62*1000000/K62,0)</f>
        <v>154.704</v>
      </c>
      <c r="O62" s="67" t="n">
        <f aca="false">IF(AND(M62&gt;0,N61&gt;0,B62&gt;0),MIN(conv_cap,conv_beta*1*M62*MAX(0,LN(B62/(N61*P61)))),0)</f>
        <v>0.00679479883273327</v>
      </c>
      <c r="P62" s="68" t="n">
        <f aca="false">P61*(1+O62)</f>
        <v>1.01353618347738</v>
      </c>
      <c r="Q62" s="49" t="n">
        <f aca="false">L62*P62</f>
        <v>1016.05169920188</v>
      </c>
      <c r="R62" s="70" t="n">
        <f aca="false">IF(K62&gt;0,Q62*1000000/K62/Economy!Q62,0)</f>
        <v>0.593932203517746</v>
      </c>
      <c r="S62" s="65" t="n">
        <f aca="false">People!U62</f>
        <v>7560698</v>
      </c>
      <c r="T62" s="47" t="n">
        <v>276.831</v>
      </c>
      <c r="U62" s="71" t="n">
        <v>0.555</v>
      </c>
      <c r="V62" s="49" t="n">
        <f aca="false">IF(S62&gt;0,T62*1000000/S62,0)</f>
        <v>36.6144765999118</v>
      </c>
      <c r="W62" s="67" t="n">
        <f aca="false">IF(AND(U62&gt;0,V61&gt;0,B62&gt;0),MIN(conv_cap,conv_beta*1*U62*MAX(0,LN(B62/(V61*X61)))),0)</f>
        <v>0.0136152052622833</v>
      </c>
      <c r="X62" s="68" t="n">
        <f aca="false">X61*(1+W62)</f>
        <v>1.35976368357987</v>
      </c>
      <c r="Y62" s="49" t="n">
        <f aca="false">T62*X62</f>
        <v>376.424740289099</v>
      </c>
      <c r="Z62" s="70" t="n">
        <f aca="false">IF(S62&gt;0,Y62*1000000/S62/Economy!Q62,0)</f>
        <v>0.188587255961534</v>
      </c>
      <c r="AA62" s="47" t="n">
        <v>0</v>
      </c>
      <c r="AB62" s="47" t="n">
        <v>0</v>
      </c>
      <c r="AC62" s="71" t="n">
        <v>0</v>
      </c>
      <c r="AD62" s="49" t="n">
        <f aca="false">IF(AA62&gt;0,AB62*1000000/AA62,0)</f>
        <v>0</v>
      </c>
      <c r="AE62" s="67" t="n">
        <f aca="false">IF(AND(AC62&gt;0,AD61&gt;0,B62&gt;0),MIN(conv_cap,conv_beta*1*AC62*MAX(0,LN(B62/(AD61*AF61)))),0)</f>
        <v>0</v>
      </c>
      <c r="AF62" s="68" t="n">
        <f aca="false">AF61*(1+AE62)</f>
        <v>1</v>
      </c>
      <c r="AG62" s="49" t="n">
        <f aca="false">AB62*AF62</f>
        <v>0</v>
      </c>
      <c r="AH62" s="70" t="n">
        <f aca="false">IF(AA62&gt;0,AG62*1000000/AA62/Economy!Q62,0)</f>
        <v>0</v>
      </c>
      <c r="AI62" s="47" t="n">
        <v>404600000</v>
      </c>
      <c r="AJ62" s="47" t="n">
        <v>4154</v>
      </c>
      <c r="AK62" s="71" t="n">
        <v>0.208</v>
      </c>
      <c r="AL62" s="49" t="n">
        <f aca="false">IF(AI62&gt;0,AJ62*1000000/AI62,0)</f>
        <v>10.2669303015324</v>
      </c>
      <c r="AM62" s="67" t="n">
        <f aca="false">IF(AND(AK62&gt;0,AL61&gt;0,B62&gt;0),MIN(conv_cap,conv_beta*1*AK62*MAX(0,LN(B62/(AL61*AN61)))),0)</f>
        <v>0.00793424363361732</v>
      </c>
      <c r="AN62" s="68" t="n">
        <f aca="false">AN61*(1+AM62)</f>
        <v>1.20323028023596</v>
      </c>
      <c r="AO62" s="49" t="n">
        <f aca="false">AJ62*AN62</f>
        <v>4998.21858410017</v>
      </c>
      <c r="AP62" s="70" t="n">
        <f aca="false">IF(AI62&gt;0,AO62*1000000/AI62/Economy!Q62,0)</f>
        <v>0.046793490241954</v>
      </c>
      <c r="AQ62" s="47" t="n">
        <v>12460000</v>
      </c>
      <c r="AR62" s="47" t="n">
        <v>273</v>
      </c>
      <c r="AS62" s="71" t="n">
        <v>0.47</v>
      </c>
      <c r="AT62" s="49" t="n">
        <f aca="false">IF(AQ62&gt;0,AR62*1000000/AQ62,0)</f>
        <v>21.9101123595506</v>
      </c>
      <c r="AU62" s="67" t="n">
        <f aca="false">IF(AND(AS62&gt;0,AT61&gt;0,B62&gt;0),MIN(conv_cap,conv_beta*1*AS62*MAX(0,LN(B62/(AT61*AV61)))),0)</f>
        <v>0.0142722448951014</v>
      </c>
      <c r="AV62" s="68" t="n">
        <f aca="false">AV61*(1+AU62)</f>
        <v>1.24687034874351</v>
      </c>
      <c r="AW62" s="49" t="n">
        <f aca="false">AR62*AV62</f>
        <v>340.395605206978</v>
      </c>
      <c r="AX62" s="70" t="n">
        <f aca="false">IF(AQ62&gt;0,AW62*1000000/AQ62/Economy!Q62,0)</f>
        <v>0.103481323631675</v>
      </c>
      <c r="AY62" s="47" t="n">
        <v>82300000</v>
      </c>
      <c r="AZ62" s="47" t="n">
        <v>2154</v>
      </c>
      <c r="BA62" s="71" t="n">
        <v>0.108</v>
      </c>
      <c r="BB62" s="49" t="n">
        <f aca="false">IF(AY62&gt;0,AZ62*1000000/AY62,0)</f>
        <v>26.1725394896719</v>
      </c>
      <c r="BC62" s="67" t="n">
        <f aca="false">IF(AND(BA62&gt;0,BB61&gt;0,B62&gt;0),MIN(conv_cap,conv_beta*1*BA62*MAX(0,LN(B62/(BB61*BD61)))),0)</f>
        <v>0.00326005197483198</v>
      </c>
      <c r="BD62" s="68" t="n">
        <f aca="false">BD61*(1+BC62)</f>
        <v>1.05178557666106</v>
      </c>
      <c r="BE62" s="49" t="n">
        <f aca="false">AZ62*BD62</f>
        <v>2265.54613212793</v>
      </c>
      <c r="BF62" s="70" t="n">
        <f aca="false">IF(AY62&gt;0,BE62*1000000/AY62/Economy!Q62,0)</f>
        <v>0.104272346741777</v>
      </c>
      <c r="BG62" s="47" t="n">
        <v>31100000</v>
      </c>
      <c r="BH62" s="47" t="n">
        <v>2431</v>
      </c>
      <c r="BI62" s="71" t="n">
        <v>0.208</v>
      </c>
      <c r="BJ62" s="49" t="n">
        <f aca="false">IF(BG62&gt;0,BH62*1000000/BG62,0)</f>
        <v>78.1672025723473</v>
      </c>
      <c r="BK62" s="67" t="n">
        <f aca="false">IF(AND(BI62&gt;0,BJ61&gt;0,B62&gt;0),MIN(conv_cap,conv_beta*1*BI62*MAX(0,LN(B62/(BJ61*BL61)))),0)</f>
        <v>0.00398153181047329</v>
      </c>
      <c r="BL62" s="68" t="n">
        <f aca="false">BL61*(1+BK62)</f>
        <v>1.0702615923191</v>
      </c>
      <c r="BM62" s="49" t="n">
        <f aca="false">BH62*BL62</f>
        <v>2601.80593092774</v>
      </c>
      <c r="BN62" s="70" t="n">
        <f aca="false">IF(BG62&gt;0,BM62*1000000/BG62/Economy!Q62,0)</f>
        <v>0.316891495046251</v>
      </c>
      <c r="BO62" s="47" t="n">
        <v>14300000</v>
      </c>
      <c r="BP62" s="47" t="n">
        <v>846</v>
      </c>
      <c r="BQ62" s="71" t="n">
        <v>0</v>
      </c>
      <c r="BR62" s="49" t="n">
        <f aca="false">IF(BO62&gt;0,BP62*1000000/BO62,0)</f>
        <v>59.1608391608392</v>
      </c>
      <c r="BS62" s="67" t="n">
        <f aca="false">IF(AND(BQ62&gt;0,BR61&gt;0,B62&gt;0),MIN(conv_cap,conv_beta*1*BQ62*MAX(0,LN(B62/(BR61*BT61)))),0)</f>
        <v>0</v>
      </c>
      <c r="BT62" s="68" t="n">
        <f aca="false">BT61*(1+BS62)</f>
        <v>1</v>
      </c>
      <c r="BU62" s="49" t="n">
        <f aca="false">BP62*BT62</f>
        <v>846</v>
      </c>
      <c r="BV62" s="70" t="n">
        <f aca="false">IF(BO62&gt;0,BU62*1000000/BO62/Economy!Q62,0)</f>
        <v>0.224094087730451</v>
      </c>
      <c r="BW62" s="68" t="n">
        <f aca="false">0.25*IF(D62&gt;0,H62,1)+0.15*IF(AJ62&gt;0,AN62,1)+0.03*IF(AR62&gt;0,AV62,1)+0.08*IF(AZ62&gt;0,BD62,1)+0.12*IF(BH62&gt;0,BL62,1)+0.1*IF(L62&gt;0,P62,1)+0.07*IF(T62&gt;0,X62,1)+0.05*IF(AB62&gt;0,AF62,1)+0.05*IF(BP62&gt;0,BT62,1)+0.1</f>
        <v>1.22958585807646</v>
      </c>
      <c r="BX62" s="66" t="n">
        <f aca="false">MIN(mkt_cap,mkt_elast*MAX(0,BW62-1))</f>
        <v>0.11479292903823</v>
      </c>
      <c r="BY62" s="49" t="n">
        <f aca="false">I62+Q62+Y62+AG62</f>
        <v>3550.32610151818</v>
      </c>
      <c r="BZ62" s="49" t="n">
        <f aca="false">D62+L62+T62+AB62</f>
        <v>2619.31292</v>
      </c>
      <c r="CA62" s="68" t="n">
        <f aca="false">IF(BZ62&gt;0,BY62/BZ62,0)</f>
        <v>1.3554417551295</v>
      </c>
    </row>
    <row r="63" customFormat="false" ht="14.25" hidden="false" customHeight="true" outlineLevel="0" collapsed="false">
      <c r="A63" s="61" t="n">
        <v>1903</v>
      </c>
      <c r="B63" s="49" t="n">
        <f aca="false">Economy!P62</f>
        <v>570.249797206592</v>
      </c>
      <c r="C63" s="47" t="n">
        <v>45680000</v>
      </c>
      <c r="D63" s="65" t="n">
        <f aca="false">Japan!B63</f>
        <v>1410</v>
      </c>
      <c r="E63" s="71" t="n">
        <v>0.73</v>
      </c>
      <c r="F63" s="49" t="n">
        <f aca="false">IF(C63&gt;0,D63*1000000/C63,0)</f>
        <v>30.8669001751314</v>
      </c>
      <c r="G63" s="67" t="n">
        <f aca="false">IF(AND(E63&gt;0,F62&gt;0,B63&gt;0),MIN(conv_cap,conv_beta*jp_uplift*E63*MAX(0,LN(B63/(F62*H62)))),0)</f>
        <v>0.018093288233743</v>
      </c>
      <c r="H63" s="68" t="n">
        <f aca="false">H62*(1+G63)</f>
        <v>1.63947183427414</v>
      </c>
      <c r="I63" s="49" t="n">
        <f aca="false">D63*H63</f>
        <v>2311.65528632654</v>
      </c>
      <c r="J63" s="70" t="n">
        <f aca="false">IF(C63&gt;0,I63*1000000/C63/Economy!Q63,0)</f>
        <v>0.186049314148821</v>
      </c>
      <c r="K63" s="65" t="n">
        <f aca="false">Gulf!B63</f>
        <v>6670000</v>
      </c>
      <c r="L63" s="49" t="n">
        <f aca="false">Gulf!B63*Gulf!C63*Economy!Q63/1000000</f>
        <v>1068.58736</v>
      </c>
      <c r="M63" s="71" t="n">
        <v>0.535</v>
      </c>
      <c r="N63" s="49" t="n">
        <f aca="false">IF(K63&gt;0,L63*1000000/K63,0)</f>
        <v>160.208</v>
      </c>
      <c r="O63" s="67" t="n">
        <f aca="false">IF(AND(M63&gt;0,N62&gt;0,B63&gt;0),MIN(conv_cap,conv_beta*1*M63*MAX(0,LN(B63/(N62*P62)))),0)</f>
        <v>0.00690746794651575</v>
      </c>
      <c r="P63" s="68" t="n">
        <f aca="false">P62*(1+O63)</f>
        <v>1.02053715217739</v>
      </c>
      <c r="Q63" s="49" t="n">
        <f aca="false">L63*P63</f>
        <v>1090.53310122715</v>
      </c>
      <c r="R63" s="70" t="n">
        <f aca="false">IF(K63&gt;0,Q63*1000000/K63/Economy!Q63,0)</f>
        <v>0.60109638263248</v>
      </c>
      <c r="S63" s="65" t="n">
        <f aca="false">People!U63</f>
        <v>7623107</v>
      </c>
      <c r="T63" s="47" t="n">
        <v>289.879</v>
      </c>
      <c r="U63" s="71" t="n">
        <v>0.563</v>
      </c>
      <c r="V63" s="49" t="n">
        <f aca="false">IF(S63&gt;0,T63*1000000/S63,0)</f>
        <v>38.0263585438326</v>
      </c>
      <c r="W63" s="67" t="n">
        <f aca="false">IF(AND(U63&gt;0,V62&gt;0,B63&gt;0),MIN(conv_cap,conv_beta*1*U63*MAX(0,LN(B63/(V62*X62)))),0)</f>
        <v>0.0137277409539353</v>
      </c>
      <c r="X63" s="68" t="n">
        <f aca="false">X62*(1+W63)</f>
        <v>1.37843016718662</v>
      </c>
      <c r="Y63" s="49" t="n">
        <f aca="false">T63*X63</f>
        <v>399.577958433891</v>
      </c>
      <c r="Z63" s="70" t="n">
        <f aca="false">IF(S63&gt;0,Y63*1000000/S63/Economy!Q63,0)</f>
        <v>0.192708381489241</v>
      </c>
      <c r="AA63" s="47" t="n">
        <v>0</v>
      </c>
      <c r="AB63" s="47" t="n">
        <v>0</v>
      </c>
      <c r="AC63" s="71" t="n">
        <v>0</v>
      </c>
      <c r="AD63" s="49" t="n">
        <f aca="false">IF(AA63&gt;0,AB63*1000000/AA63,0)</f>
        <v>0</v>
      </c>
      <c r="AE63" s="67" t="n">
        <f aca="false">IF(AND(AC63&gt;0,AD62&gt;0,B63&gt;0),MIN(conv_cap,conv_beta*1*AC63*MAX(0,LN(B63/(AD62*AF62)))),0)</f>
        <v>0</v>
      </c>
      <c r="AF63" s="68" t="n">
        <f aca="false">AF62*(1+AE63)</f>
        <v>1</v>
      </c>
      <c r="AG63" s="49" t="n">
        <f aca="false">AB63*AF63</f>
        <v>0</v>
      </c>
      <c r="AH63" s="70" t="n">
        <f aca="false">IF(AA63&gt;0,AG63*1000000/AA63/Economy!Q63,0)</f>
        <v>0</v>
      </c>
      <c r="AI63" s="47" t="n">
        <v>406900000</v>
      </c>
      <c r="AJ63" s="47" t="n">
        <v>4231</v>
      </c>
      <c r="AK63" s="71" t="n">
        <v>0.213</v>
      </c>
      <c r="AL63" s="49" t="n">
        <f aca="false">IF(AI63&gt;0,AJ63*1000000/AI63,0)</f>
        <v>10.3981322192185</v>
      </c>
      <c r="AM63" s="67" t="n">
        <f aca="false">IF(AND(AK63&gt;0,AL62&gt;0,B63&gt;0),MIN(conv_cap,conv_beta*1*AK63*MAX(0,LN(B63/(AL62*AN62)))),0)</f>
        <v>0.0081624509271657</v>
      </c>
      <c r="AN63" s="68" t="n">
        <f aca="false">AN62*(1+AM63)</f>
        <v>1.21305158835246</v>
      </c>
      <c r="AO63" s="49" t="n">
        <f aca="false">AJ63*AN63</f>
        <v>5132.42127031928</v>
      </c>
      <c r="AP63" s="70" t="n">
        <f aca="false">IF(AI63&gt;0,AO63*1000000/AI63/Economy!Q63,0)</f>
        <v>0.0463730544280217</v>
      </c>
      <c r="AQ63" s="47" t="n">
        <v>12690000</v>
      </c>
      <c r="AR63" s="47" t="n">
        <v>285</v>
      </c>
      <c r="AS63" s="71" t="n">
        <v>0.48</v>
      </c>
      <c r="AT63" s="49" t="n">
        <f aca="false">IF(AQ63&gt;0,AR63*1000000/AQ63,0)</f>
        <v>22.4586288416076</v>
      </c>
      <c r="AU63" s="67" t="n">
        <f aca="false">IF(AND(AS63&gt;0,AT62&gt;0,B63&gt;0),MIN(conv_cap,conv_beta*1*AS63*MAX(0,LN(B63/(AT62*AV62)))),0)</f>
        <v>0.0145847497582019</v>
      </c>
      <c r="AV63" s="68" t="n">
        <f aca="false">AV62*(1+AU63)</f>
        <v>1.26505564076086</v>
      </c>
      <c r="AW63" s="49" t="n">
        <f aca="false">AR63*AV63</f>
        <v>360.540857616844</v>
      </c>
      <c r="AX63" s="70" t="n">
        <f aca="false">IF(AQ63&gt;0,AW63*1000000/AQ63/Economy!Q63,0)</f>
        <v>0.104453731984669</v>
      </c>
      <c r="AY63" s="47" t="n">
        <v>83500000</v>
      </c>
      <c r="AZ63" s="47" t="n">
        <v>2231</v>
      </c>
      <c r="BA63" s="71" t="n">
        <v>0.112</v>
      </c>
      <c r="BB63" s="49" t="n">
        <f aca="false">IF(AY63&gt;0,AZ63*1000000/AY63,0)</f>
        <v>26.7185628742515</v>
      </c>
      <c r="BC63" s="67" t="n">
        <f aca="false">IF(AND(BA63&gt;0,BB62&gt;0,B63&gt;0),MIN(conv_cap,conv_beta*1*BA63*MAX(0,LN(B63/(BB62*BD62)))),0)</f>
        <v>0.00339457942480762</v>
      </c>
      <c r="BD63" s="68" t="n">
        <f aca="false">BD62*(1+BC63)</f>
        <v>1.05535594633891</v>
      </c>
      <c r="BE63" s="49" t="n">
        <f aca="false">AZ63*BD63</f>
        <v>2354.4991162821</v>
      </c>
      <c r="BF63" s="70" t="n">
        <f aca="false">IF(AY63&gt;0,BE63*1000000/AY63/Economy!Q63,0)</f>
        <v>0.103667625760924</v>
      </c>
      <c r="BG63" s="47" t="n">
        <v>31600000</v>
      </c>
      <c r="BH63" s="47" t="n">
        <v>2546</v>
      </c>
      <c r="BI63" s="71" t="n">
        <v>0.217</v>
      </c>
      <c r="BJ63" s="49" t="n">
        <f aca="false">IF(BG63&gt;0,BH63*1000000/BG63,0)</f>
        <v>80.5696202531646</v>
      </c>
      <c r="BK63" s="67" t="n">
        <f aca="false">IF(AND(BI63&gt;0,BJ62&gt;0,B63&gt;0),MIN(conv_cap,conv_beta*1*BI63*MAX(0,LN(B63/(BJ62*BL62)))),0)</f>
        <v>0.00416492711904238</v>
      </c>
      <c r="BL63" s="68" t="n">
        <f aca="false">BL62*(1+BK63)</f>
        <v>1.07471915384942</v>
      </c>
      <c r="BM63" s="49" t="n">
        <f aca="false">BH63*BL63</f>
        <v>2736.23496570063</v>
      </c>
      <c r="BN63" s="70" t="n">
        <f aca="false">IF(BG63&gt;0,BM63*1000000/BG63/Economy!Q63,0)</f>
        <v>0.318344537148714</v>
      </c>
      <c r="BO63" s="47" t="n">
        <v>14500000</v>
      </c>
      <c r="BP63" s="47" t="n">
        <v>869</v>
      </c>
      <c r="BQ63" s="71" t="n">
        <v>0</v>
      </c>
      <c r="BR63" s="49" t="n">
        <f aca="false">IF(BO63&gt;0,BP63*1000000/BO63,0)</f>
        <v>59.9310344827586</v>
      </c>
      <c r="BS63" s="67" t="n">
        <f aca="false">IF(AND(BQ63&gt;0,BR62&gt;0,B63&gt;0),MIN(conv_cap,conv_beta*1*BQ63*MAX(0,LN(B63/(BR62*BT62)))),0)</f>
        <v>0</v>
      </c>
      <c r="BT63" s="68" t="n">
        <f aca="false">BT62*(1+BS63)</f>
        <v>1</v>
      </c>
      <c r="BU63" s="49" t="n">
        <f aca="false">BP63*BT63</f>
        <v>869</v>
      </c>
      <c r="BV63" s="70" t="n">
        <f aca="false">IF(BO63&gt;0,BU63*1000000/BO63/Economy!Q63,0)</f>
        <v>0.220334685598377</v>
      </c>
      <c r="BW63" s="68" t="n">
        <f aca="false">0.25*IF(D63&gt;0,H63,1)+0.15*IF(AJ63&gt;0,AN63,1)+0.03*IF(AR63&gt;0,AV63,1)+0.08*IF(AZ63&gt;0,BD63,1)+0.12*IF(BH63&gt;0,BL63,1)+0.1*IF(L63&gt;0,P63,1)+0.07*IF(T63&gt;0,X63,1)+0.05*IF(AB63&gt;0,AF63,1)+0.05*IF(BP63&gt;0,BT63,1)+0.1</f>
        <v>1.24171596713408</v>
      </c>
      <c r="BX63" s="66" t="n">
        <f aca="false">MIN(mkt_cap,mkt_elast*MAX(0,BW63-1))</f>
        <v>0.120857983567038</v>
      </c>
      <c r="BY63" s="49" t="n">
        <f aca="false">I63+Q63+Y63+AG63</f>
        <v>3801.76634598758</v>
      </c>
      <c r="BZ63" s="49" t="n">
        <f aca="false">D63+L63+T63+AB63</f>
        <v>2768.46636</v>
      </c>
      <c r="CA63" s="68" t="n">
        <f aca="false">IF(BZ63&gt;0,BY63/BZ63,0)</f>
        <v>1.37323913373742</v>
      </c>
    </row>
    <row r="64" customFormat="false" ht="14.25" hidden="false" customHeight="true" outlineLevel="0" collapsed="false">
      <c r="A64" s="61" t="n">
        <v>1904</v>
      </c>
      <c r="B64" s="49" t="n">
        <f aca="false">Economy!P63</f>
        <v>592.346037304665</v>
      </c>
      <c r="C64" s="47" t="n">
        <v>46250000</v>
      </c>
      <c r="D64" s="65" t="n">
        <f aca="false">Japan!B64</f>
        <v>1480</v>
      </c>
      <c r="E64" s="71" t="n">
        <v>0.74</v>
      </c>
      <c r="F64" s="49" t="n">
        <f aca="false">IF(C64&gt;0,D64*1000000/C64,0)</f>
        <v>32</v>
      </c>
      <c r="G64" s="67" t="n">
        <f aca="false">IF(AND(E64&gt;0,F63&gt;0,B64&gt;0),MIN(conv_cap,conv_beta*jp_uplift*E64*MAX(0,LN(B64/(F63*H63)))),0)</f>
        <v>0.0182042399884576</v>
      </c>
      <c r="H64" s="68" t="n">
        <f aca="false">H63*(1+G64)</f>
        <v>1.66931717299958</v>
      </c>
      <c r="I64" s="49" t="n">
        <f aca="false">D64*H64</f>
        <v>2470.58941603939</v>
      </c>
      <c r="J64" s="70" t="n">
        <f aca="false">IF(C64&gt;0,I64*1000000/C64/Economy!Q64,0)</f>
        <v>0.19010017628465</v>
      </c>
      <c r="K64" s="65" t="n">
        <f aca="false">Gulf!B64</f>
        <v>6860000</v>
      </c>
      <c r="L64" s="49" t="n">
        <f aca="false">Gulf!B64*Gulf!C64*Economy!Q64/1000000</f>
        <v>1141.17472</v>
      </c>
      <c r="M64" s="71" t="n">
        <v>0.546</v>
      </c>
      <c r="N64" s="49" t="n">
        <f aca="false">IF(K64&gt;0,L64*1000000/K64,0)</f>
        <v>166.352</v>
      </c>
      <c r="O64" s="67" t="n">
        <f aca="false">IF(AND(M64&gt;0,N63&gt;0,B64&gt;0),MIN(conv_cap,conv_beta*1*M64*MAX(0,LN(B64/(N63*P63)))),0)</f>
        <v>0.00702859743311292</v>
      </c>
      <c r="P64" s="68" t="n">
        <f aca="false">P63*(1+O64)</f>
        <v>1.02771009698558</v>
      </c>
      <c r="Q64" s="49" t="n">
        <f aca="false">L64*P64</f>
        <v>1172.79678216869</v>
      </c>
      <c r="R64" s="70" t="n">
        <f aca="false">IF(K64&gt;0,Q64*1000000/K64/Economy!Q64,0)</f>
        <v>0.608404377415461</v>
      </c>
      <c r="S64" s="65" t="n">
        <f aca="false">People!U64</f>
        <v>7912523</v>
      </c>
      <c r="T64" s="47" t="n">
        <v>307.144</v>
      </c>
      <c r="U64" s="71" t="n">
        <v>0.571</v>
      </c>
      <c r="V64" s="49" t="n">
        <f aca="false">IF(S64&gt;0,T64*1000000/S64,0)</f>
        <v>38.817454306294</v>
      </c>
      <c r="W64" s="67" t="n">
        <f aca="false">IF(AND(U64&gt;0,V63&gt;0,B64&gt;0),MIN(conv_cap,conv_beta*1*U64*MAX(0,LN(B64/(V63*X63)))),0)</f>
        <v>0.0138459856010944</v>
      </c>
      <c r="X64" s="68" t="n">
        <f aca="false">X63*(1+W64)</f>
        <v>1.3975158914336</v>
      </c>
      <c r="Y64" s="49" t="n">
        <f aca="false">T64*X64</f>
        <v>429.238620958482</v>
      </c>
      <c r="Z64" s="70" t="n">
        <f aca="false">IF(S64&gt;0,Y64*1000000/S64/Economy!Q64,0)</f>
        <v>0.193053413729692</v>
      </c>
      <c r="AA64" s="47" t="n">
        <v>0</v>
      </c>
      <c r="AB64" s="47" t="n">
        <v>0</v>
      </c>
      <c r="AC64" s="71" t="n">
        <v>0</v>
      </c>
      <c r="AD64" s="49" t="n">
        <f aca="false">IF(AA64&gt;0,AB64*1000000/AA64,0)</f>
        <v>0</v>
      </c>
      <c r="AE64" s="67" t="n">
        <f aca="false">IF(AND(AC64&gt;0,AD63&gt;0,B64&gt;0),MIN(conv_cap,conv_beta*1*AC64*MAX(0,LN(B64/(AD63*AF63)))),0)</f>
        <v>0</v>
      </c>
      <c r="AF64" s="68" t="n">
        <f aca="false">AF63*(1+AE64)</f>
        <v>1</v>
      </c>
      <c r="AG64" s="49" t="n">
        <f aca="false">AB64*AF64</f>
        <v>0</v>
      </c>
      <c r="AH64" s="70" t="n">
        <f aca="false">IF(AA64&gt;0,AG64*1000000/AA64/Economy!Q64,0)</f>
        <v>0</v>
      </c>
      <c r="AI64" s="47" t="n">
        <v>409200000</v>
      </c>
      <c r="AJ64" s="47" t="n">
        <v>4308</v>
      </c>
      <c r="AK64" s="71" t="n">
        <v>0.217</v>
      </c>
      <c r="AL64" s="49" t="n">
        <f aca="false">IF(AI64&gt;0,AJ64*1000000/AI64,0)</f>
        <v>10.5278592375367</v>
      </c>
      <c r="AM64" s="67" t="n">
        <f aca="false">IF(AND(AK64&gt;0,AL63&gt;0,B64&gt;0),MIN(conv_cap,conv_beta*1*AK64*MAX(0,LN(B64/(AL63*AN63)))),0)</f>
        <v>0.00835303662201407</v>
      </c>
      <c r="AN64" s="68" t="n">
        <f aca="false">AN63*(1+AM64)</f>
        <v>1.22318425269437</v>
      </c>
      <c r="AO64" s="49" t="n">
        <f aca="false">AJ64*AN64</f>
        <v>5269.47776060733</v>
      </c>
      <c r="AP64" s="70" t="n">
        <f aca="false">IF(AI64&gt;0,AO64*1000000/AI64/Economy!Q64,0)</f>
        <v>0.045827443537145</v>
      </c>
      <c r="AQ64" s="47" t="n">
        <v>12920000</v>
      </c>
      <c r="AR64" s="47" t="n">
        <v>296</v>
      </c>
      <c r="AS64" s="71" t="n">
        <v>0.49</v>
      </c>
      <c r="AT64" s="49" t="n">
        <f aca="false">IF(AQ64&gt;0,AR64*1000000/AQ64,0)</f>
        <v>22.9102167182663</v>
      </c>
      <c r="AU64" s="67" t="n">
        <f aca="false">IF(AND(AS64&gt;0,AT63&gt;0,B64&gt;0),MIN(conv_cap,conv_beta*1*AS64*MAX(0,LN(B64/(AT63*AV63)))),0)</f>
        <v>0.0148827699120237</v>
      </c>
      <c r="AV64" s="68" t="n">
        <f aca="false">AV63*(1+AU64)</f>
        <v>1.28388317278821</v>
      </c>
      <c r="AW64" s="49" t="n">
        <f aca="false">AR64*AV64</f>
        <v>380.02941914531</v>
      </c>
      <c r="AX64" s="70" t="n">
        <f aca="false">IF(AQ64&gt;0,AW64*1000000/AQ64/Economy!Q64,0)</f>
        <v>0.104676305087235</v>
      </c>
      <c r="AY64" s="47" t="n">
        <v>84600000</v>
      </c>
      <c r="AZ64" s="47" t="n">
        <v>2308</v>
      </c>
      <c r="BA64" s="71" t="n">
        <v>0.115</v>
      </c>
      <c r="BB64" s="49" t="n">
        <f aca="false">IF(AY64&gt;0,AZ64*1000000/AY64,0)</f>
        <v>27.2813238770686</v>
      </c>
      <c r="BC64" s="67" t="n">
        <f aca="false">IF(AND(BA64&gt;0,BB63&gt;0,B64&gt;0),MIN(conv_cap,conv_beta*1*BA64*MAX(0,LN(B64/(BB63*BD63)))),0)</f>
        <v>0.00350158247271052</v>
      </c>
      <c r="BD64" s="68" t="n">
        <f aca="false">BD63*(1+BC64)</f>
        <v>1.05905136222308</v>
      </c>
      <c r="BE64" s="49" t="n">
        <f aca="false">AZ64*BD64</f>
        <v>2444.29054401086</v>
      </c>
      <c r="BF64" s="70" t="n">
        <f aca="false">IF(AY64&gt;0,BE64*1000000/AY64/Economy!Q64,0)</f>
        <v>0.102819655570315</v>
      </c>
      <c r="BG64" s="47" t="n">
        <v>32200000</v>
      </c>
      <c r="BH64" s="47" t="n">
        <v>2662</v>
      </c>
      <c r="BI64" s="71" t="n">
        <v>0.225</v>
      </c>
      <c r="BJ64" s="49" t="n">
        <f aca="false">IF(BG64&gt;0,BH64*1000000/BG64,0)</f>
        <v>82.6708074534162</v>
      </c>
      <c r="BK64" s="67" t="n">
        <f aca="false">IF(AND(BI64&gt;0,BJ63&gt;0,B64&gt;0),MIN(conv_cap,conv_beta*1*BI64*MAX(0,LN(B64/(BJ63*BL63)))),0)</f>
        <v>0.00432654739391852</v>
      </c>
      <c r="BL64" s="68" t="n">
        <f aca="false">BL63*(1+BK64)</f>
        <v>1.0793689772037</v>
      </c>
      <c r="BM64" s="49" t="n">
        <f aca="false">BH64*BL64</f>
        <v>2873.28021731626</v>
      </c>
      <c r="BN64" s="70" t="n">
        <f aca="false">IF(BG64&gt;0,BM64*1000000/BG64/Economy!Q64,0)</f>
        <v>0.317552686425616</v>
      </c>
      <c r="BO64" s="47" t="n">
        <v>14600000</v>
      </c>
      <c r="BP64" s="47" t="n">
        <v>892</v>
      </c>
      <c r="BQ64" s="71" t="n">
        <v>0</v>
      </c>
      <c r="BR64" s="49" t="n">
        <f aca="false">IF(BO64&gt;0,BP64*1000000/BO64,0)</f>
        <v>61.0958904109589</v>
      </c>
      <c r="BS64" s="67" t="n">
        <f aca="false">IF(AND(BQ64&gt;0,BR63&gt;0,B64&gt;0),MIN(conv_cap,conv_beta*1*BQ64*MAX(0,LN(B64/(BR63*BT63)))),0)</f>
        <v>0</v>
      </c>
      <c r="BT64" s="68" t="n">
        <f aca="false">BT63*(1+BS64)</f>
        <v>1</v>
      </c>
      <c r="BU64" s="49" t="n">
        <f aca="false">BP64*BT64</f>
        <v>892</v>
      </c>
      <c r="BV64" s="70" t="n">
        <f aca="false">IF(BO64&gt;0,BU64*1000000/BO64/Economy!Q64,0)</f>
        <v>0.217423097547896</v>
      </c>
      <c r="BW64" s="68" t="n">
        <f aca="false">0.25*IF(D64&gt;0,H64,1)+0.15*IF(AJ64&gt;0,AN64,1)+0.03*IF(AR64&gt;0,AV64,1)+0.08*IF(AZ64&gt;0,BD64,1)+0.12*IF(BH64&gt;0,BL64,1)+0.1*IF(L64&gt;0,P64,1)+0.07*IF(T64&gt;0,X64,1)+0.05*IF(AB64&gt;0,AF64,1)+0.05*IF(BP64&gt;0,BT64,1)+0.1</f>
        <v>1.2541689346789</v>
      </c>
      <c r="BX64" s="66" t="n">
        <f aca="false">MIN(mkt_cap,mkt_elast*MAX(0,BW64-1))</f>
        <v>0.127084467339449</v>
      </c>
      <c r="BY64" s="49" t="n">
        <f aca="false">I64+Q64+Y64+AG64</f>
        <v>4072.62481916656</v>
      </c>
      <c r="BZ64" s="49" t="n">
        <f aca="false">D64+L64+T64+AB64</f>
        <v>2928.31872</v>
      </c>
      <c r="CA64" s="68" t="n">
        <f aca="false">IF(BZ64&gt;0,BY64/BZ64,0)</f>
        <v>1.39077238804339</v>
      </c>
    </row>
    <row r="65" customFormat="false" ht="14.25" hidden="false" customHeight="true" outlineLevel="0" collapsed="false">
      <c r="A65" s="61" t="n">
        <v>1905</v>
      </c>
      <c r="B65" s="49" t="n">
        <f aca="false">Economy!P64</f>
        <v>614.790787978762</v>
      </c>
      <c r="C65" s="47" t="n">
        <v>46810000</v>
      </c>
      <c r="D65" s="65" t="n">
        <f aca="false">Japan!B65</f>
        <v>1550</v>
      </c>
      <c r="E65" s="71" t="n">
        <v>0.75</v>
      </c>
      <c r="F65" s="49" t="n">
        <f aca="false">IF(C65&gt;0,D65*1000000/C65,0)</f>
        <v>33.112582781457</v>
      </c>
      <c r="G65" s="67" t="n">
        <f aca="false">IF(AND(E65&gt;0,F64&gt;0,B65&gt;0),MIN(conv_cap,conv_beta*jp_uplift*E65*MAX(0,LN(B65/(F64*H64)))),0)</f>
        <v>0.0183234859545873</v>
      </c>
      <c r="H65" s="68" t="n">
        <f aca="false">H64*(1+G65)</f>
        <v>1.69990488277279</v>
      </c>
      <c r="I65" s="49" t="n">
        <f aca="false">D65*H65</f>
        <v>2634.85256829783</v>
      </c>
      <c r="J65" s="70" t="n">
        <f aca="false">IF(C65&gt;0,I65*1000000/C65/Economy!Q65,0)</f>
        <v>0.194097383280748</v>
      </c>
      <c r="K65" s="65" t="n">
        <f aca="false">Gulf!B65</f>
        <v>7050000</v>
      </c>
      <c r="L65" s="49" t="n">
        <f aca="false">Gulf!B65*Gulf!C65*Economy!Q65/1000000</f>
        <v>1216.4775</v>
      </c>
      <c r="M65" s="71" t="n">
        <v>0.558</v>
      </c>
      <c r="N65" s="49" t="n">
        <f aca="false">IF(K65&gt;0,L65*1000000/K65,0)</f>
        <v>172.55</v>
      </c>
      <c r="O65" s="67" t="n">
        <f aca="false">IF(AND(M65&gt;0,N64&gt;0,B65&gt;0),MIN(conv_cap,conv_beta*1*M65*MAX(0,LN(B65/(N64*P64)))),0)</f>
        <v>0.00714152328216975</v>
      </c>
      <c r="P65" s="68" t="n">
        <f aca="false">P64*(1+O65)</f>
        <v>1.03504951257052</v>
      </c>
      <c r="Q65" s="49" t="n">
        <f aca="false">L65*P65</f>
        <v>1259.114443428</v>
      </c>
      <c r="R65" s="70" t="n">
        <f aca="false">IF(K65&gt;0,Q65*1000000/K65/Economy!Q65,0)</f>
        <v>0.615854459979459</v>
      </c>
      <c r="S65" s="65" t="n">
        <f aca="false">People!U65</f>
        <v>8094908</v>
      </c>
      <c r="T65" s="47" t="n">
        <v>320.339</v>
      </c>
      <c r="U65" s="71" t="n">
        <v>0.578</v>
      </c>
      <c r="V65" s="49" t="n">
        <f aca="false">IF(S65&gt;0,T65*1000000/S65,0)</f>
        <v>39.5729018785637</v>
      </c>
      <c r="W65" s="67" t="n">
        <f aca="false">IF(AND(U65&gt;0,V64&gt;0,B65&gt;0),MIN(conv_cap,conv_beta*1*U65*MAX(0,LN(B65/(V64*X64)))),0)</f>
        <v>0.0140321969294577</v>
      </c>
      <c r="X65" s="68" t="n">
        <f aca="false">X64*(1+W65)</f>
        <v>1.41712610963425</v>
      </c>
      <c r="Y65" s="49" t="n">
        <f aca="false">T65*X65</f>
        <v>453.960760834124</v>
      </c>
      <c r="Z65" s="70" t="n">
        <f aca="false">IF(S65&gt;0,Y65*1000000/S65/Economy!Q65,0)</f>
        <v>0.193378594779678</v>
      </c>
      <c r="AA65" s="47" t="n">
        <v>0</v>
      </c>
      <c r="AB65" s="47" t="n">
        <v>0</v>
      </c>
      <c r="AC65" s="71" t="n">
        <v>0</v>
      </c>
      <c r="AD65" s="49" t="n">
        <f aca="false">IF(AA65&gt;0,AB65*1000000/AA65,0)</f>
        <v>0</v>
      </c>
      <c r="AE65" s="67" t="n">
        <f aca="false">IF(AND(AC65&gt;0,AD64&gt;0,B65&gt;0),MIN(conv_cap,conv_beta*1*AC65*MAX(0,LN(B65/(AD64*AF64)))),0)</f>
        <v>0</v>
      </c>
      <c r="AF65" s="68" t="n">
        <f aca="false">AF64*(1+AE65)</f>
        <v>1</v>
      </c>
      <c r="AG65" s="49" t="n">
        <f aca="false">AB65*AF65</f>
        <v>0</v>
      </c>
      <c r="AH65" s="70" t="n">
        <f aca="false">IF(AA65&gt;0,AG65*1000000/AA65/Economy!Q65,0)</f>
        <v>0</v>
      </c>
      <c r="AI65" s="47" t="n">
        <v>411500000</v>
      </c>
      <c r="AJ65" s="47" t="n">
        <v>4385</v>
      </c>
      <c r="AK65" s="71" t="n">
        <v>0.221</v>
      </c>
      <c r="AL65" s="49" t="n">
        <f aca="false">IF(AI65&gt;0,AJ65*1000000/AI65,0)</f>
        <v>10.6561360874848</v>
      </c>
      <c r="AM65" s="67" t="n">
        <f aca="false">IF(AND(AK65&gt;0,AL64&gt;0,B65&gt;0),MIN(conv_cap,conv_beta*1*AK65*MAX(0,LN(B65/(AL64*AN64)))),0)</f>
        <v>0.00854341694338686</v>
      </c>
      <c r="AN65" s="68" t="n">
        <f aca="false">AN64*(1+AM65)</f>
        <v>1.23363442576372</v>
      </c>
      <c r="AO65" s="49" t="n">
        <f aca="false">AJ65*AN65</f>
        <v>5409.4869569739</v>
      </c>
      <c r="AP65" s="70" t="n">
        <f aca="false">IF(AI65&gt;0,AO65*1000000/AI65/Economy!Q65,0)</f>
        <v>0.0453302631832564</v>
      </c>
      <c r="AQ65" s="47" t="n">
        <v>13150000</v>
      </c>
      <c r="AR65" s="47" t="n">
        <v>308</v>
      </c>
      <c r="AS65" s="71" t="n">
        <v>0.5</v>
      </c>
      <c r="AT65" s="49" t="n">
        <f aca="false">IF(AQ65&gt;0,AR65*1000000/AQ65,0)</f>
        <v>23.4220532319392</v>
      </c>
      <c r="AU65" s="67" t="n">
        <f aca="false">IF(AND(AS65&gt;0,AT64&gt;0,B65&gt;0),MIN(conv_cap,conv_beta*1*AS65*MAX(0,LN(B65/(AT64*AV64)))),0)</f>
        <v>0.0151990492880518</v>
      </c>
      <c r="AV65" s="68" t="n">
        <f aca="false">AV64*(1+AU65)</f>
        <v>1.30339697641152</v>
      </c>
      <c r="AW65" s="49" t="n">
        <f aca="false">AR65*AV65</f>
        <v>401.446268734747</v>
      </c>
      <c r="AX65" s="70" t="n">
        <f aca="false">IF(AQ65&gt;0,AW65*1000000/AQ65/Economy!Q65,0)</f>
        <v>0.105269770220204</v>
      </c>
      <c r="AY65" s="47" t="n">
        <v>85800000</v>
      </c>
      <c r="AZ65" s="47" t="n">
        <v>2385</v>
      </c>
      <c r="BA65" s="71" t="n">
        <v>0.119</v>
      </c>
      <c r="BB65" s="49" t="n">
        <f aca="false">IF(AY65&gt;0,AZ65*1000000/AY65,0)</f>
        <v>27.7972027972028</v>
      </c>
      <c r="BC65" s="67" t="n">
        <f aca="false">IF(AND(BA65&gt;0,BB64&gt;0,B65&gt;0),MIN(conv_cap,conv_beta*1*BA65*MAX(0,LN(B65/(BB64*BD64)))),0)</f>
        <v>0.00363867025976319</v>
      </c>
      <c r="BD65" s="68" t="n">
        <f aca="false">BD64*(1+BC65)</f>
        <v>1.06290490091836</v>
      </c>
      <c r="BE65" s="49" t="n">
        <f aca="false">AZ65*BD65</f>
        <v>2535.02818869029</v>
      </c>
      <c r="BF65" s="70" t="n">
        <f aca="false">IF(AY65&gt;0,BE65*1000000/AY65/Economy!Q65,0)</f>
        <v>0.101882010637822</v>
      </c>
      <c r="BG65" s="47" t="n">
        <v>32700000</v>
      </c>
      <c r="BH65" s="47" t="n">
        <v>2777</v>
      </c>
      <c r="BI65" s="71" t="n">
        <v>0.233</v>
      </c>
      <c r="BJ65" s="49" t="n">
        <f aca="false">IF(BG65&gt;0,BH65*1000000/BG65,0)</f>
        <v>84.9235474006116</v>
      </c>
      <c r="BK65" s="67" t="n">
        <f aca="false">IF(AND(BI65&gt;0,BJ64&gt;0,B65&gt;0),MIN(conv_cap,conv_beta*1*BI65*MAX(0,LN(B65/(BJ64*BL64)))),0)</f>
        <v>0.00449699061688628</v>
      </c>
      <c r="BL65" s="68" t="n">
        <f aca="false">BL64*(1+BK65)</f>
        <v>1.08422288936635</v>
      </c>
      <c r="BM65" s="49" t="n">
        <f aca="false">BH65*BL65</f>
        <v>3010.88696377034</v>
      </c>
      <c r="BN65" s="70" t="n">
        <f aca="false">IF(BG65&gt;0,BM65*1000000/BG65/Economy!Q65,0)</f>
        <v>0.317503634268728</v>
      </c>
      <c r="BO65" s="47" t="n">
        <v>14800000</v>
      </c>
      <c r="BP65" s="47" t="n">
        <v>915</v>
      </c>
      <c r="BQ65" s="71" t="n">
        <v>0.05</v>
      </c>
      <c r="BR65" s="49" t="n">
        <f aca="false">IF(BO65&gt;0,BP65*1000000/BO65,0)</f>
        <v>61.8243243243243</v>
      </c>
      <c r="BS65" s="67" t="n">
        <f aca="false">IF(AND(BQ65&gt;0,BR64&gt;0,B65&gt;0),MIN(conv_cap,conv_beta*1*BQ65*MAX(0,LN(B65/(BR64*BT64)))),0)</f>
        <v>0.00115441871195869</v>
      </c>
      <c r="BT65" s="68" t="n">
        <f aca="false">BT64*(1+BS65)</f>
        <v>1.00115441871196</v>
      </c>
      <c r="BU65" s="49" t="n">
        <f aca="false">BP65*BT65</f>
        <v>916.056293121442</v>
      </c>
      <c r="BV65" s="70" t="n">
        <f aca="false">IF(BO65&gt;0,BU65*1000000/BO65/Economy!Q65,0)</f>
        <v>0.213433432693719</v>
      </c>
      <c r="BW65" s="68" t="n">
        <f aca="false">0.25*IF(D65&gt;0,H65,1)+0.15*IF(AJ65&gt;0,AN65,1)+0.03*IF(AR65&gt;0,AV65,1)+0.08*IF(AZ65&gt;0,BD65,1)+0.12*IF(BH65&gt;0,BL65,1)+0.1*IF(L65&gt;0,P65,1)+0.07*IF(T65&gt;0,X65,1)+0.05*IF(AB65&gt;0,AF65,1)+0.05*IF(BP65&gt;0,BT65,1)+0.1</f>
        <v>1.26702393251458</v>
      </c>
      <c r="BX65" s="66" t="n">
        <f aca="false">MIN(mkt_cap,mkt_elast*MAX(0,BW65-1))</f>
        <v>0.13351196625729</v>
      </c>
      <c r="BY65" s="49" t="n">
        <f aca="false">I65+Q65+Y65+AG65</f>
        <v>4347.92777255996</v>
      </c>
      <c r="BZ65" s="49" t="n">
        <f aca="false">D65+L65+T65+AB65</f>
        <v>3086.8165</v>
      </c>
      <c r="CA65" s="68" t="n">
        <f aca="false">IF(BZ65&gt;0,BY65/BZ65,0)</f>
        <v>1.40854753515797</v>
      </c>
    </row>
    <row r="66" customFormat="false" ht="14.25" hidden="false" customHeight="true" outlineLevel="0" collapsed="false">
      <c r="A66" s="61" t="n">
        <v>1906</v>
      </c>
      <c r="B66" s="49" t="n">
        <f aca="false">Economy!P65</f>
        <v>636.623962751894</v>
      </c>
      <c r="C66" s="47" t="n">
        <v>47370000</v>
      </c>
      <c r="D66" s="65" t="n">
        <f aca="false">Japan!B66</f>
        <v>1632</v>
      </c>
      <c r="E66" s="71" t="n">
        <v>0.756</v>
      </c>
      <c r="F66" s="49" t="n">
        <f aca="false">IF(C66&gt;0,D66*1000000/C66,0)</f>
        <v>34.4521849271691</v>
      </c>
      <c r="G66" s="67" t="n">
        <f aca="false">IF(AND(E66&gt;0,F65&gt;0,B66&gt;0),MIN(conv_cap,conv_beta*jp_uplift*E66*MAX(0,LN(B66/(F65*H65)))),0)</f>
        <v>0.018338242883612</v>
      </c>
      <c r="H66" s="68" t="n">
        <f aca="false">H65*(1+G66)</f>
        <v>1.73107815139212</v>
      </c>
      <c r="I66" s="49" t="n">
        <f aca="false">D66*H66</f>
        <v>2825.11954307194</v>
      </c>
      <c r="J66" s="70" t="n">
        <f aca="false">IF(C66&gt;0,I66*1000000/C66/Economy!Q66,0)</f>
        <v>0.195539097033257</v>
      </c>
      <c r="K66" s="65" t="n">
        <f aca="false">Gulf!B66</f>
        <v>7240000</v>
      </c>
      <c r="L66" s="49" t="n">
        <f aca="false">Gulf!B66*Gulf!C66*Economy!Q66/1000000</f>
        <v>1320.5036</v>
      </c>
      <c r="M66" s="71" t="n">
        <v>0.569</v>
      </c>
      <c r="N66" s="49" t="n">
        <f aca="false">IF(K66&gt;0,L66*1000000/K66,0)</f>
        <v>182.39</v>
      </c>
      <c r="O66" s="67" t="n">
        <f aca="false">IF(AND(M66&gt;0,N65&gt;0,B66&gt;0),MIN(conv_cap,conv_beta*1*M66*MAX(0,LN(B66/(N65*P65)))),0)</f>
        <v>0.00723223377417656</v>
      </c>
      <c r="P66" s="68" t="n">
        <f aca="false">P65*(1+O66)</f>
        <v>1.04253523261328</v>
      </c>
      <c r="Q66" s="49" t="n">
        <f aca="false">L66*P66</f>
        <v>1376.67152779267</v>
      </c>
      <c r="R66" s="70" t="n">
        <f aca="false">IF(K66&gt;0,Q66*1000000/K66/Economy!Q66,0)</f>
        <v>0.62343606910274</v>
      </c>
      <c r="S66" s="65" t="n">
        <f aca="false">People!U66</f>
        <v>8277337</v>
      </c>
      <c r="T66" s="47" t="n">
        <v>333.534</v>
      </c>
      <c r="U66" s="71" t="n">
        <v>0.586</v>
      </c>
      <c r="V66" s="49" t="n">
        <f aca="false">IF(S66&gt;0,T66*1000000/S66,0)</f>
        <v>40.2948436193911</v>
      </c>
      <c r="W66" s="67" t="n">
        <f aca="false">IF(AND(U66&gt;0,V65&gt;0,B66&gt;0),MIN(conv_cap,conv_beta*1*U66*MAX(0,LN(B66/(V65*X65)))),0)</f>
        <v>0.0142363051751738</v>
      </c>
      <c r="X66" s="68" t="n">
        <f aca="false">X65*(1+W66)</f>
        <v>1.43730074940271</v>
      </c>
      <c r="Y66" s="49" t="n">
        <f aca="false">T66*X66</f>
        <v>479.388668151282</v>
      </c>
      <c r="Z66" s="70" t="n">
        <f aca="false">IF(S66&gt;0,Y66*1000000/S66/Economy!Q66,0)</f>
        <v>0.189887898135133</v>
      </c>
      <c r="AA66" s="47" t="n">
        <v>0</v>
      </c>
      <c r="AB66" s="47" t="n">
        <v>0</v>
      </c>
      <c r="AC66" s="71" t="n">
        <v>0</v>
      </c>
      <c r="AD66" s="49" t="n">
        <f aca="false">IF(AA66&gt;0,AB66*1000000/AA66,0)</f>
        <v>0</v>
      </c>
      <c r="AE66" s="67" t="n">
        <f aca="false">IF(AND(AC66&gt;0,AD65&gt;0,B66&gt;0),MIN(conv_cap,conv_beta*1*AC66*MAX(0,LN(B66/(AD65*AF65)))),0)</f>
        <v>0</v>
      </c>
      <c r="AF66" s="68" t="n">
        <f aca="false">AF65*(1+AE66)</f>
        <v>1</v>
      </c>
      <c r="AG66" s="49" t="n">
        <f aca="false">AB66*AF66</f>
        <v>0</v>
      </c>
      <c r="AH66" s="70" t="n">
        <f aca="false">IF(AA66&gt;0,AG66*1000000/AA66/Economy!Q66,0)</f>
        <v>0</v>
      </c>
      <c r="AI66" s="47" t="n">
        <v>413800000</v>
      </c>
      <c r="AJ66" s="47" t="n">
        <v>4462</v>
      </c>
      <c r="AK66" s="71" t="n">
        <v>0.225</v>
      </c>
      <c r="AL66" s="49" t="n">
        <f aca="false">IF(AI66&gt;0,AJ66*1000000/AI66,0)</f>
        <v>10.7829869502175</v>
      </c>
      <c r="AM66" s="67" t="n">
        <f aca="false">IF(AND(AK66&gt;0,AL65&gt;0,B66&gt;0),MIN(conv_cap,conv_beta*1*AK66*MAX(0,LN(B66/(AL65*AN65)))),0)</f>
        <v>0.00873017694233348</v>
      </c>
      <c r="AN66" s="68" t="n">
        <f aca="false">AN65*(1+AM66)</f>
        <v>1.24440427258279</v>
      </c>
      <c r="AO66" s="49" t="n">
        <f aca="false">AJ66*AN66</f>
        <v>5552.53186426441</v>
      </c>
      <c r="AP66" s="70" t="n">
        <f aca="false">IF(AI66&gt;0,AO66*1000000/AI66/Economy!Q66,0)</f>
        <v>0.0439947378100168</v>
      </c>
      <c r="AQ66" s="47" t="n">
        <v>13380000</v>
      </c>
      <c r="AR66" s="47" t="n">
        <v>319</v>
      </c>
      <c r="AS66" s="71" t="n">
        <v>0.504</v>
      </c>
      <c r="AT66" s="49" t="n">
        <f aca="false">IF(AQ66&gt;0,AR66*1000000/AQ66,0)</f>
        <v>23.8415545590434</v>
      </c>
      <c r="AU66" s="67" t="n">
        <f aca="false">IF(AND(AS66&gt;0,AT65&gt;0,B66&gt;0),MIN(conv_cap,conv_beta*1*AS66*MAX(0,LN(B66/(AT65*AV65)))),0)</f>
        <v>0.015309137170748</v>
      </c>
      <c r="AV66" s="68" t="n">
        <f aca="false">AV65*(1+AU66)</f>
        <v>1.32335085951134</v>
      </c>
      <c r="AW66" s="49" t="n">
        <f aca="false">AR66*AV66</f>
        <v>422.148924184117</v>
      </c>
      <c r="AX66" s="70" t="n">
        <f aca="false">IF(AQ66&gt;0,AW66*1000000/AQ66/Economy!Q66,0)</f>
        <v>0.103445054812447</v>
      </c>
      <c r="AY66" s="47" t="n">
        <v>86900000</v>
      </c>
      <c r="AZ66" s="47" t="n">
        <v>2462</v>
      </c>
      <c r="BA66" s="71" t="n">
        <v>0.123</v>
      </c>
      <c r="BB66" s="49" t="n">
        <f aca="false">IF(AY66&gt;0,AZ66*1000000/AY66,0)</f>
        <v>28.331415420023</v>
      </c>
      <c r="BC66" s="67" t="n">
        <f aca="false">IF(AND(BA66&gt;0,BB65&gt;0,B66&gt;0),MIN(conv_cap,conv_beta*1*BA66*MAX(0,LN(B66/(BB65*BD65)))),0)</f>
        <v>0.00377639289577068</v>
      </c>
      <c r="BD66" s="68" t="n">
        <f aca="false">BD65*(1+BC66)</f>
        <v>1.06691884743507</v>
      </c>
      <c r="BE66" s="49" t="n">
        <f aca="false">AZ66*BD66</f>
        <v>2626.75420238514</v>
      </c>
      <c r="BF66" s="70" t="n">
        <f aca="false">IF(AY66&gt;0,BE66*1000000/AY66/Economy!Q66,0)</f>
        <v>0.0991059707742133</v>
      </c>
      <c r="BG66" s="47" t="n">
        <v>33200000</v>
      </c>
      <c r="BH66" s="47" t="n">
        <v>2892</v>
      </c>
      <c r="BI66" s="71" t="n">
        <v>0.242</v>
      </c>
      <c r="BJ66" s="49" t="n">
        <f aca="false">IF(BG66&gt;0,BH66*1000000/BG66,0)</f>
        <v>87.1084337349398</v>
      </c>
      <c r="BK66" s="67" t="n">
        <f aca="false">IF(AND(BI66&gt;0,BJ65&gt;0,B66&gt;0),MIN(conv_cap,conv_beta*1*BI66*MAX(0,LN(B66/(BJ65*BL65)))),0)</f>
        <v>0.00467922547805462</v>
      </c>
      <c r="BL66" s="68" t="n">
        <f aca="false">BL65*(1+BK66)</f>
        <v>1.08929621273416</v>
      </c>
      <c r="BM66" s="49" t="n">
        <f aca="false">BH66*BL66</f>
        <v>3150.24464722719</v>
      </c>
      <c r="BN66" s="70" t="n">
        <f aca="false">IF(BG66&gt;0,BM66*1000000/BG66/Economy!Q66,0)</f>
        <v>0.311104547425162</v>
      </c>
      <c r="BO66" s="47" t="n">
        <v>14900000</v>
      </c>
      <c r="BP66" s="47" t="n">
        <v>938</v>
      </c>
      <c r="BQ66" s="71" t="n">
        <v>0.056</v>
      </c>
      <c r="BR66" s="49" t="n">
        <f aca="false">IF(BO66&gt;0,BP66*1000000/BO66,0)</f>
        <v>62.9530201342282</v>
      </c>
      <c r="BS66" s="67" t="n">
        <f aca="false">IF(AND(BQ66&gt;0,BR65&gt;0,B66&gt;0),MIN(conv_cap,conv_beta*1*BQ66*MAX(0,LN(B66/(BR65*BT65)))),0)</f>
        <v>0.00130520797037277</v>
      </c>
      <c r="BT66" s="68" t="n">
        <f aca="false">BT65*(1+BS66)</f>
        <v>1.00246113343884</v>
      </c>
      <c r="BU66" s="49" t="n">
        <f aca="false">BP66*BT66</f>
        <v>940.308543165628</v>
      </c>
      <c r="BV66" s="70" t="n">
        <f aca="false">IF(BO66&gt;0,BU66*1000000/BO66/Economy!Q66,0)</f>
        <v>0.206911330875922</v>
      </c>
      <c r="BW66" s="68" t="n">
        <f aca="false">0.25*IF(D66&gt;0,H66,1)+0.15*IF(AJ66&gt;0,AN66,1)+0.03*IF(AR66&gt;0,AV66,1)+0.08*IF(AZ66&gt;0,BD66,1)+0.12*IF(BH66&gt;0,BL66,1)+0.1*IF(L66&gt;0,P66,1)+0.07*IF(T66&gt;0,X66,1)+0.05*IF(AB66&gt;0,AF66,1)+0.05*IF(BP66&gt;0,BT66,1)+0.1</f>
        <v>1.28018739023515</v>
      </c>
      <c r="BX66" s="66" t="n">
        <f aca="false">MIN(mkt_cap,mkt_elast*MAX(0,BW66-1))</f>
        <v>0.140093695117576</v>
      </c>
      <c r="BY66" s="49" t="n">
        <f aca="false">I66+Q66+Y66+AG66</f>
        <v>4681.17973901589</v>
      </c>
      <c r="BZ66" s="49" t="n">
        <f aca="false">D66+L66+T66+AB66</f>
        <v>3286.0376</v>
      </c>
      <c r="CA66" s="68" t="n">
        <f aca="false">IF(BZ66&gt;0,BY66/BZ66,0)</f>
        <v>1.42456669972854</v>
      </c>
    </row>
    <row r="67" customFormat="false" ht="14.25" hidden="false" customHeight="true" outlineLevel="0" collapsed="false">
      <c r="A67" s="61" t="n">
        <v>1907</v>
      </c>
      <c r="B67" s="49" t="n">
        <f aca="false">Economy!P66</f>
        <v>668.299894853908</v>
      </c>
      <c r="C67" s="47" t="n">
        <v>47930000</v>
      </c>
      <c r="D67" s="65" t="n">
        <f aca="false">Japan!B67</f>
        <v>1714</v>
      </c>
      <c r="E67" s="71" t="n">
        <v>0.761</v>
      </c>
      <c r="F67" s="49" t="n">
        <f aca="false">IF(C67&gt;0,D67*1000000/C67,0)</f>
        <v>35.7604840392239</v>
      </c>
      <c r="G67" s="67" t="n">
        <f aca="false">IF(AND(E67&gt;0,F66&gt;0,B67&gt;0),MIN(conv_cap,conv_beta*jp_uplift*E67*MAX(0,LN(B67/(F66*H66)))),0)</f>
        <v>0.018388957534049</v>
      </c>
      <c r="H67" s="68" t="n">
        <f aca="false">H66*(1+G67)</f>
        <v>1.76291087400619</v>
      </c>
      <c r="I67" s="49" t="n">
        <f aca="false">D67*H67</f>
        <v>3021.62923804661</v>
      </c>
      <c r="J67" s="70" t="n">
        <f aca="false">IF(C67&gt;0,I67*1000000/C67/Economy!Q67,0)</f>
        <v>0.197625536590823</v>
      </c>
      <c r="K67" s="65" t="n">
        <f aca="false">Gulf!B67</f>
        <v>7430000</v>
      </c>
      <c r="L67" s="49" t="n">
        <f aca="false">Gulf!B67*Gulf!C67*Economy!Q67/1000000</f>
        <v>1426.84234</v>
      </c>
      <c r="M67" s="71" t="n">
        <v>0.581</v>
      </c>
      <c r="N67" s="49" t="n">
        <f aca="false">IF(K67&gt;0,L67*1000000/K67,0)</f>
        <v>192.038</v>
      </c>
      <c r="O67" s="67" t="n">
        <f aca="false">IF(AND(M67&gt;0,N66&gt;0,B67&gt;0),MIN(conv_cap,conv_beta*1*M67*MAX(0,LN(B67/(N66*P66)))),0)</f>
        <v>0.00730278825520477</v>
      </c>
      <c r="P67" s="68" t="n">
        <f aca="false">P66*(1+O67)</f>
        <v>1.05014864666564</v>
      </c>
      <c r="Q67" s="49" t="n">
        <f aca="false">L67*P67</f>
        <v>1498.39655235624</v>
      </c>
      <c r="R67" s="70" t="n">
        <f aca="false">IF(K67&gt;0,Q67*1000000/K67/Economy!Q67,0)</f>
        <v>0.632189485292717</v>
      </c>
      <c r="S67" s="65" t="n">
        <f aca="false">People!U67</f>
        <v>8459809</v>
      </c>
      <c r="T67" s="47" t="n">
        <v>347.747</v>
      </c>
      <c r="U67" s="71" t="n">
        <v>0.594</v>
      </c>
      <c r="V67" s="49" t="n">
        <f aca="false">IF(S67&gt;0,T67*1000000/S67,0)</f>
        <v>41.1057743738659</v>
      </c>
      <c r="W67" s="67" t="n">
        <f aca="false">IF(AND(U67&gt;0,V66&gt;0,B67&gt;0),MIN(conv_cap,conv_beta*1*U67*MAX(0,LN(B67/(V66*X66)))),0)</f>
        <v>0.0145277349901415</v>
      </c>
      <c r="X67" s="68" t="n">
        <f aca="false">X66*(1+W67)</f>
        <v>1.45818147379116</v>
      </c>
      <c r="Y67" s="49" t="n">
        <f aca="false">T67*X67</f>
        <v>507.078232966454</v>
      </c>
      <c r="Z67" s="70" t="n">
        <f aca="false">IF(S67&gt;0,Y67*1000000/S67/Economy!Q67,0)</f>
        <v>0.18789867917809</v>
      </c>
      <c r="AA67" s="47" t="n">
        <v>0</v>
      </c>
      <c r="AB67" s="47" t="n">
        <v>0</v>
      </c>
      <c r="AC67" s="71" t="n">
        <v>0</v>
      </c>
      <c r="AD67" s="49" t="n">
        <f aca="false">IF(AA67&gt;0,AB67*1000000/AA67,0)</f>
        <v>0</v>
      </c>
      <c r="AE67" s="67" t="n">
        <f aca="false">IF(AND(AC67&gt;0,AD66&gt;0,B67&gt;0),MIN(conv_cap,conv_beta*1*AC67*MAX(0,LN(B67/(AD66*AF66)))),0)</f>
        <v>0</v>
      </c>
      <c r="AF67" s="68" t="n">
        <f aca="false">AF66*(1+AE67)</f>
        <v>1</v>
      </c>
      <c r="AG67" s="49" t="n">
        <f aca="false">AB67*AF67</f>
        <v>0</v>
      </c>
      <c r="AH67" s="70" t="n">
        <f aca="false">IF(AA67&gt;0,AG67*1000000/AA67/Economy!Q67,0)</f>
        <v>0</v>
      </c>
      <c r="AI67" s="47" t="n">
        <v>416200000</v>
      </c>
      <c r="AJ67" s="47" t="n">
        <v>4538</v>
      </c>
      <c r="AK67" s="71" t="n">
        <v>0.229</v>
      </c>
      <c r="AL67" s="49" t="n">
        <f aca="false">IF(AI67&gt;0,AJ67*1000000/AI67,0)</f>
        <v>10.9034118212398</v>
      </c>
      <c r="AM67" s="67" t="n">
        <f aca="false">IF(AND(AK67&gt;0,AL66&gt;0,B67&gt;0),MIN(conv_cap,conv_beta*1*AK67*MAX(0,LN(B67/(AL66*AN66)))),0)</f>
        <v>0.008949573017563</v>
      </c>
      <c r="AN67" s="68" t="n">
        <f aca="false">AN66*(1+AM67)</f>
        <v>1.25554115948364</v>
      </c>
      <c r="AO67" s="49" t="n">
        <f aca="false">AJ67*AN67</f>
        <v>5697.64578173674</v>
      </c>
      <c r="AP67" s="70" t="n">
        <f aca="false">IF(AI67&gt;0,AO67*1000000/AI67/Economy!Q67,0)</f>
        <v>0.0429143646406489</v>
      </c>
      <c r="AQ67" s="47" t="n">
        <v>13620000</v>
      </c>
      <c r="AR67" s="47" t="n">
        <v>331</v>
      </c>
      <c r="AS67" s="71" t="n">
        <v>0.508</v>
      </c>
      <c r="AT67" s="49" t="n">
        <f aca="false">IF(AQ67&gt;0,AR67*1000000/AQ67,0)</f>
        <v>24.302496328928</v>
      </c>
      <c r="AU67" s="67" t="n">
        <f aca="false">IF(AND(AS67&gt;0,AT66&gt;0,B67&gt;0),MIN(conv_cap,conv_beta*1*AS67*MAX(0,LN(B67/(AT66*AV66)))),0)</f>
        <v>0.0155099507894957</v>
      </c>
      <c r="AV67" s="68" t="n">
        <f aca="false">AV66*(1+AU67)</f>
        <v>1.3438759662196</v>
      </c>
      <c r="AW67" s="49" t="n">
        <f aca="false">AR67*AV67</f>
        <v>444.822944818686</v>
      </c>
      <c r="AX67" s="70" t="n">
        <f aca="false">IF(AQ67&gt;0,AW67*1000000/AQ67/Economy!Q67,0)</f>
        <v>0.10238100544071</v>
      </c>
      <c r="AY67" s="47" t="n">
        <v>88100000</v>
      </c>
      <c r="AZ67" s="47" t="n">
        <v>2538</v>
      </c>
      <c r="BA67" s="71" t="n">
        <v>0.127</v>
      </c>
      <c r="BB67" s="49" t="n">
        <f aca="false">IF(AY67&gt;0,AZ67*1000000/AY67,0)</f>
        <v>28.8081725312145</v>
      </c>
      <c r="BC67" s="67" t="n">
        <f aca="false">IF(AND(BA67&gt;0,BB66&gt;0,B67&gt;0),MIN(conv_cap,conv_beta*1*BA67*MAX(0,LN(B67/(BB66*BD66)))),0)</f>
        <v>0.00393190835415718</v>
      </c>
      <c r="BD67" s="68" t="n">
        <f aca="false">BD66*(1+BC67)</f>
        <v>1.0711138745645</v>
      </c>
      <c r="BE67" s="49" t="n">
        <f aca="false">AZ67*BD67</f>
        <v>2718.48701364471</v>
      </c>
      <c r="BF67" s="70" t="n">
        <f aca="false">IF(AY67&gt;0,BE67*1000000/AY67/Economy!Q67,0)</f>
        <v>0.0967298849499433</v>
      </c>
      <c r="BG67" s="47" t="n">
        <v>33800000</v>
      </c>
      <c r="BH67" s="47" t="n">
        <v>3008</v>
      </c>
      <c r="BI67" s="71" t="n">
        <v>0.25</v>
      </c>
      <c r="BJ67" s="49" t="n">
        <f aca="false">IF(BG67&gt;0,BH67*1000000/BG67,0)</f>
        <v>88.9940828402367</v>
      </c>
      <c r="BK67" s="67" t="n">
        <f aca="false">IF(AND(BI67&gt;0,BJ66&gt;0,B67&gt;0),MIN(conv_cap,conv_beta*1*BI67*MAX(0,LN(B67/(BJ66*BL66)))),0)</f>
        <v>0.00488012874628882</v>
      </c>
      <c r="BL67" s="68" t="n">
        <f aca="false">BL66*(1+BK67)</f>
        <v>1.09461211849515</v>
      </c>
      <c r="BM67" s="49" t="n">
        <f aca="false">BH67*BL67</f>
        <v>3292.5932524334</v>
      </c>
      <c r="BN67" s="70" t="n">
        <f aca="false">IF(BG67&gt;0,BM67*1000000/BG67/Economy!Q67,0)</f>
        <v>0.305373045615311</v>
      </c>
      <c r="BO67" s="47" t="n">
        <v>15100000</v>
      </c>
      <c r="BP67" s="47" t="n">
        <v>962</v>
      </c>
      <c r="BQ67" s="71" t="n">
        <v>0.062</v>
      </c>
      <c r="BR67" s="49" t="n">
        <f aca="false">IF(BO67&gt;0,BP67*1000000/BO67,0)</f>
        <v>63.7086092715232</v>
      </c>
      <c r="BS67" s="67" t="n">
        <f aca="false">IF(AND(BQ67&gt;0,BR66&gt;0,B67&gt;0),MIN(conv_cap,conv_beta*1*BQ67*MAX(0,LN(B67/(BR66*BT66)))),0)</f>
        <v>0.00146313190621752</v>
      </c>
      <c r="BT67" s="68" t="n">
        <f aca="false">BT66*(1+BS67)</f>
        <v>1.00392786630791</v>
      </c>
      <c r="BU67" s="49" t="n">
        <f aca="false">BP67*BT67</f>
        <v>965.778607388212</v>
      </c>
      <c r="BV67" s="70" t="n">
        <f aca="false">IF(BO67&gt;0,BU67*1000000/BO67/Economy!Q67,0)</f>
        <v>0.200497956650172</v>
      </c>
      <c r="BW67" s="68" t="n">
        <f aca="false">0.25*IF(D67&gt;0,H67,1)+0.15*IF(AJ67&gt;0,AN67,1)+0.03*IF(AR67&gt;0,AV67,1)+0.08*IF(AZ67&gt;0,BD67,1)+0.12*IF(BH67&gt;0,BL67,1)+0.1*IF(L67&gt;0,P67,1)+0.07*IF(T67&gt;0,X67,1)+0.05*IF(AB67&gt;0,AF67,1)+0.05*IF(BP67&gt;0,BT67,1)+0.1</f>
        <v>1.2937016967426</v>
      </c>
      <c r="BX67" s="66" t="n">
        <f aca="false">MIN(mkt_cap,mkt_elast*MAX(0,BW67-1))</f>
        <v>0.1468508483713</v>
      </c>
      <c r="BY67" s="49" t="n">
        <f aca="false">I67+Q67+Y67+AG67</f>
        <v>5027.1040233693</v>
      </c>
      <c r="BZ67" s="49" t="n">
        <f aca="false">D67+L67+T67+AB67</f>
        <v>3488.58934</v>
      </c>
      <c r="CA67" s="68" t="n">
        <f aca="false">IF(BZ67&gt;0,BY67/BZ67,0)</f>
        <v>1.44101341070122</v>
      </c>
    </row>
    <row r="68" customFormat="false" ht="14.25" hidden="false" customHeight="true" outlineLevel="0" collapsed="false">
      <c r="A68" s="61" t="n">
        <v>1908</v>
      </c>
      <c r="B68" s="49" t="n">
        <f aca="false">Economy!P67</f>
        <v>691.187912541978</v>
      </c>
      <c r="C68" s="47" t="n">
        <v>48490000</v>
      </c>
      <c r="D68" s="65" t="n">
        <f aca="false">Japan!B68</f>
        <v>1796</v>
      </c>
      <c r="E68" s="71" t="n">
        <v>0.767</v>
      </c>
      <c r="F68" s="49" t="n">
        <f aca="false">IF(C68&gt;0,D68*1000000/C68,0)</f>
        <v>37.0385646525057</v>
      </c>
      <c r="G68" s="67" t="n">
        <f aca="false">IF(AND(E68&gt;0,F67&gt;0,B68&gt;0),MIN(conv_cap,conv_beta*jp_uplift*E68*MAX(0,LN(B68/(F67*H67)))),0)</f>
        <v>0.0183665965359492</v>
      </c>
      <c r="H68" s="68" t="n">
        <f aca="false">H67*(1+G68)</f>
        <v>1.7952895467579</v>
      </c>
      <c r="I68" s="49" t="n">
        <f aca="false">D68*H68</f>
        <v>3224.34002597718</v>
      </c>
      <c r="J68" s="70" t="n">
        <f aca="false">IF(C68&gt;0,I68*1000000/C68/Economy!Q68,0)</f>
        <v>0.199086670501677</v>
      </c>
      <c r="K68" s="65" t="n">
        <f aca="false">Gulf!B68</f>
        <v>7620000</v>
      </c>
      <c r="L68" s="49" t="n">
        <f aca="false">Gulf!B68*Gulf!C68*Economy!Q68/1000000</f>
        <v>1539.7734</v>
      </c>
      <c r="M68" s="71" t="n">
        <v>0.592</v>
      </c>
      <c r="N68" s="49" t="n">
        <f aca="false">IF(K68&gt;0,L68*1000000/K68,0)</f>
        <v>202.07</v>
      </c>
      <c r="O68" s="67" t="n">
        <f aca="false">IF(AND(M68&gt;0,N67&gt;0,B68&gt;0),MIN(conv_cap,conv_beta*1*M68*MAX(0,LN(B68/(N67*P67)))),0)</f>
        <v>0.00729217749003156</v>
      </c>
      <c r="P68" s="68" t="n">
        <f aca="false">P67*(1+O68)</f>
        <v>1.05780651698805</v>
      </c>
      <c r="Q68" s="49" t="n">
        <f aca="false">L68*P68</f>
        <v>1628.78233720484</v>
      </c>
      <c r="R68" s="70" t="n">
        <f aca="false">IF(K68&gt;0,Q68*1000000/K68/Economy!Q68,0)</f>
        <v>0.639972942777768</v>
      </c>
      <c r="S68" s="65" t="n">
        <f aca="false">People!U68</f>
        <v>8642325</v>
      </c>
      <c r="T68" s="47" t="n">
        <v>360.944</v>
      </c>
      <c r="U68" s="71" t="n">
        <v>0.602</v>
      </c>
      <c r="V68" s="49" t="n">
        <f aca="false">IF(S68&gt;0,T68*1000000/S68,0)</f>
        <v>41.764687164623</v>
      </c>
      <c r="W68" s="67" t="n">
        <f aca="false">IF(AND(U68&gt;0,V67&gt;0,B68&gt;0),MIN(conv_cap,conv_beta*1*U68*MAX(0,LN(B68/(V67*X67)))),0)</f>
        <v>0.0147193396338889</v>
      </c>
      <c r="X68" s="68" t="n">
        <f aca="false">X67*(1+W68)</f>
        <v>1.47964494215174</v>
      </c>
      <c r="Y68" s="49" t="n">
        <f aca="false">T68*X68</f>
        <v>534.068964000016</v>
      </c>
      <c r="Z68" s="70" t="n">
        <f aca="false">IF(S68&gt;0,Y68*1000000/S68/Economy!Q68,0)</f>
        <v>0.185020683005042</v>
      </c>
      <c r="AA68" s="47" t="n">
        <v>0</v>
      </c>
      <c r="AB68" s="47" t="n">
        <v>0</v>
      </c>
      <c r="AC68" s="71" t="n">
        <v>0</v>
      </c>
      <c r="AD68" s="49" t="n">
        <f aca="false">IF(AA68&gt;0,AB68*1000000/AA68,0)</f>
        <v>0</v>
      </c>
      <c r="AE68" s="67" t="n">
        <f aca="false">IF(AND(AC68&gt;0,AD67&gt;0,B68&gt;0),MIN(conv_cap,conv_beta*1*AC68*MAX(0,LN(B68/(AD67*AF67)))),0)</f>
        <v>0</v>
      </c>
      <c r="AF68" s="68" t="n">
        <f aca="false">AF67*(1+AE68)</f>
        <v>1</v>
      </c>
      <c r="AG68" s="49" t="n">
        <f aca="false">AB68*AF68</f>
        <v>0</v>
      </c>
      <c r="AH68" s="70" t="n">
        <f aca="false">IF(AA68&gt;0,AG68*1000000/AA68/Economy!Q68,0)</f>
        <v>0</v>
      </c>
      <c r="AI68" s="47" t="n">
        <v>418500000</v>
      </c>
      <c r="AJ68" s="47" t="n">
        <v>4615</v>
      </c>
      <c r="AK68" s="71" t="n">
        <v>0.233</v>
      </c>
      <c r="AL68" s="49" t="n">
        <f aca="false">IF(AI68&gt;0,AJ68*1000000/AI68,0)</f>
        <v>11.0274790919952</v>
      </c>
      <c r="AM68" s="67" t="n">
        <f aca="false">IF(AND(AK68&gt;0,AL67&gt;0,B68&gt;0),MIN(conv_cap,conv_beta*1*AK68*MAX(0,LN(B68/(AL67*AN67)))),0)</f>
        <v>0.00913772245943888</v>
      </c>
      <c r="AN68" s="68" t="n">
        <f aca="false">AN67*(1+AM68)</f>
        <v>1.2670139461354</v>
      </c>
      <c r="AO68" s="49" t="n">
        <f aca="false">AJ68*AN68</f>
        <v>5847.26936141487</v>
      </c>
      <c r="AP68" s="70" t="n">
        <f aca="false">IF(AI68&gt;0,AO68*1000000/AI68/Economy!Q68,0)</f>
        <v>0.0418322449110015</v>
      </c>
      <c r="AQ68" s="47" t="n">
        <v>13850000</v>
      </c>
      <c r="AR68" s="47" t="n">
        <v>342</v>
      </c>
      <c r="AS68" s="71" t="n">
        <v>0.512</v>
      </c>
      <c r="AT68" s="49" t="n">
        <f aca="false">IF(AQ68&gt;0,AR68*1000000/AQ68,0)</f>
        <v>24.6931407942238</v>
      </c>
      <c r="AU68" s="67" t="n">
        <f aca="false">IF(AND(AS68&gt;0,AT67&gt;0,B68&gt;0),MIN(conv_cap,conv_beta*1*AS68*MAX(0,LN(B68/(AT67*AV67)))),0)</f>
        <v>0.0156276464856892</v>
      </c>
      <c r="AV68" s="68" t="n">
        <f aca="false">AV67*(1+AU68)</f>
        <v>1.36487758474029</v>
      </c>
      <c r="AW68" s="49" t="n">
        <f aca="false">AR68*AV68</f>
        <v>466.788133981179</v>
      </c>
      <c r="AX68" s="70" t="n">
        <f aca="false">IF(AQ68&gt;0,AW68*1000000/AQ68/Economy!Q68,0)</f>
        <v>0.100907528044527</v>
      </c>
      <c r="AY68" s="47" t="n">
        <v>89200000</v>
      </c>
      <c r="AZ68" s="47" t="n">
        <v>2615</v>
      </c>
      <c r="BA68" s="71" t="n">
        <v>0.131</v>
      </c>
      <c r="BB68" s="49" t="n">
        <f aca="false">IF(AY68&gt;0,AZ68*1000000/AY68,0)</f>
        <v>29.3161434977578</v>
      </c>
      <c r="BC68" s="67" t="n">
        <f aca="false">IF(AND(BA68&gt;0,BB67&gt;0,B68&gt;0),MIN(conv_cap,conv_beta*1*BA68*MAX(0,LN(B68/(BB67*BD67)))),0)</f>
        <v>0.00407286008905105</v>
      </c>
      <c r="BD68" s="68" t="n">
        <f aca="false">BD67*(1+BC68)</f>
        <v>1.07547637151505</v>
      </c>
      <c r="BE68" s="49" t="n">
        <f aca="false">AZ68*BD68</f>
        <v>2812.37071151185</v>
      </c>
      <c r="BF68" s="70" t="n">
        <f aca="false">IF(AY68&gt;0,BE68*1000000/AY68/Economy!Q68,0)</f>
        <v>0.0943976635801888</v>
      </c>
      <c r="BG68" s="47" t="n">
        <v>34300000</v>
      </c>
      <c r="BH68" s="47" t="n">
        <v>3123</v>
      </c>
      <c r="BI68" s="71" t="n">
        <v>0.258</v>
      </c>
      <c r="BJ68" s="49" t="n">
        <f aca="false">IF(BG68&gt;0,BH68*1000000/BG68,0)</f>
        <v>91.0495626822158</v>
      </c>
      <c r="BK68" s="67" t="n">
        <f aca="false">IF(AND(BI68&gt;0,BJ67&gt;0,B68&gt;0),MIN(conv_cap,conv_beta*1*BI68*MAX(0,LN(B68/(BJ67*BL67)))),0)</f>
        <v>0.00505535978281492</v>
      </c>
      <c r="BL68" s="68" t="n">
        <f aca="false">BL67*(1+BK68)</f>
        <v>1.10014577657677</v>
      </c>
      <c r="BM68" s="49" t="n">
        <f aca="false">BH68*BL68</f>
        <v>3435.75526024925</v>
      </c>
      <c r="BN68" s="70" t="n">
        <f aca="false">IF(BG68&gt;0,BM68*1000000/BG68/Economy!Q68,0)</f>
        <v>0.299903568395214</v>
      </c>
      <c r="BO68" s="47" t="n">
        <v>15200000</v>
      </c>
      <c r="BP68" s="47" t="n">
        <v>985</v>
      </c>
      <c r="BQ68" s="71" t="n">
        <v>0.069</v>
      </c>
      <c r="BR68" s="49" t="n">
        <f aca="false">IF(BO68&gt;0,BP68*1000000/BO68,0)</f>
        <v>64.8026315789474</v>
      </c>
      <c r="BS68" s="67" t="n">
        <f aca="false">IF(AND(BQ68&gt;0,BR67&gt;0,B68&gt;0),MIN(conv_cap,conv_beta*1*BQ68*MAX(0,LN(B68/(BR67*BT67)))),0)</f>
        <v>0.00164231857682339</v>
      </c>
      <c r="BT68" s="68" t="n">
        <f aca="false">BT67*(1+BS68)</f>
        <v>1.00557663569254</v>
      </c>
      <c r="BU68" s="49" t="n">
        <f aca="false">BP68*BT68</f>
        <v>990.492986157153</v>
      </c>
      <c r="BV68" s="70" t="n">
        <f aca="false">IF(BO68&gt;0,BU68*1000000/BO68/Economy!Q68,0)</f>
        <v>0.195101833075393</v>
      </c>
      <c r="BW68" s="68" t="n">
        <f aca="false">0.25*IF(D68&gt;0,H68,1)+0.15*IF(AJ68&gt;0,AN68,1)+0.03*IF(AR68&gt;0,AV68,1)+0.08*IF(AZ68&gt;0,BD68,1)+0.12*IF(BH68&gt;0,BL68,1)+0.1*IF(L68&gt;0,P68,1)+0.07*IF(T68&gt;0,X68,1)+0.05*IF(AB68&gt;0,AF68,1)+0.05*IF(BP68&gt;0,BT68,1)+0.1</f>
        <v>1.30751103849646</v>
      </c>
      <c r="BX68" s="66" t="n">
        <f aca="false">MIN(mkt_cap,mkt_elast*MAX(0,BW68-1))</f>
        <v>0.153755519248231</v>
      </c>
      <c r="BY68" s="49" t="n">
        <f aca="false">I68+Q68+Y68+AG68</f>
        <v>5387.19132718204</v>
      </c>
      <c r="BZ68" s="49" t="n">
        <f aca="false">D68+L68+T68+AB68</f>
        <v>3696.7174</v>
      </c>
      <c r="CA68" s="68" t="n">
        <f aca="false">IF(BZ68&gt;0,BY68/BZ68,0)</f>
        <v>1.45729054841521</v>
      </c>
    </row>
    <row r="69" customFormat="false" ht="14.25" hidden="false" customHeight="true" outlineLevel="0" collapsed="false">
      <c r="A69" s="61" t="n">
        <v>1909</v>
      </c>
      <c r="B69" s="49" t="n">
        <f aca="false">Economy!P68</f>
        <v>699.348534042672</v>
      </c>
      <c r="C69" s="47" t="n">
        <v>49050000</v>
      </c>
      <c r="D69" s="65" t="n">
        <f aca="false">Japan!B69</f>
        <v>1878</v>
      </c>
      <c r="E69" s="71" t="n">
        <v>0.772</v>
      </c>
      <c r="F69" s="49" t="n">
        <f aca="false">IF(C69&gt;0,D69*1000000/C69,0)</f>
        <v>38.2874617737003</v>
      </c>
      <c r="G69" s="67" t="n">
        <f aca="false">IF(AND(E69&gt;0,F68&gt;0,B69&gt;0),MIN(conv_cap,conv_beta*jp_uplift*E69*MAX(0,LN(B69/(F68*H68)))),0)</f>
        <v>0.0181653395825583</v>
      </c>
      <c r="H69" s="68" t="n">
        <f aca="false">H68*(1+G69)</f>
        <v>1.82790159102377</v>
      </c>
      <c r="I69" s="49" t="n">
        <f aca="false">D69*H69</f>
        <v>3432.79918794264</v>
      </c>
      <c r="J69" s="70" t="n">
        <f aca="false">IF(C69&gt;0,I69*1000000/C69/Economy!Q69,0)</f>
        <v>0.201108368656347</v>
      </c>
      <c r="K69" s="65" t="n">
        <f aca="false">Gulf!B69</f>
        <v>7810000</v>
      </c>
      <c r="L69" s="49" t="n">
        <f aca="false">Gulf!B69*Gulf!C69*Economy!Q69/1000000</f>
        <v>1652.47104</v>
      </c>
      <c r="M69" s="71" t="n">
        <v>0.604</v>
      </c>
      <c r="N69" s="49" t="n">
        <f aca="false">IF(K69&gt;0,L69*1000000/K69,0)</f>
        <v>211.584</v>
      </c>
      <c r="O69" s="67" t="n">
        <f aca="false">IF(AND(M69&gt;0,N68&gt;0,B69&gt;0),MIN(conv_cap,conv_beta*1*M69*MAX(0,LN(B69/(N68*P68)))),0)</f>
        <v>0.00715943924598269</v>
      </c>
      <c r="P69" s="68" t="n">
        <f aca="false">P68*(1+O69)</f>
        <v>1.06537981848043</v>
      </c>
      <c r="Q69" s="49" t="n">
        <f aca="false">L69*P69</f>
        <v>1760.50929663936</v>
      </c>
      <c r="R69" s="70" t="n">
        <f aca="false">IF(K69&gt;0,Q69*1000000/K69/Economy!Q69,0)</f>
        <v>0.647750929636099</v>
      </c>
      <c r="S69" s="65" t="n">
        <f aca="false">People!U69</f>
        <v>8824887</v>
      </c>
      <c r="T69" s="47" t="n">
        <v>374.143</v>
      </c>
      <c r="U69" s="71" t="n">
        <v>0.609</v>
      </c>
      <c r="V69" s="49" t="n">
        <f aca="false">IF(S69&gt;0,T69*1000000/S69,0)</f>
        <v>42.3963502308868</v>
      </c>
      <c r="W69" s="67" t="n">
        <f aca="false">IF(AND(U69&gt;0,V68&gt;0,B69&gt;0),MIN(conv_cap,conv_beta*1*U69*MAX(0,LN(B69/(V68*X68)))),0)</f>
        <v>0.0147761420504937</v>
      </c>
      <c r="X69" s="68" t="n">
        <f aca="false">X68*(1+W69)</f>
        <v>1.50150838600126</v>
      </c>
      <c r="Y69" s="49" t="n">
        <f aca="false">T69*X69</f>
        <v>561.778852063671</v>
      </c>
      <c r="Z69" s="70" t="n">
        <f aca="false">IF(S69&gt;0,Y69*1000000/S69/Economy!Q69,0)</f>
        <v>0.182926653469894</v>
      </c>
      <c r="AA69" s="47" t="n">
        <v>0</v>
      </c>
      <c r="AB69" s="47" t="n">
        <v>0</v>
      </c>
      <c r="AC69" s="71" t="n">
        <v>0</v>
      </c>
      <c r="AD69" s="49" t="n">
        <f aca="false">IF(AA69&gt;0,AB69*1000000/AA69,0)</f>
        <v>0</v>
      </c>
      <c r="AE69" s="67" t="n">
        <f aca="false">IF(AND(AC69&gt;0,AD68&gt;0,B69&gt;0),MIN(conv_cap,conv_beta*1*AC69*MAX(0,LN(B69/(AD68*AF68)))),0)</f>
        <v>0</v>
      </c>
      <c r="AF69" s="68" t="n">
        <f aca="false">AF68*(1+AE69)</f>
        <v>1</v>
      </c>
      <c r="AG69" s="49" t="n">
        <f aca="false">AB69*AF69</f>
        <v>0</v>
      </c>
      <c r="AH69" s="70" t="n">
        <f aca="false">IF(AA69&gt;0,AG69*1000000/AA69/Economy!Q69,0)</f>
        <v>0</v>
      </c>
      <c r="AI69" s="47" t="n">
        <v>420800000</v>
      </c>
      <c r="AJ69" s="47" t="n">
        <v>4692</v>
      </c>
      <c r="AK69" s="71" t="n">
        <v>0.237</v>
      </c>
      <c r="AL69" s="49" t="n">
        <f aca="false">IF(AI69&gt;0,AJ69*1000000/AI69,0)</f>
        <v>11.1501901140684</v>
      </c>
      <c r="AM69" s="67" t="n">
        <f aca="false">IF(AND(AK69&gt;0,AL68&gt;0,B69&gt;0),MIN(conv_cap,conv_beta*1*AK69*MAX(0,LN(B69/(AL68*AN68)))),0)</f>
        <v>0.00927403768721727</v>
      </c>
      <c r="AN69" s="68" t="n">
        <f aca="false">AN68*(1+AM69)</f>
        <v>1.27876428122209</v>
      </c>
      <c r="AO69" s="49" t="n">
        <f aca="false">AJ69*AN69</f>
        <v>5999.96200749405</v>
      </c>
      <c r="AP69" s="70" t="n">
        <f aca="false">IF(AI69&gt;0,AO69*1000000/AI69/Economy!Q69,0)</f>
        <v>0.0409726001342137</v>
      </c>
      <c r="AQ69" s="47" t="n">
        <v>14080000</v>
      </c>
      <c r="AR69" s="47" t="n">
        <v>354</v>
      </c>
      <c r="AS69" s="71" t="n">
        <v>0.517</v>
      </c>
      <c r="AT69" s="49" t="n">
        <f aca="false">IF(AQ69&gt;0,AR69*1000000/AQ69,0)</f>
        <v>25.1420454545455</v>
      </c>
      <c r="AU69" s="67" t="n">
        <f aca="false">IF(AND(AS69&gt;0,AT68&gt;0,B69&gt;0),MIN(conv_cap,conv_beta*1*AS69*MAX(0,LN(B69/(AT68*AV68)))),0)</f>
        <v>0.0156783299706293</v>
      </c>
      <c r="AV69" s="68" t="n">
        <f aca="false">AV68*(1+AU69)</f>
        <v>1.38627658588336</v>
      </c>
      <c r="AW69" s="49" t="n">
        <f aca="false">AR69*AV69</f>
        <v>490.741911402711</v>
      </c>
      <c r="AX69" s="70" t="n">
        <f aca="false">IF(AQ69&gt;0,AW69*1000000/AQ69/Economy!Q69,0)</f>
        <v>0.100154680847275</v>
      </c>
      <c r="AY69" s="47" t="n">
        <v>90400000</v>
      </c>
      <c r="AZ69" s="47" t="n">
        <v>2692</v>
      </c>
      <c r="BA69" s="71" t="n">
        <v>0.135</v>
      </c>
      <c r="BB69" s="49" t="n">
        <f aca="false">IF(AY69&gt;0,AZ69*1000000/AY69,0)</f>
        <v>29.7787610619469</v>
      </c>
      <c r="BC69" s="67" t="n">
        <f aca="false">IF(AND(BA69&gt;0,BB68&gt;0,B69&gt;0),MIN(conv_cap,conv_beta*1*BA69*MAX(0,LN(B69/(BB68*BD68)))),0)</f>
        <v>0.00418398371921977</v>
      </c>
      <c r="BD69" s="68" t="n">
        <f aca="false">BD68*(1+BC69)</f>
        <v>1.07997614714387</v>
      </c>
      <c r="BE69" s="49" t="n">
        <f aca="false">AZ69*BD69</f>
        <v>2907.2957881113</v>
      </c>
      <c r="BF69" s="70" t="n">
        <f aca="false">IF(AY69&gt;0,BE69*1000000/AY69/Economy!Q69,0)</f>
        <v>0.0924148035586188</v>
      </c>
      <c r="BG69" s="47" t="n">
        <v>34800000</v>
      </c>
      <c r="BH69" s="47" t="n">
        <v>3238</v>
      </c>
      <c r="BI69" s="71" t="n">
        <v>0.267</v>
      </c>
      <c r="BJ69" s="49" t="n">
        <f aca="false">IF(BG69&gt;0,BH69*1000000/BG69,0)</f>
        <v>93.0459770114943</v>
      </c>
      <c r="BK69" s="67" t="n">
        <f aca="false">IF(AND(BI69&gt;0,BJ68&gt;0,B69&gt;0),MIN(conv_cap,conv_beta*1*BI69*MAX(0,LN(B69/(BJ68*BL68)))),0)</f>
        <v>0.00518861777580921</v>
      </c>
      <c r="BL69" s="68" t="n">
        <f aca="false">BL68*(1+BK69)</f>
        <v>1.1058540125091</v>
      </c>
      <c r="BM69" s="49" t="n">
        <f aca="false">BH69*BL69</f>
        <v>3580.75529250445</v>
      </c>
      <c r="BN69" s="70" t="n">
        <f aca="false">IF(BG69&gt;0,BM69*1000000/BG69/Economy!Q69,0)</f>
        <v>0.295676054672385</v>
      </c>
      <c r="BO69" s="47" t="n">
        <v>15400000</v>
      </c>
      <c r="BP69" s="47" t="n">
        <v>1008</v>
      </c>
      <c r="BQ69" s="71" t="n">
        <v>0.075</v>
      </c>
      <c r="BR69" s="49" t="n">
        <f aca="false">IF(BO69&gt;0,BP69*1000000/BO69,0)</f>
        <v>65.4545454545455</v>
      </c>
      <c r="BS69" s="67" t="n">
        <f aca="false">IF(AND(BQ69&gt;0,BR68&gt;0,B69&gt;0),MIN(conv_cap,conv_beta*1*BQ69*MAX(0,LN(B69/(BR68*BT68)))),0)</f>
        <v>0.00177993140917803</v>
      </c>
      <c r="BT69" s="68" t="n">
        <f aca="false">BT68*(1+BS69)</f>
        <v>1.00736649313075</v>
      </c>
      <c r="BU69" s="49" t="n">
        <f aca="false">BP69*BT69</f>
        <v>1015.42542507579</v>
      </c>
      <c r="BV69" s="70" t="n">
        <f aca="false">IF(BO69&gt;0,BU69*1000000/BO69/Economy!Q69,0)</f>
        <v>0.18947332159199</v>
      </c>
      <c r="BW69" s="68" t="n">
        <f aca="false">0.25*IF(D69&gt;0,H69,1)+0.15*IF(AJ69&gt;0,AN69,1)+0.03*IF(AR69&gt;0,AV69,1)+0.08*IF(AZ69&gt;0,BD69,1)+0.12*IF(BH69&gt;0,BL69,1)+0.1*IF(L69&gt;0,P69,1)+0.07*IF(T69&gt;0,X69,1)+0.05*IF(AB69&gt;0,AF69,1)+0.05*IF(BP69&gt;0,BT69,1)+0.1</f>
        <v>1.32149080431303</v>
      </c>
      <c r="BX69" s="66" t="n">
        <f aca="false">MIN(mkt_cap,mkt_elast*MAX(0,BW69-1))</f>
        <v>0.160745402156514</v>
      </c>
      <c r="BY69" s="49" t="n">
        <f aca="false">I69+Q69+Y69+AG69</f>
        <v>5755.08733664568</v>
      </c>
      <c r="BZ69" s="49" t="n">
        <f aca="false">D69+L69+T69+AB69</f>
        <v>3904.61404</v>
      </c>
      <c r="CA69" s="68" t="n">
        <f aca="false">IF(BZ69&gt;0,BY69/BZ69,0)</f>
        <v>1.47391964421807</v>
      </c>
    </row>
    <row r="70" customFormat="false" ht="14.25" hidden="false" customHeight="true" outlineLevel="0" collapsed="false">
      <c r="A70" s="61" t="n">
        <v>1910</v>
      </c>
      <c r="B70" s="49" t="n">
        <f aca="false">Economy!P69</f>
        <v>770.249138672505</v>
      </c>
      <c r="C70" s="47" t="n">
        <v>49620000</v>
      </c>
      <c r="D70" s="65" t="n">
        <f aca="false">Japan!B70</f>
        <v>1960</v>
      </c>
      <c r="E70" s="71" t="n">
        <v>0.778</v>
      </c>
      <c r="F70" s="49" t="n">
        <f aca="false">IF(C70&gt;0,D70*1000000/C70,0)</f>
        <v>39.5002015316405</v>
      </c>
      <c r="G70" s="67" t="n">
        <f aca="false">IF(AND(E70&gt;0,F69&gt;0,B70&gt;0),MIN(conv_cap,conv_beta*jp_uplift*E70*MAX(0,LN(B70/(F69*H69)))),0)</f>
        <v>0.0186597302252084</v>
      </c>
      <c r="H70" s="68" t="n">
        <f aca="false">H69*(1+G70)</f>
        <v>1.86200974159051</v>
      </c>
      <c r="I70" s="49" t="n">
        <f aca="false">D70*H70</f>
        <v>3649.53909351739</v>
      </c>
      <c r="J70" s="70" t="n">
        <f aca="false">IF(C70&gt;0,I70*1000000/C70/Economy!Q70,0)</f>
        <v>0.20261641886144</v>
      </c>
      <c r="K70" s="65" t="n">
        <f aca="false">Gulf!B70</f>
        <v>8000000</v>
      </c>
      <c r="L70" s="49" t="n">
        <f aca="false">Gulf!B70*Gulf!C70*Economy!Q70/1000000</f>
        <v>1774.344</v>
      </c>
      <c r="M70" s="71" t="n">
        <v>0.615</v>
      </c>
      <c r="N70" s="49" t="n">
        <f aca="false">IF(K70&gt;0,L70*1000000/K70,0)</f>
        <v>221.793</v>
      </c>
      <c r="O70" s="67" t="n">
        <f aca="false">IF(AND(M70&gt;0,N69&gt;0,B70&gt;0),MIN(conv_cap,conv_beta*1*M70*MAX(0,LN(B70/(N69*P69)))),0)</f>
        <v>0.00755687746750069</v>
      </c>
      <c r="P70" s="68" t="n">
        <f aca="false">P69*(1+O70)</f>
        <v>1.07343076322503</v>
      </c>
      <c r="Q70" s="49" t="n">
        <f aca="false">L70*P70</f>
        <v>1904.63543414375</v>
      </c>
      <c r="R70" s="70" t="n">
        <f aca="false">IF(K70&gt;0,Q70*1000000/K70/Economy!Q70,0)</f>
        <v>0.655866196330494</v>
      </c>
      <c r="S70" s="65" t="n">
        <f aca="false">People!U70</f>
        <v>9007495</v>
      </c>
      <c r="T70" s="47" t="n">
        <v>387.343</v>
      </c>
      <c r="U70" s="71" t="n">
        <v>0.617</v>
      </c>
      <c r="V70" s="49" t="n">
        <f aca="false">IF(S70&gt;0,T70*1000000/S70,0)</f>
        <v>43.0022997514847</v>
      </c>
      <c r="W70" s="67" t="n">
        <f aca="false">IF(AND(U70&gt;0,V69&gt;0,B70&gt;0),MIN(conv_cap,conv_beta*1*U70*MAX(0,LN(B70/(V69*X69)))),0)</f>
        <v>0.0153829301428389</v>
      </c>
      <c r="X70" s="68" t="n">
        <f aca="false">X69*(1+W70)</f>
        <v>1.52460598461201</v>
      </c>
      <c r="Y70" s="49" t="n">
        <f aca="false">T70*X70</f>
        <v>590.54545589757</v>
      </c>
      <c r="Z70" s="70" t="n">
        <f aca="false">IF(S70&gt;0,Y70*1000000/S70/Economy!Q70,0)</f>
        <v>0.180610367915133</v>
      </c>
      <c r="AA70" s="47" t="n">
        <v>0</v>
      </c>
      <c r="AB70" s="47" t="n">
        <v>0</v>
      </c>
      <c r="AC70" s="71" t="n">
        <v>0</v>
      </c>
      <c r="AD70" s="49" t="n">
        <f aca="false">IF(AA70&gt;0,AB70*1000000/AA70,0)</f>
        <v>0</v>
      </c>
      <c r="AE70" s="67" t="n">
        <f aca="false">IF(AND(AC70&gt;0,AD69&gt;0,B70&gt;0),MIN(conv_cap,conv_beta*1*AC70*MAX(0,LN(B70/(AD69*AF69)))),0)</f>
        <v>0</v>
      </c>
      <c r="AF70" s="68" t="n">
        <f aca="false">AF69*(1+AE70)</f>
        <v>1</v>
      </c>
      <c r="AG70" s="49" t="n">
        <f aca="false">AB70*AF70</f>
        <v>0</v>
      </c>
      <c r="AH70" s="70" t="n">
        <f aca="false">IF(AA70&gt;0,AG70*1000000/AA70/Economy!Q70,0)</f>
        <v>0</v>
      </c>
      <c r="AI70" s="47" t="n">
        <v>423100000</v>
      </c>
      <c r="AJ70" s="47" t="n">
        <v>4769</v>
      </c>
      <c r="AK70" s="71" t="n">
        <v>0.242</v>
      </c>
      <c r="AL70" s="49" t="n">
        <f aca="false">IF(AI70&gt;0,AJ70*1000000/AI70,0)</f>
        <v>11.2715670054361</v>
      </c>
      <c r="AM70" s="67" t="n">
        <f aca="false">IF(AND(AK70&gt;0,AL69&gt;0,B70&gt;0),MIN(conv_cap,conv_beta*1*AK70*MAX(0,LN(B70/(AL69*AN69)))),0)</f>
        <v>0.00965425910021043</v>
      </c>
      <c r="AN70" s="68" t="n">
        <f aca="false">AN69*(1+AM70)</f>
        <v>1.2911098029211</v>
      </c>
      <c r="AO70" s="49" t="n">
        <f aca="false">AJ70*AN70</f>
        <v>6157.30265013074</v>
      </c>
      <c r="AP70" s="70" t="n">
        <f aca="false">IF(AI70&gt;0,AO70*1000000/AI70/Economy!Q70,0)</f>
        <v>0.0400904425757591</v>
      </c>
      <c r="AQ70" s="47" t="n">
        <v>14310000</v>
      </c>
      <c r="AR70" s="47" t="n">
        <v>365</v>
      </c>
      <c r="AS70" s="71" t="n">
        <v>0.521</v>
      </c>
      <c r="AT70" s="49" t="n">
        <f aca="false">IF(AQ70&gt;0,AR70*1000000/AQ70,0)</f>
        <v>25.5066387141859</v>
      </c>
      <c r="AU70" s="67" t="n">
        <f aca="false">IF(AND(AS70&gt;0,AT69&gt;0,B70&gt;0),MIN(conv_cap,conv_beta*1*AS70*MAX(0,LN(B70/(AT69*AV69)))),0)</f>
        <v>0.0161278208092761</v>
      </c>
      <c r="AV70" s="68" t="n">
        <f aca="false">AV69*(1+AU70)</f>
        <v>1.40863420625259</v>
      </c>
      <c r="AW70" s="49" t="n">
        <f aca="false">AR70*AV70</f>
        <v>514.151485282194</v>
      </c>
      <c r="AX70" s="70" t="n">
        <f aca="false">IF(AQ70&gt;0,AW70*1000000/AQ70/Economy!Q70,0)</f>
        <v>0.0989794043507677</v>
      </c>
      <c r="AY70" s="47" t="n">
        <v>91500000</v>
      </c>
      <c r="AZ70" s="47" t="n">
        <v>2769</v>
      </c>
      <c r="BA70" s="71" t="n">
        <v>0.138</v>
      </c>
      <c r="BB70" s="49" t="n">
        <f aca="false">IF(AY70&gt;0,AZ70*1000000/AY70,0)</f>
        <v>30.2622950819672</v>
      </c>
      <c r="BC70" s="67" t="n">
        <f aca="false">IF(AND(BA70&gt;0,BB69&gt;0,B70&gt;0),MIN(conv_cap,conv_beta*1*BA70*MAX(0,LN(B70/(BB69*BD69)))),0)</f>
        <v>0.00438285190451274</v>
      </c>
      <c r="BD70" s="68" t="n">
        <f aca="false">BD69*(1+BC70)</f>
        <v>1.08470952265721</v>
      </c>
      <c r="BE70" s="49" t="n">
        <f aca="false">AZ70*BD70</f>
        <v>3003.56066823781</v>
      </c>
      <c r="BF70" s="70" t="n">
        <f aca="false">IF(AY70&gt;0,BE70*1000000/AY70/Economy!Q70,0)</f>
        <v>0.0904292001456536</v>
      </c>
      <c r="BG70" s="47" t="n">
        <v>35400000</v>
      </c>
      <c r="BH70" s="47" t="n">
        <v>3354</v>
      </c>
      <c r="BI70" s="71" t="n">
        <v>0.275</v>
      </c>
      <c r="BJ70" s="49" t="n">
        <f aca="false">IF(BG70&gt;0,BH70*1000000/BG70,0)</f>
        <v>94.7457627118644</v>
      </c>
      <c r="BK70" s="67" t="n">
        <f aca="false">IF(AND(BI70&gt;0,BJ69&gt;0,B70&gt;0),MIN(conv_cap,conv_beta*1*BI70*MAX(0,LN(B70/(BJ69*BL69)))),0)</f>
        <v>0.0055357565266027</v>
      </c>
      <c r="BL70" s="68" t="n">
        <f aca="false">BL69*(1+BK70)</f>
        <v>1.11197575107631</v>
      </c>
      <c r="BM70" s="49" t="n">
        <f aca="false">BH70*BL70</f>
        <v>3729.56666910996</v>
      </c>
      <c r="BN70" s="70" t="n">
        <f aca="false">IF(BG70&gt;0,BM70*1000000/BG70/Economy!Q70,0)</f>
        <v>0.290234134029817</v>
      </c>
      <c r="BO70" s="47" t="n">
        <v>15500000</v>
      </c>
      <c r="BP70" s="47" t="n">
        <v>1031</v>
      </c>
      <c r="BQ70" s="71" t="n">
        <v>0.081</v>
      </c>
      <c r="BR70" s="49" t="n">
        <f aca="false">IF(BO70&gt;0,BP70*1000000/BO70,0)</f>
        <v>66.5161290322581</v>
      </c>
      <c r="BS70" s="67" t="n">
        <f aca="false">IF(AND(BQ70&gt;0,BR69&gt;0,B70&gt;0),MIN(conv_cap,conv_beta*1*BQ70*MAX(0,LN(B70/(BR69*BT69)))),0)</f>
        <v>0.00199099505545693</v>
      </c>
      <c r="BT70" s="68" t="n">
        <f aca="false">BT69*(1+BS70)</f>
        <v>1.0093721548376</v>
      </c>
      <c r="BU70" s="49" t="n">
        <f aca="false">BP70*BT70</f>
        <v>1040.66269163757</v>
      </c>
      <c r="BV70" s="70" t="n">
        <f aca="false">IF(BO70&gt;0,BU70*1000000/BO70/Economy!Q70,0)</f>
        <v>0.184957378767896</v>
      </c>
      <c r="BW70" s="68" t="n">
        <f aca="false">0.25*IF(D70&gt;0,H70,1)+0.15*IF(AJ70&gt;0,AN70,1)+0.03*IF(AR70&gt;0,AV70,1)+0.08*IF(AZ70&gt;0,BD70,1)+0.12*IF(BH70&gt;0,BL70,1)+0.1*IF(L70&gt;0,P70,1)+0.07*IF(T70&gt;0,X70,1)+0.05*IF(AB70&gt;0,AF70,1)+0.05*IF(BP70&gt;0,BT70,1)+0.1</f>
        <v>1.33617588695233</v>
      </c>
      <c r="BX70" s="66" t="n">
        <f aca="false">MIN(mkt_cap,mkt_elast*MAX(0,BW70-1))</f>
        <v>0.168087943476164</v>
      </c>
      <c r="BY70" s="49" t="n">
        <f aca="false">I70+Q70+Y70+AG70</f>
        <v>6144.71998355871</v>
      </c>
      <c r="BZ70" s="49" t="n">
        <f aca="false">D70+L70+T70+AB70</f>
        <v>4121.687</v>
      </c>
      <c r="CA70" s="68" t="n">
        <f aca="false">IF(BZ70&gt;0,BY70/BZ70,0)</f>
        <v>1.49082644644261</v>
      </c>
    </row>
    <row r="71" customFormat="false" ht="14.25" hidden="false" customHeight="true" outlineLevel="0" collapsed="false">
      <c r="A71" s="61" t="n">
        <v>1911</v>
      </c>
      <c r="B71" s="49" t="n">
        <f aca="false">Economy!P70</f>
        <v>806.918997702068</v>
      </c>
      <c r="C71" s="47" t="n">
        <v>50180000</v>
      </c>
      <c r="D71" s="65" t="n">
        <f aca="false">Japan!B71</f>
        <v>2140</v>
      </c>
      <c r="E71" s="71" t="n">
        <v>0.783</v>
      </c>
      <c r="F71" s="49" t="n">
        <f aca="false">IF(C71&gt;0,D71*1000000/C71,0)</f>
        <v>42.6464726982862</v>
      </c>
      <c r="G71" s="67" t="n">
        <f aca="false">IF(AND(E71&gt;0,F70&gt;0,B71&gt;0),MIN(conv_cap,conv_beta*jp_uplift*E71*MAX(0,LN(B71/(F70*H70)))),0)</f>
        <v>0.0187548944446849</v>
      </c>
      <c r="H71" s="68" t="n">
        <f aca="false">H70*(1+G71)</f>
        <v>1.89693153774901</v>
      </c>
      <c r="I71" s="49" t="n">
        <f aca="false">D71*H71</f>
        <v>4059.43349078288</v>
      </c>
      <c r="J71" s="70" t="n">
        <f aca="false">IF(C71&gt;0,I71*1000000/C71/Economy!Q71,0)</f>
        <v>0.215152763391306</v>
      </c>
      <c r="K71" s="65" t="n">
        <f aca="false">Gulf!B71</f>
        <v>8140000</v>
      </c>
      <c r="L71" s="49" t="n">
        <f aca="false">Gulf!B71*Gulf!C71*Economy!Q71/1000000</f>
        <v>1879.23296</v>
      </c>
      <c r="M71" s="71" t="n">
        <v>0.627</v>
      </c>
      <c r="N71" s="49" t="n">
        <f aca="false">IF(K71&gt;0,L71*1000000/K71,0)</f>
        <v>230.864</v>
      </c>
      <c r="O71" s="67" t="n">
        <f aca="false">IF(AND(M71&gt;0,N70&gt;0,B71&gt;0),MIN(conv_cap,conv_beta*1*M71*MAX(0,LN(B71/(N70*P70)))),0)</f>
        <v>0.00765328071758115</v>
      </c>
      <c r="P71" s="68" t="n">
        <f aca="false">P70*(1+O71)</f>
        <v>1.08164603018688</v>
      </c>
      <c r="Q71" s="49" t="n">
        <f aca="false">L71*P71</f>
        <v>2032.66487098034</v>
      </c>
      <c r="R71" s="70" t="n">
        <f aca="false">IF(K71&gt;0,Q71*1000000/K71/Economy!Q71,0)</f>
        <v>0.664130662534744</v>
      </c>
      <c r="S71" s="65" t="n">
        <f aca="false">People!U71</f>
        <v>9190150</v>
      </c>
      <c r="T71" s="47" t="n">
        <v>400.544</v>
      </c>
      <c r="U71" s="71" t="n">
        <v>0.625</v>
      </c>
      <c r="V71" s="49" t="n">
        <f aca="false">IF(S71&gt;0,T71*1000000/S71,0)</f>
        <v>43.5840546672252</v>
      </c>
      <c r="W71" s="67" t="n">
        <f aca="false">IF(AND(U71&gt;0,V70&gt;0,B71&gt;0),MIN(conv_cap,conv_beta*1*U71*MAX(0,LN(B71/(V70*X70)))),0)</f>
        <v>0.0156889605365725</v>
      </c>
      <c r="X71" s="68" t="n">
        <f aca="false">X70*(1+W71)</f>
        <v>1.54852546773841</v>
      </c>
      <c r="Y71" s="49" t="n">
        <f aca="false">T71*X71</f>
        <v>620.252584949813</v>
      </c>
      <c r="Z71" s="70" t="n">
        <f aca="false">IF(S71&gt;0,Y71*1000000/S71/Economy!Q71,0)</f>
        <v>0.179497389998674</v>
      </c>
      <c r="AA71" s="47" t="n">
        <v>0</v>
      </c>
      <c r="AB71" s="47" t="n">
        <v>0</v>
      </c>
      <c r="AC71" s="71" t="n">
        <v>0</v>
      </c>
      <c r="AD71" s="49" t="n">
        <f aca="false">IF(AA71&gt;0,AB71*1000000/AA71,0)</f>
        <v>0</v>
      </c>
      <c r="AE71" s="67" t="n">
        <f aca="false">IF(AND(AC71&gt;0,AD70&gt;0,B71&gt;0),MIN(conv_cap,conv_beta*1*AC71*MAX(0,LN(B71/(AD70*AF70)))),0)</f>
        <v>0</v>
      </c>
      <c r="AF71" s="68" t="n">
        <f aca="false">AF70*(1+AE71)</f>
        <v>1</v>
      </c>
      <c r="AG71" s="49" t="n">
        <f aca="false">AB71*AF71</f>
        <v>0</v>
      </c>
      <c r="AH71" s="70" t="n">
        <f aca="false">IF(AA71&gt;0,AG71*1000000/AA71/Economy!Q71,0)</f>
        <v>0</v>
      </c>
      <c r="AI71" s="47" t="n">
        <v>425400000</v>
      </c>
      <c r="AJ71" s="47" t="n">
        <v>4846</v>
      </c>
      <c r="AK71" s="71" t="n">
        <v>0.246</v>
      </c>
      <c r="AL71" s="49" t="n">
        <f aca="false">IF(AI71&gt;0,AJ71*1000000/AI71,0)</f>
        <v>11.3916314057358</v>
      </c>
      <c r="AM71" s="67" t="n">
        <f aca="false">IF(AND(AK71&gt;0,AL70&gt;0,B71&gt;0),MIN(conv_cap,conv_beta*1*AK71*MAX(0,LN(B71/(AL70*AN70)))),0)</f>
        <v>0.00987797690732724</v>
      </c>
      <c r="AN71" s="68" t="n">
        <f aca="false">AN70*(1+AM71)</f>
        <v>1.30386335573918</v>
      </c>
      <c r="AO71" s="49" t="n">
        <f aca="false">AJ71*AN71</f>
        <v>6318.52182191207</v>
      </c>
      <c r="AP71" s="70" t="n">
        <f aca="false">IF(AI71&gt;0,AO71*1000000/AI71/Economy!Q71,0)</f>
        <v>0.0395030073192194</v>
      </c>
      <c r="AQ71" s="47" t="n">
        <v>14540000</v>
      </c>
      <c r="AR71" s="47" t="n">
        <v>377</v>
      </c>
      <c r="AS71" s="71" t="n">
        <v>0.525</v>
      </c>
      <c r="AT71" s="49" t="n">
        <f aca="false">IF(AQ71&gt;0,AR71*1000000/AQ71,0)</f>
        <v>25.9284731774415</v>
      </c>
      <c r="AU71" s="67" t="n">
        <f aca="false">IF(AND(AS71&gt;0,AT70&gt;0,B71&gt;0),MIN(conv_cap,conv_beta*1*AS71*MAX(0,LN(B71/(AT70*AV70)))),0)</f>
        <v>0.0163362356940493</v>
      </c>
      <c r="AV71" s="68" t="n">
        <f aca="false">AV70*(1+AU71)</f>
        <v>1.43164598665263</v>
      </c>
      <c r="AW71" s="49" t="n">
        <f aca="false">AR71*AV71</f>
        <v>539.730536968041</v>
      </c>
      <c r="AX71" s="70" t="n">
        <f aca="false">IF(AQ71&gt;0,AW71*1000000/AQ71/Economy!Q71,0)</f>
        <v>0.0987244536290279</v>
      </c>
      <c r="AY71" s="47" t="n">
        <v>92700000</v>
      </c>
      <c r="AZ71" s="47" t="n">
        <v>2846</v>
      </c>
      <c r="BA71" s="71" t="n">
        <v>0.142</v>
      </c>
      <c r="BB71" s="49" t="n">
        <f aca="false">IF(AY71&gt;0,AZ71*1000000/AY71,0)</f>
        <v>30.7011866235167</v>
      </c>
      <c r="BC71" s="67" t="n">
        <f aca="false">IF(AND(BA71&gt;0,BB70&gt;0,B71&gt;0),MIN(conv_cap,conv_beta*1*BA71*MAX(0,LN(B71/(BB70*BD70)))),0)</f>
        <v>0.00454685208086641</v>
      </c>
      <c r="BD71" s="68" t="n">
        <f aca="false">BD70*(1+BC71)</f>
        <v>1.08964153640744</v>
      </c>
      <c r="BE71" s="49" t="n">
        <f aca="false">AZ71*BD71</f>
        <v>3101.11981261557</v>
      </c>
      <c r="BF71" s="70" t="n">
        <f aca="false">IF(AY71&gt;0,BE71*1000000/AY71/Economy!Q71,0)</f>
        <v>0.0889715110690965</v>
      </c>
      <c r="BG71" s="47" t="n">
        <v>35900000</v>
      </c>
      <c r="BH71" s="47" t="n">
        <v>3469</v>
      </c>
      <c r="BI71" s="71" t="n">
        <v>0.283</v>
      </c>
      <c r="BJ71" s="49" t="n">
        <f aca="false">IF(BG71&gt;0,BH71*1000000/BG71,0)</f>
        <v>96.6295264623956</v>
      </c>
      <c r="BK71" s="67" t="n">
        <f aca="false">IF(AND(BI71&gt;0,BJ70&gt;0,B71&gt;0),MIN(conv_cap,conv_beta*1*BI71*MAX(0,LN(B71/(BJ70*BL70)))),0)</f>
        <v>0.00576156241001192</v>
      </c>
      <c r="BL71" s="68" t="n">
        <f aca="false">BL70*(1+BK71)</f>
        <v>1.11838246876456</v>
      </c>
      <c r="BM71" s="49" t="n">
        <f aca="false">BH71*BL71</f>
        <v>3879.66878414426</v>
      </c>
      <c r="BN71" s="70" t="n">
        <f aca="false">IF(BG71&gt;0,BM71*1000000/BG71/Economy!Q71,0)</f>
        <v>0.28741693712916</v>
      </c>
      <c r="BO71" s="47" t="n">
        <v>15700000</v>
      </c>
      <c r="BP71" s="47" t="n">
        <v>1054</v>
      </c>
      <c r="BQ71" s="71" t="n">
        <v>0.088</v>
      </c>
      <c r="BR71" s="49" t="n">
        <f aca="false">IF(BO71&gt;0,BP71*1000000/BO71,0)</f>
        <v>67.1337579617835</v>
      </c>
      <c r="BS71" s="67" t="n">
        <f aca="false">IF(AND(BQ71&gt;0,BR70&gt;0,B71&gt;0),MIN(conv_cap,conv_beta*1*BQ71*MAX(0,LN(B71/(BR70*BT70)))),0)</f>
        <v>0.00218807628147455</v>
      </c>
      <c r="BT71" s="68" t="n">
        <f aca="false">BT70*(1+BS71)</f>
        <v>1.01158073810878</v>
      </c>
      <c r="BU71" s="49" t="n">
        <f aca="false">BP71*BT71</f>
        <v>1066.20609796666</v>
      </c>
      <c r="BV71" s="70" t="n">
        <f aca="false">IF(BO71&gt;0,BU71*1000000/BO71/Economy!Q71,0)</f>
        <v>0.180614937316482</v>
      </c>
      <c r="BW71" s="68" t="n">
        <f aca="false">0.25*IF(D71&gt;0,H71,1)+0.15*IF(AJ71&gt;0,AN71,1)+0.03*IF(AR71&gt;0,AV71,1)+0.08*IF(AZ71&gt;0,BD71,1)+0.12*IF(BH71&gt;0,BL71,1)+0.1*IF(L71&gt;0,P71,1)+0.07*IF(T71&gt;0,X71,1)+0.05*IF(AB71&gt;0,AF71,1)+0.05*IF(BP71&gt;0,BT71,1)+0.1</f>
        <v>1.35127940922787</v>
      </c>
      <c r="BX71" s="66" t="n">
        <f aca="false">MIN(mkt_cap,mkt_elast*MAX(0,BW71-1))</f>
        <v>0.175639704613933</v>
      </c>
      <c r="BY71" s="49" t="n">
        <f aca="false">I71+Q71+Y71+AG71</f>
        <v>6712.35094671303</v>
      </c>
      <c r="BZ71" s="49" t="n">
        <f aca="false">D71+L71+T71+AB71</f>
        <v>4419.77696</v>
      </c>
      <c r="CA71" s="68" t="n">
        <f aca="false">IF(BZ71&gt;0,BY71/BZ71,0)</f>
        <v>1.51870807225373</v>
      </c>
    </row>
    <row r="72" customFormat="false" ht="14.25" hidden="false" customHeight="true" outlineLevel="0" collapsed="false">
      <c r="A72" s="61" t="n">
        <v>1912</v>
      </c>
      <c r="B72" s="49" t="n">
        <f aca="false">Economy!P71</f>
        <v>840.829127527568</v>
      </c>
      <c r="C72" s="47" t="n">
        <v>50740000</v>
      </c>
      <c r="D72" s="65" t="n">
        <f aca="false">Japan!B72</f>
        <v>2320</v>
      </c>
      <c r="E72" s="71" t="n">
        <v>0.789</v>
      </c>
      <c r="F72" s="49" t="n">
        <f aca="false">IF(C72&gt;0,D72*1000000/C72,0)</f>
        <v>45.7232952305873</v>
      </c>
      <c r="G72" s="67" t="n">
        <f aca="false">IF(AND(E72&gt;0,F71&gt;0,B72&gt;0),MIN(conv_cap,conv_beta*jp_uplift*E72*MAX(0,LN(B72/(F71*H71)))),0)</f>
        <v>0.0184721176593919</v>
      </c>
      <c r="H72" s="68" t="n">
        <f aca="false">H71*(1+G72)</f>
        <v>1.93197188030612</v>
      </c>
      <c r="I72" s="49" t="n">
        <f aca="false">D72*H72</f>
        <v>4482.1747623102</v>
      </c>
      <c r="J72" s="70" t="n">
        <f aca="false">IF(C72&gt;0,I72*1000000/C72/Economy!Q72,0)</f>
        <v>0.226502873488281</v>
      </c>
      <c r="K72" s="65" t="n">
        <f aca="false">Gulf!B72</f>
        <v>8280000</v>
      </c>
      <c r="L72" s="49" t="n">
        <f aca="false">Gulf!B72*Gulf!C72*Economy!Q72/1000000</f>
        <v>1992.4164</v>
      </c>
      <c r="M72" s="71" t="n">
        <v>0.638</v>
      </c>
      <c r="N72" s="49" t="n">
        <f aca="false">IF(K72&gt;0,L72*1000000/K72,0)</f>
        <v>240.63</v>
      </c>
      <c r="O72" s="67" t="n">
        <f aca="false">IF(AND(M72&gt;0,N71&gt;0,B72&gt;0),MIN(conv_cap,conv_beta*1*M72*MAX(0,LN(B72/(N71*P71)))),0)</f>
        <v>0.00774580287761523</v>
      </c>
      <c r="P72" s="68" t="n">
        <f aca="false">P71*(1+O72)</f>
        <v>1.09002424712006</v>
      </c>
      <c r="Q72" s="49" t="n">
        <f aca="false">L72*P72</f>
        <v>2171.78218635966</v>
      </c>
      <c r="R72" s="70" t="n">
        <f aca="false">IF(K72&gt;0,Q72*1000000/K72/Economy!Q72,0)</f>
        <v>0.672544960473078</v>
      </c>
      <c r="S72" s="65" t="n">
        <f aca="false">People!U72</f>
        <v>9372853</v>
      </c>
      <c r="T72" s="47" t="n">
        <v>413.747</v>
      </c>
      <c r="U72" s="71" t="n">
        <v>0.632</v>
      </c>
      <c r="V72" s="49" t="n">
        <f aca="false">IF(S72&gt;0,T72*1000000/S72,0)</f>
        <v>44.1431226970059</v>
      </c>
      <c r="W72" s="67" t="n">
        <f aca="false">IF(AND(U72&gt;0,V71&gt;0,B72&gt;0),MIN(conv_cap,conv_beta*1*U72*MAX(0,LN(B72/(V71*X71)))),0)</f>
        <v>0.0159415296361132</v>
      </c>
      <c r="X72" s="68" t="n">
        <f aca="false">X71*(1+W72)</f>
        <v>1.57321133237464</v>
      </c>
      <c r="Y72" s="49" t="n">
        <f aca="false">T72*X72</f>
        <v>650.911469136009</v>
      </c>
      <c r="Z72" s="70" t="n">
        <f aca="false">IF(S72&gt;0,Y72*1000000/S72/Economy!Q72,0)</f>
        <v>0.178067848393164</v>
      </c>
      <c r="AA72" s="47" t="n">
        <v>0</v>
      </c>
      <c r="AB72" s="47" t="n">
        <v>0</v>
      </c>
      <c r="AC72" s="71" t="n">
        <v>0</v>
      </c>
      <c r="AD72" s="49" t="n">
        <f aca="false">IF(AA72&gt;0,AB72*1000000/AA72,0)</f>
        <v>0</v>
      </c>
      <c r="AE72" s="67" t="n">
        <f aca="false">IF(AND(AC72&gt;0,AD71&gt;0,B72&gt;0),MIN(conv_cap,conv_beta*1*AC72*MAX(0,LN(B72/(AD71*AF71)))),0)</f>
        <v>0</v>
      </c>
      <c r="AF72" s="68" t="n">
        <f aca="false">AF71*(1+AE72)</f>
        <v>1</v>
      </c>
      <c r="AG72" s="49" t="n">
        <f aca="false">AB72*AF72</f>
        <v>0</v>
      </c>
      <c r="AH72" s="70" t="n">
        <f aca="false">IF(AA72&gt;0,AG72*1000000/AA72/Economy!Q72,0)</f>
        <v>0</v>
      </c>
      <c r="AI72" s="47" t="n">
        <v>427700000</v>
      </c>
      <c r="AJ72" s="47" t="n">
        <v>4923</v>
      </c>
      <c r="AK72" s="71" t="n">
        <v>0.25</v>
      </c>
      <c r="AL72" s="49" t="n">
        <f aca="false">IF(AI72&gt;0,AJ72*1000000/AI72,0)</f>
        <v>11.5104044891279</v>
      </c>
      <c r="AM72" s="67" t="n">
        <f aca="false">IF(AND(AK72&gt;0,AL71&gt;0,B72&gt;0),MIN(conv_cap,conv_beta*1*AK72*MAX(0,LN(B72/(AL71*AN71)))),0)</f>
        <v>0.0100904444837931</v>
      </c>
      <c r="AN72" s="68" t="n">
        <f aca="false">AN71*(1+AM72)</f>
        <v>1.31701991654472</v>
      </c>
      <c r="AO72" s="49" t="n">
        <f aca="false">AJ72*AN72</f>
        <v>6483.68904914965</v>
      </c>
      <c r="AP72" s="70" t="n">
        <f aca="false">IF(AI72&gt;0,AO72*1000000/AI72/Economy!Q72,0)</f>
        <v>0.038870338358121</v>
      </c>
      <c r="AQ72" s="47" t="n">
        <v>14770000</v>
      </c>
      <c r="AR72" s="47" t="n">
        <v>388</v>
      </c>
      <c r="AS72" s="71" t="n">
        <v>0.529</v>
      </c>
      <c r="AT72" s="49" t="n">
        <f aca="false">IF(AQ72&gt;0,AR72*1000000/AQ72,0)</f>
        <v>26.2694651320244</v>
      </c>
      <c r="AU72" s="67" t="n">
        <f aca="false">IF(AND(AS72&gt;0,AT71&gt;0,B72&gt;0),MIN(conv_cap,conv_beta*1*AS72*MAX(0,LN(B72/(AT71*AV71)))),0)</f>
        <v>0.0165059739795697</v>
      </c>
      <c r="AV72" s="68" t="n">
        <f aca="false">AV71*(1+AU72)</f>
        <v>1.45527669805627</v>
      </c>
      <c r="AW72" s="49" t="n">
        <f aca="false">AR72*AV72</f>
        <v>564.647358845833</v>
      </c>
      <c r="AX72" s="70" t="n">
        <f aca="false">IF(AQ72&gt;0,AW72*1000000/AQ72/Economy!Q72,0)</f>
        <v>0.0980239499411199</v>
      </c>
      <c r="AY72" s="47" t="n">
        <v>93800000</v>
      </c>
      <c r="AZ72" s="47" t="n">
        <v>2923</v>
      </c>
      <c r="BA72" s="71" t="n">
        <v>0.146</v>
      </c>
      <c r="BB72" s="49" t="n">
        <f aca="false">IF(AY72&gt;0,AZ72*1000000/AY72,0)</f>
        <v>31.1620469083156</v>
      </c>
      <c r="BC72" s="67" t="n">
        <f aca="false">IF(AND(BA72&gt;0,BB71&gt;0,B72&gt;0),MIN(conv_cap,conv_beta*1*BA72*MAX(0,LN(B72/(BB71*BD71)))),0)</f>
        <v>0.00470738803341031</v>
      </c>
      <c r="BD72" s="68" t="n">
        <f aca="false">BD71*(1+BC72)</f>
        <v>1.09477090193663</v>
      </c>
      <c r="BE72" s="49" t="n">
        <f aca="false">AZ72*BD72</f>
        <v>3200.01534636077</v>
      </c>
      <c r="BF72" s="70" t="n">
        <f aca="false">IF(AY72&gt;0,BE72*1000000/AY72/Economy!Q72,0)</f>
        <v>0.0874751338461749</v>
      </c>
      <c r="BG72" s="47" t="n">
        <v>36500000</v>
      </c>
      <c r="BH72" s="47" t="n">
        <v>3585</v>
      </c>
      <c r="BI72" s="71" t="n">
        <v>0.292</v>
      </c>
      <c r="BJ72" s="49" t="n">
        <f aca="false">IF(BG72&gt;0,BH72*1000000/BG72,0)</f>
        <v>98.2191780821918</v>
      </c>
      <c r="BK72" s="67" t="n">
        <f aca="false">IF(AND(BI72&gt;0,BJ71&gt;0,B72&gt;0),MIN(conv_cap,conv_beta*1*BI72*MAX(0,LN(B72/(BJ71*BL71)))),0)</f>
        <v>0.00599073242364687</v>
      </c>
      <c r="BL72" s="68" t="n">
        <f aca="false">BL71*(1+BK72)</f>
        <v>1.12508239888223</v>
      </c>
      <c r="BM72" s="49" t="n">
        <f aca="false">BH72*BL72</f>
        <v>4033.42039999278</v>
      </c>
      <c r="BN72" s="70" t="n">
        <f aca="false">IF(BG72&gt;0,BM72*1000000/BG72/Economy!Q72,0)</f>
        <v>0.283345303828084</v>
      </c>
      <c r="BO72" s="47" t="n">
        <v>15800000</v>
      </c>
      <c r="BP72" s="47" t="n">
        <v>1077</v>
      </c>
      <c r="BQ72" s="71" t="n">
        <v>0.094</v>
      </c>
      <c r="BR72" s="49" t="n">
        <f aca="false">IF(BO72&gt;0,BP72*1000000/BO72,0)</f>
        <v>68.1645569620253</v>
      </c>
      <c r="BS72" s="67" t="n">
        <f aca="false">IF(AND(BQ72&gt;0,BR71&gt;0,B72&gt;0),MIN(conv_cap,conv_beta*1*BQ72*MAX(0,LN(B72/(BR71*BT71)))),0)</f>
        <v>0.00236521601521975</v>
      </c>
      <c r="BT72" s="68" t="n">
        <f aca="false">BT71*(1+BS72)</f>
        <v>1.01397334507125</v>
      </c>
      <c r="BU72" s="49" t="n">
        <f aca="false">BP72*BT72</f>
        <v>1092.04929264173</v>
      </c>
      <c r="BV72" s="70" t="n">
        <f aca="false">IF(BO72&gt;0,BU72*1000000/BO72/Economy!Q72,0)</f>
        <v>0.177223189328421</v>
      </c>
      <c r="BW72" s="68" t="n">
        <f aca="false">0.25*IF(D72&gt;0,H72,1)+0.15*IF(AJ72&gt;0,AN72,1)+0.03*IF(AR72&gt;0,AV72,1)+0.08*IF(AZ72&gt;0,BD72,1)+0.12*IF(BH72&gt;0,BL72,1)+0.1*IF(L72&gt;0,P72,1)+0.07*IF(T72&gt;0,X72,1)+0.05*IF(AB72&gt;0,AF72,1)+0.05*IF(BP72&gt;0,BT72,1)+0.1</f>
        <v>1.36662170375252</v>
      </c>
      <c r="BX72" s="66" t="n">
        <f aca="false">MIN(mkt_cap,mkt_elast*MAX(0,BW72-1))</f>
        <v>0.183310851876258</v>
      </c>
      <c r="BY72" s="49" t="n">
        <f aca="false">I72+Q72+Y72+AG72</f>
        <v>7304.86841780587</v>
      </c>
      <c r="BZ72" s="49" t="n">
        <f aca="false">D72+L72+T72+AB72</f>
        <v>4726.1634</v>
      </c>
      <c r="CA72" s="68" t="n">
        <f aca="false">IF(BZ72&gt;0,BY72/BZ72,0)</f>
        <v>1.54562333113702</v>
      </c>
    </row>
    <row r="73" customFormat="false" ht="14.25" hidden="false" customHeight="true" outlineLevel="0" collapsed="false">
      <c r="A73" s="61" t="n">
        <v>1913</v>
      </c>
      <c r="B73" s="49" t="n">
        <f aca="false">Economy!P72</f>
        <v>876.423211720475</v>
      </c>
      <c r="C73" s="47" t="n">
        <v>51300000</v>
      </c>
      <c r="D73" s="65" t="n">
        <f aca="false">Japan!B73</f>
        <v>2500</v>
      </c>
      <c r="E73" s="71" t="n">
        <v>0.794</v>
      </c>
      <c r="F73" s="49" t="n">
        <f aca="false">IF(C73&gt;0,D73*1000000/C73,0)</f>
        <v>48.7329434697856</v>
      </c>
      <c r="G73" s="67" t="n">
        <f aca="false">IF(AND(E73&gt;0,F72&gt;0,B73&gt;0),MIN(conv_cap,conv_beta*jp_uplift*E73*MAX(0,LN(B73/(F72*H72)))),0)</f>
        <v>0.0182199180095914</v>
      </c>
      <c r="H73" s="68" t="n">
        <f aca="false">H72*(1+G73)</f>
        <v>1.96717224956213</v>
      </c>
      <c r="I73" s="49" t="n">
        <f aca="false">D73*H73</f>
        <v>4917.93062390534</v>
      </c>
      <c r="J73" s="70" t="n">
        <f aca="false">IF(C73&gt;0,I73*1000000/C73/Economy!Q73,0)</f>
        <v>0.237881126633356</v>
      </c>
      <c r="K73" s="65" t="n">
        <f aca="false">Gulf!B73</f>
        <v>8420000</v>
      </c>
      <c r="L73" s="49" t="n">
        <f aca="false">Gulf!B73*Gulf!C73*Economy!Q73/1000000</f>
        <v>2103.8212</v>
      </c>
      <c r="M73" s="71" t="n">
        <v>0.65</v>
      </c>
      <c r="N73" s="49" t="n">
        <f aca="false">IF(K73&gt;0,L73*1000000/K73,0)</f>
        <v>249.86</v>
      </c>
      <c r="O73" s="67" t="n">
        <f aca="false">IF(AND(M73&gt;0,N72&gt;0,B73&gt;0),MIN(conv_cap,conv_beta*1*M73*MAX(0,LN(B73/(N72*P72)))),0)</f>
        <v>0.0078415263392036</v>
      </c>
      <c r="P73" s="68" t="n">
        <f aca="false">P72*(1+O73)</f>
        <v>1.09857170096422</v>
      </c>
      <c r="Q73" s="49" t="n">
        <f aca="false">L73*P73</f>
        <v>2311.1984342086</v>
      </c>
      <c r="R73" s="70" t="n">
        <f aca="false">IF(K73&gt;0,Q73*1000000/K73/Economy!Q73,0)</f>
        <v>0.681114454597819</v>
      </c>
      <c r="S73" s="65" t="n">
        <f aca="false">People!U73</f>
        <v>9555604</v>
      </c>
      <c r="T73" s="47" t="n">
        <v>426.953</v>
      </c>
      <c r="U73" s="71" t="n">
        <v>0.64</v>
      </c>
      <c r="V73" s="49" t="n">
        <f aca="false">IF(S73&gt;0,T73*1000000/S73,0)</f>
        <v>44.6809013851976</v>
      </c>
      <c r="W73" s="67" t="n">
        <f aca="false">IF(AND(U73&gt;0,V72&gt;0,B73&gt;0),MIN(conv_cap,conv_beta*1*U73*MAX(0,LN(B73/(V72*X72)))),0)</f>
        <v>0.016225875098368</v>
      </c>
      <c r="X73" s="68" t="n">
        <f aca="false">X72*(1+W73)</f>
        <v>1.59873806295708</v>
      </c>
      <c r="Y73" s="49" t="n">
        <f aca="false">T73*X73</f>
        <v>682.586012193716</v>
      </c>
      <c r="Z73" s="70" t="n">
        <f aca="false">IF(S73&gt;0,Y73*1000000/S73/Economy!Q73,0)</f>
        <v>0.177253244991929</v>
      </c>
      <c r="AA73" s="47" t="n">
        <v>0</v>
      </c>
      <c r="AB73" s="47" t="n">
        <v>0</v>
      </c>
      <c r="AC73" s="71" t="n">
        <v>0</v>
      </c>
      <c r="AD73" s="49" t="n">
        <f aca="false">IF(AA73&gt;0,AB73*1000000/AA73,0)</f>
        <v>0</v>
      </c>
      <c r="AE73" s="67" t="n">
        <f aca="false">IF(AND(AC73&gt;0,AD72&gt;0,B73&gt;0),MIN(conv_cap,conv_beta*1*AC73*MAX(0,LN(B73/(AD72*AF72)))),0)</f>
        <v>0</v>
      </c>
      <c r="AF73" s="68" t="n">
        <f aca="false">AF72*(1+AE73)</f>
        <v>1</v>
      </c>
      <c r="AG73" s="49" t="n">
        <f aca="false">AB73*AF73</f>
        <v>0</v>
      </c>
      <c r="AH73" s="70" t="n">
        <f aca="false">IF(AA73&gt;0,AG73*1000000/AA73/Economy!Q73,0)</f>
        <v>0</v>
      </c>
      <c r="AI73" s="47" t="n">
        <v>430000000</v>
      </c>
      <c r="AJ73" s="47" t="n">
        <v>5000</v>
      </c>
      <c r="AK73" s="71" t="n">
        <v>0.255</v>
      </c>
      <c r="AL73" s="49" t="n">
        <f aca="false">IF(AI73&gt;0,AJ73*1000000/AI73,0)</f>
        <v>11.6279069767442</v>
      </c>
      <c r="AM73" s="67" t="n">
        <f aca="false">IF(AND(AK73&gt;0,AL72&gt;0,B73&gt;0),MIN(conv_cap,conv_beta*1*AK73*MAX(0,LN(B73/(AL72*AN72)))),0)</f>
        <v>0.0103459267662455</v>
      </c>
      <c r="AN73" s="68" t="n">
        <f aca="false">AN72*(1+AM73)</f>
        <v>1.33064570815098</v>
      </c>
      <c r="AO73" s="49" t="n">
        <f aca="false">AJ73*AN73</f>
        <v>6653.22854075489</v>
      </c>
      <c r="AP73" s="70" t="n">
        <f aca="false">IF(AI73&gt;0,AO73*1000000/AI73/Economy!Q73,0)</f>
        <v>0.038393609214351</v>
      </c>
      <c r="AQ73" s="47" t="n">
        <v>15000000</v>
      </c>
      <c r="AR73" s="47" t="n">
        <v>400</v>
      </c>
      <c r="AS73" s="71" t="n">
        <v>0.533</v>
      </c>
      <c r="AT73" s="49" t="n">
        <f aca="false">IF(AQ73&gt;0,AR73*1000000/AQ73,0)</f>
        <v>26.6666666666667</v>
      </c>
      <c r="AU73" s="67" t="n">
        <f aca="false">IF(AND(AS73&gt;0,AT72&gt;0,B73&gt;0),MIN(conv_cap,conv_beta*1*AS73*MAX(0,LN(B73/(AT72*AV72)))),0)</f>
        <v>0.0166948700956963</v>
      </c>
      <c r="AV73" s="68" t="n">
        <f aca="false">AV72*(1+AU73)</f>
        <v>1.47957235348361</v>
      </c>
      <c r="AW73" s="49" t="n">
        <f aca="false">AR73*AV73</f>
        <v>591.828941393446</v>
      </c>
      <c r="AX73" s="70" t="n">
        <f aca="false">IF(AQ73&gt;0,AW73*1000000/AQ73/Economy!Q73,0)</f>
        <v>0.0979038778152929</v>
      </c>
      <c r="AY73" s="47" t="n">
        <v>95000000</v>
      </c>
      <c r="AZ73" s="47" t="n">
        <v>3000</v>
      </c>
      <c r="BA73" s="71" t="n">
        <v>0.15</v>
      </c>
      <c r="BB73" s="49" t="n">
        <f aca="false">IF(AY73&gt;0,AZ73*1000000/AY73,0)</f>
        <v>31.5789473684211</v>
      </c>
      <c r="BC73" s="67" t="n">
        <f aca="false">IF(AND(BA73&gt;0,BB72&gt;0,B73&gt;0),MIN(conv_cap,conv_beta*1*BA73*MAX(0,LN(B73/(BB72*BD72)))),0)</f>
        <v>0.00486915459625914</v>
      </c>
      <c r="BD73" s="68" t="n">
        <f aca="false">BD72*(1+BC73)</f>
        <v>1.10010151070565</v>
      </c>
      <c r="BE73" s="49" t="n">
        <f aca="false">AZ73*BD73</f>
        <v>3300.30453211694</v>
      </c>
      <c r="BF73" s="70" t="n">
        <f aca="false">IF(AY73&gt;0,BE73*1000000/AY73/Economy!Q73,0)</f>
        <v>0.0862035923238066</v>
      </c>
      <c r="BG73" s="47" t="n">
        <v>37000000</v>
      </c>
      <c r="BH73" s="47" t="n">
        <v>3700</v>
      </c>
      <c r="BI73" s="71" t="n">
        <v>0.3</v>
      </c>
      <c r="BJ73" s="49" t="n">
        <f aca="false">IF(BG73&gt;0,BH73*1000000/BG73,0)</f>
        <v>100</v>
      </c>
      <c r="BK73" s="67" t="n">
        <f aca="false">IF(AND(BI73&gt;0,BJ72&gt;0,B73&gt;0),MIN(conv_cap,conv_beta*1*BI73*MAX(0,LN(B73/(BJ72*BL72)))),0)</f>
        <v>0.00621237397141285</v>
      </c>
      <c r="BL73" s="68" t="n">
        <f aca="false">BL72*(1+BK73)</f>
        <v>1.13207183149274</v>
      </c>
      <c r="BM73" s="49" t="n">
        <f aca="false">BH73*BL73</f>
        <v>4188.66577652312</v>
      </c>
      <c r="BN73" s="70" t="n">
        <f aca="false">IF(BG73&gt;0,BM73*1000000/BG73/Economy!Q73,0)</f>
        <v>0.280911124439885</v>
      </c>
      <c r="BO73" s="47" t="n">
        <v>16000000</v>
      </c>
      <c r="BP73" s="47" t="n">
        <v>1100</v>
      </c>
      <c r="BQ73" s="71" t="n">
        <v>0.1</v>
      </c>
      <c r="BR73" s="49" t="n">
        <f aca="false">IF(BO73&gt;0,BP73*1000000/BO73,0)</f>
        <v>68.75</v>
      </c>
      <c r="BS73" s="67" t="n">
        <f aca="false">IF(AND(BQ73&gt;0,BR72&gt;0,B73&gt;0),MIN(conv_cap,conv_beta*1*BQ73*MAX(0,LN(B73/(BR72*BT72)))),0)</f>
        <v>0.00254004773763967</v>
      </c>
      <c r="BT73" s="68" t="n">
        <f aca="false">BT72*(1+BS73)</f>
        <v>1.01654888577242</v>
      </c>
      <c r="BU73" s="49" t="n">
        <f aca="false">BP73*BT73</f>
        <v>1118.20377434966</v>
      </c>
      <c r="BV73" s="70" t="n">
        <f aca="false">IF(BO73&gt;0,BU73*1000000/BO73/Economy!Q73,0)</f>
        <v>0.173418699495915</v>
      </c>
      <c r="BW73" s="68" t="n">
        <f aca="false">0.25*IF(D73&gt;0,H73,1)+0.15*IF(AJ73&gt;0,AN73,1)+0.03*IF(AR73&gt;0,AV73,1)+0.08*IF(AZ73&gt;0,BD73,1)+0.12*IF(BH73&gt;0,BL73,1)+0.1*IF(L73&gt;0,P73,1)+0.07*IF(T73&gt;0,X73,1)+0.05*IF(AB73&gt;0,AF73,1)+0.05*IF(BP73&gt;0,BT73,1)+0.1</f>
        <v>1.38223010864531</v>
      </c>
      <c r="BX73" s="66" t="n">
        <f aca="false">MIN(mkt_cap,mkt_elast*MAX(0,BW73-1))</f>
        <v>0.191115054322654</v>
      </c>
      <c r="BY73" s="49" t="n">
        <f aca="false">I73+Q73+Y73+AG73</f>
        <v>7911.71507030765</v>
      </c>
      <c r="BZ73" s="49" t="n">
        <f aca="false">D73+L73+T73+AB73</f>
        <v>5030.7742</v>
      </c>
      <c r="CA73" s="68" t="n">
        <f aca="false">IF(BZ73&gt;0,BY73/BZ73,0)</f>
        <v>1.57266352171156</v>
      </c>
    </row>
    <row r="74" customFormat="false" ht="14.25" hidden="false" customHeight="true" outlineLevel="0" collapsed="false">
      <c r="A74" s="64" t="n">
        <v>1914</v>
      </c>
      <c r="B74" s="49" t="n">
        <f aca="false">Economy!P73</f>
        <v>912.553270207963</v>
      </c>
      <c r="C74" s="47" t="n">
        <v>51970000</v>
      </c>
      <c r="D74" s="65" t="n">
        <f aca="false">Japan!B74</f>
        <v>2495</v>
      </c>
      <c r="E74" s="71" t="n">
        <v>0.8</v>
      </c>
      <c r="F74" s="49" t="n">
        <f aca="false">IF(C74&gt;0,D74*1000000/C74,0)</f>
        <v>48.0084664229363</v>
      </c>
      <c r="G74" s="67" t="n">
        <f aca="false">IF(AND(E74&gt;0,F73&gt;0,B74&gt;0),MIN(conv_cap,conv_beta*jp_uplift*E74*MAX(0,LN(B74/(F73*H73)))),0)</f>
        <v>0.018026352785036</v>
      </c>
      <c r="H74" s="68" t="n">
        <f aca="false">H73*(1+G74)</f>
        <v>2.00263319052167</v>
      </c>
      <c r="I74" s="49" t="n">
        <f aca="false">D74*H74</f>
        <v>4996.56981035158</v>
      </c>
      <c r="J74" s="70" t="n">
        <f aca="false">IF(C74&gt;0,I74*1000000/C74/Economy!Q74,0)</f>
        <v>0.25300881127531</v>
      </c>
      <c r="K74" s="65" t="n">
        <f aca="false">Gulf!B74</f>
        <v>8560000</v>
      </c>
      <c r="L74" s="49" t="n">
        <f aca="false">Gulf!B74*Gulf!C74*Economy!Q74/1000000</f>
        <v>2046.0112</v>
      </c>
      <c r="M74" s="71" t="n">
        <v>0.664</v>
      </c>
      <c r="N74" s="49" t="n">
        <f aca="false">IF(K74&gt;0,L74*1000000/K74,0)</f>
        <v>239.02</v>
      </c>
      <c r="O74" s="67" t="n">
        <f aca="false">IF(AND(M74&gt;0,N73&gt;0,B74&gt;0),MIN(conv_cap,conv_beta*1*M74*MAX(0,LN(B74/(N73*P73)))),0)</f>
        <v>0.00797686319580329</v>
      </c>
      <c r="P74" s="68" t="n">
        <f aca="false">P73*(1+O74)</f>
        <v>1.1073348571336</v>
      </c>
      <c r="Q74" s="49" t="n">
        <f aca="false">L74*P74</f>
        <v>2265.61951984574</v>
      </c>
      <c r="R74" s="70" t="n">
        <f aca="false">IF(K74&gt;0,Q74*1000000/K74/Economy!Q74,0)</f>
        <v>0.696513625137032</v>
      </c>
      <c r="S74" s="65" t="n">
        <f aca="false">People!U74</f>
        <v>9738405</v>
      </c>
      <c r="T74" s="47" t="n">
        <v>497.086</v>
      </c>
      <c r="U74" s="71" t="n">
        <v>0.654</v>
      </c>
      <c r="V74" s="49" t="n">
        <f aca="false">IF(S74&gt;0,T74*1000000/S74,0)</f>
        <v>51.0438824427614</v>
      </c>
      <c r="W74" s="67" t="n">
        <f aca="false">IF(AND(U74&gt;0,V73&gt;0,B74&gt;0),MIN(conv_cap,conv_beta*1*U74*MAX(0,LN(B74/(V73*X73)))),0)</f>
        <v>0.0166605565200117</v>
      </c>
      <c r="X74" s="68" t="n">
        <f aca="false">X73*(1+W74)</f>
        <v>1.62537392881568</v>
      </c>
      <c r="Y74" s="49" t="n">
        <f aca="false">T74*X74</f>
        <v>807.950624779269</v>
      </c>
      <c r="Z74" s="70" t="n">
        <f aca="false">IF(S74&gt;0,Y74*1000000/S74/Economy!Q74,0)</f>
        <v>0.218329988810517</v>
      </c>
      <c r="AA74" s="47" t="n">
        <v>0</v>
      </c>
      <c r="AB74" s="47" t="n">
        <v>0</v>
      </c>
      <c r="AC74" s="71" t="n">
        <v>0</v>
      </c>
      <c r="AD74" s="49" t="n">
        <f aca="false">IF(AA74&gt;0,AB74*1000000/AA74,0)</f>
        <v>0</v>
      </c>
      <c r="AE74" s="67" t="n">
        <f aca="false">IF(AND(AC74&gt;0,AD73&gt;0,B74&gt;0),MIN(conv_cap,conv_beta*1*AC74*MAX(0,LN(B74/(AD73*AF73)))),0)</f>
        <v>0</v>
      </c>
      <c r="AF74" s="68" t="n">
        <f aca="false">AF73*(1+AE74)</f>
        <v>1</v>
      </c>
      <c r="AG74" s="49" t="n">
        <f aca="false">AB74*AF74</f>
        <v>0</v>
      </c>
      <c r="AH74" s="70" t="n">
        <f aca="false">IF(AA74&gt;0,AG74*1000000/AA74/Economy!Q74,0)</f>
        <v>0</v>
      </c>
      <c r="AI74" s="47" t="n">
        <v>433800000</v>
      </c>
      <c r="AJ74" s="47" t="n">
        <v>5188</v>
      </c>
      <c r="AK74" s="71" t="n">
        <v>0.26</v>
      </c>
      <c r="AL74" s="49" t="n">
        <f aca="false">IF(AI74&gt;0,AJ74*1000000/AI74,0)</f>
        <v>11.959428307976</v>
      </c>
      <c r="AM74" s="67" t="n">
        <f aca="false">IF(AND(AK74&gt;0,AL73&gt;0,B74&gt;0),MIN(conv_cap,conv_beta*1*AK74*MAX(0,LN(B74/(AL73*AN73)))),0)</f>
        <v>0.0106006528161681</v>
      </c>
      <c r="AN74" s="68" t="n">
        <f aca="false">AN73*(1+AM74)</f>
        <v>1.34475142132441</v>
      </c>
      <c r="AO74" s="49" t="n">
        <f aca="false">AJ74*AN74</f>
        <v>6976.57037383104</v>
      </c>
      <c r="AP74" s="70" t="n">
        <f aca="false">IF(AI74&gt;0,AO74*1000000/AI74/Economy!Q74,0)</f>
        <v>0.0423222584615214</v>
      </c>
      <c r="AQ74" s="47" t="n">
        <v>15310000</v>
      </c>
      <c r="AR74" s="47" t="n">
        <v>438</v>
      </c>
      <c r="AS74" s="71" t="n">
        <v>0.537</v>
      </c>
      <c r="AT74" s="49" t="n">
        <f aca="false">IF(AQ74&gt;0,AR74*1000000/AQ74,0)</f>
        <v>28.6087524493795</v>
      </c>
      <c r="AU74" s="67" t="n">
        <f aca="false">IF(AND(AS74&gt;0,AT73&gt;0,B74&gt;0),MIN(conv_cap,conv_beta*1*AS74*MAX(0,LN(B74/(AT73*AV73)))),0)</f>
        <v>0.0168675943394626</v>
      </c>
      <c r="AV74" s="68" t="n">
        <f aca="false">AV73*(1+AU74)</f>
        <v>1.50452917973806</v>
      </c>
      <c r="AW74" s="49" t="n">
        <f aca="false">AR74*AV74</f>
        <v>658.98378072527</v>
      </c>
      <c r="AX74" s="70" t="n">
        <f aca="false">IF(AQ74&gt;0,AW74*1000000/AQ74/Economy!Q74,0)</f>
        <v>0.113270270673669</v>
      </c>
      <c r="AY74" s="47" t="n">
        <v>96900000</v>
      </c>
      <c r="AZ74" s="47" t="n">
        <v>3214</v>
      </c>
      <c r="BA74" s="71" t="n">
        <v>0.156</v>
      </c>
      <c r="BB74" s="49" t="n">
        <f aca="false">IF(AY74&gt;0,AZ74*1000000/AY74,0)</f>
        <v>33.1682146542828</v>
      </c>
      <c r="BC74" s="67" t="n">
        <f aca="false">IF(AND(BA74&gt;0,BB73&gt;0,B74&gt;0),MIN(conv_cap,conv_beta*1*BA74*MAX(0,LN(B74/(BB73*BD73)))),0)</f>
        <v>0.00509863119169069</v>
      </c>
      <c r="BD74" s="68" t="n">
        <f aca="false">BD73*(1+BC74)</f>
        <v>1.10571052258216</v>
      </c>
      <c r="BE74" s="49" t="n">
        <f aca="false">AZ74*BD74</f>
        <v>3553.75361957905</v>
      </c>
      <c r="BF74" s="70" t="n">
        <f aca="false">IF(AY74&gt;0,BE74*1000000/AY74/Economy!Q74,0)</f>
        <v>0.0965116946276424</v>
      </c>
      <c r="BG74" s="47" t="n">
        <v>37600000</v>
      </c>
      <c r="BH74" s="47" t="n">
        <v>3886</v>
      </c>
      <c r="BI74" s="71" t="n">
        <v>0.306</v>
      </c>
      <c r="BJ74" s="49" t="n">
        <f aca="false">IF(BG74&gt;0,BH74*1000000/BG74,0)</f>
        <v>103.351063829787</v>
      </c>
      <c r="BK74" s="67" t="n">
        <f aca="false">IF(AND(BI74&gt;0,BJ73&gt;0,B74&gt;0),MIN(conv_cap,conv_beta*1*BI74*MAX(0,LN(B74/(BJ73*BL73)))),0)</f>
        <v>0.00638630213934941</v>
      </c>
      <c r="BL74" s="68" t="n">
        <f aca="false">BL73*(1+BK74)</f>
        <v>1.1393015842521</v>
      </c>
      <c r="BM74" s="49" t="n">
        <f aca="false">BH74*BL74</f>
        <v>4427.32595640364</v>
      </c>
      <c r="BN74" s="70" t="n">
        <f aca="false">IF(BG74&gt;0,BM74*1000000/BG74/Economy!Q74,0)</f>
        <v>0.309863238830042</v>
      </c>
      <c r="BO74" s="47" t="n">
        <v>16200000</v>
      </c>
      <c r="BP74" s="47" t="n">
        <v>1144</v>
      </c>
      <c r="BQ74" s="71" t="n">
        <v>0.106</v>
      </c>
      <c r="BR74" s="49" t="n">
        <f aca="false">IF(BO74&gt;0,BP74*1000000/BO74,0)</f>
        <v>70.6172839506173</v>
      </c>
      <c r="BS74" s="67" t="n">
        <f aca="false">IF(AND(BQ74&gt;0,BR73&gt;0,B74&gt;0),MIN(conv_cap,conv_beta*1*BQ74*MAX(0,LN(B74/(BR73*BT73)))),0)</f>
        <v>0.00272351765715611</v>
      </c>
      <c r="BT74" s="68" t="n">
        <f aca="false">BT73*(1+BS74)</f>
        <v>1.01931747461218</v>
      </c>
      <c r="BU74" s="49" t="n">
        <f aca="false">BP74*BT74</f>
        <v>1166.09919095634</v>
      </c>
      <c r="BV74" s="70" t="n">
        <f aca="false">IF(BO74&gt;0,BU74*1000000/BO74/Economy!Q74,0)</f>
        <v>0.18942481984346</v>
      </c>
      <c r="BW74" s="68" t="n">
        <f aca="false">0.25*IF(D74&gt;0,H74,1)+0.15*IF(AJ74&gt;0,AN74,1)+0.03*IF(AR74&gt;0,AV74,1)+0.08*IF(AZ74&gt;0,BD74,1)+0.12*IF(BH74&gt;0,BL74,1)+0.1*IF(L74&gt;0,P74,1)+0.07*IF(T74&gt;0,X74,1)+0.05*IF(AB74&gt;0,AF74,1)+0.05*IF(BP74&gt;0,BT74,1)+0.1</f>
        <v>1.39815545259911</v>
      </c>
      <c r="BX74" s="66" t="n">
        <f aca="false">MIN(mkt_cap,mkt_elast*MAX(0,BW74-1))</f>
        <v>0.199077726299556</v>
      </c>
      <c r="BY74" s="49" t="n">
        <f aca="false">I74+Q74+Y74+AG74</f>
        <v>8070.13995497659</v>
      </c>
      <c r="BZ74" s="49" t="n">
        <f aca="false">D74+L74+T74+AB74</f>
        <v>5038.0972</v>
      </c>
      <c r="CA74" s="68" t="n">
        <f aca="false">IF(BZ74&gt;0,BY74/BZ74,0)</f>
        <v>1.60182299678073</v>
      </c>
    </row>
    <row r="75" customFormat="false" ht="14.25" hidden="false" customHeight="true" outlineLevel="0" collapsed="false">
      <c r="A75" s="64" t="n">
        <v>1915</v>
      </c>
      <c r="B75" s="49" t="n">
        <f aca="false">Economy!P74</f>
        <v>912.43729793979</v>
      </c>
      <c r="C75" s="47" t="n">
        <v>52640000</v>
      </c>
      <c r="D75" s="65" t="n">
        <f aca="false">Japan!B75</f>
        <v>2490</v>
      </c>
      <c r="E75" s="71" t="n">
        <v>0.81</v>
      </c>
      <c r="F75" s="49" t="n">
        <f aca="false">IF(C75&gt;0,D75*1000000/C75,0)</f>
        <v>47.3024316109423</v>
      </c>
      <c r="G75" s="67" t="n">
        <f aca="false">IF(AND(E75&gt;0,F74&gt;0,B75&gt;0),MIN(conv_cap,conv_beta*jp_uplift*E75*MAX(0,LN(B75/(F74*H74)))),0)</f>
        <v>0.0182272605437448</v>
      </c>
      <c r="H75" s="68" t="n">
        <f aca="false">H74*(1+G75)</f>
        <v>2.03913570745886</v>
      </c>
      <c r="I75" s="49" t="n">
        <f aca="false">D75*H75</f>
        <v>5077.44791157257</v>
      </c>
      <c r="J75" s="70" t="n">
        <f aca="false">IF(C75&gt;0,I75*1000000/C75/Economy!Q75,0)</f>
        <v>0.224316458947682</v>
      </c>
      <c r="K75" s="65" t="n">
        <f aca="false">Gulf!B75</f>
        <v>8700000</v>
      </c>
      <c r="L75" s="49" t="n">
        <f aca="false">Gulf!B75*Gulf!C75*Economy!Q75/1000000</f>
        <v>2383.017</v>
      </c>
      <c r="M75" s="71" t="n">
        <v>0.679</v>
      </c>
      <c r="N75" s="49" t="n">
        <f aca="false">IF(K75&gt;0,L75*1000000/K75,0)</f>
        <v>273.91</v>
      </c>
      <c r="O75" s="67" t="n">
        <f aca="false">IF(AND(M75&gt;0,N74&gt;0,B75&gt;0),MIN(conv_cap,conv_beta*1*M75*MAX(0,LN(B75/(N74*P74)))),0)</f>
        <v>0.00840341290786146</v>
      </c>
      <c r="P75" s="68" t="n">
        <f aca="false">P74*(1+O75)</f>
        <v>1.11664024916536</v>
      </c>
      <c r="Q75" s="49" t="n">
        <f aca="false">L75*P75</f>
        <v>2660.97269664528</v>
      </c>
      <c r="R75" s="70" t="n">
        <f aca="false">IF(K75&gt;0,Q75*1000000/K75/Economy!Q75,0)</f>
        <v>0.711299838718333</v>
      </c>
      <c r="S75" s="65" t="n">
        <f aca="false">People!U75</f>
        <v>9921256</v>
      </c>
      <c r="T75" s="47" t="n">
        <v>566.203</v>
      </c>
      <c r="U75" s="71" t="n">
        <v>0.699</v>
      </c>
      <c r="V75" s="49" t="n">
        <f aca="false">IF(S75&gt;0,T75*1000000/S75,0)</f>
        <v>57.0696895634988</v>
      </c>
      <c r="W75" s="67" t="n">
        <f aca="false">IF(AND(U75&gt;0,V74&gt;0,B75&gt;0),MIN(conv_cap,conv_beta*1*U75*MAX(0,LN(B75/(V74*X74)))),0)</f>
        <v>0.0167598934067597</v>
      </c>
      <c r="X75" s="68" t="n">
        <f aca="false">X74*(1+W75)</f>
        <v>1.65261502260875</v>
      </c>
      <c r="Y75" s="49" t="n">
        <f aca="false">T75*X75</f>
        <v>935.715583646143</v>
      </c>
      <c r="Z75" s="70" t="n">
        <f aca="false">IF(S75&gt;0,Y75*1000000/S75/Economy!Q75,0)</f>
        <v>0.2193354100192</v>
      </c>
      <c r="AA75" s="47" t="n">
        <v>0</v>
      </c>
      <c r="AB75" s="47" t="n">
        <v>0</v>
      </c>
      <c r="AC75" s="71" t="n">
        <v>0</v>
      </c>
      <c r="AD75" s="49" t="n">
        <f aca="false">IF(AA75&gt;0,AB75*1000000/AA75,0)</f>
        <v>0</v>
      </c>
      <c r="AE75" s="67" t="n">
        <f aca="false">IF(AND(AC75&gt;0,AD74&gt;0,B75&gt;0),MIN(conv_cap,conv_beta*1*AC75*MAX(0,LN(B75/(AD74*AF74)))),0)</f>
        <v>0</v>
      </c>
      <c r="AF75" s="68" t="n">
        <f aca="false">AF74*(1+AE75)</f>
        <v>1</v>
      </c>
      <c r="AG75" s="49" t="n">
        <f aca="false">AB75*AF75</f>
        <v>0</v>
      </c>
      <c r="AH75" s="70" t="n">
        <f aca="false">IF(AA75&gt;0,AG75*1000000/AA75/Economy!Q75,0)</f>
        <v>0</v>
      </c>
      <c r="AI75" s="47" t="n">
        <v>437500000</v>
      </c>
      <c r="AJ75" s="47" t="n">
        <v>5375</v>
      </c>
      <c r="AK75" s="71" t="n">
        <v>0.265</v>
      </c>
      <c r="AL75" s="49" t="n">
        <f aca="false">IF(AI75&gt;0,AJ75*1000000/AI75,0)</f>
        <v>12.2857142857143</v>
      </c>
      <c r="AM75" s="67" t="n">
        <f aca="false">IF(AND(AK75&gt;0,AL74&gt;0,B75&gt;0),MIN(conv_cap,conv_beta*1*AK75*MAX(0,LN(B75/(AL74*AN74)))),0)</f>
        <v>0.010701734142232</v>
      </c>
      <c r="AN75" s="68" t="n">
        <f aca="false">AN74*(1+AM75)</f>
        <v>1.35914259352281</v>
      </c>
      <c r="AO75" s="49" t="n">
        <f aca="false">AJ75*AN75</f>
        <v>7305.39144018512</v>
      </c>
      <c r="AP75" s="70" t="n">
        <f aca="false">IF(AI75&gt;0,AO75*1000000/AI75/Economy!Q75,0)</f>
        <v>0.0388326455292232</v>
      </c>
      <c r="AQ75" s="47" t="n">
        <v>15620000</v>
      </c>
      <c r="AR75" s="47" t="n">
        <v>475</v>
      </c>
      <c r="AS75" s="71" t="n">
        <v>0.542</v>
      </c>
      <c r="AT75" s="49" t="n">
        <f aca="false">IF(AQ75&gt;0,AR75*1000000/AQ75,0)</f>
        <v>30.4097311139565</v>
      </c>
      <c r="AU75" s="67" t="n">
        <f aca="false">IF(AND(AS75&gt;0,AT74&gt;0,B75&gt;0),MIN(conv_cap,conv_beta*1*AS75*MAX(0,LN(B75/(AT74*AV74)))),0)</f>
        <v>0.0165522824751332</v>
      </c>
      <c r="AV75" s="68" t="n">
        <f aca="false">AV74*(1+AU75)</f>
        <v>1.52943257171317</v>
      </c>
      <c r="AW75" s="49" t="n">
        <f aca="false">AR75*AV75</f>
        <v>726.480471563753</v>
      </c>
      <c r="AX75" s="70" t="n">
        <f aca="false">IF(AQ75&gt;0,AW75*1000000/AQ75/Economy!Q75,0)</f>
        <v>0.108161937820289</v>
      </c>
      <c r="AY75" s="47" t="n">
        <v>98800000</v>
      </c>
      <c r="AZ75" s="47" t="n">
        <v>3429</v>
      </c>
      <c r="BA75" s="71" t="n">
        <v>0.163</v>
      </c>
      <c r="BB75" s="49" t="n">
        <f aca="false">IF(AY75&gt;0,AZ75*1000000/AY75,0)</f>
        <v>34.7064777327935</v>
      </c>
      <c r="BC75" s="67" t="n">
        <f aca="false">IF(AND(BA75&gt;0,BB74&gt;0,B75&gt;0),MIN(conv_cap,conv_beta*1*BA75*MAX(0,LN(B75/(BB74*BD74)))),0)</f>
        <v>0.0052388839056453</v>
      </c>
      <c r="BD75" s="68" t="n">
        <f aca="false">BD74*(1+BC75)</f>
        <v>1.11150321164321</v>
      </c>
      <c r="BE75" s="49" t="n">
        <f aca="false">AZ75*BD75</f>
        <v>3811.34451272458</v>
      </c>
      <c r="BF75" s="70" t="n">
        <f aca="false">IF(AY75&gt;0,BE75*1000000/AY75/Economy!Q75,0)</f>
        <v>0.0897124685228458</v>
      </c>
      <c r="BG75" s="47" t="n">
        <v>38100000</v>
      </c>
      <c r="BH75" s="47" t="n">
        <v>4071</v>
      </c>
      <c r="BI75" s="71" t="n">
        <v>0.312</v>
      </c>
      <c r="BJ75" s="49" t="n">
        <f aca="false">IF(BG75&gt;0,BH75*1000000/BG75,0)</f>
        <v>106.850393700787</v>
      </c>
      <c r="BK75" s="67" t="n">
        <f aca="false">IF(AND(BI75&gt;0,BJ74&gt;0,B75&gt;0),MIN(conv_cap,conv_beta*1*BI75*MAX(0,LN(B75/(BJ74*BL74)))),0)</f>
        <v>0.00638842576225773</v>
      </c>
      <c r="BL75" s="68" t="n">
        <f aca="false">BL74*(1+BK75)</f>
        <v>1.14657992784391</v>
      </c>
      <c r="BM75" s="49" t="n">
        <f aca="false">BH75*BL75</f>
        <v>4667.72688625257</v>
      </c>
      <c r="BN75" s="70" t="n">
        <f aca="false">IF(BG75&gt;0,BM75*1000000/BG75/Economy!Q75,0)</f>
        <v>0.28491282953382</v>
      </c>
      <c r="BO75" s="47" t="n">
        <v>16400000</v>
      </c>
      <c r="BP75" s="47" t="n">
        <v>1188</v>
      </c>
      <c r="BQ75" s="71" t="n">
        <v>0.113</v>
      </c>
      <c r="BR75" s="49" t="n">
        <f aca="false">IF(BO75&gt;0,BP75*1000000/BO75,0)</f>
        <v>72.4390243902439</v>
      </c>
      <c r="BS75" s="67" t="n">
        <f aca="false">IF(AND(BQ75&gt;0,BR74&gt;0,B75&gt;0),MIN(conv_cap,conv_beta*1*BQ75*MAX(0,LN(B75/(BR74*BT74)))),0)</f>
        <v>0.00286987363116761</v>
      </c>
      <c r="BT75" s="68" t="n">
        <f aca="false">BT74*(1+BS75)</f>
        <v>1.02224278695436</v>
      </c>
      <c r="BU75" s="49" t="n">
        <f aca="false">BP75*BT75</f>
        <v>1214.42443090178</v>
      </c>
      <c r="BV75" s="70" t="n">
        <f aca="false">IF(BO75&gt;0,BU75*1000000/BO75/Economy!Q75,0)</f>
        <v>0.172209930644042</v>
      </c>
      <c r="BW75" s="68" t="n">
        <f aca="false">0.25*IF(D75&gt;0,H75,1)+0.15*IF(AJ75&gt;0,AN75,1)+0.03*IF(AR75&gt;0,AV75,1)+0.08*IF(AZ75&gt;0,BD75,1)+0.12*IF(BH75&gt;0,BL75,1)+0.1*IF(L75&gt;0,P75,1)+0.07*IF(T75&gt;0,X75,1)+0.05*IF(AB75&gt;0,AF75,1)+0.05*IF(BP75&gt;0,BT75,1)+0.1</f>
        <v>1.41450735716413</v>
      </c>
      <c r="BX75" s="66" t="n">
        <f aca="false">MIN(mkt_cap,mkt_elast*MAX(0,BW75-1))</f>
        <v>0.207253678582063</v>
      </c>
      <c r="BY75" s="49" t="n">
        <f aca="false">I75+Q75+Y75+AG75</f>
        <v>8674.136191864</v>
      </c>
      <c r="BZ75" s="49" t="n">
        <f aca="false">D75+L75+T75+AB75</f>
        <v>5439.22</v>
      </c>
      <c r="CA75" s="68" t="n">
        <f aca="false">IF(BZ75&gt;0,BY75/BZ75,0)</f>
        <v>1.59473898681502</v>
      </c>
    </row>
    <row r="76" customFormat="false" ht="14.25" hidden="false" customHeight="true" outlineLevel="0" collapsed="false">
      <c r="A76" s="64" t="n">
        <v>1916</v>
      </c>
      <c r="B76" s="49" t="n">
        <f aca="false">Economy!P75</f>
        <v>981.911863132555</v>
      </c>
      <c r="C76" s="47" t="n">
        <v>53310000</v>
      </c>
      <c r="D76" s="65" t="n">
        <f aca="false">Japan!B76</f>
        <v>3390</v>
      </c>
      <c r="E76" s="71" t="n">
        <v>0.82</v>
      </c>
      <c r="F76" s="49" t="n">
        <f aca="false">IF(C76&gt;0,D76*1000000/C76,0)</f>
        <v>63.5903207653348</v>
      </c>
      <c r="G76" s="67" t="n">
        <f aca="false">IF(AND(E76&gt;0,F75&gt;0,B76&gt;0),MIN(conv_cap,conv_beta*jp_uplift*E76*MAX(0,LN(B76/(F75*H75)))),0)</f>
        <v>0.0190273931944957</v>
      </c>
      <c r="H76" s="68" t="n">
        <f aca="false">H75*(1+G76)</f>
        <v>2.07793514434162</v>
      </c>
      <c r="I76" s="49" t="n">
        <f aca="false">D76*H76</f>
        <v>7044.20013931809</v>
      </c>
      <c r="J76" s="70" t="n">
        <f aca="false">IF(C76&gt;0,I76*1000000/C76/Economy!Q76,0)</f>
        <v>0.275284504913012</v>
      </c>
      <c r="K76" s="65" t="n">
        <f aca="false">Gulf!B76</f>
        <v>8840000</v>
      </c>
      <c r="L76" s="49" t="n">
        <f aca="false">Gulf!B76*Gulf!C76*Economy!Q76/1000000</f>
        <v>2741.1072</v>
      </c>
      <c r="M76" s="71" t="n">
        <v>0.693</v>
      </c>
      <c r="N76" s="49" t="n">
        <f aca="false">IF(K76&gt;0,L76*1000000/K76,0)</f>
        <v>310.08</v>
      </c>
      <c r="O76" s="67" t="n">
        <f aca="false">IF(AND(M76&gt;0,N75&gt;0,B76&gt;0),MIN(conv_cap,conv_beta*1*M76*MAX(0,LN(B76/(N75*P75)))),0)</f>
        <v>0.00808299654078496</v>
      </c>
      <c r="P76" s="68" t="n">
        <f aca="false">P75*(1+O76)</f>
        <v>1.12566604843666</v>
      </c>
      <c r="Q76" s="49" t="n">
        <f aca="false">L76*P76</f>
        <v>3085.57131016529</v>
      </c>
      <c r="R76" s="70" t="n">
        <f aca="false">IF(K76&gt;0,Q76*1000000/K76/Economy!Q76,0)</f>
        <v>0.727180267290084</v>
      </c>
      <c r="S76" s="65" t="n">
        <f aca="false">People!U76</f>
        <v>10104159</v>
      </c>
      <c r="T76" s="47" t="n">
        <v>636.338</v>
      </c>
      <c r="U76" s="71" t="n">
        <v>0.713</v>
      </c>
      <c r="V76" s="49" t="n">
        <f aca="false">IF(S76&gt;0,T76*1000000/S76,0)</f>
        <v>62.9778292285385</v>
      </c>
      <c r="W76" s="67" t="n">
        <f aca="false">IF(AND(U76&gt;0,V75&gt;0,B76&gt;0),MIN(conv_cap,conv_beta*1*U76*MAX(0,LN(B76/(V75*X75)))),0)</f>
        <v>0.0167046596164612</v>
      </c>
      <c r="X76" s="68" t="n">
        <f aca="false">X75*(1+W76)</f>
        <v>1.68022139403848</v>
      </c>
      <c r="Y76" s="49" t="n">
        <f aca="false">T76*X76</f>
        <v>1069.18872143966</v>
      </c>
      <c r="Z76" s="70" t="n">
        <f aca="false">IF(S76&gt;0,Y76*1000000/S76/Economy!Q76,0)</f>
        <v>0.220451450041442</v>
      </c>
      <c r="AA76" s="47" t="n">
        <v>0</v>
      </c>
      <c r="AB76" s="47" t="n">
        <v>0</v>
      </c>
      <c r="AC76" s="71" t="n">
        <v>0</v>
      </c>
      <c r="AD76" s="49" t="n">
        <f aca="false">IF(AA76&gt;0,AB76*1000000/AA76,0)</f>
        <v>0</v>
      </c>
      <c r="AE76" s="67" t="n">
        <f aca="false">IF(AND(AC76&gt;0,AD75&gt;0,B76&gt;0),MIN(conv_cap,conv_beta*1*AC76*MAX(0,LN(B76/(AD75*AF75)))),0)</f>
        <v>0</v>
      </c>
      <c r="AF76" s="68" t="n">
        <f aca="false">AF75*(1+AE76)</f>
        <v>1</v>
      </c>
      <c r="AG76" s="49" t="n">
        <f aca="false">AB76*AF76</f>
        <v>0</v>
      </c>
      <c r="AH76" s="70" t="n">
        <f aca="false">IF(AA76&gt;0,AG76*1000000/AA76/Economy!Q76,0)</f>
        <v>0</v>
      </c>
      <c r="AI76" s="47" t="n">
        <v>441200000</v>
      </c>
      <c r="AJ76" s="47" t="n">
        <v>5562</v>
      </c>
      <c r="AK76" s="71" t="n">
        <v>0.27</v>
      </c>
      <c r="AL76" s="49" t="n">
        <f aca="false">IF(AI76&gt;0,AJ76*1000000/AI76,0)</f>
        <v>12.6065276518586</v>
      </c>
      <c r="AM76" s="67" t="n">
        <f aca="false">IF(AND(AK76&gt;0,AL75&gt;0,B76&gt;0),MIN(conv_cap,conv_beta*1*AK76*MAX(0,LN(B76/(AL75*AN75)))),0)</f>
        <v>0.0110003679442526</v>
      </c>
      <c r="AN76" s="68" t="n">
        <f aca="false">AN75*(1+AM76)</f>
        <v>1.37409366214027</v>
      </c>
      <c r="AO76" s="49" t="n">
        <f aca="false">AJ76*AN76</f>
        <v>7642.70894882418</v>
      </c>
      <c r="AP76" s="70" t="n">
        <f aca="false">IF(AI76&gt;0,AO76*1000000/AI76/Economy!Q76,0)</f>
        <v>0.0360886453083644</v>
      </c>
      <c r="AQ76" s="47" t="n">
        <v>15940000</v>
      </c>
      <c r="AR76" s="47" t="n">
        <v>512</v>
      </c>
      <c r="AS76" s="71" t="n">
        <v>0.546</v>
      </c>
      <c r="AT76" s="49" t="n">
        <f aca="false">IF(AQ76&gt;0,AR76*1000000/AQ76,0)</f>
        <v>32.120451693852</v>
      </c>
      <c r="AU76" s="67" t="n">
        <f aca="false">IF(AND(AS76&gt;0,AT75&gt;0,B76&gt;0),MIN(conv_cap,conv_beta*1*AS76*MAX(0,LN(B76/(AT75*AV75)))),0)</f>
        <v>0.0166521378323562</v>
      </c>
      <c r="AV76" s="68" t="n">
        <f aca="false">AV75*(1+AU76)</f>
        <v>1.55490089370263</v>
      </c>
      <c r="AW76" s="49" t="n">
        <f aca="false">AR76*AV76</f>
        <v>796.109257575745</v>
      </c>
      <c r="AX76" s="70" t="n">
        <f aca="false">IF(AQ76&gt;0,AW76*1000000/AQ76/Economy!Q76,0)</f>
        <v>0.104050248010213</v>
      </c>
      <c r="AY76" s="47" t="n">
        <v>100600000</v>
      </c>
      <c r="AZ76" s="47" t="n">
        <v>3643</v>
      </c>
      <c r="BA76" s="71" t="n">
        <v>0.169</v>
      </c>
      <c r="BB76" s="49" t="n">
        <f aca="false">IF(AY76&gt;0,AZ76*1000000/AY76,0)</f>
        <v>36.2127236580517</v>
      </c>
      <c r="BC76" s="67" t="n">
        <f aca="false">IF(AND(BA76&gt;0,BB75&gt;0,B76&gt;0),MIN(conv_cap,conv_beta*1*BA76*MAX(0,LN(B76/(BB75*BD75)))),0)</f>
        <v>0.00547029654394252</v>
      </c>
      <c r="BD76" s="68" t="n">
        <f aca="false">BD75*(1+BC76)</f>
        <v>1.11758346382045</v>
      </c>
      <c r="BE76" s="49" t="n">
        <f aca="false">AZ76*BD76</f>
        <v>4071.35655869789</v>
      </c>
      <c r="BF76" s="70" t="n">
        <f aca="false">IF(AY76&gt;0,BE76*1000000/AY76/Economy!Q76,0)</f>
        <v>0.0843140440419543</v>
      </c>
      <c r="BG76" s="47" t="n">
        <v>38700000</v>
      </c>
      <c r="BH76" s="47" t="n">
        <v>4257</v>
      </c>
      <c r="BI76" s="71" t="n">
        <v>0.319</v>
      </c>
      <c r="BJ76" s="49" t="n">
        <f aca="false">IF(BG76&gt;0,BH76*1000000/BG76,0)</f>
        <v>110</v>
      </c>
      <c r="BK76" s="67" t="n">
        <f aca="false">IF(AND(BI76&gt;0,BJ75&gt;0,B76&gt;0),MIN(conv_cap,conv_beta*1*BI76*MAX(0,LN(B76/(BJ75*BL75)))),0)</f>
        <v>0.00663930983653656</v>
      </c>
      <c r="BL76" s="68" t="n">
        <f aca="false">BL75*(1+BK76)</f>
        <v>1.15419242723722</v>
      </c>
      <c r="BM76" s="49" t="n">
        <f aca="false">BH76*BL76</f>
        <v>4913.39716274885</v>
      </c>
      <c r="BN76" s="70" t="n">
        <f aca="false">IF(BG76&gt;0,BM76*1000000/BG76/Economy!Q76,0)</f>
        <v>0.264502431241863</v>
      </c>
      <c r="BO76" s="47" t="n">
        <v>16600000</v>
      </c>
      <c r="BP76" s="47" t="n">
        <v>1231</v>
      </c>
      <c r="BQ76" s="71" t="n">
        <v>0.119</v>
      </c>
      <c r="BR76" s="49" t="n">
        <f aca="false">IF(BO76&gt;0,BP76*1000000/BO76,0)</f>
        <v>74.1566265060241</v>
      </c>
      <c r="BS76" s="67" t="n">
        <f aca="false">IF(AND(BQ76&gt;0,BR75&gt;0,B76&gt;0),MIN(conv_cap,conv_beta*1*BQ76*MAX(0,LN(B76/(BR75*BT75)))),0)</f>
        <v>0.0030758612615345</v>
      </c>
      <c r="BT76" s="68" t="n">
        <f aca="false">BT75*(1+BS76)</f>
        <v>1.02538706394264</v>
      </c>
      <c r="BU76" s="49" t="n">
        <f aca="false">BP76*BT76</f>
        <v>1262.25147571339</v>
      </c>
      <c r="BV76" s="70" t="n">
        <f aca="false">IF(BO76&gt;0,BU76*1000000/BO76/Economy!Q76,0)</f>
        <v>0.158415094843548</v>
      </c>
      <c r="BW76" s="68" t="n">
        <f aca="false">0.25*IF(D76&gt;0,H76,1)+0.15*IF(AJ76&gt;0,AN76,1)+0.03*IF(AR76&gt;0,AV76,1)+0.08*IF(AZ76&gt;0,BD76,1)+0.12*IF(BH76&gt;0,BL76,1)+0.1*IF(L76&gt;0,P76,1)+0.07*IF(T76&gt;0,X76,1)+0.05*IF(AB76&gt;0,AF76,1)+0.05*IF(BP76&gt;0,BT76,1)+0.1</f>
        <v>1.43160608621512</v>
      </c>
      <c r="BX76" s="66" t="n">
        <f aca="false">MIN(mkt_cap,mkt_elast*MAX(0,BW76-1))</f>
        <v>0.215803043107559</v>
      </c>
      <c r="BY76" s="49" t="n">
        <f aca="false">I76+Q76+Y76+AG76</f>
        <v>11198.960170923</v>
      </c>
      <c r="BZ76" s="49" t="n">
        <f aca="false">D76+L76+T76+AB76</f>
        <v>6767.4452</v>
      </c>
      <c r="CA76" s="68" t="n">
        <f aca="false">IF(BZ76&gt;0,BY76/BZ76,0)</f>
        <v>1.65482834954069</v>
      </c>
    </row>
    <row r="77" customFormat="false" ht="14.25" hidden="false" customHeight="true" outlineLevel="0" collapsed="false">
      <c r="A77" s="64" t="n">
        <v>1917</v>
      </c>
      <c r="B77" s="49" t="n">
        <f aca="false">Economy!P76</f>
        <v>1124.29000800019</v>
      </c>
      <c r="C77" s="47" t="n">
        <v>53990000</v>
      </c>
      <c r="D77" s="65" t="n">
        <f aca="false">Japan!B77</f>
        <v>4290</v>
      </c>
      <c r="E77" s="71" t="n">
        <v>0.83</v>
      </c>
      <c r="F77" s="49" t="n">
        <f aca="false">IF(C77&gt;0,D77*1000000/C77,0)</f>
        <v>79.4591591035377</v>
      </c>
      <c r="G77" s="67" t="n">
        <f aca="false">IF(AND(E77&gt;0,F76&gt;0,B77&gt;0),MIN(conv_cap,conv_beta*jp_uplift*E77*MAX(0,LN(B77/(F76*H76)))),0)</f>
        <v>0.0177708898004413</v>
      </c>
      <c r="H77" s="68" t="n">
        <f aca="false">H76*(1+G77)</f>
        <v>2.11486190080418</v>
      </c>
      <c r="I77" s="49" t="n">
        <f aca="false">D77*H77</f>
        <v>9072.75755444993</v>
      </c>
      <c r="J77" s="70" t="n">
        <f aca="false">IF(C77&gt;0,I77*1000000/C77/Economy!Q77,0)</f>
        <v>0.289733014237947</v>
      </c>
      <c r="K77" s="65" t="n">
        <f aca="false">Gulf!B77</f>
        <v>8980000</v>
      </c>
      <c r="L77" s="49" t="n">
        <f aca="false">Gulf!B77*Gulf!C77*Economy!Q77/1000000</f>
        <v>3406.2936</v>
      </c>
      <c r="M77" s="71" t="n">
        <v>0.707</v>
      </c>
      <c r="N77" s="49" t="n">
        <f aca="false">IF(K77&gt;0,L77*1000000/K77,0)</f>
        <v>379.32</v>
      </c>
      <c r="O77" s="67" t="n">
        <f aca="false">IF(AND(M77&gt;0,N76&gt;0,B77&gt;0),MIN(conv_cap,conv_beta*1*M77*MAX(0,LN(B77/(N76*P76)))),0)</f>
        <v>0.00826979157882722</v>
      </c>
      <c r="P77" s="68" t="n">
        <f aca="false">P76*(1+O77)</f>
        <v>1.1349750720446</v>
      </c>
      <c r="Q77" s="49" t="n">
        <f aca="false">L77*P77</f>
        <v>3866.05832406505</v>
      </c>
      <c r="R77" s="70" t="n">
        <f aca="false">IF(K77&gt;0,Q77*1000000/K77/Economy!Q77,0)</f>
        <v>0.742273697117166</v>
      </c>
      <c r="S77" s="65" t="n">
        <f aca="false">People!U77</f>
        <v>10287114</v>
      </c>
      <c r="T77" s="47" t="n">
        <v>705.46</v>
      </c>
      <c r="U77" s="71" t="n">
        <v>0.727</v>
      </c>
      <c r="V77" s="49" t="n">
        <f aca="false">IF(S77&gt;0,T77*1000000/S77,0)</f>
        <v>68.5770566944237</v>
      </c>
      <c r="W77" s="67" t="n">
        <f aca="false">IF(AND(U77&gt;0,V76&gt;0,B77&gt;0),MIN(conv_cap,conv_beta*1*U77*MAX(0,LN(B77/(V76*X76)))),0)</f>
        <v>0.0171804545276511</v>
      </c>
      <c r="X77" s="68" t="n">
        <f aca="false">X76*(1+W77)</f>
        <v>1.70908836129515</v>
      </c>
      <c r="Y77" s="49" t="n">
        <f aca="false">T77*X77</f>
        <v>1205.69347535927</v>
      </c>
      <c r="Z77" s="70" t="n">
        <f aca="false">IF(S77&gt;0,Y77*1000000/S77/Economy!Q77,0)</f>
        <v>0.202076292152271</v>
      </c>
      <c r="AA77" s="47" t="n">
        <v>0</v>
      </c>
      <c r="AB77" s="47" t="n">
        <v>0</v>
      </c>
      <c r="AC77" s="71" t="n">
        <v>0</v>
      </c>
      <c r="AD77" s="49" t="n">
        <f aca="false">IF(AA77&gt;0,AB77*1000000/AA77,0)</f>
        <v>0</v>
      </c>
      <c r="AE77" s="67" t="n">
        <f aca="false">IF(AND(AC77&gt;0,AD76&gt;0,B77&gt;0),MIN(conv_cap,conv_beta*1*AC77*MAX(0,LN(B77/(AD76*AF76)))),0)</f>
        <v>0</v>
      </c>
      <c r="AF77" s="68" t="n">
        <f aca="false">AF76*(1+AE77)</f>
        <v>1</v>
      </c>
      <c r="AG77" s="49" t="n">
        <f aca="false">AB77*AF77</f>
        <v>0</v>
      </c>
      <c r="AH77" s="70" t="n">
        <f aca="false">IF(AA77&gt;0,AG77*1000000/AA77/Economy!Q77,0)</f>
        <v>0</v>
      </c>
      <c r="AI77" s="47" t="n">
        <v>445000000</v>
      </c>
      <c r="AJ77" s="47" t="n">
        <v>5750</v>
      </c>
      <c r="AK77" s="71" t="n">
        <v>0.275</v>
      </c>
      <c r="AL77" s="49" t="n">
        <f aca="false">IF(AI77&gt;0,AJ77*1000000/AI77,0)</f>
        <v>12.9213483146067</v>
      </c>
      <c r="AM77" s="67" t="n">
        <f aca="false">IF(AND(AK77&gt;0,AL76&gt;0,B77&gt;0),MIN(conv_cap,conv_beta*1*AK77*MAX(0,LN(B77/(AL76*AN76)))),0)</f>
        <v>0.0114754692388071</v>
      </c>
      <c r="AN77" s="68" t="n">
        <f aca="false">AN76*(1+AM77)</f>
        <v>1.3898620316914</v>
      </c>
      <c r="AO77" s="49" t="n">
        <f aca="false">AJ77*AN77</f>
        <v>7991.70668222555</v>
      </c>
      <c r="AP77" s="70" t="n">
        <f aca="false">IF(AI77&gt;0,AO77*1000000/AI77/Economy!Q77,0)</f>
        <v>0.0309636058978131</v>
      </c>
      <c r="AQ77" s="47" t="n">
        <v>16250000</v>
      </c>
      <c r="AR77" s="47" t="n">
        <v>550</v>
      </c>
      <c r="AS77" s="71" t="n">
        <v>0.55</v>
      </c>
      <c r="AT77" s="49" t="n">
        <f aca="false">IF(AQ77&gt;0,AR77*1000000/AQ77,0)</f>
        <v>33.8461538461539</v>
      </c>
      <c r="AU77" s="67" t="n">
        <f aca="false">IF(AND(AS77&gt;0,AT76&gt;0,B77&gt;0),MIN(conv_cap,conv_beta*1*AS77*MAX(0,LN(B77/(AT76*AV76)))),0)</f>
        <v>0.0171270123754647</v>
      </c>
      <c r="AV77" s="68" t="n">
        <f aca="false">AV76*(1+AU77)</f>
        <v>1.58153170055169</v>
      </c>
      <c r="AW77" s="49" t="n">
        <f aca="false">AR77*AV77</f>
        <v>869.842435303431</v>
      </c>
      <c r="AX77" s="70" t="n">
        <f aca="false">IF(AQ77&gt;0,AW77*1000000/AQ77/Economy!Q77,0)</f>
        <v>0.0922909745680033</v>
      </c>
      <c r="AY77" s="47" t="n">
        <v>102500000</v>
      </c>
      <c r="AZ77" s="47" t="n">
        <v>3857</v>
      </c>
      <c r="BA77" s="71" t="n">
        <v>0.175</v>
      </c>
      <c r="BB77" s="49" t="n">
        <f aca="false">IF(AY77&gt;0,AZ77*1000000/AY77,0)</f>
        <v>37.6292682926829</v>
      </c>
      <c r="BC77" s="67" t="n">
        <f aca="false">IF(AND(BA77&gt;0,BB76&gt;0,B77&gt;0),MIN(conv_cap,conv_beta*1*BA77*MAX(0,LN(B77/(BB76*BD76)))),0)</f>
        <v>0.00581757354389177</v>
      </c>
      <c r="BD77" s="68" t="n">
        <f aca="false">BD76*(1+BC77)</f>
        <v>1.12408508781266</v>
      </c>
      <c r="BE77" s="49" t="n">
        <f aca="false">AZ77*BD77</f>
        <v>4335.59618369343</v>
      </c>
      <c r="BF77" s="70" t="n">
        <f aca="false">IF(AY77&gt;0,BE77*1000000/AY77/Economy!Q77,0)</f>
        <v>0.0729284471605286</v>
      </c>
      <c r="BG77" s="47" t="n">
        <v>39200000</v>
      </c>
      <c r="BH77" s="47" t="n">
        <v>4443</v>
      </c>
      <c r="BI77" s="71" t="n">
        <v>0.325</v>
      </c>
      <c r="BJ77" s="49" t="n">
        <f aca="false">IF(BG77&gt;0,BH77*1000000/BG77,0)</f>
        <v>113.341836734694</v>
      </c>
      <c r="BK77" s="67" t="n">
        <f aca="false">IF(AND(BI77&gt;0,BJ76&gt;0,B77&gt;0),MIN(conv_cap,conv_beta*1*BI77*MAX(0,LN(B77/(BJ76*BL76)))),0)</f>
        <v>0.00708833366602442</v>
      </c>
      <c r="BL77" s="68" t="n">
        <f aca="false">BL76*(1+BK77)</f>
        <v>1.16237372827628</v>
      </c>
      <c r="BM77" s="49" t="n">
        <f aca="false">BH77*BL77</f>
        <v>5164.4264747315</v>
      </c>
      <c r="BN77" s="70" t="n">
        <f aca="false">IF(BG77&gt;0,BM77*1000000/BG77/Economy!Q77,0)</f>
        <v>0.227147540232737</v>
      </c>
      <c r="BO77" s="47" t="n">
        <v>16800000</v>
      </c>
      <c r="BP77" s="47" t="n">
        <v>1275</v>
      </c>
      <c r="BQ77" s="71" t="n">
        <v>0.125</v>
      </c>
      <c r="BR77" s="49" t="n">
        <f aca="false">IF(BO77&gt;0,BP77*1000000/BO77,0)</f>
        <v>75.8928571428571</v>
      </c>
      <c r="BS77" s="67" t="n">
        <f aca="false">IF(AND(BQ77&gt;0,BR76&gt;0,B77&gt;0),MIN(conv_cap,conv_beta*1*BQ77*MAX(0,LN(B77/(BR76*BT76)))),0)</f>
        <v>0.00336707176989936</v>
      </c>
      <c r="BT77" s="68" t="n">
        <f aca="false">BT76*(1+BS77)</f>
        <v>1.02883961577886</v>
      </c>
      <c r="BU77" s="49" t="n">
        <f aca="false">BP77*BT77</f>
        <v>1311.77051011805</v>
      </c>
      <c r="BV77" s="70" t="n">
        <f aca="false">IF(BO77&gt;0,BU77*1000000/BO77/Economy!Q77,0)</f>
        <v>0.134623410315891</v>
      </c>
      <c r="BW77" s="68" t="n">
        <f aca="false">0.25*IF(D77&gt;0,H77,1)+0.15*IF(AJ77&gt;0,AN77,1)+0.03*IF(AR77&gt;0,AV77,1)+0.08*IF(AZ77&gt;0,BD77,1)+0.12*IF(BH77&gt;0,BL77,1)+0.1*IF(L77&gt;0,P77,1)+0.07*IF(T77&gt;0,X77,1)+0.05*IF(AB77&gt;0,AF77,1)+0.05*IF(BP77&gt;0,BT77,1)+0.1</f>
        <v>1.44862805867353</v>
      </c>
      <c r="BX77" s="66" t="n">
        <f aca="false">MIN(mkt_cap,mkt_elast*MAX(0,BW77-1))</f>
        <v>0.224314029336767</v>
      </c>
      <c r="BY77" s="49" t="n">
        <f aca="false">I77+Q77+Y77+AG77</f>
        <v>14144.5093538742</v>
      </c>
      <c r="BZ77" s="49" t="n">
        <f aca="false">D77+L77+T77+AB77</f>
        <v>8401.7536</v>
      </c>
      <c r="CA77" s="68" t="n">
        <f aca="false">IF(BZ77&gt;0,BY77/BZ77,0)</f>
        <v>1.68351870660361</v>
      </c>
    </row>
    <row r="78" customFormat="false" ht="14.25" hidden="false" customHeight="true" outlineLevel="0" collapsed="false">
      <c r="A78" s="64" t="n">
        <v>1918</v>
      </c>
      <c r="B78" s="49" t="n">
        <f aca="false">Economy!P77</f>
        <v>1374.89519099352</v>
      </c>
      <c r="C78" s="47" t="n">
        <v>54660000</v>
      </c>
      <c r="D78" s="65" t="n">
        <f aca="false">Japan!B78</f>
        <v>6010</v>
      </c>
      <c r="E78" s="71" t="n">
        <v>0.84</v>
      </c>
      <c r="F78" s="49" t="n">
        <f aca="false">IF(C78&gt;0,D78*1000000/C78,0)</f>
        <v>109.952433223564</v>
      </c>
      <c r="G78" s="67" t="n">
        <f aca="false">IF(AND(E78&gt;0,F77&gt;0,B78&gt;0),MIN(conv_cap,conv_beta*jp_uplift*E78*MAX(0,LN(B78/(F77*H77)))),0)</f>
        <v>0.0176559608360788</v>
      </c>
      <c r="H78" s="68" t="n">
        <f aca="false">H77*(1+G78)</f>
        <v>2.15220181969849</v>
      </c>
      <c r="I78" s="49" t="n">
        <f aca="false">D78*H78</f>
        <v>12934.7329363879</v>
      </c>
      <c r="J78" s="70" t="n">
        <f aca="false">IF(C78&gt;0,I78*1000000/C78/Economy!Q78,0)</f>
        <v>0.320650171902481</v>
      </c>
      <c r="K78" s="65" t="n">
        <f aca="false">Gulf!B78</f>
        <v>9120000</v>
      </c>
      <c r="L78" s="49" t="n">
        <f aca="false">Gulf!B78*Gulf!C78*Economy!Q78/1000000</f>
        <v>4462.36128</v>
      </c>
      <c r="M78" s="71" t="n">
        <v>0.721</v>
      </c>
      <c r="N78" s="49" t="n">
        <f aca="false">IF(K78&gt;0,L78*1000000/K78,0)</f>
        <v>489.294</v>
      </c>
      <c r="O78" s="67" t="n">
        <f aca="false">IF(AND(M78&gt;0,N77&gt;0,B78&gt;0),MIN(conv_cap,conv_beta*1*M78*MAX(0,LN(B78/(N77*P77)))),0)</f>
        <v>0.00837183323391374</v>
      </c>
      <c r="P78" s="68" t="n">
        <f aca="false">P77*(1+O78)</f>
        <v>1.1444768940724</v>
      </c>
      <c r="Q78" s="49" t="n">
        <f aca="false">L78*P78</f>
        <v>5107.06937796335</v>
      </c>
      <c r="R78" s="70" t="n">
        <f aca="false">IF(K78&gt;0,Q78*1000000/K78/Economy!Q78,0)</f>
        <v>0.758788180770003</v>
      </c>
      <c r="S78" s="65" t="n">
        <f aca="false">People!U78</f>
        <v>10470122</v>
      </c>
      <c r="T78" s="47" t="n">
        <v>775.602</v>
      </c>
      <c r="U78" s="71" t="n">
        <v>0.741</v>
      </c>
      <c r="V78" s="49" t="n">
        <f aca="false">IF(S78&gt;0,T78*1000000/S78,0)</f>
        <v>74.0776468507244</v>
      </c>
      <c r="W78" s="67" t="n">
        <f aca="false">IF(AND(U78&gt;0,V77&gt;0,B78&gt;0),MIN(conv_cap,conv_beta*1*U78*MAX(0,LN(B78/(V77*X77)))),0)</f>
        <v>0.0182450105408381</v>
      </c>
      <c r="X78" s="68" t="n">
        <f aca="false">X77*(1+W78)</f>
        <v>1.7402706964622</v>
      </c>
      <c r="Y78" s="49" t="n">
        <f aca="false">T78*X78</f>
        <v>1349.75743271748</v>
      </c>
      <c r="Z78" s="70" t="n">
        <f aca="false">IF(S78&gt;0,Y78*1000000/S78/Economy!Q78,0)</f>
        <v>0.174681786012454</v>
      </c>
      <c r="AA78" s="47" t="n">
        <v>0</v>
      </c>
      <c r="AB78" s="47" t="n">
        <v>0</v>
      </c>
      <c r="AC78" s="71" t="n">
        <v>0</v>
      </c>
      <c r="AD78" s="49" t="n">
        <f aca="false">IF(AA78&gt;0,AB78*1000000/AA78,0)</f>
        <v>0</v>
      </c>
      <c r="AE78" s="67" t="n">
        <f aca="false">IF(AND(AC78&gt;0,AD77&gt;0,B78&gt;0),MIN(conv_cap,conv_beta*1*AC78*MAX(0,LN(B78/(AD77*AF77)))),0)</f>
        <v>0</v>
      </c>
      <c r="AF78" s="68" t="n">
        <f aca="false">AF77*(1+AE78)</f>
        <v>1</v>
      </c>
      <c r="AG78" s="49" t="n">
        <f aca="false">AB78*AF78</f>
        <v>0</v>
      </c>
      <c r="AH78" s="70" t="n">
        <f aca="false">IF(AA78&gt;0,AG78*1000000/AA78/Economy!Q78,0)</f>
        <v>0</v>
      </c>
      <c r="AI78" s="47" t="n">
        <v>448800000</v>
      </c>
      <c r="AJ78" s="47" t="n">
        <v>5938</v>
      </c>
      <c r="AK78" s="71" t="n">
        <v>0.28</v>
      </c>
      <c r="AL78" s="49" t="n">
        <f aca="false">IF(AI78&gt;0,AJ78*1000000/AI78,0)</f>
        <v>13.2308377896613</v>
      </c>
      <c r="AM78" s="67" t="n">
        <f aca="false">IF(AND(AK78&gt;0,AL77&gt;0,B78&gt;0),MIN(conv_cap,conv_beta*1*AK78*MAX(0,LN(B78/(AL77*AN77)))),0)</f>
        <v>0.0121465328499145</v>
      </c>
      <c r="AN78" s="68" t="n">
        <f aca="false">AN77*(1+AM78)</f>
        <v>1.40674403651619</v>
      </c>
      <c r="AO78" s="49" t="n">
        <f aca="false">AJ78*AN78</f>
        <v>8353.24608883312</v>
      </c>
      <c r="AP78" s="70" t="n">
        <f aca="false">IF(AI78&gt;0,AO78*1000000/AI78/Economy!Q78,0)</f>
        <v>0.0252200571256356</v>
      </c>
      <c r="AQ78" s="47" t="n">
        <v>16560000</v>
      </c>
      <c r="AR78" s="47" t="n">
        <v>588</v>
      </c>
      <c r="AS78" s="71" t="n">
        <v>0.554</v>
      </c>
      <c r="AT78" s="49" t="n">
        <f aca="false">IF(AQ78&gt;0,AR78*1000000/AQ78,0)</f>
        <v>35.5072463768116</v>
      </c>
      <c r="AU78" s="67" t="n">
        <f aca="false">IF(AND(AS78&gt;0,AT77&gt;0,B78&gt;0),MIN(conv_cap,conv_beta*1*AS78*MAX(0,LN(B78/(AT77*AV77)))),0)</f>
        <v>0.0179823613708101</v>
      </c>
      <c r="AV78" s="68" t="n">
        <f aca="false">AV77*(1+AU78)</f>
        <v>1.60997137511041</v>
      </c>
      <c r="AW78" s="49" t="n">
        <f aca="false">AR78*AV78</f>
        <v>946.663168564919</v>
      </c>
      <c r="AX78" s="70" t="n">
        <f aca="false">IF(AQ78&gt;0,AW78*1000000/AQ78/Economy!Q78,0)</f>
        <v>0.0774602307258257</v>
      </c>
      <c r="AY78" s="47" t="n">
        <v>104400000</v>
      </c>
      <c r="AZ78" s="47" t="n">
        <v>4071</v>
      </c>
      <c r="BA78" s="71" t="n">
        <v>0.181</v>
      </c>
      <c r="BB78" s="49" t="n">
        <f aca="false">IF(AY78&gt;0,AZ78*1000000/AY78,0)</f>
        <v>38.9942528735632</v>
      </c>
      <c r="BC78" s="67" t="n">
        <f aca="false">IF(AND(BA78&gt;0,BB77&gt;0,B78&gt;0),MIN(conv_cap,conv_beta*1*BA78*MAX(0,LN(B78/(BB77*BD77)))),0)</f>
        <v>0.00630129992372077</v>
      </c>
      <c r="BD78" s="68" t="n">
        <f aca="false">BD77*(1+BC78)</f>
        <v>1.13116828509075</v>
      </c>
      <c r="BE78" s="49" t="n">
        <f aca="false">AZ78*BD78</f>
        <v>4604.98608860444</v>
      </c>
      <c r="BF78" s="70" t="n">
        <f aca="false">IF(AY78&gt;0,BE78*1000000/AY78/Economy!Q78,0)</f>
        <v>0.0597683768988936</v>
      </c>
      <c r="BG78" s="47" t="n">
        <v>39800000</v>
      </c>
      <c r="BH78" s="47" t="n">
        <v>4629</v>
      </c>
      <c r="BI78" s="71" t="n">
        <v>0.331</v>
      </c>
      <c r="BJ78" s="49" t="n">
        <f aca="false">IF(BG78&gt;0,BH78*1000000/BG78,0)</f>
        <v>116.306532663317</v>
      </c>
      <c r="BK78" s="67" t="n">
        <f aca="false">IF(AND(BI78&gt;0,BJ77&gt;0,B78&gt;0),MIN(conv_cap,conv_beta*1*BI78*MAX(0,LN(B78/(BJ77*BL77)))),0)</f>
        <v>0.00776281124406591</v>
      </c>
      <c r="BL78" s="68" t="n">
        <f aca="false">BL77*(1+BK78)</f>
        <v>1.17139701612395</v>
      </c>
      <c r="BM78" s="49" t="n">
        <f aca="false">BH78*BL78</f>
        <v>5422.39678763775</v>
      </c>
      <c r="BN78" s="70" t="n">
        <f aca="false">IF(BG78&gt;0,BM78*1000000/BG78/Economy!Q78,0)</f>
        <v>0.184608570890964</v>
      </c>
      <c r="BO78" s="47" t="n">
        <v>16900000</v>
      </c>
      <c r="BP78" s="47" t="n">
        <v>1319</v>
      </c>
      <c r="BQ78" s="71" t="n">
        <v>0.131</v>
      </c>
      <c r="BR78" s="49" t="n">
        <f aca="false">IF(BO78&gt;0,BP78*1000000/BO78,0)</f>
        <v>78.0473372781065</v>
      </c>
      <c r="BS78" s="67" t="n">
        <f aca="false">IF(AND(BQ78&gt;0,BR77&gt;0,B78&gt;0),MIN(conv_cap,conv_beta*1*BQ78*MAX(0,LN(B78/(BR77*BT77)))),0)</f>
        <v>0.00375757600626517</v>
      </c>
      <c r="BT78" s="68" t="n">
        <f aca="false">BT77*(1+BS78)</f>
        <v>1.03270555883341</v>
      </c>
      <c r="BU78" s="49" t="n">
        <f aca="false">BP78*BT78</f>
        <v>1362.13863210126</v>
      </c>
      <c r="BV78" s="70" t="n">
        <f aca="false">IF(BO78&gt;0,BU78*1000000/BO78/Economy!Q78,0)</f>
        <v>0.109213982465103</v>
      </c>
      <c r="BW78" s="68" t="n">
        <f aca="false">0.25*IF(D78&gt;0,H78,1)+0.15*IF(AJ78&gt;0,AN78,1)+0.03*IF(AR78&gt;0,AV78,1)+0.08*IF(AZ78&gt;0,BD78,1)+0.12*IF(BH78&gt;0,BL78,1)+0.1*IF(L78&gt;0,P78,1)+0.07*IF(T78&gt;0,X78,1)+0.05*IF(AB78&gt;0,AF78,1)+0.05*IF(BP78&gt;0,BT78,1)+0.1</f>
        <v>1.46632422249876</v>
      </c>
      <c r="BX78" s="66" t="n">
        <f aca="false">MIN(mkt_cap,mkt_elast*MAX(0,BW78-1))</f>
        <v>0.233162111249381</v>
      </c>
      <c r="BY78" s="49" t="n">
        <f aca="false">I78+Q78+Y78+AG78</f>
        <v>19391.5597470688</v>
      </c>
      <c r="BZ78" s="49" t="n">
        <f aca="false">D78+L78+T78+AB78</f>
        <v>11247.96328</v>
      </c>
      <c r="CA78" s="68" t="n">
        <f aca="false">IF(BZ78&gt;0,BY78/BZ78,0)</f>
        <v>1.72400631690796</v>
      </c>
    </row>
    <row r="79" customFormat="false" ht="14.25" hidden="false" customHeight="true" outlineLevel="0" collapsed="false">
      <c r="A79" s="64" t="n">
        <v>1919</v>
      </c>
      <c r="B79" s="49" t="n">
        <f aca="false">Economy!P78</f>
        <v>1621.43698410999</v>
      </c>
      <c r="C79" s="47" t="n">
        <v>55330000</v>
      </c>
      <c r="D79" s="65" t="n">
        <f aca="false">Japan!B79</f>
        <v>7730</v>
      </c>
      <c r="E79" s="71" t="n">
        <v>0.85</v>
      </c>
      <c r="F79" s="49" t="n">
        <f aca="false">IF(C79&gt;0,D79*1000000/C79,0)</f>
        <v>139.707211277788</v>
      </c>
      <c r="G79" s="67" t="n">
        <f aca="false">IF(AND(E79&gt;0,F78&gt;0,B79&gt;0),MIN(conv_cap,conv_beta*jp_uplift*E79*MAX(0,LN(B79/(F78*H78)))),0)</f>
        <v>0.0163584947571541</v>
      </c>
      <c r="H79" s="68" t="n">
        <f aca="false">H78*(1+G79)</f>
        <v>2.18740860188237</v>
      </c>
      <c r="I79" s="49" t="n">
        <f aca="false">D79*H79</f>
        <v>16908.6684925507</v>
      </c>
      <c r="J79" s="70" t="n">
        <f aca="false">IF(C79&gt;0,I79*1000000/C79/Economy!Q79,0)</f>
        <v>0.381995944617538</v>
      </c>
      <c r="K79" s="65" t="n">
        <f aca="false">Gulf!B79</f>
        <v>9260000</v>
      </c>
      <c r="L79" s="49" t="n">
        <f aca="false">Gulf!B79*Gulf!C79*Economy!Q79/1000000</f>
        <v>4970.768</v>
      </c>
      <c r="M79" s="71" t="n">
        <v>0.736</v>
      </c>
      <c r="N79" s="49" t="n">
        <f aca="false">IF(K79&gt;0,L79*1000000/K79,0)</f>
        <v>536.8</v>
      </c>
      <c r="O79" s="67" t="n">
        <f aca="false">IF(AND(M79&gt;0,N78&gt;0,B79&gt;0),MIN(conv_cap,conv_beta*1*M79*MAX(0,LN(B79/(N78*P78)))),0)</f>
        <v>0.00782483445230841</v>
      </c>
      <c r="P79" s="68" t="n">
        <f aca="false">P78*(1+O79)</f>
        <v>1.15343223630301</v>
      </c>
      <c r="Q79" s="49" t="n">
        <f aca="false">L79*P79</f>
        <v>5733.44405038345</v>
      </c>
      <c r="R79" s="70" t="n">
        <f aca="false">IF(K79&gt;0,Q79*1000000/K79/Economy!Q79,0)</f>
        <v>0.773953030559321</v>
      </c>
      <c r="S79" s="65" t="n">
        <f aca="false">People!U79</f>
        <v>10666184</v>
      </c>
      <c r="T79" s="47" t="n">
        <v>844.715</v>
      </c>
      <c r="U79" s="71" t="n">
        <v>0.756</v>
      </c>
      <c r="V79" s="49" t="n">
        <f aca="false">IF(S79&gt;0,T79*1000000/S79,0)</f>
        <v>79.195614851572</v>
      </c>
      <c r="W79" s="67" t="n">
        <f aca="false">IF(AND(U79&gt;0,V78&gt;0,B79&gt;0),MIN(conv_cap,conv_beta*1*U79*MAX(0,LN(B79/(V78*X78)))),0)</f>
        <v>0.0191412665409187</v>
      </c>
      <c r="X79" s="68" t="n">
        <f aca="false">X78*(1+W79)</f>
        <v>1.77358168171653</v>
      </c>
      <c r="Y79" s="49" t="n">
        <f aca="false">T79*X79</f>
        <v>1498.17105027118</v>
      </c>
      <c r="Z79" s="70" t="n">
        <f aca="false">IF(S79&gt;0,Y79*1000000/S79/Economy!Q79,0)</f>
        <v>0.175574864716282</v>
      </c>
      <c r="AA79" s="47" t="n">
        <v>0</v>
      </c>
      <c r="AB79" s="47" t="n">
        <v>0</v>
      </c>
      <c r="AC79" s="71" t="n">
        <v>0</v>
      </c>
      <c r="AD79" s="49" t="n">
        <f aca="false">IF(AA79&gt;0,AB79*1000000/AA79,0)</f>
        <v>0</v>
      </c>
      <c r="AE79" s="67" t="n">
        <f aca="false">IF(AND(AC79&gt;0,AD78&gt;0,B79&gt;0),MIN(conv_cap,conv_beta*1*AC79*MAX(0,LN(B79/(AD78*AF78)))),0)</f>
        <v>0</v>
      </c>
      <c r="AF79" s="68" t="n">
        <f aca="false">AF78*(1+AE79)</f>
        <v>1</v>
      </c>
      <c r="AG79" s="49" t="n">
        <f aca="false">AB79*AF79</f>
        <v>0</v>
      </c>
      <c r="AH79" s="70" t="n">
        <f aca="false">IF(AA79&gt;0,AG79*1000000/AA79/Economy!Q79,0)</f>
        <v>0</v>
      </c>
      <c r="AI79" s="47" t="n">
        <v>452500000</v>
      </c>
      <c r="AJ79" s="47" t="n">
        <v>6125</v>
      </c>
      <c r="AK79" s="71" t="n">
        <v>0.285</v>
      </c>
      <c r="AL79" s="49" t="n">
        <f aca="false">IF(AI79&gt;0,AJ79*1000000/AI79,0)</f>
        <v>13.5359116022099</v>
      </c>
      <c r="AM79" s="67" t="n">
        <f aca="false">IF(AND(AK79&gt;0,AL78&gt;0,B79&gt;0),MIN(conv_cap,conv_beta*1*AK79*MAX(0,LN(B79/(AL78*AN78)))),0)</f>
        <v>0.0127316337749455</v>
      </c>
      <c r="AN79" s="68" t="n">
        <f aca="false">AN78*(1+AM79)</f>
        <v>1.4246541864042</v>
      </c>
      <c r="AO79" s="49" t="n">
        <f aca="false">AJ79*AN79</f>
        <v>8726.00689172573</v>
      </c>
      <c r="AP79" s="70" t="n">
        <f aca="false">IF(AI79&gt;0,AO79*1000000/AI79/Economy!Q79,0)</f>
        <v>0.024104991413607</v>
      </c>
      <c r="AQ79" s="47" t="n">
        <v>16880000</v>
      </c>
      <c r="AR79" s="47" t="n">
        <v>625</v>
      </c>
      <c r="AS79" s="71" t="n">
        <v>0.558</v>
      </c>
      <c r="AT79" s="49" t="n">
        <f aca="false">IF(AQ79&gt;0,AR79*1000000/AQ79,0)</f>
        <v>37.0260663507109</v>
      </c>
      <c r="AU79" s="67" t="n">
        <f aca="false">IF(AND(AS79&gt;0,AT78&gt;0,B79&gt;0),MIN(conv_cap,conv_beta*1*AS79*MAX(0,LN(B79/(AT78*AV78)))),0)</f>
        <v>0.0186657409407481</v>
      </c>
      <c r="AV79" s="68" t="n">
        <f aca="false">AV78*(1+AU79)</f>
        <v>1.64002268372024</v>
      </c>
      <c r="AW79" s="49" t="n">
        <f aca="false">AR79*AV79</f>
        <v>1025.01417732515</v>
      </c>
      <c r="AX79" s="70" t="n">
        <f aca="false">IF(AQ79&gt;0,AW79*1000000/AQ79/Economy!Q79,0)</f>
        <v>0.0759044858801206</v>
      </c>
      <c r="AY79" s="47" t="n">
        <v>106200000</v>
      </c>
      <c r="AZ79" s="47" t="n">
        <v>4286</v>
      </c>
      <c r="BA79" s="71" t="n">
        <v>0.188</v>
      </c>
      <c r="BB79" s="49" t="n">
        <f aca="false">IF(AY79&gt;0,AZ79*1000000/AY79,0)</f>
        <v>40.3578154425612</v>
      </c>
      <c r="BC79" s="67" t="n">
        <f aca="false">IF(AND(BA79&gt;0,BB78&gt;0,B79&gt;0),MIN(conv_cap,conv_beta*1*BA79*MAX(0,LN(B79/(BB78*BD78)))),0)</f>
        <v>0.00677627728275329</v>
      </c>
      <c r="BD79" s="68" t="n">
        <f aca="false">BD78*(1+BC79)</f>
        <v>1.13883339504398</v>
      </c>
      <c r="BE79" s="49" t="n">
        <f aca="false">AZ79*BD79</f>
        <v>4881.0399311585</v>
      </c>
      <c r="BF79" s="70" t="n">
        <f aca="false">IF(AY79&gt;0,BE79*1000000/AY79/Economy!Q79,0)</f>
        <v>0.0574510349712629</v>
      </c>
      <c r="BG79" s="47" t="n">
        <v>40400000</v>
      </c>
      <c r="BH79" s="47" t="n">
        <v>4814</v>
      </c>
      <c r="BI79" s="71" t="n">
        <v>0.338</v>
      </c>
      <c r="BJ79" s="49" t="n">
        <f aca="false">IF(BG79&gt;0,BH79*1000000/BG79,0)</f>
        <v>119.158415841584</v>
      </c>
      <c r="BK79" s="67" t="n">
        <f aca="false">IF(AND(BI79&gt;0,BJ78&gt;0,B79&gt;0),MIN(conv_cap,conv_beta*1*BI79*MAX(0,LN(B79/(BJ78*BL78)))),0)</f>
        <v>0.00837104916955614</v>
      </c>
      <c r="BL79" s="68" t="n">
        <f aca="false">BL78*(1+BK79)</f>
        <v>1.18120283814299</v>
      </c>
      <c r="BM79" s="49" t="n">
        <f aca="false">BH79*BL79</f>
        <v>5686.31046282037</v>
      </c>
      <c r="BN79" s="70" t="n">
        <f aca="false">IF(BG79&gt;0,BM79*1000000/BG79/Economy!Q79,0)</f>
        <v>0.175937823725878</v>
      </c>
      <c r="BO79" s="47" t="n">
        <v>17100000</v>
      </c>
      <c r="BP79" s="47" t="n">
        <v>1362</v>
      </c>
      <c r="BQ79" s="71" t="n">
        <v>0.138</v>
      </c>
      <c r="BR79" s="49" t="n">
        <f aca="false">IF(BO79&gt;0,BP79*1000000/BO79,0)</f>
        <v>79.6491228070176</v>
      </c>
      <c r="BS79" s="67" t="n">
        <f aca="false">IF(AND(BQ79&gt;0,BR78&gt;0,B79&gt;0),MIN(conv_cap,conv_beta*1*BQ79*MAX(0,LN(B79/(BR78*BT78)))),0)</f>
        <v>0.00414216717545212</v>
      </c>
      <c r="BT79" s="68" t="n">
        <f aca="false">BT78*(1+BS79)</f>
        <v>1.03698319790111</v>
      </c>
      <c r="BU79" s="49" t="n">
        <f aca="false">BP79*BT79</f>
        <v>1412.37111554131</v>
      </c>
      <c r="BV79" s="70" t="n">
        <f aca="false">IF(BO79&gt;0,BU79*1000000/BO79/Economy!Q79,0)</f>
        <v>0.103243502598049</v>
      </c>
      <c r="BW79" s="68" t="n">
        <f aca="false">0.25*IF(D79&gt;0,H79,1)+0.15*IF(AJ79&gt;0,AN79,1)+0.03*IF(AR79&gt;0,AV79,1)+0.08*IF(AZ79&gt;0,BD79,1)+0.12*IF(BH79&gt;0,BL79,1)+0.1*IF(L79&gt;0,P79,1)+0.07*IF(T79&gt;0,X79,1)+0.05*IF(AB79&gt;0,AF79,1)+0.05*IF(BP79&gt;0,BT79,1)+0.1</f>
        <v>1.48394507236902</v>
      </c>
      <c r="BX79" s="66" t="n">
        <f aca="false">MIN(mkt_cap,mkt_elast*MAX(0,BW79-1))</f>
        <v>0.24197253618451</v>
      </c>
      <c r="BY79" s="49" t="n">
        <f aca="false">I79+Q79+Y79+AG79</f>
        <v>24140.2835932053</v>
      </c>
      <c r="BZ79" s="49" t="n">
        <f aca="false">D79+L79+T79+AB79</f>
        <v>13545.483</v>
      </c>
      <c r="CA79" s="68" t="n">
        <f aca="false">IF(BZ79&gt;0,BY79/BZ79,0)</f>
        <v>1.78216484367559</v>
      </c>
    </row>
    <row r="80" customFormat="false" ht="14.25" hidden="false" customHeight="true" outlineLevel="0" collapsed="false">
      <c r="A80" s="64" t="n">
        <v>1920</v>
      </c>
      <c r="B80" s="49" t="n">
        <f aca="false">Economy!P79</f>
        <v>1801.12131987615</v>
      </c>
      <c r="C80" s="47" t="n">
        <v>56000000</v>
      </c>
      <c r="D80" s="65" t="n">
        <f aca="false">Japan!B80</f>
        <v>7930</v>
      </c>
      <c r="E80" s="71" t="n">
        <v>0.869</v>
      </c>
      <c r="F80" s="49" t="n">
        <f aca="false">IF(C80&gt;0,D80*1000000/C80,0)</f>
        <v>141.607142857143</v>
      </c>
      <c r="G80" s="67" t="n">
        <f aca="false">IF(AND(E80&gt;0,F79&gt;0,B80&gt;0),MIN(conv_cap,conv_beta*jp_uplift*E80*MAX(0,LN(B80/(F79*H79)))),0)</f>
        <v>0.0154151759173164</v>
      </c>
      <c r="H80" s="68" t="n">
        <f aca="false">H79*(1+G80)</f>
        <v>2.22112789028344</v>
      </c>
      <c r="I80" s="49" t="n">
        <f aca="false">D80*H80</f>
        <v>17613.5441699476</v>
      </c>
      <c r="J80" s="70" t="n">
        <f aca="false">IF(C80&gt;0,I80*1000000/C80/Economy!Q80,0)</f>
        <v>0.365729737748082</v>
      </c>
      <c r="K80" s="65" t="n">
        <f aca="false">Gulf!B80</f>
        <v>9400000</v>
      </c>
      <c r="L80" s="49" t="n">
        <f aca="false">Gulf!B80*Gulf!C80*Economy!Q80/1000000</f>
        <v>5497.12</v>
      </c>
      <c r="M80" s="71" t="n">
        <v>0.75</v>
      </c>
      <c r="N80" s="49" t="n">
        <f aca="false">IF(K80&gt;0,L80*1000000/K80,0)</f>
        <v>584.8</v>
      </c>
      <c r="O80" s="67" t="n">
        <f aca="false">IF(AND(M80&gt;0,N79&gt;0,B80&gt;0),MIN(conv_cap,conv_beta*1*M80*MAX(0,LN(B80/(N79*P79)))),0)</f>
        <v>0.00800847801759374</v>
      </c>
      <c r="P80" s="68" t="n">
        <f aca="false">P79*(1+O80)</f>
        <v>1.16266947301223</v>
      </c>
      <c r="Q80" s="49" t="n">
        <f aca="false">L80*P80</f>
        <v>6391.33361348498</v>
      </c>
      <c r="R80" s="70" t="n">
        <f aca="false">IF(K80&gt;0,Q80*1000000/K80/Economy!Q80,0)</f>
        <v>0.790615241648315</v>
      </c>
      <c r="S80" s="65" t="n">
        <f aca="false">People!U80</f>
        <v>10862301</v>
      </c>
      <c r="T80" s="47" t="n">
        <v>914.848</v>
      </c>
      <c r="U80" s="71" t="n">
        <v>0.77</v>
      </c>
      <c r="V80" s="49" t="n">
        <f aca="false">IF(S80&gt;0,T80*1000000/S80,0)</f>
        <v>84.2223024384981</v>
      </c>
      <c r="W80" s="67" t="n">
        <f aca="false">IF(AND(U80&gt;0,V79&gt;0,B80&gt;0),MIN(conv_cap,conv_beta*1*U80*MAX(0,LN(B80/(V79*X79)))),0)</f>
        <v>0.0196445689840578</v>
      </c>
      <c r="X80" s="68" t="n">
        <f aca="false">X79*(1+W80)</f>
        <v>1.80842292941188</v>
      </c>
      <c r="Y80" s="49" t="n">
        <f aca="false">T80*X80</f>
        <v>1654.43210012659</v>
      </c>
      <c r="Z80" s="70" t="n">
        <f aca="false">IF(S80&gt;0,Y80*1000000/S80/Economy!Q80,0)</f>
        <v>0.17710411964842</v>
      </c>
      <c r="AA80" s="47" t="n">
        <v>0</v>
      </c>
      <c r="AB80" s="47" t="n">
        <v>0</v>
      </c>
      <c r="AC80" s="71" t="n">
        <v>0</v>
      </c>
      <c r="AD80" s="49" t="n">
        <f aca="false">IF(AA80&gt;0,AB80*1000000/AA80,0)</f>
        <v>0</v>
      </c>
      <c r="AE80" s="67" t="n">
        <f aca="false">IF(AND(AC80&gt;0,AD79&gt;0,B80&gt;0),MIN(conv_cap,conv_beta*1*AC80*MAX(0,LN(B80/(AD79*AF79)))),0)</f>
        <v>0</v>
      </c>
      <c r="AF80" s="68" t="n">
        <f aca="false">AF79*(1+AE80)</f>
        <v>1</v>
      </c>
      <c r="AG80" s="49" t="n">
        <f aca="false">AB80*AF80</f>
        <v>0</v>
      </c>
      <c r="AH80" s="70" t="n">
        <f aca="false">IF(AA80&gt;0,AG80*1000000/AA80/Economy!Q80,0)</f>
        <v>0</v>
      </c>
      <c r="AI80" s="47" t="n">
        <v>456200000</v>
      </c>
      <c r="AJ80" s="47" t="n">
        <v>6312</v>
      </c>
      <c r="AK80" s="71" t="n">
        <v>0.29</v>
      </c>
      <c r="AL80" s="49" t="n">
        <f aca="false">IF(AI80&gt;0,AJ80*1000000/AI80,0)</f>
        <v>13.8360368259535</v>
      </c>
      <c r="AM80" s="67" t="n">
        <f aca="false">IF(AND(AK80&gt;0,AL79&gt;0,B80&gt;0),MIN(conv_cap,conv_beta*1*AK80*MAX(0,LN(B80/(AL79*AN79)))),0)</f>
        <v>0.0131569790427304</v>
      </c>
      <c r="AN80" s="68" t="n">
        <f aca="false">AN79*(1+AM80)</f>
        <v>1.44339833167786</v>
      </c>
      <c r="AO80" s="49" t="n">
        <f aca="false">AJ80*AN80</f>
        <v>9110.73026955064</v>
      </c>
      <c r="AP80" s="70" t="n">
        <f aca="false">IF(AI80&gt;0,AO80*1000000/AI80/Economy!Q80,0)</f>
        <v>0.0232219912460637</v>
      </c>
      <c r="AQ80" s="47" t="n">
        <v>17190000</v>
      </c>
      <c r="AR80" s="47" t="n">
        <v>662</v>
      </c>
      <c r="AS80" s="71" t="n">
        <v>0.562</v>
      </c>
      <c r="AT80" s="49" t="n">
        <f aca="false">IF(AQ80&gt;0,AR80*1000000/AQ80,0)</f>
        <v>38.5107620709715</v>
      </c>
      <c r="AU80" s="67" t="n">
        <f aca="false">IF(AND(AS80&gt;0,AT79&gt;0,B80&gt;0),MIN(conv_cap,conv_beta*1*AS80*MAX(0,LN(B80/(AT79*AV79)))),0)</f>
        <v>0.0190508584902178</v>
      </c>
      <c r="AV80" s="68" t="n">
        <f aca="false">AV79*(1+AU80)</f>
        <v>1.67126652378854</v>
      </c>
      <c r="AW80" s="49" t="n">
        <f aca="false">AR80*AV80</f>
        <v>1106.37843874801</v>
      </c>
      <c r="AX80" s="70" t="n">
        <f aca="false">IF(AQ80&gt;0,AW80*1000000/AQ80/Economy!Q80,0)</f>
        <v>0.0748392412265117</v>
      </c>
      <c r="AY80" s="47" t="n">
        <v>108100000</v>
      </c>
      <c r="AZ80" s="47" t="n">
        <v>4500</v>
      </c>
      <c r="BA80" s="71" t="n">
        <v>0.194</v>
      </c>
      <c r="BB80" s="49" t="n">
        <f aca="false">IF(AY80&gt;0,AZ80*1000000/AY80,0)</f>
        <v>41.6281221091582</v>
      </c>
      <c r="BC80" s="67" t="n">
        <f aca="false">IF(AND(BA80&gt;0,BB79&gt;0,B80&gt;0),MIN(conv_cap,conv_beta*1*BA80*MAX(0,LN(B80/(BB79*BD79)))),0)</f>
        <v>0.00711664796061597</v>
      </c>
      <c r="BD80" s="68" t="n">
        <f aca="false">BD79*(1+BC80)</f>
        <v>1.1469380714023</v>
      </c>
      <c r="BE80" s="49" t="n">
        <f aca="false">AZ80*BD80</f>
        <v>5161.22132131036</v>
      </c>
      <c r="BF80" s="70" t="n">
        <f aca="false">IF(AY80&gt;0,BE80*1000000/AY80/Economy!Q80,0)</f>
        <v>0.0555173001022993</v>
      </c>
      <c r="BG80" s="47" t="n">
        <v>40900000</v>
      </c>
      <c r="BH80" s="47" t="n">
        <v>5000</v>
      </c>
      <c r="BI80" s="71" t="n">
        <v>0.344</v>
      </c>
      <c r="BJ80" s="49" t="n">
        <f aca="false">IF(BG80&gt;0,BH80*1000000/BG80,0)</f>
        <v>122.249388753056</v>
      </c>
      <c r="BK80" s="67" t="n">
        <f aca="false">IF(AND(BI80&gt;0,BJ79&gt;0,B80&gt;0),MIN(conv_cap,conv_beta*1*BI80*MAX(0,LN(B80/(BJ79*BL79)))),0)</f>
        <v>0.0087691709384674</v>
      </c>
      <c r="BL80" s="68" t="n">
        <f aca="false">BL79*(1+BK80)</f>
        <v>1.19156100774367</v>
      </c>
      <c r="BM80" s="49" t="n">
        <f aca="false">BH80*BL80</f>
        <v>5957.80503871836</v>
      </c>
      <c r="BN80" s="70" t="n">
        <f aca="false">IF(BG80&gt;0,BM80*1000000/BG80/Economy!Q80,0)</f>
        <v>0.169380935882139</v>
      </c>
      <c r="BO80" s="47" t="n">
        <v>17300000</v>
      </c>
      <c r="BP80" s="47" t="n">
        <v>1406</v>
      </c>
      <c r="BQ80" s="71" t="n">
        <v>0.144</v>
      </c>
      <c r="BR80" s="49" t="n">
        <f aca="false">IF(BO80&gt;0,BP80*1000000/BO80,0)</f>
        <v>81.271676300578</v>
      </c>
      <c r="BS80" s="67" t="n">
        <f aca="false">IF(AND(BQ80&gt;0,BR79&gt;0,B80&gt;0),MIN(conv_cap,conv_beta*1*BQ80*MAX(0,LN(B80/(BR79*BT79)))),0)</f>
        <v>0.00443839385620858</v>
      </c>
      <c r="BT80" s="68" t="n">
        <f aca="false">BT79*(1+BS80)</f>
        <v>1.04158573775567</v>
      </c>
      <c r="BU80" s="49" t="n">
        <f aca="false">BP80*BT80</f>
        <v>1464.46954728447</v>
      </c>
      <c r="BV80" s="70" t="n">
        <f aca="false">IF(BO80&gt;0,BU80*1000000/BO80/Economy!Q80,0)</f>
        <v>0.098431882462997</v>
      </c>
      <c r="BW80" s="68" t="n">
        <f aca="false">0.25*IF(D80&gt;0,H80,1)+0.15*IF(AJ80&gt;0,AN80,1)+0.03*IF(AR80&gt;0,AV80,1)+0.08*IF(AZ80&gt;0,BD80,1)+0.12*IF(BH80&gt;0,BL80,1)+0.1*IF(L80&gt;0,P80,1)+0.07*IF(T80&gt;0,X80,1)+0.05*IF(AB80&gt;0,AF80,1)+0.05*IF(BP80&gt;0,BT80,1)+0.1</f>
        <v>1.50160792392546</v>
      </c>
      <c r="BX80" s="66" t="n">
        <f aca="false">MIN(mkt_cap,mkt_elast*MAX(0,BW80-1))</f>
        <v>0.250803961962728</v>
      </c>
      <c r="BY80" s="49" t="n">
        <f aca="false">I80+Q80+Y80+AG80</f>
        <v>25659.3098835592</v>
      </c>
      <c r="BZ80" s="49" t="n">
        <f aca="false">D80+L80+T80+AB80</f>
        <v>14341.968</v>
      </c>
      <c r="CA80" s="68" t="n">
        <f aca="false">IF(BZ80&gt;0,BY80/BZ80,0)</f>
        <v>1.78910661936766</v>
      </c>
    </row>
    <row r="81" customFormat="false" ht="14.25" hidden="false" customHeight="true" outlineLevel="0" collapsed="false">
      <c r="A81" s="64" t="n">
        <v>1921</v>
      </c>
      <c r="B81" s="49" t="n">
        <f aca="false">Economy!P80</f>
        <v>2044.0264658196</v>
      </c>
      <c r="C81" s="47" t="n">
        <v>56830000</v>
      </c>
      <c r="D81" s="65" t="n">
        <f aca="false">Japan!B81</f>
        <v>7430</v>
      </c>
      <c r="E81" s="71" t="n">
        <v>0.887</v>
      </c>
      <c r="F81" s="49" t="n">
        <f aca="false">IF(C81&gt;0,D81*1000000/C81,0)</f>
        <v>130.74080591237</v>
      </c>
      <c r="G81" s="67" t="n">
        <f aca="false">IF(AND(E81&gt;0,F80&gt;0,B81&gt;0),MIN(conv_cap,conv_beta*jp_uplift*E81*MAX(0,LN(B81/(F80*H80)))),0)</f>
        <v>0.0166011376791373</v>
      </c>
      <c r="H81" s="68" t="n">
        <f aca="false">H80*(1+G81)</f>
        <v>2.258001140193</v>
      </c>
      <c r="I81" s="49" t="n">
        <f aca="false">D81*H81</f>
        <v>16776.948471634</v>
      </c>
      <c r="J81" s="70" t="n">
        <f aca="false">IF(C81&gt;0,I81*1000000/C81/Economy!Q81,0)</f>
        <v>0.458405106863174</v>
      </c>
      <c r="K81" s="65" t="n">
        <f aca="false">Gulf!B81</f>
        <v>9560000</v>
      </c>
      <c r="L81" s="49" t="n">
        <f aca="false">Gulf!B81*Gulf!C81*Economy!Q81/1000000</f>
        <v>4168.04528</v>
      </c>
      <c r="M81" s="71" t="n">
        <v>0.761</v>
      </c>
      <c r="N81" s="49" t="n">
        <f aca="false">IF(K81&gt;0,L81*1000000/K81,0)</f>
        <v>435.988</v>
      </c>
      <c r="O81" s="67" t="n">
        <f aca="false">IF(AND(M81&gt;0,N80&gt;0,B81&gt;0),MIN(conv_cap,conv_beta*1*M81*MAX(0,LN(B81/(N80*P80)))),0)</f>
        <v>0.00837623841782298</v>
      </c>
      <c r="P81" s="68" t="n">
        <f aca="false">P80*(1+O81)</f>
        <v>1.1724082697193</v>
      </c>
      <c r="Q81" s="49" t="n">
        <f aca="false">L81*P81</f>
        <v>4886.65075483651</v>
      </c>
      <c r="R81" s="70" t="n">
        <f aca="false">IF(K81&gt;0,Q81*1000000/K81/Economy!Q81,0)</f>
        <v>0.793720398599968</v>
      </c>
      <c r="S81" s="65" t="n">
        <f aca="false">People!U81</f>
        <v>11058475</v>
      </c>
      <c r="T81" s="47" t="n">
        <v>954.491</v>
      </c>
      <c r="U81" s="71" t="n">
        <v>0.774</v>
      </c>
      <c r="V81" s="49" t="n">
        <f aca="false">IF(S81&gt;0,T81*1000000/S81,0)</f>
        <v>86.3130766222287</v>
      </c>
      <c r="W81" s="67" t="n">
        <f aca="false">IF(AND(U81&gt;0,V80&gt;0,B81&gt;0),MIN(conv_cap,conv_beta*1*U81*MAX(0,LN(B81/(V80*X80)))),0)</f>
        <v>0.0200989377468808</v>
      </c>
      <c r="X81" s="68" t="n">
        <f aca="false">X80*(1+W81)</f>
        <v>1.84477030929016</v>
      </c>
      <c r="Y81" s="49" t="n">
        <f aca="false">T81*X81</f>
        <v>1760.81665728467</v>
      </c>
      <c r="Z81" s="70" t="n">
        <f aca="false">IF(S81&gt;0,Y81*1000000/S81/Economy!Q81,0)</f>
        <v>0.247248138285984</v>
      </c>
      <c r="AA81" s="47" t="n">
        <v>10000000</v>
      </c>
      <c r="AB81" s="47" t="n">
        <v>1000</v>
      </c>
      <c r="AC81" s="71" t="n">
        <v>0.4</v>
      </c>
      <c r="AD81" s="49" t="n">
        <f aca="false">IF(AA81&gt;0,AB81*1000000/AA81,0)</f>
        <v>100</v>
      </c>
      <c r="AE81" s="67" t="n">
        <f aca="false">IF(AND(AC81&gt;0,AD80&gt;0,B81&gt;0),MIN(conv_cap,conv_beta*1*AC81*MAX(0,LN(B81/(AD80*AF80)))),0)</f>
        <v>0</v>
      </c>
      <c r="AF81" s="68" t="n">
        <f aca="false">AF80*(1+AE81)</f>
        <v>1</v>
      </c>
      <c r="AG81" s="49" t="n">
        <f aca="false">AB81*AF81</f>
        <v>1000</v>
      </c>
      <c r="AH81" s="70" t="n">
        <f aca="false">IF(AA81&gt;0,AG81*1000000/AA81/Economy!Q81,0)</f>
        <v>0.15527950310559</v>
      </c>
      <c r="AI81" s="47" t="n">
        <v>460000000</v>
      </c>
      <c r="AJ81" s="47" t="n">
        <v>6500</v>
      </c>
      <c r="AK81" s="71" t="n">
        <v>0.295</v>
      </c>
      <c r="AL81" s="49" t="n">
        <f aca="false">IF(AI81&gt;0,AJ81*1000000/AI81,0)</f>
        <v>14.1304347826087</v>
      </c>
      <c r="AM81" s="67" t="n">
        <f aca="false">IF(AND(AK81&gt;0,AL80&gt;0,B81&gt;0),MIN(conv_cap,conv_beta*1*AK81*MAX(0,LN(B81/(AL80*AN80)))),0)</f>
        <v>0.0136537801793294</v>
      </c>
      <c r="AN81" s="68" t="n">
        <f aca="false">AN80*(1+AM81)</f>
        <v>1.4631061752098</v>
      </c>
      <c r="AO81" s="49" t="n">
        <f aca="false">AJ81*AN81</f>
        <v>9510.19013886369</v>
      </c>
      <c r="AP81" s="70" t="n">
        <f aca="false">IF(AI81&gt;0,AO81*1000000/AI81/Economy!Q81,0)</f>
        <v>0.0321029912870095</v>
      </c>
      <c r="AQ81" s="47" t="n">
        <v>17500000</v>
      </c>
      <c r="AR81" s="47" t="n">
        <v>700</v>
      </c>
      <c r="AS81" s="71" t="n">
        <v>0.567</v>
      </c>
      <c r="AT81" s="49" t="n">
        <f aca="false">IF(AQ81&gt;0,AR81*1000000/AQ81,0)</f>
        <v>40</v>
      </c>
      <c r="AU81" s="67" t="n">
        <f aca="false">IF(AND(AS81&gt;0,AT80&gt;0,B81&gt;0),MIN(conv_cap,conv_beta*1*AS81*MAX(0,LN(B81/(AT80*AV80)))),0)</f>
        <v>0.0196077526070154</v>
      </c>
      <c r="AV81" s="68" t="n">
        <f aca="false">AV80*(1+AU81)</f>
        <v>1.70403630432737</v>
      </c>
      <c r="AW81" s="49" t="n">
        <f aca="false">AR81*AV81</f>
        <v>1192.82541302916</v>
      </c>
      <c r="AX81" s="70" t="n">
        <f aca="false">IF(AQ81&gt;0,AW81*1000000/AQ81/Economy!Q81,0)</f>
        <v>0.105840764243936</v>
      </c>
      <c r="AY81" s="47" t="n">
        <v>110000000</v>
      </c>
      <c r="AZ81" s="47" t="n">
        <v>4667</v>
      </c>
      <c r="BA81" s="71" t="n">
        <v>0.2</v>
      </c>
      <c r="BB81" s="49" t="n">
        <f aca="false">IF(AY81&gt;0,AZ81*1000000/AY81,0)</f>
        <v>42.4272727272727</v>
      </c>
      <c r="BC81" s="67" t="n">
        <f aca="false">IF(AND(BA81&gt;0,BB80&gt;0,B81&gt;0),MIN(conv_cap,conv_beta*1*BA81*MAX(0,LN(B81/(BB80*BD80)))),0)</f>
        <v>0.00751361020658449</v>
      </c>
      <c r="BD81" s="68" t="n">
        <f aca="false">BD80*(1+BC81)</f>
        <v>1.15555571700191</v>
      </c>
      <c r="BE81" s="49" t="n">
        <f aca="false">AZ81*BD81</f>
        <v>5392.97853124791</v>
      </c>
      <c r="BF81" s="70" t="n">
        <f aca="false">IF(AY81&gt;0,BE81*1000000/AY81/Economy!Q81,0)</f>
        <v>0.0761290024173901</v>
      </c>
      <c r="BG81" s="47" t="n">
        <v>41500000</v>
      </c>
      <c r="BH81" s="47" t="n">
        <v>5222</v>
      </c>
      <c r="BI81" s="71" t="n">
        <v>0.35</v>
      </c>
      <c r="BJ81" s="49" t="n">
        <f aca="false">IF(BG81&gt;0,BH81*1000000/BG81,0)</f>
        <v>125.831325301205</v>
      </c>
      <c r="BK81" s="67" t="n">
        <f aca="false">IF(AND(BI81&gt;0,BJ80&gt;0,B81&gt;0),MIN(conv_cap,conv_beta*1*BI81*MAX(0,LN(B81/(BJ80*BL80)))),0)</f>
        <v>0.00924472343272981</v>
      </c>
      <c r="BL81" s="68" t="n">
        <f aca="false">BL80*(1+BK81)</f>
        <v>1.20257665971349</v>
      </c>
      <c r="BM81" s="49" t="n">
        <f aca="false">BH81*BL81</f>
        <v>6279.85531702383</v>
      </c>
      <c r="BN81" s="70" t="n">
        <f aca="false">IF(BG81&gt;0,BM81*1000000/BG81/Economy!Q81,0)</f>
        <v>0.23497176221746</v>
      </c>
      <c r="BO81" s="47" t="n">
        <v>17500000</v>
      </c>
      <c r="BP81" s="47" t="n">
        <v>1450</v>
      </c>
      <c r="BQ81" s="71" t="n">
        <v>0.15</v>
      </c>
      <c r="BR81" s="49" t="n">
        <f aca="false">IF(BO81&gt;0,BP81*1000000/BO81,0)</f>
        <v>82.8571428571429</v>
      </c>
      <c r="BS81" s="67" t="n">
        <f aca="false">IF(AND(BQ81&gt;0,BR80&gt;0,B81&gt;0),MIN(conv_cap,conv_beta*1*BQ81*MAX(0,LN(B81/(BR80*BT80)))),0)</f>
        <v>0.004776202543017</v>
      </c>
      <c r="BT81" s="68" t="n">
        <f aca="false">BT80*(1+BS81)</f>
        <v>1.04656056220511</v>
      </c>
      <c r="BU81" s="49" t="n">
        <f aca="false">BP81*BT81</f>
        <v>1517.5128151974</v>
      </c>
      <c r="BV81" s="70" t="n">
        <f aca="false">IF(BO81&gt;0,BU81*1000000/BO81/Economy!Q81,0)</f>
        <v>0.134650649085839</v>
      </c>
      <c r="BW81" s="68" t="n">
        <f aca="false">0.25*IF(D81&gt;0,H81,1)+0.15*IF(AJ81&gt;0,AN81,1)+0.03*IF(AR81&gt;0,AV81,1)+0.08*IF(AZ81&gt;0,BD81,1)+0.12*IF(BH81&gt;0,BL81,1)+0.1*IF(L81&gt;0,P81,1)+0.07*IF(T81&gt;0,X81,1)+0.05*IF(AB81&gt;0,AF81,1)+0.05*IF(BP81&gt;0,BT81,1)+0.1</f>
        <v>1.52054373371781</v>
      </c>
      <c r="BX81" s="66" t="n">
        <f aca="false">MIN(mkt_cap,mkt_elast*MAX(0,BW81-1))</f>
        <v>0.260271866858905</v>
      </c>
      <c r="BY81" s="49" t="n">
        <f aca="false">I81+Q81+Y81+AG81</f>
        <v>24424.4158837552</v>
      </c>
      <c r="BZ81" s="49" t="n">
        <f aca="false">D81+L81+T81+AB81</f>
        <v>13552.53628</v>
      </c>
      <c r="CA81" s="68" t="n">
        <f aca="false">IF(BZ81&gt;0,BY81/BZ81,0)</f>
        <v>1.80220258253794</v>
      </c>
    </row>
    <row r="82" customFormat="false" ht="14.25" hidden="false" customHeight="true" outlineLevel="0" collapsed="false">
      <c r="A82" s="64" t="n">
        <v>1922</v>
      </c>
      <c r="B82" s="49" t="n">
        <f aca="false">Economy!P81</f>
        <v>1620.10124080154</v>
      </c>
      <c r="C82" s="47" t="n">
        <v>57670000</v>
      </c>
      <c r="D82" s="65" t="n">
        <f aca="false">Japan!B82</f>
        <v>7700</v>
      </c>
      <c r="E82" s="71" t="n">
        <v>0.906</v>
      </c>
      <c r="F82" s="49" t="n">
        <f aca="false">IF(C82&gt;0,D82*1000000/C82,0)</f>
        <v>133.518293740246</v>
      </c>
      <c r="G82" s="67" t="n">
        <f aca="false">IF(AND(E82&gt;0,F81&gt;0,B82&gt;0),MIN(conv_cap,conv_beta*jp_uplift*E82*MAX(0,LN(B82/(F81*H81)))),0)</f>
        <v>0.0154250773376272</v>
      </c>
      <c r="H82" s="68" t="n">
        <f aca="false">H81*(1+G82)</f>
        <v>2.29283098240893</v>
      </c>
      <c r="I82" s="49" t="n">
        <f aca="false">D82*H82</f>
        <v>17654.7985645488</v>
      </c>
      <c r="J82" s="70" t="n">
        <f aca="false">IF(C82&gt;0,I82*1000000/C82/Economy!Q82,0)</f>
        <v>0.450198353832372</v>
      </c>
      <c r="K82" s="65" t="n">
        <f aca="false">Gulf!B82</f>
        <v>9710000</v>
      </c>
      <c r="L82" s="49" t="n">
        <f aca="false">Gulf!B82*Gulf!C82*Economy!Q82/1000000</f>
        <v>4443.6844</v>
      </c>
      <c r="M82" s="71" t="n">
        <v>0.772</v>
      </c>
      <c r="N82" s="49" t="n">
        <f aca="false">IF(K82&gt;0,L82*1000000/K82,0)</f>
        <v>457.64</v>
      </c>
      <c r="O82" s="67" t="n">
        <f aca="false">IF(AND(M82&gt;0,N81&gt;0,B82&gt;0),MIN(conv_cap,conv_beta*1*M82*MAX(0,LN(B82/(N81*P81)))),0)</f>
        <v>0.00890555435573693</v>
      </c>
      <c r="P82" s="68" t="n">
        <f aca="false">P81*(1+O82)</f>
        <v>1.1828492152924</v>
      </c>
      <c r="Q82" s="49" t="n">
        <f aca="false">L82*P82</f>
        <v>5256.2086055471</v>
      </c>
      <c r="R82" s="70" t="n">
        <f aca="false">IF(K82&gt;0,Q82*1000000/K82/Economy!Q82,0)</f>
        <v>0.796057521891788</v>
      </c>
      <c r="S82" s="65" t="n">
        <f aca="false">People!U82</f>
        <v>11253705</v>
      </c>
      <c r="T82" s="47" t="n">
        <v>994.14</v>
      </c>
      <c r="U82" s="71" t="n">
        <v>0.778</v>
      </c>
      <c r="V82" s="49" t="n">
        <f aca="false">IF(S82&gt;0,T82*1000000/S82,0)</f>
        <v>88.3389070532771</v>
      </c>
      <c r="W82" s="67" t="n">
        <f aca="false">IF(AND(U82&gt;0,V81&gt;0,B82&gt;0),MIN(conv_cap,conv_beta*1*U82*MAX(0,LN(B82/(V81*X81)))),0)</f>
        <v>0.0180488844942626</v>
      </c>
      <c r="X82" s="68" t="n">
        <f aca="false">X81*(1+W82)</f>
        <v>1.87806635552098</v>
      </c>
      <c r="Y82" s="49" t="n">
        <f aca="false">T82*X82</f>
        <v>1867.06088667763</v>
      </c>
      <c r="Z82" s="70" t="n">
        <f aca="false">IF(S82&gt;0,Y82*1000000/S82/Economy!Q82,0)</f>
        <v>0.243979895912139</v>
      </c>
      <c r="AA82" s="47" t="n">
        <v>10250000</v>
      </c>
      <c r="AB82" s="47" t="n">
        <v>1075</v>
      </c>
      <c r="AC82" s="71" t="n">
        <v>0.438</v>
      </c>
      <c r="AD82" s="49" t="n">
        <f aca="false">IF(AA82&gt;0,AB82*1000000/AA82,0)</f>
        <v>104.878048780488</v>
      </c>
      <c r="AE82" s="67" t="n">
        <f aca="false">IF(AND(AC82&gt;0,AD81&gt;0,B82&gt;0),MIN(conv_cap,conv_beta*1*AC82*MAX(0,LN(B82/(AD81*AF81)))),0)</f>
        <v>0.0121986229575812</v>
      </c>
      <c r="AF82" s="68" t="n">
        <f aca="false">AF81*(1+AE82)</f>
        <v>1.01219862295758</v>
      </c>
      <c r="AG82" s="49" t="n">
        <f aca="false">AB82*AF82</f>
        <v>1088.1135196794</v>
      </c>
      <c r="AH82" s="70" t="n">
        <f aca="false">IF(AA82&gt;0,AG82*1000000/AA82/Economy!Q82,0)</f>
        <v>0.156113847873658</v>
      </c>
      <c r="AI82" s="47" t="n">
        <v>463800000</v>
      </c>
      <c r="AJ82" s="47" t="n">
        <v>6688</v>
      </c>
      <c r="AK82" s="71" t="n">
        <v>0.3</v>
      </c>
      <c r="AL82" s="49" t="n">
        <f aca="false">IF(AI82&gt;0,AJ82*1000000/AI82,0)</f>
        <v>14.4200086244071</v>
      </c>
      <c r="AM82" s="67" t="n">
        <f aca="false">IF(AND(AK82&gt;0,AL81&gt;0,B82&gt;0),MIN(conv_cap,conv_beta*1*AK82*MAX(0,LN(B82/(AL81*AN81)))),0)</f>
        <v>0.0130840537835037</v>
      </c>
      <c r="AN82" s="68" t="n">
        <f aca="false">AN81*(1+AM82)</f>
        <v>1.48224953509722</v>
      </c>
      <c r="AO82" s="49" t="n">
        <f aca="false">AJ82*AN82</f>
        <v>9913.28489073021</v>
      </c>
      <c r="AP82" s="70" t="n">
        <f aca="false">IF(AI82&gt;0,AO82*1000000/AI82/Economy!Q82,0)</f>
        <v>0.0314324280582725</v>
      </c>
      <c r="AQ82" s="47" t="n">
        <v>17810000</v>
      </c>
      <c r="AR82" s="47" t="n">
        <v>738</v>
      </c>
      <c r="AS82" s="71" t="n">
        <v>0.571</v>
      </c>
      <c r="AT82" s="49" t="n">
        <f aca="false">IF(AQ82&gt;0,AR82*1000000/AQ82,0)</f>
        <v>41.4373947220663</v>
      </c>
      <c r="AU82" s="67" t="n">
        <f aca="false">IF(AND(AS82&gt;0,AT81&gt;0,B82&gt;0),MIN(conv_cap,conv_beta*1*AS82*MAX(0,LN(B82/(AT81*AV81)))),0)</f>
        <v>0.0180913626251167</v>
      </c>
      <c r="AV82" s="68" t="n">
        <f aca="false">AV81*(1+AU82)</f>
        <v>1.73486464303532</v>
      </c>
      <c r="AW82" s="49" t="n">
        <f aca="false">AR82*AV82</f>
        <v>1280.33010656007</v>
      </c>
      <c r="AX82" s="70" t="n">
        <f aca="false">IF(AQ82&gt;0,AW82*1000000/AQ82/Economy!Q82,0)</f>
        <v>0.105718045592369</v>
      </c>
      <c r="AY82" s="47" t="n">
        <v>111900000</v>
      </c>
      <c r="AZ82" s="47" t="n">
        <v>4833</v>
      </c>
      <c r="BA82" s="71" t="n">
        <v>0.206</v>
      </c>
      <c r="BB82" s="49" t="n">
        <f aca="false">IF(AY82&gt;0,AZ82*1000000/AY82,0)</f>
        <v>43.1903485254692</v>
      </c>
      <c r="BC82" s="67" t="n">
        <f aca="false">IF(AND(BA82&gt;0,BB81&gt;0,B82&gt;0),MIN(conv_cap,conv_beta*1*BA82*MAX(0,LN(B82/(BB81*BD81)))),0)</f>
        <v>0.00720561461414282</v>
      </c>
      <c r="BD82" s="68" t="n">
        <f aca="false">BD81*(1+BC82)</f>
        <v>1.1638822061638</v>
      </c>
      <c r="BE82" s="49" t="n">
        <f aca="false">AZ82*BD82</f>
        <v>5625.04270238962</v>
      </c>
      <c r="BF82" s="70" t="n">
        <f aca="false">IF(AY82&gt;0,BE82*1000000/AY82/Economy!Q82,0)</f>
        <v>0.073924232539421</v>
      </c>
      <c r="BG82" s="47" t="n">
        <v>42100000</v>
      </c>
      <c r="BH82" s="47" t="n">
        <v>5444</v>
      </c>
      <c r="BI82" s="71" t="n">
        <v>0.356</v>
      </c>
      <c r="BJ82" s="49" t="n">
        <f aca="false">IF(BG82&gt;0,BH82*1000000/BG82,0)</f>
        <v>129.311163895487</v>
      </c>
      <c r="BK82" s="67" t="n">
        <f aca="false">IF(AND(BI82&gt;0,BJ81&gt;0,B82&gt;0),MIN(conv_cap,conv_beta*1*BI82*MAX(0,LN(B82/(BJ81*BL81)))),0)</f>
        <v>0.0084401730532804</v>
      </c>
      <c r="BL82" s="68" t="n">
        <f aca="false">BL81*(1+BK82)</f>
        <v>1.2127266148313</v>
      </c>
      <c r="BM82" s="49" t="n">
        <f aca="false">BH82*BL82</f>
        <v>6602.08369114162</v>
      </c>
      <c r="BN82" s="70" t="n">
        <f aca="false">IF(BG82&gt;0,BM82*1000000/BG82/Economy!Q82,0)</f>
        <v>0.230616308898338</v>
      </c>
      <c r="BO82" s="47" t="n">
        <v>17700000</v>
      </c>
      <c r="BP82" s="47" t="n">
        <v>1494</v>
      </c>
      <c r="BQ82" s="71" t="n">
        <v>0.156</v>
      </c>
      <c r="BR82" s="49" t="n">
        <f aca="false">IF(BO82&gt;0,BP82*1000000/BO82,0)</f>
        <v>84.406779661017</v>
      </c>
      <c r="BS82" s="67" t="n">
        <f aca="false">IF(AND(BQ82&gt;0,BR81&gt;0,B82&gt;0),MIN(conv_cap,conv_beta*1*BQ82*MAX(0,LN(B82/(BR81*BT81)))),0)</f>
        <v>0.00456708226055098</v>
      </c>
      <c r="BT82" s="68" t="n">
        <f aca="false">BT81*(1+BS82)</f>
        <v>1.05134029038335</v>
      </c>
      <c r="BU82" s="49" t="n">
        <f aca="false">BP82*BT82</f>
        <v>1570.70239383272</v>
      </c>
      <c r="BV82" s="70" t="n">
        <f aca="false">IF(BO82&gt;0,BU82*1000000/BO82/Economy!Q82,0)</f>
        <v>0.130500365057554</v>
      </c>
      <c r="BW82" s="68" t="n">
        <f aca="false">0.25*IF(D82&gt;0,H82,1)+0.15*IF(AJ82&gt;0,AN82,1)+0.03*IF(AR82&gt;0,AV82,1)+0.08*IF(AZ82&gt;0,BD82,1)+0.12*IF(BH82&gt;0,BL82,1)+0.1*IF(L82&gt;0,P82,1)+0.07*IF(T82&gt;0,X82,1)+0.05*IF(AB82&gt;0,AF82,1)+0.05*IF(BP82&gt;0,BT82,1)+0.1</f>
        <v>1.53915539751349</v>
      </c>
      <c r="BX82" s="66" t="n">
        <f aca="false">MIN(mkt_cap,mkt_elast*MAX(0,BW82-1))</f>
        <v>0.269577698756745</v>
      </c>
      <c r="BY82" s="49" t="n">
        <f aca="false">I82+Q82+Y82+AG82</f>
        <v>25866.1815764529</v>
      </c>
      <c r="BZ82" s="49" t="n">
        <f aca="false">D82+L82+T82+AB82</f>
        <v>14212.8244</v>
      </c>
      <c r="CA82" s="68" t="n">
        <f aca="false">IF(BZ82&gt;0,BY82/BZ82,0)</f>
        <v>1.81991846578031</v>
      </c>
    </row>
    <row r="83" customFormat="false" ht="14.25" hidden="false" customHeight="true" outlineLevel="0" collapsed="false">
      <c r="A83" s="61" t="n">
        <v>1923</v>
      </c>
      <c r="B83" s="49" t="n">
        <f aca="false">Economy!P82</f>
        <v>1616.98823737271</v>
      </c>
      <c r="C83" s="47" t="n">
        <v>58500000</v>
      </c>
      <c r="D83" s="65" t="n">
        <f aca="false">Japan!B83</f>
        <v>7430</v>
      </c>
      <c r="E83" s="71" t="n">
        <v>0.925</v>
      </c>
      <c r="F83" s="49" t="n">
        <f aca="false">IF(C83&gt;0,D83*1000000/C83,0)</f>
        <v>127.008547008547</v>
      </c>
      <c r="G83" s="67" t="n">
        <f aca="false">IF(AND(E83&gt;0,F82&gt;0,B83&gt;0),MIN(conv_cap,conv_beta*jp_uplift*E83*MAX(0,LN(B83/(F82*H82)))),0)</f>
        <v>0.0153947268451455</v>
      </c>
      <c r="H83" s="68" t="n">
        <f aca="false">H82*(1+G83)</f>
        <v>2.3281284890852</v>
      </c>
      <c r="I83" s="49" t="n">
        <f aca="false">D83*H83</f>
        <v>17297.9946739031</v>
      </c>
      <c r="J83" s="70" t="n">
        <f aca="false">IF(C83&gt;0,I83*1000000/C83/Economy!Q83,0)</f>
        <v>0.384015865776514</v>
      </c>
      <c r="K83" s="65" t="n">
        <f aca="false">Gulf!B83</f>
        <v>9870000</v>
      </c>
      <c r="L83" s="49" t="n">
        <f aca="false">Gulf!B83*Gulf!C83*Economy!Q83/1000000</f>
        <v>5091.933</v>
      </c>
      <c r="M83" s="71" t="n">
        <v>0.783</v>
      </c>
      <c r="N83" s="49" t="n">
        <f aca="false">IF(K83&gt;0,L83*1000000/K83,0)</f>
        <v>515.9</v>
      </c>
      <c r="O83" s="67" t="n">
        <f aca="false">IF(AND(M83&gt;0,N82&gt;0,B83&gt;0),MIN(conv_cap,conv_beta*1*M83*MAX(0,LN(B83/(N82*P82)))),0)</f>
        <v>0.00856845997750544</v>
      </c>
      <c r="P83" s="68" t="n">
        <f aca="false">P82*(1+O83)</f>
        <v>1.19298441145306</v>
      </c>
      <c r="Q83" s="49" t="n">
        <f aca="false">L83*P83</f>
        <v>6074.59669316342</v>
      </c>
      <c r="R83" s="70" t="n">
        <f aca="false">IF(K83&gt;0,Q83*1000000/K83/Economy!Q83,0)</f>
        <v>0.79929955567355</v>
      </c>
      <c r="S83" s="65" t="n">
        <f aca="false">People!U83</f>
        <v>11449994</v>
      </c>
      <c r="T83" s="47" t="n">
        <v>1033.793</v>
      </c>
      <c r="U83" s="71" t="n">
        <v>0.782</v>
      </c>
      <c r="V83" s="49" t="n">
        <f aca="false">IF(S83&gt;0,T83*1000000/S83,0)</f>
        <v>90.2876455655785</v>
      </c>
      <c r="W83" s="67" t="n">
        <f aca="false">IF(AND(U83&gt;0,V82&gt;0,B83&gt;0),MIN(conv_cap,conv_beta*1*U83*MAX(0,LN(B83/(V82*X82)))),0)</f>
        <v>0.0178053364004924</v>
      </c>
      <c r="X83" s="68" t="n">
        <f aca="false">X82*(1+W83)</f>
        <v>1.91150595876348</v>
      </c>
      <c r="Y83" s="49" t="n">
        <f aca="false">T83*X83</f>
        <v>1976.10147962797</v>
      </c>
      <c r="Z83" s="70" t="n">
        <f aca="false">IF(S83&gt;0,Y83*1000000/S83/Economy!Q83,0)</f>
        <v>0.224136847404322</v>
      </c>
      <c r="AA83" s="47" t="n">
        <v>10500000</v>
      </c>
      <c r="AB83" s="47" t="n">
        <v>1150</v>
      </c>
      <c r="AC83" s="71" t="n">
        <v>0.475</v>
      </c>
      <c r="AD83" s="49" t="n">
        <f aca="false">IF(AA83&gt;0,AB83*1000000/AA83,0)</f>
        <v>109.52380952381</v>
      </c>
      <c r="AE83" s="67" t="n">
        <f aca="false">IF(AND(AC83&gt;0,AD82&gt;0,B83&gt;0),MIN(conv_cap,conv_beta*1*AC83*MAX(0,LN(B83/(AD82*AF82)))),0)</f>
        <v>0.0129361382716292</v>
      </c>
      <c r="AF83" s="68" t="n">
        <f aca="false">AF82*(1+AE83)</f>
        <v>1.02529256430251</v>
      </c>
      <c r="AG83" s="49" t="n">
        <f aca="false">AB83*AF83</f>
        <v>1179.08644894789</v>
      </c>
      <c r="AH83" s="70" t="n">
        <f aca="false">IF(AA83&gt;0,AG83*1000000/AA83/Economy!Q83,0)</f>
        <v>0.145836295479022</v>
      </c>
      <c r="AI83" s="47" t="n">
        <v>467500000</v>
      </c>
      <c r="AJ83" s="47" t="n">
        <v>6875</v>
      </c>
      <c r="AK83" s="71" t="n">
        <v>0.307</v>
      </c>
      <c r="AL83" s="49" t="n">
        <f aca="false">IF(AI83&gt;0,AJ83*1000000/AI83,0)</f>
        <v>14.7058823529412</v>
      </c>
      <c r="AM83" s="67" t="n">
        <f aca="false">IF(AND(AK83&gt;0,AL82&gt;0,B83&gt;0),MIN(conv_cap,conv_beta*1*AK83*MAX(0,LN(B83/(AL82*AN82)))),0)</f>
        <v>0.0132812589034613</v>
      </c>
      <c r="AN83" s="68" t="n">
        <f aca="false">AN82*(1+AM83)</f>
        <v>1.50193567493238</v>
      </c>
      <c r="AO83" s="49" t="n">
        <f aca="false">AJ83*AN83</f>
        <v>10325.8077651601</v>
      </c>
      <c r="AP83" s="70" t="n">
        <f aca="false">IF(AI83&gt;0,AO83*1000000/AI83/Economy!Q83,0)</f>
        <v>0.0286847913470661</v>
      </c>
      <c r="AQ83" s="47" t="n">
        <v>18120000</v>
      </c>
      <c r="AR83" s="47" t="n">
        <v>775</v>
      </c>
      <c r="AS83" s="71" t="n">
        <v>0.575</v>
      </c>
      <c r="AT83" s="49" t="n">
        <f aca="false">IF(AQ83&gt;0,AR83*1000000/AQ83,0)</f>
        <v>42.7704194260486</v>
      </c>
      <c r="AU83" s="67" t="n">
        <f aca="false">IF(AND(AS83&gt;0,AT82&gt;0,B83&gt;0),MIN(conv_cap,conv_beta*1*AS83*MAX(0,LN(B83/(AT82*AV82)))),0)</f>
        <v>0.0179009429127435</v>
      </c>
      <c r="AV83" s="68" t="n">
        <f aca="false">AV82*(1+AU83)</f>
        <v>1.76592035597163</v>
      </c>
      <c r="AW83" s="49" t="n">
        <f aca="false">AR83*AV83</f>
        <v>1368.58827587802</v>
      </c>
      <c r="AX83" s="70" t="n">
        <f aca="false">IF(AQ83&gt;0,AW83*1000000/AQ83/Economy!Q83,0)</f>
        <v>0.0980898107764984</v>
      </c>
      <c r="AY83" s="47" t="n">
        <v>113800000</v>
      </c>
      <c r="AZ83" s="47" t="n">
        <v>5000</v>
      </c>
      <c r="BA83" s="71" t="n">
        <v>0.212</v>
      </c>
      <c r="BB83" s="49" t="n">
        <f aca="false">IF(AY83&gt;0,AZ83*1000000/AY83,0)</f>
        <v>43.9367311072056</v>
      </c>
      <c r="BC83" s="67" t="n">
        <f aca="false">IF(AND(BA83&gt;0,BB82&gt;0,B83&gt;0),MIN(conv_cap,conv_beta*1*BA83*MAX(0,LN(B83/(BB82*BD82)))),0)</f>
        <v>0.00735839784970585</v>
      </c>
      <c r="BD83" s="68" t="n">
        <f aca="false">BD82*(1+BC83)</f>
        <v>1.17244651448694</v>
      </c>
      <c r="BE83" s="49" t="n">
        <f aca="false">AZ83*BD83</f>
        <v>5862.23257243471</v>
      </c>
      <c r="BF83" s="70" t="n">
        <f aca="false">IF(AY83&gt;0,BE83*1000000/AY83/Economy!Q83,0)</f>
        <v>0.06690060681116</v>
      </c>
      <c r="BG83" s="47" t="n">
        <v>42600000</v>
      </c>
      <c r="BH83" s="47" t="n">
        <v>5667</v>
      </c>
      <c r="BI83" s="71" t="n">
        <v>0.363</v>
      </c>
      <c r="BJ83" s="49" t="n">
        <f aca="false">IF(BG83&gt;0,BH83*1000000/BG83,0)</f>
        <v>133.028169014085</v>
      </c>
      <c r="BK83" s="67" t="n">
        <f aca="false">IF(AND(BI83&gt;0,BJ82&gt;0,B83&gt;0),MIN(conv_cap,conv_beta*1*BI83*MAX(0,LN(B83/(BJ82*BL82)))),0)</f>
        <v>0.00846961668501788</v>
      </c>
      <c r="BL83" s="68" t="n">
        <f aca="false">BL82*(1+BK83)</f>
        <v>1.22299794440264</v>
      </c>
      <c r="BM83" s="49" t="n">
        <f aca="false">BH83*BL83</f>
        <v>6930.72935092978</v>
      </c>
      <c r="BN83" s="70" t="n">
        <f aca="false">IF(BG83&gt;0,BM83*1000000/BG83/Economy!Q83,0)</f>
        <v>0.211289840586848</v>
      </c>
      <c r="BO83" s="47" t="n">
        <v>17900000</v>
      </c>
      <c r="BP83" s="47" t="n">
        <v>1538</v>
      </c>
      <c r="BQ83" s="71" t="n">
        <v>0.163</v>
      </c>
      <c r="BR83" s="49" t="n">
        <f aca="false">IF(BO83&gt;0,BP83*1000000/BO83,0)</f>
        <v>85.9217877094972</v>
      </c>
      <c r="BS83" s="67" t="n">
        <f aca="false">IF(AND(BQ83&gt;0,BR82&gt;0,B83&gt;0),MIN(conv_cap,conv_beta*1*BQ83*MAX(0,LN(B83/(BR82*BT82)))),0)</f>
        <v>0.00473124947825762</v>
      </c>
      <c r="BT83" s="68" t="n">
        <f aca="false">BT82*(1+BS83)</f>
        <v>1.05631444358369</v>
      </c>
      <c r="BU83" s="49" t="n">
        <f aca="false">BP83*BT83</f>
        <v>1624.61161423172</v>
      </c>
      <c r="BV83" s="70" t="n">
        <f aca="false">IF(BO83&gt;0,BU83*1000000/BO83/Economy!Q83,0)</f>
        <v>0.117870682306589</v>
      </c>
      <c r="BW83" s="68" t="n">
        <f aca="false">0.25*IF(D83&gt;0,H83,1)+0.15*IF(AJ83&gt;0,AN83,1)+0.03*IF(AR83&gt;0,AV83,1)+0.08*IF(AZ83&gt;0,BD83,1)+0.12*IF(BH83&gt;0,BL83,1)+0.1*IF(L83&gt;0,P83,1)+0.07*IF(T83&gt;0,X83,1)+0.05*IF(AB83&gt;0,AF83,1)+0.05*IF(BP83&gt;0,BT83,1)+0.1</f>
        <v>1.55803976733064</v>
      </c>
      <c r="BX83" s="66" t="n">
        <f aca="false">MIN(mkt_cap,mkt_elast*MAX(0,BW83-1))</f>
        <v>0.27901988366532</v>
      </c>
      <c r="BY83" s="49" t="n">
        <f aca="false">I83+Q83+Y83+AG83</f>
        <v>26527.7792956423</v>
      </c>
      <c r="BZ83" s="49" t="n">
        <f aca="false">D83+L83+T83+AB83</f>
        <v>14705.726</v>
      </c>
      <c r="CA83" s="68" t="n">
        <f aca="false">IF(BZ83&gt;0,BY83/BZ83,0)</f>
        <v>1.80390817125536</v>
      </c>
    </row>
    <row r="84" customFormat="false" ht="14.25" hidden="false" customHeight="true" outlineLevel="0" collapsed="false">
      <c r="A84" s="61" t="n">
        <v>1924</v>
      </c>
      <c r="B84" s="49" t="n">
        <f aca="false">Economy!P83</f>
        <v>1756.44358809221</v>
      </c>
      <c r="C84" s="47" t="n">
        <v>59330000</v>
      </c>
      <c r="D84" s="65" t="n">
        <f aca="false">Japan!B84</f>
        <v>7900</v>
      </c>
      <c r="E84" s="71" t="n">
        <v>0.944</v>
      </c>
      <c r="F84" s="49" t="n">
        <f aca="false">IF(C84&gt;0,D84*1000000/C84,0)</f>
        <v>133.153547952132</v>
      </c>
      <c r="G84" s="67" t="n">
        <f aca="false">IF(AND(E84&gt;0,F83&gt;0,B84&gt;0),MIN(conv_cap,conv_beta*jp_uplift*E84*MAX(0,LN(B84/(F83*H83)))),0)</f>
        <v>0.0168195052435538</v>
      </c>
      <c r="H84" s="68" t="n">
        <f aca="false">H83*(1+G84)</f>
        <v>2.36728645841504</v>
      </c>
      <c r="I84" s="49" t="n">
        <f aca="false">D84*H84</f>
        <v>18701.5630214788</v>
      </c>
      <c r="J84" s="70" t="n">
        <f aca="false">IF(C84&gt;0,I84*1000000/C84/Economy!Q84,0)</f>
        <v>0.414753409153947</v>
      </c>
      <c r="K84" s="65" t="n">
        <f aca="false">Gulf!B84</f>
        <v>10020000</v>
      </c>
      <c r="L84" s="49" t="n">
        <f aca="false">Gulf!B84*Gulf!C84*Economy!Q84/1000000</f>
        <v>5079.3384</v>
      </c>
      <c r="M84" s="71" t="n">
        <v>0.794</v>
      </c>
      <c r="N84" s="49" t="n">
        <f aca="false">IF(K84&gt;0,L84*1000000/K84,0)</f>
        <v>506.92</v>
      </c>
      <c r="O84" s="67" t="n">
        <f aca="false">IF(AND(M84&gt;0,N83&gt;0,B84&gt;0),MIN(conv_cap,conv_beta*1*M84*MAX(0,LN(B84/(N83*P83)))),0)</f>
        <v>0.00832648212416723</v>
      </c>
      <c r="P84" s="68" t="n">
        <f aca="false">P83*(1+O84)</f>
        <v>1.20291777482943</v>
      </c>
      <c r="Q84" s="49" t="n">
        <f aca="false">L84*P84</f>
        <v>6110.0264457337</v>
      </c>
      <c r="R84" s="70" t="n">
        <f aca="false">IF(K84&gt;0,Q84*1000000/K84/Economy!Q84,0)</f>
        <v>0.802346155811233</v>
      </c>
      <c r="S84" s="65" t="n">
        <f aca="false">People!U84</f>
        <v>11646342</v>
      </c>
      <c r="T84" s="47" t="n">
        <v>1073.452</v>
      </c>
      <c r="U84" s="71" t="n">
        <v>0.787</v>
      </c>
      <c r="V84" s="49" t="n">
        <f aca="false">IF(S84&gt;0,T84*1000000/S84,0)</f>
        <v>92.1707433973689</v>
      </c>
      <c r="W84" s="67" t="n">
        <f aca="false">IF(AND(U84&gt;0,V83&gt;0,B84&gt;0),MIN(conv_cap,conv_beta*1*U84*MAX(0,LN(B84/(V83*X83)))),0)</f>
        <v>0.0182596145614314</v>
      </c>
      <c r="X84" s="68" t="n">
        <f aca="false">X83*(1+W84)</f>
        <v>1.94640932080238</v>
      </c>
      <c r="Y84" s="49" t="n">
        <f aca="false">T84*X84</f>
        <v>2089.37697823395</v>
      </c>
      <c r="Z84" s="70" t="n">
        <f aca="false">IF(S84&gt;0,Y84*1000000/S84/Economy!Q84,0)</f>
        <v>0.236055255334109</v>
      </c>
      <c r="AA84" s="47" t="n">
        <v>10750000</v>
      </c>
      <c r="AB84" s="47" t="n">
        <v>1225</v>
      </c>
      <c r="AC84" s="71" t="n">
        <v>0.513</v>
      </c>
      <c r="AD84" s="49" t="n">
        <f aca="false">IF(AA84&gt;0,AB84*1000000/AA84,0)</f>
        <v>113.953488372093</v>
      </c>
      <c r="AE84" s="67" t="n">
        <f aca="false">IF(AND(AC84&gt;0,AD83&gt;0,B84&gt;0),MIN(conv_cap,conv_beta*1*AC84*MAX(0,LN(B84/(AD83*AF83)))),0)</f>
        <v>0.0141071223830474</v>
      </c>
      <c r="AF84" s="68" t="n">
        <f aca="false">AF83*(1+AE84)</f>
        <v>1.03975649198556</v>
      </c>
      <c r="AG84" s="49" t="n">
        <f aca="false">AB84*AF84</f>
        <v>1273.70170268231</v>
      </c>
      <c r="AH84" s="70" t="n">
        <f aca="false">IF(AA84&gt;0,AG84*1000000/AA84/Economy!Q84,0)</f>
        <v>0.155899841209585</v>
      </c>
      <c r="AI84" s="47" t="n">
        <v>471200000</v>
      </c>
      <c r="AJ84" s="47" t="n">
        <v>7062</v>
      </c>
      <c r="AK84" s="71" t="n">
        <v>0.314</v>
      </c>
      <c r="AL84" s="49" t="n">
        <f aca="false">IF(AI84&gt;0,AJ84*1000000/AI84,0)</f>
        <v>14.9872665534805</v>
      </c>
      <c r="AM84" s="67" t="n">
        <f aca="false">IF(AND(AK84&gt;0,AL83&gt;0,B84&gt;0),MIN(conv_cap,conv_beta*1*AK84*MAX(0,LN(B84/(AL83*AN83)))),0)</f>
        <v>0.013740778333166</v>
      </c>
      <c r="AN84" s="68" t="n">
        <f aca="false">AN83*(1+AM84)</f>
        <v>1.5225734401123</v>
      </c>
      <c r="AO84" s="49" t="n">
        <f aca="false">AJ84*AN84</f>
        <v>10752.4136340731</v>
      </c>
      <c r="AP84" s="70" t="n">
        <f aca="false">IF(AI84&gt;0,AO84*1000000/AI84/Economy!Q84,0)</f>
        <v>0.0300252815713327</v>
      </c>
      <c r="AQ84" s="47" t="n">
        <v>18440000</v>
      </c>
      <c r="AR84" s="47" t="n">
        <v>812</v>
      </c>
      <c r="AS84" s="71" t="n">
        <v>0.579</v>
      </c>
      <c r="AT84" s="49" t="n">
        <f aca="false">IF(AQ84&gt;0,AR84*1000000/AQ84,0)</f>
        <v>44.0347071583514</v>
      </c>
      <c r="AU84" s="67" t="n">
        <f aca="false">IF(AND(AS84&gt;0,AT83&gt;0,B84&gt;0),MIN(conv_cap,conv_beta*1*AS84*MAX(0,LN(B84/(AT83*AV83)))),0)</f>
        <v>0.0182183949414725</v>
      </c>
      <c r="AV84" s="68" t="n">
        <f aca="false">AV83*(1+AU84)</f>
        <v>1.79809259045191</v>
      </c>
      <c r="AW84" s="49" t="n">
        <f aca="false">AR84*AV84</f>
        <v>1460.05118344695</v>
      </c>
      <c r="AX84" s="70" t="n">
        <f aca="false">IF(AQ84&gt;0,AW84*1000000/AQ84/Economy!Q84,0)</f>
        <v>0.104182211400199</v>
      </c>
      <c r="AY84" s="47" t="n">
        <v>115600000</v>
      </c>
      <c r="AZ84" s="47" t="n">
        <v>5167</v>
      </c>
      <c r="BA84" s="71" t="n">
        <v>0.219</v>
      </c>
      <c r="BB84" s="49" t="n">
        <f aca="false">IF(AY84&gt;0,AZ84*1000000/AY84,0)</f>
        <v>44.69723183391</v>
      </c>
      <c r="BC84" s="67" t="n">
        <f aca="false">IF(AND(BA84&gt;0,BB83&gt;0,B84&gt;0),MIN(conv_cap,conv_beta*1*BA84*MAX(0,LN(B84/(BB83*BD83)))),0)</f>
        <v>0.00772895474897343</v>
      </c>
      <c r="BD84" s="68" t="n">
        <f aca="false">BD83*(1+BC84)</f>
        <v>1.181508300543</v>
      </c>
      <c r="BE84" s="49" t="n">
        <f aca="false">AZ84*BD84</f>
        <v>6104.8533889057</v>
      </c>
      <c r="BF84" s="70" t="n">
        <f aca="false">IF(AY84&gt;0,BE84*1000000/AY84/Economy!Q84,0)</f>
        <v>0.0694870400303417</v>
      </c>
      <c r="BG84" s="47" t="n">
        <v>43200000</v>
      </c>
      <c r="BH84" s="47" t="n">
        <v>5889</v>
      </c>
      <c r="BI84" s="71" t="n">
        <v>0.369</v>
      </c>
      <c r="BJ84" s="49" t="n">
        <f aca="false">IF(BG84&gt;0,BH84*1000000/BG84,0)</f>
        <v>136.319444444444</v>
      </c>
      <c r="BK84" s="67" t="n">
        <f aca="false">IF(AND(BI84&gt;0,BJ83&gt;0,B84&gt;0),MIN(conv_cap,conv_beta*1*BI84*MAX(0,LN(B84/(BJ83*BL83)))),0)</f>
        <v>0.00877917521950076</v>
      </c>
      <c r="BL84" s="68" t="n">
        <f aca="false">BL83*(1+BK84)</f>
        <v>1.23373485764964</v>
      </c>
      <c r="BM84" s="49" t="n">
        <f aca="false">BH84*BL84</f>
        <v>7265.46457669876</v>
      </c>
      <c r="BN84" s="70" t="n">
        <f aca="false">IF(BG84&gt;0,BM84*1000000/BG84/Economy!Q84,0)</f>
        <v>0.221292171561244</v>
      </c>
      <c r="BO84" s="47" t="n">
        <v>18100000</v>
      </c>
      <c r="BP84" s="47" t="n">
        <v>1581</v>
      </c>
      <c r="BQ84" s="71" t="n">
        <v>0.169</v>
      </c>
      <c r="BR84" s="49" t="n">
        <f aca="false">IF(BO84&gt;0,BP84*1000000/BO84,0)</f>
        <v>87.3480662983425</v>
      </c>
      <c r="BS84" s="67" t="n">
        <f aca="false">IF(AND(BQ84&gt;0,BR83&gt;0,B84&gt;0),MIN(conv_cap,conv_beta*1*BQ84*MAX(0,LN(B84/(BR83*BT83)))),0)</f>
        <v>0.00500717088416006</v>
      </c>
      <c r="BT84" s="68" t="n">
        <f aca="false">BT83*(1+BS84)</f>
        <v>1.06160359051012</v>
      </c>
      <c r="BU84" s="49" t="n">
        <f aca="false">BP84*BT84</f>
        <v>1678.39527659651</v>
      </c>
      <c r="BV84" s="70" t="n">
        <f aca="false">IF(BO84&gt;0,BU84*1000000/BO84/Economy!Q84,0)</f>
        <v>0.122011869482154</v>
      </c>
      <c r="BW84" s="68" t="n">
        <f aca="false">0.25*IF(D84&gt;0,H84,1)+0.15*IF(AJ84&gt;0,AN84,1)+0.03*IF(AR84&gt;0,AV84,1)+0.08*IF(AZ84&gt;0,BD84,1)+0.12*IF(BH84&gt;0,BL84,1)+0.1*IF(L84&gt;0,P84,1)+0.07*IF(T84&gt;0,X84,1)+0.05*IF(AB84&gt;0,AF84,1)+0.05*IF(BP84&gt;0,BT84,1)+0.1</f>
        <v>1.57832768935945</v>
      </c>
      <c r="BX84" s="66" t="n">
        <f aca="false">MIN(mkt_cap,mkt_elast*MAX(0,BW84-1))</f>
        <v>0.289163844679727</v>
      </c>
      <c r="BY84" s="49" t="n">
        <f aca="false">I84+Q84+Y84+AG84</f>
        <v>28174.6681481288</v>
      </c>
      <c r="BZ84" s="49" t="n">
        <f aca="false">D84+L84+T84+AB84</f>
        <v>15277.7904</v>
      </c>
      <c r="CA84" s="68" t="n">
        <f aca="false">IF(BZ84&gt;0,BY84/BZ84,0)</f>
        <v>1.84415857335814</v>
      </c>
    </row>
    <row r="85" customFormat="false" ht="14.25" hidden="false" customHeight="true" outlineLevel="0" collapsed="false">
      <c r="A85" s="61" t="n">
        <v>1925</v>
      </c>
      <c r="B85" s="49" t="n">
        <f aca="false">Economy!P84</f>
        <v>1805.92068148135</v>
      </c>
      <c r="C85" s="47" t="n">
        <v>60170000</v>
      </c>
      <c r="D85" s="65" t="n">
        <f aca="false">Japan!B85</f>
        <v>8130</v>
      </c>
      <c r="E85" s="71" t="n">
        <v>0.963</v>
      </c>
      <c r="F85" s="49" t="n">
        <f aca="false">IF(C85&gt;0,D85*1000000/C85,0)</f>
        <v>135.117168023932</v>
      </c>
      <c r="G85" s="67" t="n">
        <f aca="false">IF(AND(E85&gt;0,F84&gt;0,B85&gt;0),MIN(conv_cap,conv_beta*jp_uplift*E85*MAX(0,LN(B85/(F84*H84)))),0)</f>
        <v>0.0168099210556473</v>
      </c>
      <c r="H85" s="68" t="n">
        <f aca="false">H84*(1+G85)</f>
        <v>2.4070803568971</v>
      </c>
      <c r="I85" s="49" t="n">
        <f aca="false">D85*H85</f>
        <v>19569.5633015734</v>
      </c>
      <c r="J85" s="70" t="n">
        <f aca="false">IF(C85&gt;0,I85*1000000/C85/Economy!Q85,0)</f>
        <v>0.41326287297328</v>
      </c>
      <c r="K85" s="65" t="n">
        <f aca="false">Gulf!B85</f>
        <v>10180000</v>
      </c>
      <c r="L85" s="49" t="n">
        <f aca="false">Gulf!B85*Gulf!C85*Economy!Q85/1000000</f>
        <v>5311.73058</v>
      </c>
      <c r="M85" s="71" t="n">
        <v>0.806</v>
      </c>
      <c r="N85" s="49" t="n">
        <f aca="false">IF(K85&gt;0,L85*1000000/K85,0)</f>
        <v>521.781</v>
      </c>
      <c r="O85" s="67" t="n">
        <f aca="false">IF(AND(M85&gt;0,N84&gt;0,B85&gt;0),MIN(conv_cap,conv_beta*1*M85*MAX(0,LN(B85/(N84*P84)))),0)</f>
        <v>0.00875092358210135</v>
      </c>
      <c r="P85" s="68" t="n">
        <f aca="false">P84*(1+O85)</f>
        <v>1.21344441635252</v>
      </c>
      <c r="Q85" s="49" t="n">
        <f aca="false">L85*P85</f>
        <v>6445.48981346992</v>
      </c>
      <c r="R85" s="70" t="n">
        <f aca="false">IF(K85&gt;0,Q85*1000000/K85/Economy!Q85,0)</f>
        <v>0.80451364804172</v>
      </c>
      <c r="S85" s="65" t="n">
        <f aca="false">People!U85</f>
        <v>11842750</v>
      </c>
      <c r="T85" s="47" t="n">
        <v>1112.1</v>
      </c>
      <c r="U85" s="71" t="n">
        <v>0.791</v>
      </c>
      <c r="V85" s="49" t="n">
        <f aca="false">IF(S85&gt;0,T85*1000000/S85,0)</f>
        <v>93.9055540309472</v>
      </c>
      <c r="W85" s="67" t="n">
        <f aca="false">IF(AND(U85&gt;0,V84&gt;0,B85&gt;0),MIN(conv_cap,conv_beta*1*U85*MAX(0,LN(B85/(V84*X84)))),0)</f>
        <v>0.0182657462836108</v>
      </c>
      <c r="X85" s="68" t="n">
        <f aca="false">X84*(1+W85)</f>
        <v>1.98196193962021</v>
      </c>
      <c r="Y85" s="49" t="n">
        <f aca="false">T85*X85</f>
        <v>2204.13987305163</v>
      </c>
      <c r="Z85" s="70" t="n">
        <f aca="false">IF(S85&gt;0,Y85*1000000/S85/Economy!Q85,0)</f>
        <v>0.236489496833909</v>
      </c>
      <c r="AA85" s="47" t="n">
        <v>11000000</v>
      </c>
      <c r="AB85" s="47" t="n">
        <v>1300</v>
      </c>
      <c r="AC85" s="71" t="n">
        <v>0.55</v>
      </c>
      <c r="AD85" s="49" t="n">
        <f aca="false">IF(AA85&gt;0,AB85*1000000/AA85,0)</f>
        <v>118.181818181818</v>
      </c>
      <c r="AE85" s="67" t="n">
        <f aca="false">IF(AND(AC85&gt;0,AD84&gt;0,B85&gt;0),MIN(conv_cap,conv_beta*1*AC85*MAX(0,LN(B85/(AD84*AF84)))),0)</f>
        <v>0.014982268959601</v>
      </c>
      <c r="AF85" s="68" t="n">
        <f aca="false">AF84*(1+AE85)</f>
        <v>1.05533440340098</v>
      </c>
      <c r="AG85" s="49" t="n">
        <f aca="false">AB85*AF85</f>
        <v>1371.93472442127</v>
      </c>
      <c r="AH85" s="70" t="n">
        <f aca="false">IF(AA85&gt;0,AG85*1000000/AA85/Economy!Q85,0)</f>
        <v>0.158476923232213</v>
      </c>
      <c r="AI85" s="47" t="n">
        <v>475000000</v>
      </c>
      <c r="AJ85" s="47" t="n">
        <v>7250</v>
      </c>
      <c r="AK85" s="71" t="n">
        <v>0.321</v>
      </c>
      <c r="AL85" s="49" t="n">
        <f aca="false">IF(AI85&gt;0,AJ85*1000000/AI85,0)</f>
        <v>15.2631578947368</v>
      </c>
      <c r="AM85" s="67" t="n">
        <f aca="false">IF(AND(AK85&gt;0,AL84&gt;0,B85&gt;0),MIN(conv_cap,conv_beta*1*AK85*MAX(0,LN(B85/(AL84*AN84)))),0)</f>
        <v>0.0140316255521758</v>
      </c>
      <c r="AN85" s="68" t="n">
        <f aca="false">AN84*(1+AM85)</f>
        <v>1.54393762049965</v>
      </c>
      <c r="AO85" s="49" t="n">
        <f aca="false">AJ85*AN85</f>
        <v>11193.5477486224</v>
      </c>
      <c r="AP85" s="70" t="n">
        <f aca="false">IF(AI85&gt;0,AO85*1000000/AI85/Economy!Q85,0)</f>
        <v>0.0299432829495685</v>
      </c>
      <c r="AQ85" s="47" t="n">
        <v>18750000</v>
      </c>
      <c r="AR85" s="47" t="n">
        <v>850</v>
      </c>
      <c r="AS85" s="71" t="n">
        <v>0.583</v>
      </c>
      <c r="AT85" s="49" t="n">
        <f aca="false">IF(AQ85&gt;0,AR85*1000000/AQ85,0)</f>
        <v>45.3333333333333</v>
      </c>
      <c r="AU85" s="67" t="n">
        <f aca="false">IF(AND(AS85&gt;0,AT84&gt;0,B85&gt;0),MIN(conv_cap,conv_beta*1*AS85*MAX(0,LN(B85/(AT84*AV84)))),0)</f>
        <v>0.0182311169484352</v>
      </c>
      <c r="AV85" s="68" t="n">
        <f aca="false">AV84*(1+AU85)</f>
        <v>1.83087382675255</v>
      </c>
      <c r="AW85" s="49" t="n">
        <f aca="false">AR85*AV85</f>
        <v>1556.24275273967</v>
      </c>
      <c r="AX85" s="70" t="n">
        <f aca="false">IF(AQ85&gt;0,AW85*1000000/AQ85/Economy!Q85,0)</f>
        <v>0.105463295399554</v>
      </c>
      <c r="AY85" s="47" t="n">
        <v>117500000</v>
      </c>
      <c r="AZ85" s="47" t="n">
        <v>5333</v>
      </c>
      <c r="BA85" s="71" t="n">
        <v>0.225</v>
      </c>
      <c r="BB85" s="49" t="n">
        <f aca="false">IF(AY85&gt;0,AZ85*1000000/AY85,0)</f>
        <v>45.3872340425532</v>
      </c>
      <c r="BC85" s="67" t="n">
        <f aca="false">IF(AND(BA85&gt;0,BB84&gt;0,B85&gt;0),MIN(conv_cap,conv_beta*1*BA85*MAX(0,LN(B85/(BB84*BD84)))),0)</f>
        <v>0.0079472753965575</v>
      </c>
      <c r="BD85" s="68" t="n">
        <f aca="false">BD84*(1+BC85)</f>
        <v>1.19089807239074</v>
      </c>
      <c r="BE85" s="49" t="n">
        <f aca="false">AZ85*BD85</f>
        <v>6351.0594200598</v>
      </c>
      <c r="BF85" s="70" t="n">
        <f aca="false">IF(AY85&gt;0,BE85*1000000/AY85/Economy!Q85,0)</f>
        <v>0.0686805203715677</v>
      </c>
      <c r="BG85" s="47" t="n">
        <v>43800000</v>
      </c>
      <c r="BH85" s="47" t="n">
        <v>6111</v>
      </c>
      <c r="BI85" s="71" t="n">
        <v>0.375</v>
      </c>
      <c r="BJ85" s="49" t="n">
        <f aca="false">IF(BG85&gt;0,BH85*1000000/BG85,0)</f>
        <v>139.520547945206</v>
      </c>
      <c r="BK85" s="67" t="n">
        <f aca="false">IF(AND(BI85&gt;0,BJ84&gt;0,B85&gt;0),MIN(conv_cap,conv_beta*1*BI85*MAX(0,LN(B85/(BJ84*BL84)))),0)</f>
        <v>0.00890167045356413</v>
      </c>
      <c r="BL85" s="68" t="n">
        <f aca="false">BL84*(1+BK85)</f>
        <v>1.24471715877952</v>
      </c>
      <c r="BM85" s="49" t="n">
        <f aca="false">BH85*BL85</f>
        <v>7606.46655730162</v>
      </c>
      <c r="BN85" s="70" t="n">
        <f aca="false">IF(BG85&gt;0,BM85*1000000/BG85/Economy!Q85,0)</f>
        <v>0.220665336759489</v>
      </c>
      <c r="BO85" s="47" t="n">
        <v>18200000</v>
      </c>
      <c r="BP85" s="47" t="n">
        <v>1625</v>
      </c>
      <c r="BQ85" s="71" t="n">
        <v>0.175</v>
      </c>
      <c r="BR85" s="49" t="n">
        <f aca="false">IF(BO85&gt;0,BP85*1000000/BO85,0)</f>
        <v>89.2857142857143</v>
      </c>
      <c r="BS85" s="67" t="n">
        <f aca="false">IF(AND(BQ85&gt;0,BR84&gt;0,B85&gt;0),MIN(conv_cap,conv_beta*1*BQ85*MAX(0,LN(B85/(BR84*BT84)))),0)</f>
        <v>0.00519600257475342</v>
      </c>
      <c r="BT85" s="68" t="n">
        <f aca="false">BT84*(1+BS85)</f>
        <v>1.06711968549978</v>
      </c>
      <c r="BU85" s="49" t="n">
        <f aca="false">BP85*BT85</f>
        <v>1734.06948893715</v>
      </c>
      <c r="BV85" s="70" t="n">
        <f aca="false">IF(BO85&gt;0,BU85*1000000/BO85/Economy!Q85,0)</f>
        <v>0.121065493453869</v>
      </c>
      <c r="BW85" s="68" t="n">
        <f aca="false">0.25*IF(D85&gt;0,H85,1)+0.15*IF(AJ85&gt;0,AN85,1)+0.03*IF(AR85&gt;0,AV85,1)+0.08*IF(AZ85&gt;0,BD85,1)+0.12*IF(BH85&gt;0,BL85,1)+0.1*IF(L85&gt;0,P85,1)+0.07*IF(T85&gt;0,X85,1)+0.05*IF(AB85&gt;0,AF85,1)+0.05*IF(BP85&gt;0,BT85,1)+0.1</f>
        <v>1.5991293338003</v>
      </c>
      <c r="BX85" s="66" t="n">
        <f aca="false">MIN(mkt_cap,mkt_elast*MAX(0,BW85-1))</f>
        <v>0.299564666900152</v>
      </c>
      <c r="BY85" s="49" t="n">
        <f aca="false">I85+Q85+Y85+AG85</f>
        <v>29591.1277125162</v>
      </c>
      <c r="BZ85" s="49" t="n">
        <f aca="false">D85+L85+T85+AB85</f>
        <v>15853.83058</v>
      </c>
      <c r="CA85" s="68" t="n">
        <f aca="false">IF(BZ85&gt;0,BY85/BZ85,0)</f>
        <v>1.86649703131344</v>
      </c>
    </row>
    <row r="86" customFormat="false" ht="14.25" hidden="false" customHeight="true" outlineLevel="0" collapsed="false">
      <c r="A86" s="61" t="n">
        <v>1926</v>
      </c>
      <c r="B86" s="49" t="n">
        <f aca="false">Economy!P85</f>
        <v>1884.0483922753</v>
      </c>
      <c r="C86" s="47" t="n">
        <v>61000000</v>
      </c>
      <c r="D86" s="65" t="n">
        <f aca="false">Japan!B86</f>
        <v>7980</v>
      </c>
      <c r="E86" s="71" t="n">
        <v>0.981</v>
      </c>
      <c r="F86" s="49" t="n">
        <f aca="false">IF(C86&gt;0,D86*1000000/C86,0)</f>
        <v>130.819672131148</v>
      </c>
      <c r="G86" s="67" t="n">
        <f aca="false">IF(AND(E86&gt;0,F85&gt;0,B86&gt;0),MIN(conv_cap,conv_beta*jp_uplift*E86*MAX(0,LN(B86/(F85*H85)))),0)</f>
        <v>0.0172324548010011</v>
      </c>
      <c r="H86" s="68" t="n">
        <f aca="false">H85*(1+G86)</f>
        <v>2.4485602603497</v>
      </c>
      <c r="I86" s="49" t="n">
        <f aca="false">D86*H86</f>
        <v>19539.5108775906</v>
      </c>
      <c r="J86" s="70" t="n">
        <f aca="false">IF(C86&gt;0,I86*1000000/C86/Economy!Q86,0)</f>
        <v>0.390633963966226</v>
      </c>
      <c r="K86" s="65" t="n">
        <f aca="false">Gulf!B86</f>
        <v>10330000</v>
      </c>
      <c r="L86" s="49" t="n">
        <f aca="false">Gulf!B86*Gulf!C86*Economy!Q86/1000000</f>
        <v>5590.596</v>
      </c>
      <c r="M86" s="71" t="n">
        <v>0.817</v>
      </c>
      <c r="N86" s="49" t="n">
        <f aca="false">IF(K86&gt;0,L86*1000000/K86,0)</f>
        <v>541.2</v>
      </c>
      <c r="O86" s="67" t="n">
        <f aca="false">IF(AND(M86&gt;0,N85&gt;0,B86&gt;0),MIN(conv_cap,conv_beta*1*M86*MAX(0,LN(B86/(N85*P85)))),0)</f>
        <v>0.00890911735388473</v>
      </c>
      <c r="P86" s="68" t="n">
        <f aca="false">P85*(1+O86)</f>
        <v>1.22425513506022</v>
      </c>
      <c r="Q86" s="49" t="n">
        <f aca="false">L86*P86</f>
        <v>6844.31586104712</v>
      </c>
      <c r="R86" s="70" t="n">
        <f aca="false">IF(K86&gt;0,Q86*1000000/K86/Economy!Q86,0)</f>
        <v>0.808008389139744</v>
      </c>
      <c r="S86" s="65" t="n">
        <f aca="false">People!U86</f>
        <v>12039219</v>
      </c>
      <c r="T86" s="47" t="n">
        <v>1151.772</v>
      </c>
      <c r="U86" s="71" t="n">
        <v>0.795</v>
      </c>
      <c r="V86" s="49" t="n">
        <f aca="false">IF(S86&gt;0,T86*1000000/S86,0)</f>
        <v>95.6683319740259</v>
      </c>
      <c r="W86" s="67" t="n">
        <f aca="false">IF(AND(U86&gt;0,V85&gt;0,B86&gt;0),MIN(conv_cap,conv_beta*1*U86*MAX(0,LN(B86/(V85*X85)))),0)</f>
        <v>0.0184026709328139</v>
      </c>
      <c r="X86" s="68" t="n">
        <f aca="false">X85*(1+W86)</f>
        <v>2.0184353329964</v>
      </c>
      <c r="Y86" s="49" t="n">
        <f aca="false">T86*X86</f>
        <v>2324.77730035593</v>
      </c>
      <c r="Z86" s="70" t="n">
        <f aca="false">IF(S86&gt;0,Y86*1000000/S86/Economy!Q86,0)</f>
        <v>0.235488221347809</v>
      </c>
      <c r="AA86" s="47" t="n">
        <v>11250000</v>
      </c>
      <c r="AB86" s="47" t="n">
        <v>1350</v>
      </c>
      <c r="AC86" s="71" t="n">
        <v>0.564</v>
      </c>
      <c r="AD86" s="49" t="n">
        <f aca="false">IF(AA86&gt;0,AB86*1000000/AA86,0)</f>
        <v>120</v>
      </c>
      <c r="AE86" s="67" t="n">
        <f aca="false">IF(AND(AC86&gt;0,AD85&gt;0,B86&gt;0),MIN(conv_cap,conv_beta*1*AC86*MAX(0,LN(B86/(AD85*AF85)))),0)</f>
        <v>0.015313142473949</v>
      </c>
      <c r="AF86" s="68" t="n">
        <f aca="false">AF85*(1+AE86)</f>
        <v>1.07149488947792</v>
      </c>
      <c r="AG86" s="49" t="n">
        <f aca="false">AB86*AF86</f>
        <v>1446.51810079519</v>
      </c>
      <c r="AH86" s="70" t="n">
        <f aca="false">IF(AA86&gt;0,AG86*1000000/AA86/Economy!Q86,0)</f>
        <v>0.1568041301675</v>
      </c>
      <c r="AI86" s="47" t="n">
        <v>478800000</v>
      </c>
      <c r="AJ86" s="47" t="n">
        <v>7438</v>
      </c>
      <c r="AK86" s="71" t="n">
        <v>0.329</v>
      </c>
      <c r="AL86" s="49" t="n">
        <f aca="false">IF(AI86&gt;0,AJ86*1000000/AI86,0)</f>
        <v>15.5346700083542</v>
      </c>
      <c r="AM86" s="67" t="n">
        <f aca="false">IF(AND(AK86&gt;0,AL85&gt;0,B86&gt;0),MIN(conv_cap,conv_beta*1*AK86*MAX(0,LN(B86/(AL85*AN85)))),0)</f>
        <v>0.0144148064848071</v>
      </c>
      <c r="AN86" s="68" t="n">
        <f aca="false">AN85*(1+AM86)</f>
        <v>1.56619318252376</v>
      </c>
      <c r="AO86" s="49" t="n">
        <f aca="false">AJ86*AN86</f>
        <v>11649.3448916117</v>
      </c>
      <c r="AP86" s="70" t="n">
        <f aca="false">IF(AI86&gt;0,AO86*1000000/AI86/Economy!Q86,0)</f>
        <v>0.0296710905607814</v>
      </c>
      <c r="AQ86" s="47" t="n">
        <v>19060000</v>
      </c>
      <c r="AR86" s="47" t="n">
        <v>888</v>
      </c>
      <c r="AS86" s="71" t="n">
        <v>0.588</v>
      </c>
      <c r="AT86" s="49" t="n">
        <f aca="false">IF(AQ86&gt;0,AR86*1000000/AQ86,0)</f>
        <v>46.5897166841553</v>
      </c>
      <c r="AU86" s="67" t="n">
        <f aca="false">IF(AND(AS86&gt;0,AT85&gt;0,B86&gt;0),MIN(conv_cap,conv_beta*1*AS86*MAX(0,LN(B86/(AT85*AV85)))),0)</f>
        <v>0.0183593720761172</v>
      </c>
      <c r="AV86" s="68" t="n">
        <f aca="false">AV85*(1+AU86)</f>
        <v>1.86448752056233</v>
      </c>
      <c r="AW86" s="49" t="n">
        <f aca="false">AR86*AV86</f>
        <v>1655.66491825935</v>
      </c>
      <c r="AX86" s="70" t="n">
        <f aca="false">IF(AQ86&gt;0,AW86*1000000/AQ86/Economy!Q86,0)</f>
        <v>0.105934079687978</v>
      </c>
      <c r="AY86" s="47" t="n">
        <v>119400000</v>
      </c>
      <c r="AZ86" s="47" t="n">
        <v>5500</v>
      </c>
      <c r="BA86" s="71" t="n">
        <v>0.231</v>
      </c>
      <c r="BB86" s="49" t="n">
        <f aca="false">IF(AY86&gt;0,AZ86*1000000/AY86,0)</f>
        <v>46.0636515912898</v>
      </c>
      <c r="BC86" s="67" t="n">
        <f aca="false">IF(AND(BA86&gt;0,BB85&gt;0,B86&gt;0),MIN(conv_cap,conv_beta*1*BA86*MAX(0,LN(B86/(BB85*BD85)))),0)</f>
        <v>0.00820336338021854</v>
      </c>
      <c r="BD86" s="68" t="n">
        <f aca="false">BD85*(1+BC86)</f>
        <v>1.20066744202736</v>
      </c>
      <c r="BE86" s="49" t="n">
        <f aca="false">AZ86*BD86</f>
        <v>6603.67093115048</v>
      </c>
      <c r="BF86" s="70" t="n">
        <f aca="false">IF(AY86&gt;0,BE86*1000000/AY86/Economy!Q86,0)</f>
        <v>0.0674477155201871</v>
      </c>
      <c r="BG86" s="47" t="n">
        <v>44300000</v>
      </c>
      <c r="BH86" s="47" t="n">
        <v>6333</v>
      </c>
      <c r="BI86" s="71" t="n">
        <v>0.381</v>
      </c>
      <c r="BJ86" s="49" t="n">
        <f aca="false">IF(BG86&gt;0,BH86*1000000/BG86,0)</f>
        <v>142.957110609481</v>
      </c>
      <c r="BK86" s="67" t="n">
        <f aca="false">IF(AND(BI86&gt;0,BJ85&gt;0,B86&gt;0),MIN(conv_cap,conv_beta*1*BI86*MAX(0,LN(B86/(BJ85*BL85)))),0)</f>
        <v>0.00908326071639062</v>
      </c>
      <c r="BL86" s="68" t="n">
        <f aca="false">BL85*(1+BK86)</f>
        <v>1.25602324925088</v>
      </c>
      <c r="BM86" s="49" t="n">
        <f aca="false">BH86*BL86</f>
        <v>7954.3952375058</v>
      </c>
      <c r="BN86" s="70" t="n">
        <f aca="false">IF(BG86&gt;0,BM86*1000000/BG86/Economy!Q86,0)</f>
        <v>0.218972505574679</v>
      </c>
      <c r="BO86" s="47" t="n">
        <v>18400000</v>
      </c>
      <c r="BP86" s="47" t="n">
        <v>1669</v>
      </c>
      <c r="BQ86" s="71" t="n">
        <v>0.181</v>
      </c>
      <c r="BR86" s="49" t="n">
        <f aca="false">IF(BO86&gt;0,BP86*1000000/BO86,0)</f>
        <v>90.7065217391304</v>
      </c>
      <c r="BS86" s="67" t="n">
        <f aca="false">IF(AND(BQ86&gt;0,BR85&gt;0,B86&gt;0),MIN(conv_cap,conv_beta*1*BQ86*MAX(0,LN(B86/(BR85*BT85)))),0)</f>
        <v>0.00540171604208525</v>
      </c>
      <c r="BT86" s="68" t="n">
        <f aca="false">BT85*(1+BS86)</f>
        <v>1.07288396302377</v>
      </c>
      <c r="BU86" s="49" t="n">
        <f aca="false">BP86*BT86</f>
        <v>1790.64333428667</v>
      </c>
      <c r="BV86" s="70" t="n">
        <f aca="false">IF(BO86&gt;0,BU86*1000000/BO86/Economy!Q86,0)</f>
        <v>0.118679966482415</v>
      </c>
      <c r="BW86" s="68" t="n">
        <f aca="false">0.25*IF(D86&gt;0,H86,1)+0.15*IF(AJ86&gt;0,AN86,1)+0.03*IF(AR86&gt;0,AV86,1)+0.08*IF(AZ86&gt;0,BD86,1)+0.12*IF(BH86&gt;0,BL86,1)+0.1*IF(L86&gt;0,P86,1)+0.07*IF(T86&gt;0,X86,1)+0.05*IF(AB86&gt;0,AF86,1)+0.05*IF(BP86&gt;0,BT86,1)+0.1</f>
        <v>1.62071478279601</v>
      </c>
      <c r="BX86" s="66" t="n">
        <f aca="false">MIN(mkt_cap,mkt_elast*MAX(0,BW86-1))</f>
        <v>0.310357391398004</v>
      </c>
      <c r="BY86" s="49" t="n">
        <f aca="false">I86+Q86+Y86+AG86</f>
        <v>30155.1221397889</v>
      </c>
      <c r="BZ86" s="49" t="n">
        <f aca="false">D86+L86+T86+AB86</f>
        <v>16072.368</v>
      </c>
      <c r="CA86" s="68" t="n">
        <f aca="false">IF(BZ86&gt;0,BY86/BZ86,0)</f>
        <v>1.87620904024776</v>
      </c>
    </row>
    <row r="87" customFormat="false" ht="14.25" hidden="false" customHeight="true" outlineLevel="0" collapsed="false">
      <c r="A87" s="61" t="n">
        <v>1927</v>
      </c>
      <c r="B87" s="49" t="n">
        <f aca="false">Economy!P86</f>
        <v>1899.67272319472</v>
      </c>
      <c r="C87" s="47" t="n">
        <v>61830000</v>
      </c>
      <c r="D87" s="65" t="n">
        <f aca="false">Japan!B87</f>
        <v>8130</v>
      </c>
      <c r="E87" s="71" t="n">
        <v>1</v>
      </c>
      <c r="F87" s="49" t="n">
        <f aca="false">IF(C87&gt;0,D87*1000000/C87,0)</f>
        <v>131.489568170791</v>
      </c>
      <c r="G87" s="67" t="n">
        <f aca="false">IF(AND(E87&gt;0,F86&gt;0,B87&gt;0),MIN(conv_cap,conv_beta*jp_uplift*E87*MAX(0,LN(B87/(F86*H86)))),0)</f>
        <v>0.0178011687011041</v>
      </c>
      <c r="H87" s="68" t="n">
        <f aca="false">H86*(1+G87)</f>
        <v>2.49214749461901</v>
      </c>
      <c r="I87" s="49" t="n">
        <f aca="false">D87*H87</f>
        <v>20261.1591312525</v>
      </c>
      <c r="J87" s="70" t="n">
        <f aca="false">IF(C87&gt;0,I87*1000000/C87/Economy!Q87,0)</f>
        <v>0.407070059484934</v>
      </c>
      <c r="K87" s="65" t="n">
        <f aca="false">Gulf!B87</f>
        <v>10490000</v>
      </c>
      <c r="L87" s="49" t="n">
        <f aca="false">Gulf!B87*Gulf!C87*Economy!Q87/1000000</f>
        <v>5548.00365</v>
      </c>
      <c r="M87" s="71" t="n">
        <v>0.828</v>
      </c>
      <c r="N87" s="49" t="n">
        <f aca="false">IF(K87&gt;0,L87*1000000/K87,0)</f>
        <v>528.885</v>
      </c>
      <c r="O87" s="67" t="n">
        <f aca="false">IF(AND(M87&gt;0,N86&gt;0,B87&gt;0),MIN(conv_cap,conv_beta*1*M87*MAX(0,LN(B87/(N86*P86)))),0)</f>
        <v>0.00872145148737057</v>
      </c>
      <c r="P87" s="68" t="n">
        <f aca="false">P86*(1+O87)</f>
        <v>1.23493241682881</v>
      </c>
      <c r="Q87" s="49" t="n">
        <f aca="false">L87*P87</f>
        <v>6851.40955606956</v>
      </c>
      <c r="R87" s="70" t="n">
        <f aca="false">IF(K87&gt;0,Q87*1000000/K87/Economy!Q87,0)</f>
        <v>0.811350597856529</v>
      </c>
      <c r="S87" s="65" t="n">
        <f aca="false">People!U87</f>
        <v>12235751</v>
      </c>
      <c r="T87" s="47" t="n">
        <v>1191.451</v>
      </c>
      <c r="U87" s="71" t="n">
        <v>0.799</v>
      </c>
      <c r="V87" s="49" t="n">
        <f aca="false">IF(S87&gt;0,T87*1000000/S87,0)</f>
        <v>97.3745706332206</v>
      </c>
      <c r="W87" s="67" t="n">
        <f aca="false">IF(AND(U87&gt;0,V86&gt;0,B87&gt;0),MIN(conv_cap,conv_beta*1*U87*MAX(0,LN(B87/(V86*X86)))),0)</f>
        <v>0.0182669532617373</v>
      </c>
      <c r="X87" s="68" t="n">
        <f aca="false">X86*(1+W87)</f>
        <v>2.05530599688609</v>
      </c>
      <c r="Y87" s="49" t="n">
        <f aca="false">T87*X87</f>
        <v>2448.79638529592</v>
      </c>
      <c r="Z87" s="70" t="n">
        <f aca="false">IF(S87&gt;0,Y87*1000000/S87/Economy!Q87,0)</f>
        <v>0.248614334120082</v>
      </c>
      <c r="AA87" s="47" t="n">
        <v>11500000</v>
      </c>
      <c r="AB87" s="47" t="n">
        <v>1400</v>
      </c>
      <c r="AC87" s="71" t="n">
        <v>0.579</v>
      </c>
      <c r="AD87" s="49" t="n">
        <f aca="false">IF(AA87&gt;0,AB87*1000000/AA87,0)</f>
        <v>121.739130434783</v>
      </c>
      <c r="AE87" s="67" t="n">
        <f aca="false">IF(AND(AC87&gt;0,AD86&gt;0,B87&gt;0),MIN(conv_cap,conv_beta*1*AC87*MAX(0,LN(B87/(AD86*AF86)))),0)</f>
        <v>0.0155918353590725</v>
      </c>
      <c r="AF87" s="68" t="n">
        <f aca="false">AF86*(1+AE87)</f>
        <v>1.08820146138274</v>
      </c>
      <c r="AG87" s="49" t="n">
        <f aca="false">AB87*AF87</f>
        <v>1523.48204593584</v>
      </c>
      <c r="AH87" s="70" t="n">
        <f aca="false">IF(AA87&gt;0,AG87*1000000/AA87/Economy!Q87,0)</f>
        <v>0.164567328753534</v>
      </c>
      <c r="AI87" s="47" t="n">
        <v>482500000</v>
      </c>
      <c r="AJ87" s="47" t="n">
        <v>7625</v>
      </c>
      <c r="AK87" s="71" t="n">
        <v>0.336</v>
      </c>
      <c r="AL87" s="49" t="n">
        <f aca="false">IF(AI87&gt;0,AJ87*1000000/AI87,0)</f>
        <v>15.8031088082902</v>
      </c>
      <c r="AM87" s="67" t="n">
        <f aca="false">IF(AND(AK87&gt;0,AL86&gt;0,B87&gt;0),MIN(conv_cap,conv_beta*1*AK87*MAX(0,LN(B87/(AL86*AN86)))),0)</f>
        <v>0.0146419212176773</v>
      </c>
      <c r="AN87" s="68" t="n">
        <f aca="false">AN86*(1+AM87)</f>
        <v>1.58912525971394</v>
      </c>
      <c r="AO87" s="49" t="n">
        <f aca="false">AJ87*AN87</f>
        <v>12117.0801053188</v>
      </c>
      <c r="AP87" s="70" t="n">
        <f aca="false">IF(AI87&gt;0,AO87*1000000/AI87/Economy!Q87,0)</f>
        <v>0.0311964216015674</v>
      </c>
      <c r="AQ87" s="47" t="n">
        <v>19380000</v>
      </c>
      <c r="AR87" s="47" t="n">
        <v>925</v>
      </c>
      <c r="AS87" s="71" t="n">
        <v>0.592</v>
      </c>
      <c r="AT87" s="49" t="n">
        <f aca="false">IF(AQ87&gt;0,AR87*1000000/AQ87,0)</f>
        <v>47.7296181630547</v>
      </c>
      <c r="AU87" s="67" t="n">
        <f aca="false">IF(AND(AS87&gt;0,AT86&gt;0,B87&gt;0),MIN(conv_cap,conv_beta*1*AS87*MAX(0,LN(B87/(AT86*AV86)))),0)</f>
        <v>0.0182636192968401</v>
      </c>
      <c r="AV87" s="68" t="n">
        <f aca="false">AV86*(1+AU87)</f>
        <v>1.89853981082159</v>
      </c>
      <c r="AW87" s="49" t="n">
        <f aca="false">AR87*AV87</f>
        <v>1756.14932500997</v>
      </c>
      <c r="AX87" s="70" t="n">
        <f aca="false">IF(AQ87&gt;0,AW87*1000000/AQ87/Economy!Q87,0)</f>
        <v>0.112567180419717</v>
      </c>
      <c r="AY87" s="47" t="n">
        <v>121200000</v>
      </c>
      <c r="AZ87" s="47" t="n">
        <v>5667</v>
      </c>
      <c r="BA87" s="71" t="n">
        <v>0.237</v>
      </c>
      <c r="BB87" s="49" t="n">
        <f aca="false">IF(AY87&gt;0,AZ87*1000000/AY87,0)</f>
        <v>46.7574257425743</v>
      </c>
      <c r="BC87" s="67" t="n">
        <f aca="false">IF(AND(BA87&gt;0,BB86&gt;0,B87&gt;0),MIN(conv_cap,conv_beta*1*BA87*MAX(0,LN(B87/(BB86*BD86)))),0)</f>
        <v>0.00838158824683025</v>
      </c>
      <c r="BD87" s="68" t="n">
        <f aca="false">BD86*(1+BC87)</f>
        <v>1.21073094214781</v>
      </c>
      <c r="BE87" s="49" t="n">
        <f aca="false">AZ87*BD87</f>
        <v>6861.21224915163</v>
      </c>
      <c r="BF87" s="70" t="n">
        <f aca="false">IF(AY87&gt;0,BE87*1000000/AY87/Economy!Q87,0)</f>
        <v>0.0703238038779045</v>
      </c>
      <c r="BG87" s="47" t="n">
        <v>44900000</v>
      </c>
      <c r="BH87" s="47" t="n">
        <v>6556</v>
      </c>
      <c r="BI87" s="71" t="n">
        <v>0.388</v>
      </c>
      <c r="BJ87" s="49" t="n">
        <f aca="false">IF(BG87&gt;0,BH87*1000000/BG87,0)</f>
        <v>146.013363028953</v>
      </c>
      <c r="BK87" s="67" t="n">
        <f aca="false">IF(AND(BI87&gt;0,BJ86&gt;0,B87&gt;0),MIN(conv_cap,conv_beta*1*BI87*MAX(0,LN(B87/(BJ86*BL86)))),0)</f>
        <v>0.00915269364653229</v>
      </c>
      <c r="BL87" s="68" t="n">
        <f aca="false">BL86*(1+BK87)</f>
        <v>1.26751924526419</v>
      </c>
      <c r="BM87" s="49" t="n">
        <f aca="false">BH87*BL87</f>
        <v>8309.85617195204</v>
      </c>
      <c r="BN87" s="70" t="n">
        <f aca="false">IF(BG87&gt;0,BM87*1000000/BG87/Economy!Q87,0)</f>
        <v>0.229906518888131</v>
      </c>
      <c r="BO87" s="47" t="n">
        <v>18600000</v>
      </c>
      <c r="BP87" s="47" t="n">
        <v>1712</v>
      </c>
      <c r="BQ87" s="71" t="n">
        <v>0.188</v>
      </c>
      <c r="BR87" s="49" t="n">
        <f aca="false">IF(BO87&gt;0,BP87*1000000/BO87,0)</f>
        <v>92.0430107526882</v>
      </c>
      <c r="BS87" s="67" t="n">
        <f aca="false">IF(AND(BQ87&gt;0,BR86&gt;0,B87&gt;0),MIN(conv_cap,conv_beta*1*BQ87*MAX(0,LN(B87/(BR86*BT86)))),0)</f>
        <v>0.00558633977116651</v>
      </c>
      <c r="BT87" s="68" t="n">
        <f aca="false">BT86*(1+BS87)</f>
        <v>1.07887745737626</v>
      </c>
      <c r="BU87" s="49" t="n">
        <f aca="false">BP87*BT87</f>
        <v>1847.03820702815</v>
      </c>
      <c r="BV87" s="70" t="n">
        <f aca="false">IF(BO87&gt;0,BU87*1000000/BO87/Economy!Q87,0)</f>
        <v>0.123357924733063</v>
      </c>
      <c r="BW87" s="68" t="n">
        <f aca="false">0.25*IF(D87&gt;0,H87,1)+0.15*IF(AJ87&gt;0,AN87,1)+0.03*IF(AR87&gt;0,AV87,1)+0.08*IF(AZ87&gt;0,BD87,1)+0.12*IF(BH87&gt;0,BL87,1)+0.1*IF(L87&gt;0,P87,1)+0.07*IF(T87&gt;0,X87,1)+0.05*IF(AB87&gt;0,AF87,1)+0.05*IF(BP87&gt;0,BT87,1)+0.1</f>
        <v>1.64304124914288</v>
      </c>
      <c r="BX87" s="66" t="n">
        <f aca="false">MIN(mkt_cap,mkt_elast*MAX(0,BW87-1))</f>
        <v>0.321520624571438</v>
      </c>
      <c r="BY87" s="49" t="n">
        <f aca="false">I87+Q87+Y87+AG87</f>
        <v>31084.8471185539</v>
      </c>
      <c r="BZ87" s="49" t="n">
        <f aca="false">D87+L87+T87+AB87</f>
        <v>16269.45465</v>
      </c>
      <c r="CA87" s="68" t="n">
        <f aca="false">IF(BZ87&gt;0,BY87/BZ87,0)</f>
        <v>1.91062624945169</v>
      </c>
    </row>
    <row r="88" customFormat="false" ht="14.25" hidden="false" customHeight="true" outlineLevel="0" collapsed="false">
      <c r="A88" s="61" t="n">
        <v>1928</v>
      </c>
      <c r="B88" s="49" t="n">
        <f aca="false">Economy!P87</f>
        <v>1904.00917950461</v>
      </c>
      <c r="C88" s="47" t="n">
        <v>62670000</v>
      </c>
      <c r="D88" s="65" t="n">
        <f aca="false">Japan!B88</f>
        <v>8180</v>
      </c>
      <c r="E88" s="71" t="n">
        <v>1</v>
      </c>
      <c r="F88" s="49" t="n">
        <f aca="false">IF(C88&gt;0,D88*1000000/C88,0)</f>
        <v>130.524972075953</v>
      </c>
      <c r="G88" s="67" t="n">
        <f aca="false">IF(AND(E88&gt;0,F87&gt;0,B88&gt;0),MIN(conv_cap,conv_beta*jp_uplift*E88*MAX(0,LN(B88/(F87*H87)))),0)</f>
        <v>0.0175964473111619</v>
      </c>
      <c r="H88" s="68" t="n">
        <f aca="false">H87*(1+G88)</f>
        <v>2.53600043669972</v>
      </c>
      <c r="I88" s="49" t="n">
        <f aca="false">D88*H88</f>
        <v>20744.4835722037</v>
      </c>
      <c r="J88" s="70" t="n">
        <f aca="false">IF(C88&gt;0,I88*1000000/C88/Economy!Q88,0)</f>
        <v>0.406148940104093</v>
      </c>
      <c r="K88" s="65" t="n">
        <f aca="false">Gulf!B88</f>
        <v>10640000</v>
      </c>
      <c r="L88" s="49" t="n">
        <f aca="false">Gulf!B88*Gulf!C88*Economy!Q88/1000000</f>
        <v>5662.5548</v>
      </c>
      <c r="M88" s="71" t="n">
        <v>0.839</v>
      </c>
      <c r="N88" s="49" t="n">
        <f aca="false">IF(K88&gt;0,L88*1000000/K88,0)</f>
        <v>532.195</v>
      </c>
      <c r="O88" s="67" t="n">
        <f aca="false">IF(AND(M88&gt;0,N87&gt;0,B88&gt;0),MIN(conv_cap,conv_beta*1*M88*MAX(0,LN(B88/(N87*P87)))),0)</f>
        <v>0.00897671080570584</v>
      </c>
      <c r="P88" s="68" t="n">
        <f aca="false">P87*(1+O88)</f>
        <v>1.24601804799927</v>
      </c>
      <c r="Q88" s="49" t="n">
        <f aca="false">L88*P88</f>
        <v>7055.64547858492</v>
      </c>
      <c r="R88" s="70" t="n">
        <f aca="false">IF(K88&gt;0,Q88*1000000/K88/Economy!Q88,0)</f>
        <v>0.813649785343526</v>
      </c>
      <c r="S88" s="65" t="n">
        <f aca="false">People!U88</f>
        <v>12432347</v>
      </c>
      <c r="T88" s="47" t="n">
        <v>1231.137</v>
      </c>
      <c r="U88" s="71" t="n">
        <v>0.803</v>
      </c>
      <c r="V88" s="49" t="n">
        <f aca="false">IF(S88&gt;0,T88*1000000/S88,0)</f>
        <v>99.0269174436653</v>
      </c>
      <c r="W88" s="67" t="n">
        <f aca="false">IF(AND(U88&gt;0,V87&gt;0,B88&gt;0),MIN(conv_cap,conv_beta*1*U88*MAX(0,LN(B88/(V87*X87)))),0)</f>
        <v>0.0180893994263142</v>
      </c>
      <c r="X88" s="68" t="n">
        <f aca="false">X87*(1+W88)</f>
        <v>2.09248524800706</v>
      </c>
      <c r="Y88" s="49" t="n">
        <f aca="false">T88*X88</f>
        <v>2576.13601077566</v>
      </c>
      <c r="Z88" s="70" t="n">
        <f aca="false">IF(S88&gt;0,Y88*1000000/S88/Economy!Q88,0)</f>
        <v>0.254248299271757</v>
      </c>
      <c r="AA88" s="47" t="n">
        <v>11750000</v>
      </c>
      <c r="AB88" s="47" t="n">
        <v>1450</v>
      </c>
      <c r="AC88" s="71" t="n">
        <v>0.593</v>
      </c>
      <c r="AD88" s="49" t="n">
        <f aca="false">IF(AA88&gt;0,AB88*1000000/AA88,0)</f>
        <v>123.404255319149</v>
      </c>
      <c r="AE88" s="67" t="n">
        <f aca="false">IF(AND(AC88&gt;0,AD87&gt;0,B88&gt;0),MIN(conv_cap,conv_beta*1*AC88*MAX(0,LN(B88/(AD87*AF87)))),0)</f>
        <v>0.0158052898315372</v>
      </c>
      <c r="AF88" s="68" t="n">
        <f aca="false">AF87*(1+AE88)</f>
        <v>1.105400800875</v>
      </c>
      <c r="AG88" s="49" t="n">
        <f aca="false">AB88*AF88</f>
        <v>1602.83116126875</v>
      </c>
      <c r="AH88" s="70" t="n">
        <f aca="false">IF(AA88&gt;0,AG88*1000000/AA88/Economy!Q88,0)</f>
        <v>0.167375659706957</v>
      </c>
      <c r="AI88" s="47" t="n">
        <v>486200000</v>
      </c>
      <c r="AJ88" s="47" t="n">
        <v>7812</v>
      </c>
      <c r="AK88" s="71" t="n">
        <v>0.343</v>
      </c>
      <c r="AL88" s="49" t="n">
        <f aca="false">IF(AI88&gt;0,AJ88*1000000/AI88,0)</f>
        <v>16.0674619498149</v>
      </c>
      <c r="AM88" s="67" t="n">
        <f aca="false">IF(AND(AK88&gt;0,AL87&gt;0,B88&gt;0),MIN(conv_cap,conv_beta*1*AK88*MAX(0,LN(B88/(AL87*AN87)))),0)</f>
        <v>0.0148461603823733</v>
      </c>
      <c r="AN88" s="68" t="n">
        <f aca="false">AN87*(1+AM88)</f>
        <v>1.61271766818733</v>
      </c>
      <c r="AO88" s="49" t="n">
        <f aca="false">AJ88*AN88</f>
        <v>12598.5504238794</v>
      </c>
      <c r="AP88" s="70" t="n">
        <f aca="false">IF(AI88&gt;0,AO88*1000000/AI88/Economy!Q88,0)</f>
        <v>0.0317942083060051</v>
      </c>
      <c r="AQ88" s="47" t="n">
        <v>19690000</v>
      </c>
      <c r="AR88" s="47" t="n">
        <v>962</v>
      </c>
      <c r="AS88" s="71" t="n">
        <v>0.596</v>
      </c>
      <c r="AT88" s="49" t="n">
        <f aca="false">IF(AQ88&gt;0,AR88*1000000/AQ88,0)</f>
        <v>48.8572879634332</v>
      </c>
      <c r="AU88" s="67" t="n">
        <f aca="false">IF(AND(AS88&gt;0,AT87&gt;0,B88&gt;0),MIN(conv_cap,conv_beta*1*AS88*MAX(0,LN(B88/(AT87*AV87)))),0)</f>
        <v>0.0181486758188019</v>
      </c>
      <c r="AV88" s="68" t="n">
        <f aca="false">AV87*(1+AU88)</f>
        <v>1.93299579437728</v>
      </c>
      <c r="AW88" s="49" t="n">
        <f aca="false">AR88*AV88</f>
        <v>1859.54195419094</v>
      </c>
      <c r="AX88" s="70" t="n">
        <f aca="false">IF(AQ88&gt;0,AW88*1000000/AQ88/Economy!Q88,0)</f>
        <v>0.115878444365639</v>
      </c>
      <c r="AY88" s="47" t="n">
        <v>123100000</v>
      </c>
      <c r="AZ88" s="47" t="n">
        <v>5833</v>
      </c>
      <c r="BA88" s="71" t="n">
        <v>0.244</v>
      </c>
      <c r="BB88" s="49" t="n">
        <f aca="false">IF(AY88&gt;0,AZ88*1000000/AY88,0)</f>
        <v>47.3842404549147</v>
      </c>
      <c r="BC88" s="67" t="n">
        <f aca="false">IF(AND(BA88&gt;0,BB87&gt;0,B88&gt;0),MIN(conv_cap,conv_beta*1*BA88*MAX(0,LN(B88/(BB87*BD87)))),0)</f>
        <v>0.00857786804928737</v>
      </c>
      <c r="BD88" s="68" t="n">
        <f aca="false">BD87*(1+BC88)</f>
        <v>1.22111643241274</v>
      </c>
      <c r="BE88" s="49" t="n">
        <f aca="false">AZ88*BD88</f>
        <v>7122.77215026352</v>
      </c>
      <c r="BF88" s="70" t="n">
        <f aca="false">IF(AY88&gt;0,BE88*1000000/AY88/Economy!Q88,0)</f>
        <v>0.0709959198244085</v>
      </c>
      <c r="BG88" s="47" t="n">
        <v>45400000</v>
      </c>
      <c r="BH88" s="47" t="n">
        <v>6778</v>
      </c>
      <c r="BI88" s="71" t="n">
        <v>0.394</v>
      </c>
      <c r="BJ88" s="49" t="n">
        <f aca="false">IF(BG88&gt;0,BH88*1000000/BG88,0)</f>
        <v>149.295154185022</v>
      </c>
      <c r="BK88" s="67" t="n">
        <f aca="false">IF(AND(BI88&gt;0,BJ87&gt;0,B88&gt;0),MIN(conv_cap,conv_beta*1*BI88*MAX(0,LN(B88/(BJ87*BL87)))),0)</f>
        <v>0.00918397157045393</v>
      </c>
      <c r="BL88" s="68" t="n">
        <f aca="false">BL87*(1+BK88)</f>
        <v>1.2791601059777</v>
      </c>
      <c r="BM88" s="49" t="n">
        <f aca="false">BH88*BL88</f>
        <v>8670.14719831685</v>
      </c>
      <c r="BN88" s="70" t="n">
        <f aca="false">IF(BG88&gt;0,BM88*1000000/BG88/Economy!Q88,0)</f>
        <v>0.234321969631006</v>
      </c>
      <c r="BO88" s="47" t="n">
        <v>18800000</v>
      </c>
      <c r="BP88" s="47" t="n">
        <v>1756</v>
      </c>
      <c r="BQ88" s="71" t="n">
        <v>0.194</v>
      </c>
      <c r="BR88" s="49" t="n">
        <f aca="false">IF(BO88&gt;0,BP88*1000000/BO88,0)</f>
        <v>93.4042553191489</v>
      </c>
      <c r="BS88" s="67" t="n">
        <f aca="false">IF(AND(BQ88&gt;0,BR87&gt;0,B88&gt;0),MIN(conv_cap,conv_beta*1*BQ88*MAX(0,LN(B88/(BR87*BT87)))),0)</f>
        <v>0.00572986750542391</v>
      </c>
      <c r="BT88" s="68" t="n">
        <f aca="false">BT87*(1+BS88)</f>
        <v>1.08505928226161</v>
      </c>
      <c r="BU88" s="49" t="n">
        <f aca="false">BP88*BT88</f>
        <v>1905.36409965139</v>
      </c>
      <c r="BV88" s="70" t="n">
        <f aca="false">IF(BO88&gt;0,BU88*1000000/BO88/Economy!Q88,0)</f>
        <v>0.124354790474572</v>
      </c>
      <c r="BW88" s="68" t="n">
        <f aca="false">0.25*IF(D88&gt;0,H88,1)+0.15*IF(AJ88&gt;0,AN88,1)+0.03*IF(AR88&gt;0,AV88,1)+0.08*IF(AZ88&gt;0,BD88,1)+0.12*IF(BH88&gt;0,BL88,1)+0.1*IF(L88&gt;0,P88,1)+0.07*IF(T88&gt;0,X88,1)+0.05*IF(AB88&gt;0,AF88,1)+0.05*IF(BP88&gt;0,BT88,1)+0.1</f>
        <v>1.66568493686194</v>
      </c>
      <c r="BX88" s="66" t="n">
        <f aca="false">MIN(mkt_cap,mkt_elast*MAX(0,BW88-1))</f>
        <v>0.332842468430971</v>
      </c>
      <c r="BY88" s="49" t="n">
        <f aca="false">I88+Q88+Y88+AG88</f>
        <v>31979.096222833</v>
      </c>
      <c r="BZ88" s="49" t="n">
        <f aca="false">D88+L88+T88+AB88</f>
        <v>16523.6918</v>
      </c>
      <c r="CA88" s="68" t="n">
        <f aca="false">IF(BZ88&gt;0,BY88/BZ88,0)</f>
        <v>1.93534814192268</v>
      </c>
    </row>
    <row r="89" customFormat="false" ht="14.25" hidden="false" customHeight="true" outlineLevel="0" collapsed="false">
      <c r="A89" s="61" t="n">
        <v>1929</v>
      </c>
      <c r="B89" s="49" t="n">
        <f aca="false">Economy!P88</f>
        <v>1976.10550924695</v>
      </c>
      <c r="C89" s="47" t="n">
        <v>63500000</v>
      </c>
      <c r="D89" s="65" t="n">
        <f aca="false">Japan!B89</f>
        <v>8130</v>
      </c>
      <c r="E89" s="71" t="n">
        <v>1</v>
      </c>
      <c r="F89" s="49" t="n">
        <f aca="false">IF(C89&gt;0,D89*1000000/C89,0)</f>
        <v>128.031496062992</v>
      </c>
      <c r="G89" s="67" t="n">
        <f aca="false">IF(AND(E89&gt;0,F88&gt;0,B89&gt;0),MIN(conv_cap,conv_beta*jp_uplift*E89*MAX(0,LN(B89/(F88*H88)))),0)</f>
        <v>0.0178673049811484</v>
      </c>
      <c r="H89" s="68" t="n">
        <f aca="false">H88*(1+G89)</f>
        <v>2.58131192993456</v>
      </c>
      <c r="I89" s="49" t="n">
        <f aca="false">D89*H89</f>
        <v>20986.0659903679</v>
      </c>
      <c r="J89" s="70" t="n">
        <f aca="false">IF(C89&gt;0,I89*1000000/C89/Economy!Q89,0)</f>
        <v>0.384737169027672</v>
      </c>
      <c r="K89" s="65" t="n">
        <f aca="false">Gulf!B89</f>
        <v>10800000</v>
      </c>
      <c r="L89" s="49" t="n">
        <f aca="false">Gulf!B89*Gulf!C89*Economy!Q89/1000000</f>
        <v>6030.18</v>
      </c>
      <c r="M89" s="71" t="n">
        <v>0.85</v>
      </c>
      <c r="N89" s="49" t="n">
        <f aca="false">IF(K89&gt;0,L89*1000000/K89,0)</f>
        <v>558.35</v>
      </c>
      <c r="O89" s="67" t="n">
        <f aca="false">IF(AND(M89&gt;0,N88&gt;0,B89&gt;0),MIN(conv_cap,conv_beta*1*M89*MAX(0,LN(B89/(N88*P88)))),0)</f>
        <v>0.00928132343148471</v>
      </c>
      <c r="P89" s="68" t="n">
        <f aca="false">P88*(1+O89)</f>
        <v>1.25758274450422</v>
      </c>
      <c r="Q89" s="49" t="n">
        <f aca="false">L89*P89</f>
        <v>7583.45031425448</v>
      </c>
      <c r="R89" s="70" t="n">
        <f aca="false">IF(K89&gt;0,Q89*1000000/K89/Economy!Q89,0)</f>
        <v>0.817428783927745</v>
      </c>
      <c r="S89" s="65" t="n">
        <f aca="false">People!U89</f>
        <v>12628007</v>
      </c>
      <c r="T89" s="47" t="n">
        <v>1270.832</v>
      </c>
      <c r="U89" s="71" t="n">
        <v>0.808</v>
      </c>
      <c r="V89" s="49" t="n">
        <f aca="false">IF(S89&gt;0,T89*1000000/S89,0)</f>
        <v>100.635991095032</v>
      </c>
      <c r="W89" s="67" t="n">
        <f aca="false">IF(AND(U89&gt;0,V88&gt;0,B89&gt;0),MIN(conv_cap,conv_beta*1*U89*MAX(0,LN(B89/(V88*X88)))),0)</f>
        <v>0.0182215238656372</v>
      </c>
      <c r="X89" s="68" t="n">
        <f aca="false">X88*(1+W89)</f>
        <v>2.13061351789211</v>
      </c>
      <c r="Y89" s="49" t="n">
        <f aca="false">T89*X89</f>
        <v>2707.65183816987</v>
      </c>
      <c r="Z89" s="70" t="n">
        <f aca="false">IF(S89&gt;0,Y89*1000000/S89/Economy!Q89,0)</f>
        <v>0.24961164495174</v>
      </c>
      <c r="AA89" s="47" t="n">
        <v>12000000</v>
      </c>
      <c r="AB89" s="47" t="n">
        <v>1500</v>
      </c>
      <c r="AC89" s="71" t="n">
        <v>0.607</v>
      </c>
      <c r="AD89" s="49" t="n">
        <f aca="false">IF(AA89&gt;0,AB89*1000000/AA89,0)</f>
        <v>125</v>
      </c>
      <c r="AE89" s="67" t="n">
        <f aca="false">IF(AND(AC89&gt;0,AD88&gt;0,B89&gt;0),MIN(conv_cap,conv_beta*1*AC89*MAX(0,LN(B89/(AD88*AF88)))),0)</f>
        <v>0.0162263828334599</v>
      </c>
      <c r="AF89" s="68" t="n">
        <f aca="false">AF88*(1+AE89)</f>
        <v>1.12333745745441</v>
      </c>
      <c r="AG89" s="49" t="n">
        <f aca="false">AB89*AF89</f>
        <v>1685.00618618162</v>
      </c>
      <c r="AH89" s="70" t="n">
        <f aca="false">IF(AA89&gt;0,AG89*1000000/AA89/Economy!Q89,0)</f>
        <v>0.163465869827475</v>
      </c>
      <c r="AI89" s="47" t="n">
        <v>490000000</v>
      </c>
      <c r="AJ89" s="47" t="n">
        <v>8000</v>
      </c>
      <c r="AK89" s="71" t="n">
        <v>0.35</v>
      </c>
      <c r="AL89" s="49" t="n">
        <f aca="false">IF(AI89&gt;0,AJ89*1000000/AI89,0)</f>
        <v>16.3265306122449</v>
      </c>
      <c r="AM89" s="67" t="n">
        <f aca="false">IF(AND(AK89&gt;0,AL88&gt;0,B89&gt;0),MIN(conv_cap,conv_beta*1*AK89*MAX(0,LN(B89/(AL88*AN88)))),0)</f>
        <v>0.0151695820273718</v>
      </c>
      <c r="AN89" s="68" t="n">
        <f aca="false">AN88*(1+AM89)</f>
        <v>1.63718192114189</v>
      </c>
      <c r="AO89" s="49" t="n">
        <f aca="false">AJ89*AN89</f>
        <v>13097.4553691351</v>
      </c>
      <c r="AP89" s="70" t="n">
        <f aca="false">IF(AI89&gt;0,AO89*1000000/AI89/Economy!Q89,0)</f>
        <v>0.03111699738456</v>
      </c>
      <c r="AQ89" s="47" t="n">
        <v>20000000</v>
      </c>
      <c r="AR89" s="47" t="n">
        <v>1000</v>
      </c>
      <c r="AS89" s="71" t="n">
        <v>0.6</v>
      </c>
      <c r="AT89" s="49" t="n">
        <f aca="false">IF(AQ89&gt;0,AR89*1000000/AQ89,0)</f>
        <v>50</v>
      </c>
      <c r="AU89" s="67" t="n">
        <f aca="false">IF(AND(AS89&gt;0,AT88&gt;0,B89&gt;0),MIN(conv_cap,conv_beta*1*AS89*MAX(0,LN(B89/(AT88*AV88)))),0)</f>
        <v>0.0182454521382536</v>
      </c>
      <c r="AV89" s="68" t="n">
        <f aca="false">AV88*(1+AU89)</f>
        <v>1.96826417662704</v>
      </c>
      <c r="AW89" s="49" t="n">
        <f aca="false">AR89*AV89</f>
        <v>1968.26417662704</v>
      </c>
      <c r="AX89" s="70" t="n">
        <f aca="false">IF(AQ89&gt;0,AW89*1000000/AQ89/Economy!Q89,0)</f>
        <v>0.114567181410188</v>
      </c>
      <c r="AY89" s="47" t="n">
        <v>125000000</v>
      </c>
      <c r="AZ89" s="47" t="n">
        <v>6000</v>
      </c>
      <c r="BA89" s="71" t="n">
        <v>0.25</v>
      </c>
      <c r="BB89" s="49" t="n">
        <f aca="false">IF(AY89&gt;0,AZ89*1000000/AY89,0)</f>
        <v>48</v>
      </c>
      <c r="BC89" s="67" t="n">
        <f aca="false">IF(AND(BA89&gt;0,BB88&gt;0,B89&gt;0),MIN(conv_cap,conv_beta*1*BA89*MAX(0,LN(B89/(BB88*BD88)))),0)</f>
        <v>0.00882707007465834</v>
      </c>
      <c r="BD89" s="68" t="n">
        <f aca="false">BD88*(1+BC89)</f>
        <v>1.23189531273097</v>
      </c>
      <c r="BE89" s="49" t="n">
        <f aca="false">AZ89*BD89</f>
        <v>7391.37187638579</v>
      </c>
      <c r="BF89" s="70" t="n">
        <f aca="false">IF(AY89&gt;0,BE89*1000000/AY89/Economy!Q89,0)</f>
        <v>0.0688369906997513</v>
      </c>
      <c r="BG89" s="47" t="n">
        <v>46000000</v>
      </c>
      <c r="BH89" s="47" t="n">
        <v>7000</v>
      </c>
      <c r="BI89" s="71" t="n">
        <v>0.4</v>
      </c>
      <c r="BJ89" s="49" t="n">
        <f aca="false">IF(BG89&gt;0,BH89*1000000/BG89,0)</f>
        <v>152.173913043478</v>
      </c>
      <c r="BK89" s="67" t="n">
        <f aca="false">IF(AND(BI89&gt;0,BJ88&gt;0,B89&gt;0),MIN(conv_cap,conv_beta*1*BI89*MAX(0,LN(B89/(BJ88*BL88)))),0)</f>
        <v>0.00934701731910336</v>
      </c>
      <c r="BL89" s="68" t="n">
        <f aca="false">BL88*(1+BK89)</f>
        <v>1.29111643764218</v>
      </c>
      <c r="BM89" s="49" t="n">
        <f aca="false">BH89*BL89</f>
        <v>9037.81506349526</v>
      </c>
      <c r="BN89" s="70" t="n">
        <f aca="false">IF(BG89&gt;0,BM89*1000000/BG89/Economy!Q89,0)</f>
        <v>0.228724377777377</v>
      </c>
      <c r="BO89" s="47" t="n">
        <v>19000000</v>
      </c>
      <c r="BP89" s="47" t="n">
        <v>1800</v>
      </c>
      <c r="BQ89" s="71" t="n">
        <v>0.2</v>
      </c>
      <c r="BR89" s="49" t="n">
        <f aca="false">IF(BO89&gt;0,BP89*1000000/BO89,0)</f>
        <v>94.7368421052632</v>
      </c>
      <c r="BS89" s="67" t="n">
        <f aca="false">IF(AND(BQ89&gt;0,BR88&gt;0,B89&gt;0),MIN(conv_cap,conv_beta*1*BQ89*MAX(0,LN(B89/(BR88*BT88)))),0)</f>
        <v>0.00594062348872421</v>
      </c>
      <c r="BT89" s="68" t="n">
        <f aca="false">BT88*(1+BS89)</f>
        <v>1.09150521092047</v>
      </c>
      <c r="BU89" s="49" t="n">
        <f aca="false">BP89*BT89</f>
        <v>1964.70937965685</v>
      </c>
      <c r="BV89" s="70" t="n">
        <f aca="false">IF(BO89&gt;0,BU89*1000000/BO89/Economy!Q89,0)</f>
        <v>0.120379227967456</v>
      </c>
      <c r="BW89" s="68" t="n">
        <f aca="false">0.25*IF(D89&gt;0,H89,1)+0.15*IF(AJ89&gt;0,AN89,1)+0.03*IF(AR89&gt;0,AV89,1)+0.08*IF(AZ89&gt;0,BD89,1)+0.12*IF(BH89&gt;0,BL89,1)+0.1*IF(L89&gt;0,P89,1)+0.07*IF(T89&gt;0,X89,1)+0.05*IF(AB89&gt;0,AF89,1)+0.05*IF(BP89&gt;0,BT89,1)+0.1</f>
        <v>1.68908214761089</v>
      </c>
      <c r="BX89" s="66" t="n">
        <f aca="false">MIN(mkt_cap,mkt_elast*MAX(0,BW89-1))</f>
        <v>0.344541073805444</v>
      </c>
      <c r="BY89" s="49" t="n">
        <f aca="false">I89+Q89+Y89+AG89</f>
        <v>32962.1743289739</v>
      </c>
      <c r="BZ89" s="49" t="n">
        <f aca="false">D89+L89+T89+AB89</f>
        <v>16931.012</v>
      </c>
      <c r="CA89" s="68" t="n">
        <f aca="false">IF(BZ89&gt;0,BY89/BZ89,0)</f>
        <v>1.94685198551474</v>
      </c>
    </row>
    <row r="90" customFormat="false" ht="14.25" hidden="false" customHeight="true" outlineLevel="0" collapsed="false">
      <c r="A90" s="61" t="n">
        <v>1930</v>
      </c>
      <c r="B90" s="49" t="n">
        <f aca="false">Economy!P89</f>
        <v>2028.11628570292</v>
      </c>
      <c r="C90" s="47" t="n">
        <v>64470000</v>
      </c>
      <c r="D90" s="65" t="n">
        <f aca="false">Japan!B90</f>
        <v>7330</v>
      </c>
      <c r="E90" s="71" t="n">
        <v>1</v>
      </c>
      <c r="F90" s="49" t="n">
        <f aca="false">IF(C90&gt;0,D90*1000000/C90,0)</f>
        <v>113.696292849387</v>
      </c>
      <c r="G90" s="67" t="n">
        <f aca="false">IF(AND(E90&gt;0,F89&gt;0,B90&gt;0),MIN(conv_cap,conv_beta*jp_uplift*E90*MAX(0,LN(B90/(F89*H89)))),0)</f>
        <v>0.0181428863684832</v>
      </c>
      <c r="H90" s="68" t="n">
        <f aca="false">H89*(1+G90)</f>
        <v>2.62814437896097</v>
      </c>
      <c r="I90" s="49" t="n">
        <f aca="false">D90*H90</f>
        <v>19264.2982977839</v>
      </c>
      <c r="J90" s="70" t="n">
        <f aca="false">IF(C90&gt;0,I90*1000000/C90/Economy!Q90,0)</f>
        <v>0.399478974546547</v>
      </c>
      <c r="K90" s="65" t="n">
        <f aca="false">Gulf!B90</f>
        <v>10930000</v>
      </c>
      <c r="L90" s="49" t="n">
        <f aca="false">Gulf!B90*Gulf!C90*Economy!Q90/1000000</f>
        <v>5232.4096</v>
      </c>
      <c r="M90" s="71" t="n">
        <v>0.85</v>
      </c>
      <c r="N90" s="49" t="n">
        <f aca="false">IF(K90&gt;0,L90*1000000/K90,0)</f>
        <v>478.72</v>
      </c>
      <c r="O90" s="67" t="n">
        <f aca="false">IF(AND(M90&gt;0,N89&gt;0,B90&gt;0),MIN(conv_cap,conv_beta*1*M90*MAX(0,LN(B90/(N89*P89)))),0)</f>
        <v>0.0090158248429402</v>
      </c>
      <c r="P90" s="68" t="n">
        <f aca="false">P89*(1+O90)</f>
        <v>1.26892089025418</v>
      </c>
      <c r="Q90" s="49" t="n">
        <f aca="false">L90*P90</f>
        <v>6639.5138478065</v>
      </c>
      <c r="R90" s="70" t="n">
        <f aca="false">IF(K90&gt;0,Q90*1000000/K90/Economy!Q90,0)</f>
        <v>0.812109369762673</v>
      </c>
      <c r="S90" s="65" t="n">
        <f aca="false">People!U90</f>
        <v>12824733</v>
      </c>
      <c r="T90" s="47" t="n">
        <v>1159.045</v>
      </c>
      <c r="U90" s="71" t="n">
        <v>0.812</v>
      </c>
      <c r="V90" s="49" t="n">
        <f aca="false">IF(S90&gt;0,T90*1000000/S90,0)</f>
        <v>90.375760649364</v>
      </c>
      <c r="W90" s="67" t="n">
        <f aca="false">IF(AND(U90&gt;0,V89&gt;0,B90&gt;0),MIN(conv_cap,conv_beta*1*U90*MAX(0,LN(B90/(V89*X89)))),0)</f>
        <v>0.0182451752947889</v>
      </c>
      <c r="X90" s="68" t="n">
        <f aca="false">X89*(1+W90)</f>
        <v>2.1694869350115</v>
      </c>
      <c r="Y90" s="49" t="n">
        <f aca="false">T90*X90</f>
        <v>2514.5329845904</v>
      </c>
      <c r="Z90" s="70" t="n">
        <f aca="false">IF(S90&gt;0,Y90*1000000/S90/Economy!Q90,0)</f>
        <v>0.262124374292141</v>
      </c>
      <c r="AA90" s="47" t="n">
        <v>12170000</v>
      </c>
      <c r="AB90" s="47" t="n">
        <v>1400</v>
      </c>
      <c r="AC90" s="71" t="n">
        <v>0.621</v>
      </c>
      <c r="AD90" s="49" t="n">
        <f aca="false">IF(AA90&gt;0,AB90*1000000/AA90,0)</f>
        <v>115.036976170912</v>
      </c>
      <c r="AE90" s="67" t="n">
        <f aca="false">IF(AND(AC90&gt;0,AD89&gt;0,B90&gt;0),MIN(conv_cap,conv_beta*1*AC90*MAX(0,LN(B90/(AD89*AF89)))),0)</f>
        <v>0.0165822204492043</v>
      </c>
      <c r="AF90" s="68" t="n">
        <f aca="false">AF89*(1+AE90)</f>
        <v>1.14196488681277</v>
      </c>
      <c r="AG90" s="49" t="n">
        <f aca="false">AB90*AF90</f>
        <v>1598.75084153788</v>
      </c>
      <c r="AH90" s="70" t="n">
        <f aca="false">IF(AA90&gt;0,AG90*1000000/AA90/Economy!Q90,0)</f>
        <v>0.175625919080613</v>
      </c>
      <c r="AI90" s="47" t="n">
        <v>493300000</v>
      </c>
      <c r="AJ90" s="47" t="n">
        <v>7667</v>
      </c>
      <c r="AK90" s="71" t="n">
        <v>0.35</v>
      </c>
      <c r="AL90" s="49" t="n">
        <f aca="false">IF(AI90&gt;0,AJ90*1000000/AI90,0)</f>
        <v>15.5422663693493</v>
      </c>
      <c r="AM90" s="67" t="n">
        <f aca="false">IF(AND(AK90&gt;0,AL89&gt;0,B90&gt;0),MIN(conv_cap,conv_beta*1*AK90*MAX(0,LN(B90/(AL89*AN89)))),0)</f>
        <v>0.0151518319770022</v>
      </c>
      <c r="AN90" s="68" t="n">
        <f aca="false">AN89*(1+AM90)</f>
        <v>1.66198822652682</v>
      </c>
      <c r="AO90" s="49" t="n">
        <f aca="false">AJ90*AN90</f>
        <v>12742.4637327811</v>
      </c>
      <c r="AP90" s="70" t="n">
        <f aca="false">IF(AI90&gt;0,AO90*1000000/AI90/Economy!Q90,0)</f>
        <v>0.0345335076462597</v>
      </c>
      <c r="AQ90" s="47" t="n">
        <v>20330000</v>
      </c>
      <c r="AR90" s="47" t="n">
        <v>933</v>
      </c>
      <c r="AS90" s="71" t="n">
        <v>0.6</v>
      </c>
      <c r="AT90" s="49" t="n">
        <f aca="false">IF(AQ90&gt;0,AR90*1000000/AQ90,0)</f>
        <v>45.8927693064437</v>
      </c>
      <c r="AU90" s="67" t="n">
        <f aca="false">IF(AND(AS90&gt;0,AT89&gt;0,B90&gt;0),MIN(conv_cap,conv_beta*1*AS90*MAX(0,LN(B90/(AT89*AV89)))),0)</f>
        <v>0.0181541260321024</v>
      </c>
      <c r="AV90" s="68" t="n">
        <f aca="false">AV89*(1+AU90)</f>
        <v>2.00399629255399</v>
      </c>
      <c r="AW90" s="49" t="n">
        <f aca="false">AR90*AV90</f>
        <v>1869.72854095288</v>
      </c>
      <c r="AX90" s="70" t="n">
        <f aca="false">IF(AQ90&gt;0,AW90*1000000/AQ90/Economy!Q90,0)</f>
        <v>0.122953127734156</v>
      </c>
      <c r="AY90" s="47" t="n">
        <v>126700000</v>
      </c>
      <c r="AZ90" s="47" t="n">
        <v>5167</v>
      </c>
      <c r="BA90" s="71" t="n">
        <v>0.25</v>
      </c>
      <c r="BB90" s="49" t="n">
        <f aca="false">IF(AY90&gt;0,AZ90*1000000/AY90,0)</f>
        <v>40.7813733228098</v>
      </c>
      <c r="BC90" s="67" t="n">
        <f aca="false">IF(AND(BA90&gt;0,BB89&gt;0,B90&gt;0),MIN(conv_cap,conv_beta*1*BA90*MAX(0,LN(B90/(BB89*BD89)))),0)</f>
        <v>0.00883776951045319</v>
      </c>
      <c r="BD90" s="68" t="n">
        <f aca="false">BD89*(1+BC90)</f>
        <v>1.24278251956589</v>
      </c>
      <c r="BE90" s="49" t="n">
        <f aca="false">AZ90*BD90</f>
        <v>6421.45727859695</v>
      </c>
      <c r="BF90" s="70" t="n">
        <f aca="false">IF(AY90&gt;0,BE90*1000000/AY90/Economy!Q90,0)</f>
        <v>0.0677571896918165</v>
      </c>
      <c r="BG90" s="47" t="n">
        <v>46700000</v>
      </c>
      <c r="BH90" s="47" t="n">
        <v>6000</v>
      </c>
      <c r="BI90" s="71" t="n">
        <v>0.4</v>
      </c>
      <c r="BJ90" s="49" t="n">
        <f aca="false">IF(BG90&gt;0,BH90*1000000/BG90,0)</f>
        <v>128.47965738758</v>
      </c>
      <c r="BK90" s="67" t="n">
        <f aca="false">IF(AND(BI90&gt;0,BJ89&gt;0,B90&gt;0),MIN(conv_cap,conv_beta*1*BI90*MAX(0,LN(B90/(BJ89*BL89)))),0)</f>
        <v>0.00933732548795834</v>
      </c>
      <c r="BL90" s="68" t="n">
        <f aca="false">BL89*(1+BK90)</f>
        <v>1.3031720120633</v>
      </c>
      <c r="BM90" s="49" t="n">
        <f aca="false">BH90*BL90</f>
        <v>7819.03207237979</v>
      </c>
      <c r="BN90" s="70" t="n">
        <f aca="false">IF(BG90&gt;0,BM90*1000000/BG90/Economy!Q90,0)</f>
        <v>0.223838360463872</v>
      </c>
      <c r="BO90" s="47" t="n">
        <v>19300000</v>
      </c>
      <c r="BP90" s="47" t="n">
        <v>1667</v>
      </c>
      <c r="BQ90" s="71" t="n">
        <v>0.217</v>
      </c>
      <c r="BR90" s="49" t="n">
        <f aca="false">IF(BO90&gt;0,BP90*1000000/BO90,0)</f>
        <v>86.3730569948187</v>
      </c>
      <c r="BS90" s="67" t="n">
        <f aca="false">IF(AND(BQ90&gt;0,BR89&gt;0,B90&gt;0),MIN(conv_cap,conv_beta*1*BQ90*MAX(0,LN(B90/(BR89*BT89)))),0)</f>
        <v>0.00645835848615379</v>
      </c>
      <c r="BT90" s="68" t="n">
        <f aca="false">BT89*(1+BS90)</f>
        <v>1.0985545428621</v>
      </c>
      <c r="BU90" s="49" t="n">
        <f aca="false">BP90*BT90</f>
        <v>1831.29042295112</v>
      </c>
      <c r="BV90" s="70" t="n">
        <f aca="false">IF(BO90&gt;0,BU90*1000000/BO90/Economy!Q90,0)</f>
        <v>0.126852291634419</v>
      </c>
      <c r="BW90" s="68" t="n">
        <f aca="false">0.25*IF(D90&gt;0,H90,1)+0.15*IF(AJ90&gt;0,AN90,1)+0.03*IF(AR90&gt;0,AV90,1)+0.08*IF(AZ90&gt;0,BD90,1)+0.12*IF(BH90&gt;0,BL90,1)+0.1*IF(L90&gt;0,P90,1)+0.07*IF(T90&gt;0,X90,1)+0.05*IF(AB90&gt;0,AF90,1)+0.05*IF(BP90&gt;0,BT90,1)+0.1</f>
        <v>1.71303960646872</v>
      </c>
      <c r="BX90" s="66" t="n">
        <f aca="false">MIN(mkt_cap,mkt_elast*MAX(0,BW90-1))</f>
        <v>0.356519803234359</v>
      </c>
      <c r="BY90" s="49" t="n">
        <f aca="false">I90+Q90+Y90+AG90</f>
        <v>30017.0959717187</v>
      </c>
      <c r="BZ90" s="49" t="n">
        <f aca="false">D90+L90+T90+AB90</f>
        <v>15121.4546</v>
      </c>
      <c r="CA90" s="68" t="n">
        <f aca="false">IF(BZ90&gt;0,BY90/BZ90,0)</f>
        <v>1.98506669931864</v>
      </c>
    </row>
    <row r="91" customFormat="false" ht="14.25" hidden="false" customHeight="true" outlineLevel="0" collapsed="false">
      <c r="A91" s="61" t="n">
        <v>1931</v>
      </c>
      <c r="B91" s="49" t="n">
        <f aca="false">Economy!P90</f>
        <v>1859.13864732517</v>
      </c>
      <c r="C91" s="47" t="n">
        <v>65430000</v>
      </c>
      <c r="D91" s="65" t="n">
        <f aca="false">Japan!B91</f>
        <v>6630</v>
      </c>
      <c r="E91" s="71" t="n">
        <v>1</v>
      </c>
      <c r="F91" s="49" t="n">
        <f aca="false">IF(C91&gt;0,D91*1000000/C91,0)</f>
        <v>101.329665291151</v>
      </c>
      <c r="G91" s="67" t="n">
        <f aca="false">IF(AND(E91&gt;0,F90&gt;0,B91&gt;0),MIN(conv_cap,conv_beta*jp_uplift*E91*MAX(0,LN(B91/(F90*H90)))),0)</f>
        <v>0.0182805973321743</v>
      </c>
      <c r="H91" s="68" t="n">
        <f aca="false">H90*(1+G91)</f>
        <v>2.67618842808357</v>
      </c>
      <c r="I91" s="49" t="n">
        <f aca="false">D91*H91</f>
        <v>17743.1292781941</v>
      </c>
      <c r="J91" s="70" t="n">
        <f aca="false">IF(C91&gt;0,I91*1000000/C91/Economy!Q91,0)</f>
        <v>0.434578970631025</v>
      </c>
      <c r="K91" s="65" t="n">
        <f aca="false">Gulf!B91</f>
        <v>11070000</v>
      </c>
      <c r="L91" s="49" t="n">
        <f aca="false">Gulf!B91*Gulf!C91*Economy!Q91/1000000</f>
        <v>4351.8384</v>
      </c>
      <c r="M91" s="71" t="n">
        <v>0.85</v>
      </c>
      <c r="N91" s="49" t="n">
        <f aca="false">IF(K91&gt;0,L91*1000000/K91,0)</f>
        <v>393.12</v>
      </c>
      <c r="O91" s="67" t="n">
        <f aca="false">IF(AND(M91&gt;0,N90&gt;0,B91&gt;0),MIN(conv_cap,conv_beta*1*M91*MAX(0,LN(B91/(N90*P90)))),0)</f>
        <v>0.00950797967995741</v>
      </c>
      <c r="P91" s="68" t="n">
        <f aca="false">P90*(1+O91)</f>
        <v>1.28098576429419</v>
      </c>
      <c r="Q91" s="49" t="n">
        <f aca="false">L91*P91</f>
        <v>5574.64303890879</v>
      </c>
      <c r="R91" s="70" t="n">
        <f aca="false">IF(K91&gt;0,Q91*1000000/K91/Economy!Q91,0)</f>
        <v>0.807021031505338</v>
      </c>
      <c r="S91" s="65" t="n">
        <f aca="false">People!U91</f>
        <v>13021526</v>
      </c>
      <c r="T91" s="47" t="n">
        <v>1047.253</v>
      </c>
      <c r="U91" s="71" t="n">
        <v>0.816</v>
      </c>
      <c r="V91" s="49" t="n">
        <f aca="false">IF(S91&gt;0,T91*1000000/S91,0)</f>
        <v>80.4247520605496</v>
      </c>
      <c r="W91" s="67" t="n">
        <f aca="false">IF(AND(U91&gt;0,V90&gt;0,B91&gt;0),MIN(conv_cap,conv_beta*1*U91*MAX(0,LN(B91/(V90*X90)))),0)</f>
        <v>0.018355118406139</v>
      </c>
      <c r="X91" s="68" t="n">
        <f aca="false">X90*(1+W91)</f>
        <v>2.20930812458421</v>
      </c>
      <c r="Y91" s="49" t="n">
        <f aca="false">T91*X91</f>
        <v>2313.70456139519</v>
      </c>
      <c r="Z91" s="70" t="n">
        <f aca="false">IF(S91&gt;0,Y91*1000000/S91/Economy!Q91,0)</f>
        <v>0.284748490617056</v>
      </c>
      <c r="AA91" s="47" t="n">
        <v>12330000</v>
      </c>
      <c r="AB91" s="47" t="n">
        <v>1300</v>
      </c>
      <c r="AC91" s="71" t="n">
        <v>0.636</v>
      </c>
      <c r="AD91" s="49" t="n">
        <f aca="false">IF(AA91&gt;0,AB91*1000000/AA91,0)</f>
        <v>105.433901054339</v>
      </c>
      <c r="AE91" s="67" t="n">
        <f aca="false">IF(AND(AC91&gt;0,AD90&gt;0,B91&gt;0),MIN(conv_cap,conv_beta*1*AC91*MAX(0,LN(B91/(AD90*AF90)))),0)</f>
        <v>0.0168531388200331</v>
      </c>
      <c r="AF91" s="68" t="n">
        <f aca="false">AF90*(1+AE91)</f>
        <v>1.16121057957783</v>
      </c>
      <c r="AG91" s="49" t="n">
        <f aca="false">AB91*AF91</f>
        <v>1509.57375345118</v>
      </c>
      <c r="AH91" s="70" t="n">
        <f aca="false">IF(AA91&gt;0,AG91*1000000/AA91/Economy!Q91,0)</f>
        <v>0.196203463702661</v>
      </c>
      <c r="AI91" s="47" t="n">
        <v>496700000</v>
      </c>
      <c r="AJ91" s="47" t="n">
        <v>7333</v>
      </c>
      <c r="AK91" s="71" t="n">
        <v>0.35</v>
      </c>
      <c r="AL91" s="49" t="n">
        <f aca="false">IF(AI91&gt;0,AJ91*1000000/AI91,0)</f>
        <v>14.7634386953896</v>
      </c>
      <c r="AM91" s="67" t="n">
        <f aca="false">IF(AND(AK91&gt;0,AL90&gt;0,B91&gt;0),MIN(conv_cap,conv_beta*1*AK91*MAX(0,LN(B91/(AL90*AN90)))),0)</f>
        <v>0.0149670177258078</v>
      </c>
      <c r="AN91" s="68" t="n">
        <f aca="false">AN90*(1+AM91)</f>
        <v>1.68686323377333</v>
      </c>
      <c r="AO91" s="49" t="n">
        <f aca="false">AJ91*AN91</f>
        <v>12369.7680932598</v>
      </c>
      <c r="AP91" s="70" t="n">
        <f aca="false">IF(AI91&gt;0,AO91*1000000/AI91/Economy!Q91,0)</f>
        <v>0.0399100992617294</v>
      </c>
      <c r="AQ91" s="47" t="n">
        <v>20670000</v>
      </c>
      <c r="AR91" s="47" t="n">
        <v>867</v>
      </c>
      <c r="AS91" s="71" t="n">
        <v>0.6</v>
      </c>
      <c r="AT91" s="49" t="n">
        <f aca="false">IF(AQ91&gt;0,AR91*1000000/AQ91,0)</f>
        <v>41.944847605225</v>
      </c>
      <c r="AU91" s="67" t="n">
        <f aca="false">IF(AND(AS91&gt;0,AT90&gt;0,B91&gt;0),MIN(conv_cap,conv_beta*1*AS91*MAX(0,LN(B91/(AT90*AV90)))),0)</f>
        <v>0.018038505961234</v>
      </c>
      <c r="AV91" s="68" t="n">
        <f aca="false">AV90*(1+AU91)</f>
        <v>2.04014539162352</v>
      </c>
      <c r="AW91" s="49" t="n">
        <f aca="false">AR91*AV91</f>
        <v>1768.80605453759</v>
      </c>
      <c r="AX91" s="70" t="n">
        <f aca="false">IF(AQ91&gt;0,AW91*1000000/AQ91/Economy!Q91,0)</f>
        <v>0.137137159525882</v>
      </c>
      <c r="AY91" s="47" t="n">
        <v>128300000</v>
      </c>
      <c r="AZ91" s="47" t="n">
        <v>4333</v>
      </c>
      <c r="BA91" s="71" t="n">
        <v>0.25</v>
      </c>
      <c r="BB91" s="49" t="n">
        <f aca="false">IF(AY91&gt;0,AZ91*1000000/AY91,0)</f>
        <v>33.7724084177709</v>
      </c>
      <c r="BC91" s="67" t="n">
        <f aca="false">IF(AND(BA91&gt;0,BB90&gt;0,B91&gt;0),MIN(conv_cap,conv_beta*1*BA91*MAX(0,LN(B91/(BB90*BD90)))),0)</f>
        <v>0.00900572573144142</v>
      </c>
      <c r="BD91" s="68" t="n">
        <f aca="false">BD90*(1+BC91)</f>
        <v>1.25397467808093</v>
      </c>
      <c r="BE91" s="49" t="n">
        <f aca="false">AZ91*BD91</f>
        <v>5433.47228012467</v>
      </c>
      <c r="BF91" s="70" t="n">
        <f aca="false">IF(AY91&gt;0,BE91*1000000/AY91/Economy!Q91,0)</f>
        <v>0.0678681810475832</v>
      </c>
      <c r="BG91" s="47" t="n">
        <v>47300000</v>
      </c>
      <c r="BH91" s="47" t="n">
        <v>5000</v>
      </c>
      <c r="BI91" s="71" t="n">
        <v>0.4</v>
      </c>
      <c r="BJ91" s="49" t="n">
        <f aca="false">IF(BG91&gt;0,BH91*1000000/BG91,0)</f>
        <v>105.708245243129</v>
      </c>
      <c r="BK91" s="67" t="n">
        <f aca="false">IF(AND(BI91&gt;0,BJ90&gt;0,B91&gt;0),MIN(conv_cap,conv_beta*1*BI91*MAX(0,LN(B91/(BJ90*BL90)))),0)</f>
        <v>0.00962918672527036</v>
      </c>
      <c r="BL91" s="68" t="n">
        <f aca="false">BL90*(1+BK91)</f>
        <v>1.3157204987026</v>
      </c>
      <c r="BM91" s="49" t="n">
        <f aca="false">BH91*BL91</f>
        <v>6578.60249351301</v>
      </c>
      <c r="BN91" s="70" t="n">
        <f aca="false">IF(BG91&gt;0,BM91*1000000/BG91/Economy!Q91,0)</f>
        <v>0.222888630045299</v>
      </c>
      <c r="BO91" s="47" t="n">
        <v>19700000</v>
      </c>
      <c r="BP91" s="47" t="n">
        <v>1533</v>
      </c>
      <c r="BQ91" s="71" t="n">
        <v>0.233</v>
      </c>
      <c r="BR91" s="49" t="n">
        <f aca="false">IF(BO91&gt;0,BP91*1000000/BO91,0)</f>
        <v>77.8172588832487</v>
      </c>
      <c r="BS91" s="67" t="n">
        <f aca="false">IF(AND(BQ91&gt;0,BR90&gt;0,B91&gt;0),MIN(conv_cap,conv_beta*1*BQ91*MAX(0,LN(B91/(BR90*BT90)))),0)</f>
        <v>0.00693221021235763</v>
      </c>
      <c r="BT91" s="68" t="n">
        <f aca="false">BT90*(1+BS91)</f>
        <v>1.10616995388296</v>
      </c>
      <c r="BU91" s="49" t="n">
        <f aca="false">BP91*BT91</f>
        <v>1695.75853930258</v>
      </c>
      <c r="BV91" s="70" t="n">
        <f aca="false">IF(BO91&gt;0,BU91*1000000/BO91/Economy!Q91,0)</f>
        <v>0.137947297548368</v>
      </c>
      <c r="BW91" s="68" t="n">
        <f aca="false">0.25*IF(D91&gt;0,H91,1)+0.15*IF(AJ91&gt;0,AN91,1)+0.03*IF(AR91&gt;0,AV91,1)+0.08*IF(AZ91&gt;0,BD91,1)+0.12*IF(BH91&gt;0,BL91,1)+0.1*IF(L91&gt;0,P91,1)+0.07*IF(T91&gt;0,X91,1)+0.05*IF(AB91&gt;0,AF91,1)+0.05*IF(BP91&gt;0,BT91,1)+0.1</f>
        <v>1.73760455974974</v>
      </c>
      <c r="BX91" s="66" t="n">
        <f aca="false">MIN(mkt_cap,mkt_elast*MAX(0,BW91-1))</f>
        <v>0.368802279874868</v>
      </c>
      <c r="BY91" s="49" t="n">
        <f aca="false">I91+Q91+Y91+AG91</f>
        <v>27141.0506319492</v>
      </c>
      <c r="BZ91" s="49" t="n">
        <f aca="false">D91+L91+T91+AB91</f>
        <v>13329.0914</v>
      </c>
      <c r="CA91" s="68" t="n">
        <f aca="false">IF(BZ91&gt;0,BY91/BZ91,0)</f>
        <v>2.03622661271189</v>
      </c>
    </row>
    <row r="92" customFormat="false" ht="14.25" hidden="false" customHeight="true" outlineLevel="0" collapsed="false">
      <c r="A92" s="61" t="n">
        <v>1932</v>
      </c>
      <c r="B92" s="49" t="n">
        <f aca="false">Economy!P91</f>
        <v>1650.72398155202</v>
      </c>
      <c r="C92" s="47" t="n">
        <v>66400000</v>
      </c>
      <c r="D92" s="65" t="n">
        <f aca="false">Japan!B92</f>
        <v>6480</v>
      </c>
      <c r="E92" s="71" t="n">
        <v>1</v>
      </c>
      <c r="F92" s="49" t="n">
        <f aca="false">IF(C92&gt;0,D92*1000000/C92,0)</f>
        <v>97.5903614457831</v>
      </c>
      <c r="G92" s="67" t="n">
        <f aca="false">IF(AND(E92&gt;0,F91&gt;0,B92&gt;0),MIN(conv_cap,conv_beta*jp_uplift*E92*MAX(0,LN(B92/(F91*H91)))),0)</f>
        <v>0.0180619647919114</v>
      </c>
      <c r="H92" s="68" t="n">
        <f aca="false">H91*(1+G92)</f>
        <v>2.72452564924814</v>
      </c>
      <c r="I92" s="49" t="n">
        <f aca="false">D92*H92</f>
        <v>17654.9262071279</v>
      </c>
      <c r="J92" s="70" t="n">
        <f aca="false">IF(C92&gt;0,I92*1000000/C92/Economy!Q92,0)</f>
        <v>0.558587064870657</v>
      </c>
      <c r="K92" s="65" t="n">
        <f aca="false">Gulf!B92</f>
        <v>11200000</v>
      </c>
      <c r="L92" s="49" t="n">
        <f aca="false">Gulf!B92*Gulf!C92*Economy!Q92/1000000</f>
        <v>3305.344</v>
      </c>
      <c r="M92" s="71" t="n">
        <v>0.85</v>
      </c>
      <c r="N92" s="49" t="n">
        <f aca="false">IF(K92&gt;0,L92*1000000/K92,0)</f>
        <v>295.12</v>
      </c>
      <c r="O92" s="67" t="n">
        <f aca="false">IF(AND(M92&gt;0,N91&gt;0,B92&gt;0),MIN(conv_cap,conv_beta*1*M92*MAX(0,LN(B92/(N91*P91)))),0)</f>
        <v>0.0100914076439153</v>
      </c>
      <c r="P92" s="68" t="n">
        <f aca="false">P91*(1+O92)</f>
        <v>1.29391271382773</v>
      </c>
      <c r="Q92" s="49" t="n">
        <f aca="false">L92*P92</f>
        <v>4276.82662517421</v>
      </c>
      <c r="R92" s="70" t="n">
        <f aca="false">IF(K92&gt;0,Q92*1000000/K92/Economy!Q92,0)</f>
        <v>0.802225882573194</v>
      </c>
      <c r="S92" s="65" t="n">
        <f aca="false">People!U92</f>
        <v>13218388</v>
      </c>
      <c r="T92" s="47" t="n">
        <v>935.455</v>
      </c>
      <c r="U92" s="71" t="n">
        <v>0.82</v>
      </c>
      <c r="V92" s="49" t="n">
        <f aca="false">IF(S92&gt;0,T92*1000000/S92,0)</f>
        <v>70.7692193632083</v>
      </c>
      <c r="W92" s="67" t="n">
        <f aca="false">IF(AND(U92&gt;0,V91&gt;0,B92&gt;0),MIN(conv_cap,conv_beta*1*U92*MAX(0,LN(B92/(V91*X91)))),0)</f>
        <v>0.0182775364223833</v>
      </c>
      <c r="X92" s="68" t="n">
        <f aca="false">X91*(1+W92)</f>
        <v>2.24968883429956</v>
      </c>
      <c r="Y92" s="49" t="n">
        <f aca="false">T92*X92</f>
        <v>2104.4826684897</v>
      </c>
      <c r="Z92" s="70" t="n">
        <f aca="false">IF(S92&gt;0,Y92*1000000/S92/Economy!Q92,0)</f>
        <v>0.334472106330895</v>
      </c>
      <c r="AA92" s="47" t="n">
        <v>12500000</v>
      </c>
      <c r="AB92" s="47" t="n">
        <v>1200</v>
      </c>
      <c r="AC92" s="71" t="n">
        <v>0.65</v>
      </c>
      <c r="AD92" s="49" t="n">
        <f aca="false">IF(AA92&gt;0,AB92*1000000/AA92,0)</f>
        <v>96</v>
      </c>
      <c r="AE92" s="67" t="n">
        <f aca="false">IF(AND(AC92&gt;0,AD91&gt;0,B92&gt;0),MIN(conv_cap,conv_beta*1*AC92*MAX(0,LN(B92/(AD91*AF91)))),0)</f>
        <v>0.0169092427208746</v>
      </c>
      <c r="AF92" s="68" t="n">
        <f aca="false">AF91*(1+AE92)</f>
        <v>1.18084577111796</v>
      </c>
      <c r="AG92" s="49" t="n">
        <f aca="false">AB92*AF92</f>
        <v>1417.01492534155</v>
      </c>
      <c r="AH92" s="70" t="n">
        <f aca="false">IF(AA92&gt;0,AG92*1000000/AA92/Economy!Q92,0)</f>
        <v>0.238153768964966</v>
      </c>
      <c r="AI92" s="47" t="n">
        <v>500000000</v>
      </c>
      <c r="AJ92" s="47" t="n">
        <v>7000</v>
      </c>
      <c r="AK92" s="71" t="n">
        <v>0.35</v>
      </c>
      <c r="AL92" s="49" t="n">
        <f aca="false">IF(AI92&gt;0,AJ92*1000000/AI92,0)</f>
        <v>14</v>
      </c>
      <c r="AM92" s="67" t="n">
        <f aca="false">IF(AND(AK92&gt;0,AL91&gt;0,B92&gt;0),MIN(conv_cap,conv_beta*1*AK92*MAX(0,LN(B92/(AL91*AN91)))),0)</f>
        <v>0.0146788066312102</v>
      </c>
      <c r="AN92" s="68" t="n">
        <f aca="false">AN91*(1+AM92)</f>
        <v>1.71162437299519</v>
      </c>
      <c r="AO92" s="49" t="n">
        <f aca="false">AJ92*AN92</f>
        <v>11981.3706109663</v>
      </c>
      <c r="AP92" s="70" t="n">
        <f aca="false">IF(AI92&gt;0,AO92*1000000/AI92/Economy!Q92,0)</f>
        <v>0.0503418933233878</v>
      </c>
      <c r="AQ92" s="47" t="n">
        <v>21000000</v>
      </c>
      <c r="AR92" s="47" t="n">
        <v>800</v>
      </c>
      <c r="AS92" s="71" t="n">
        <v>0.6</v>
      </c>
      <c r="AT92" s="49" t="n">
        <f aca="false">IF(AQ92&gt;0,AR92*1000000/AQ92,0)</f>
        <v>38.0952380952381</v>
      </c>
      <c r="AU92" s="67" t="n">
        <f aca="false">IF(AND(AS92&gt;0,AT91&gt;0,B92&gt;0),MIN(conv_cap,conv_beta*1*AS92*MAX(0,LN(B92/(AT91*AV91)))),0)</f>
        <v>0.0177575554113085</v>
      </c>
      <c r="AV92" s="68" t="n">
        <f aca="false">AV91*(1+AU92)</f>
        <v>2.0763733864624</v>
      </c>
      <c r="AW92" s="49" t="n">
        <f aca="false">AR92*AV92</f>
        <v>1661.09870916992</v>
      </c>
      <c r="AX92" s="70" t="n">
        <f aca="false">IF(AQ92&gt;0,AW92*1000000/AQ92/Economy!Q92,0)</f>
        <v>0.166176341453574</v>
      </c>
      <c r="AY92" s="47" t="n">
        <v>130000000</v>
      </c>
      <c r="AZ92" s="47" t="n">
        <v>3500</v>
      </c>
      <c r="BA92" s="71" t="n">
        <v>0.25</v>
      </c>
      <c r="BB92" s="49" t="n">
        <f aca="false">IF(AY92&gt;0,AZ92*1000000/AY92,0)</f>
        <v>26.9230769230769</v>
      </c>
      <c r="BC92" s="67" t="n">
        <f aca="false">IF(AND(BA92&gt;0,BB91&gt;0,B92&gt;0),MIN(conv_cap,conv_beta*1*BA92*MAX(0,LN(B92/(BB91*BD91)))),0)</f>
        <v>0.00915751712037807</v>
      </c>
      <c r="BD92" s="68" t="n">
        <f aca="false">BD91*(1+BC92)</f>
        <v>1.26545797266398</v>
      </c>
      <c r="BE92" s="49" t="n">
        <f aca="false">AZ92*BD92</f>
        <v>4429.10290432392</v>
      </c>
      <c r="BF92" s="70" t="n">
        <f aca="false">IF(AY92&gt;0,BE92*1000000/AY92/Economy!Q92,0)</f>
        <v>0.0715756771868765</v>
      </c>
      <c r="BG92" s="47" t="n">
        <v>48000000</v>
      </c>
      <c r="BH92" s="47" t="n">
        <v>4000</v>
      </c>
      <c r="BI92" s="71" t="n">
        <v>0.4</v>
      </c>
      <c r="BJ92" s="49" t="n">
        <f aca="false">IF(BG92&gt;0,BH92*1000000/BG92,0)</f>
        <v>83.3333333333333</v>
      </c>
      <c r="BK92" s="67" t="n">
        <f aca="false">IF(AND(BI92&gt;0,BJ91&gt;0,B92&gt;0),MIN(conv_cap,conv_beta*1*BI92*MAX(0,LN(B92/(BJ91*BL91)))),0)</f>
        <v>0.00989560771239366</v>
      </c>
      <c r="BL92" s="68" t="n">
        <f aca="false">BL91*(1+BK92)</f>
        <v>1.32874035261692</v>
      </c>
      <c r="BM92" s="49" t="n">
        <f aca="false">BH92*BL92</f>
        <v>5314.96141046767</v>
      </c>
      <c r="BN92" s="70" t="n">
        <f aca="false">IF(BG92&gt;0,BM92*1000000/BG92/Economy!Q92,0)</f>
        <v>0.232622610752262</v>
      </c>
      <c r="BO92" s="47" t="n">
        <v>20000000</v>
      </c>
      <c r="BP92" s="47" t="n">
        <v>1400</v>
      </c>
      <c r="BQ92" s="71" t="n">
        <v>0.25</v>
      </c>
      <c r="BR92" s="49" t="n">
        <f aca="false">IF(BO92&gt;0,BP92*1000000/BO92,0)</f>
        <v>70</v>
      </c>
      <c r="BS92" s="67" t="n">
        <f aca="false">IF(AND(BQ92&gt;0,BR91&gt;0,B92&gt;0),MIN(conv_cap,conv_beta*1*BQ92*MAX(0,LN(B92/(BR91*BT91)))),0)</f>
        <v>0.00738425611895118</v>
      </c>
      <c r="BT92" s="68" t="n">
        <f aca="false">BT91*(1+BS92)</f>
        <v>1.11433819613352</v>
      </c>
      <c r="BU92" s="49" t="n">
        <f aca="false">BP92*BT92</f>
        <v>1560.07347458693</v>
      </c>
      <c r="BV92" s="70" t="n">
        <f aca="false">IF(BO92&gt;0,BU92*1000000/BO92/Economy!Q92,0)</f>
        <v>0.163873264137283</v>
      </c>
      <c r="BW92" s="68" t="n">
        <f aca="false">0.25*IF(D92&gt;0,H92,1)+0.15*IF(AJ92&gt;0,AN92,1)+0.03*IF(AR92&gt;0,AV92,1)+0.08*IF(AZ92&gt;0,BD92,1)+0.12*IF(BH92&gt;0,BL92,1)+0.1*IF(L92&gt;0,P92,1)+0.07*IF(T92&gt;0,X92,1)+0.05*IF(AB92&gt;0,AF92,1)+0.05*IF(BP92&gt;0,BT92,1)+0.1</f>
        <v>1.76248043812865</v>
      </c>
      <c r="BX92" s="66" t="n">
        <f aca="false">MIN(mkt_cap,mkt_elast*MAX(0,BW92-1))</f>
        <v>0.381240219064325</v>
      </c>
      <c r="BY92" s="49" t="n">
        <f aca="false">I92+Q92+Y92+AG92</f>
        <v>25453.2504261334</v>
      </c>
      <c r="BZ92" s="49" t="n">
        <f aca="false">D92+L92+T92+AB92</f>
        <v>11920.799</v>
      </c>
      <c r="CA92" s="68" t="n">
        <f aca="false">IF(BZ92&gt;0,BY92/BZ92,0)</f>
        <v>2.13519667818687</v>
      </c>
    </row>
  </sheetData>
  <mergeCells count="11">
    <mergeCell ref="C4:J4"/>
    <mergeCell ref="K4:R4"/>
    <mergeCell ref="S4:Z4"/>
    <mergeCell ref="AA4:AH4"/>
    <mergeCell ref="AI4:AP4"/>
    <mergeCell ref="AQ4:AX4"/>
    <mergeCell ref="AY4:BF4"/>
    <mergeCell ref="BG4:BN4"/>
    <mergeCell ref="BO4:BV4"/>
    <mergeCell ref="BW4:BX4"/>
    <mergeCell ref="BY4:CA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5" min="2" style="1" width="12.44"/>
    <col collapsed="false" customWidth="true" hidden="false" outlineLevel="0" max="20" min="6" style="1" width="11"/>
    <col collapsed="false" customWidth="true" hidden="false" outlineLevel="0" max="27" min="21" style="1" width="9"/>
    <col collapsed="false" customWidth="true" hidden="false" outlineLevel="0" max="32" min="28" style="1" width="12.44"/>
  </cols>
  <sheetData>
    <row r="1" customFormat="false" ht="18" hidden="false" customHeight="true" outlineLevel="0" collapsed="false">
      <c r="A1" s="19" t="s">
        <v>2109</v>
      </c>
    </row>
    <row r="2" customFormat="false" ht="14.25" hidden="false" customHeight="true" outlineLevel="0" collapsed="false">
      <c r="A2" s="3" t="s">
        <v>2110</v>
      </c>
    </row>
    <row r="3" customFormat="false" ht="14.25" hidden="false" customHeight="true" outlineLevel="0" collapsed="false">
      <c r="A3" s="20" t="s">
        <v>1315</v>
      </c>
    </row>
    <row r="4" customFormat="false" ht="14.25" hidden="false" customHeight="true" outlineLevel="0" collapsed="false">
      <c r="B4" s="58" t="s">
        <v>65</v>
      </c>
      <c r="C4" s="58"/>
      <c r="D4" s="58"/>
      <c r="E4" s="58"/>
      <c r="F4" s="58" t="s">
        <v>2111</v>
      </c>
      <c r="G4" s="58"/>
      <c r="H4" s="58"/>
      <c r="I4" s="58"/>
      <c r="J4" s="58"/>
      <c r="K4" s="58"/>
      <c r="L4" s="58"/>
      <c r="M4" s="58"/>
      <c r="N4" s="58"/>
      <c r="O4" s="58"/>
      <c r="P4" s="58"/>
      <c r="Q4" s="58"/>
      <c r="R4" s="58"/>
      <c r="S4" s="58"/>
      <c r="T4" s="58"/>
      <c r="U4" s="58" t="s">
        <v>2112</v>
      </c>
      <c r="V4" s="58"/>
      <c r="W4" s="58"/>
      <c r="X4" s="58"/>
      <c r="Y4" s="58"/>
      <c r="Z4" s="58"/>
      <c r="AA4" s="58"/>
      <c r="AB4" s="58"/>
      <c r="AC4" s="58"/>
      <c r="AD4" s="58"/>
      <c r="AE4" s="58"/>
      <c r="AF4" s="58"/>
    </row>
    <row r="5" customFormat="false" ht="54" hidden="false" customHeight="true" outlineLevel="0" collapsed="false">
      <c r="A5" s="60" t="s">
        <v>103</v>
      </c>
      <c r="B5" s="7" t="s">
        <v>1352</v>
      </c>
      <c r="C5" s="7" t="s">
        <v>2113</v>
      </c>
      <c r="D5" s="7" t="s">
        <v>2114</v>
      </c>
      <c r="E5" s="7" t="s">
        <v>2115</v>
      </c>
      <c r="F5" s="7" t="s">
        <v>2116</v>
      </c>
      <c r="G5" s="7" t="s">
        <v>2117</v>
      </c>
      <c r="H5" s="7" t="s">
        <v>2118</v>
      </c>
      <c r="I5" s="7" t="s">
        <v>2119</v>
      </c>
      <c r="J5" s="7" t="s">
        <v>2120</v>
      </c>
      <c r="K5" s="7" t="s">
        <v>2121</v>
      </c>
      <c r="L5" s="7" t="s">
        <v>2122</v>
      </c>
      <c r="M5" s="7" t="s">
        <v>2123</v>
      </c>
      <c r="N5" s="7" t="s">
        <v>2124</v>
      </c>
      <c r="O5" s="7" t="s">
        <v>2125</v>
      </c>
      <c r="P5" s="7" t="s">
        <v>2126</v>
      </c>
      <c r="Q5" s="7" t="s">
        <v>2127</v>
      </c>
      <c r="R5" s="7" t="s">
        <v>2128</v>
      </c>
      <c r="S5" s="7" t="s">
        <v>2129</v>
      </c>
      <c r="T5" s="7" t="s">
        <v>2130</v>
      </c>
      <c r="U5" s="7" t="s">
        <v>2131</v>
      </c>
      <c r="V5" s="7" t="s">
        <v>2132</v>
      </c>
      <c r="W5" s="7" t="s">
        <v>2133</v>
      </c>
      <c r="X5" s="7" t="s">
        <v>2134</v>
      </c>
      <c r="Y5" s="7" t="s">
        <v>2135</v>
      </c>
      <c r="Z5" s="7" t="s">
        <v>2136</v>
      </c>
      <c r="AA5" s="7" t="s">
        <v>2137</v>
      </c>
      <c r="AB5" s="7" t="s">
        <v>2138</v>
      </c>
      <c r="AC5" s="7" t="s">
        <v>2139</v>
      </c>
      <c r="AD5" s="7" t="s">
        <v>2140</v>
      </c>
      <c r="AE5" s="7" t="s">
        <v>2141</v>
      </c>
      <c r="AF5" s="7" t="s">
        <v>2142</v>
      </c>
    </row>
    <row r="6" customFormat="false" ht="14.25" hidden="false" customHeight="true" outlineLevel="0" collapsed="false">
      <c r="A6" s="61" t="n">
        <v>1846</v>
      </c>
      <c r="B6" s="47" t="n">
        <v>0</v>
      </c>
      <c r="C6" s="71" t="n">
        <v>0</v>
      </c>
      <c r="D6" s="49" t="n">
        <f aca="false">Partners!Q6*(1-IF(AND(OR(oil_compact=0,$A6&lt;compact_year),OR($A6=1931,$A6=1932)),gulf_glut_gdp,0))</f>
        <v>0</v>
      </c>
      <c r="E6" s="49" t="n">
        <f aca="false">IF(AND(gulf_on=1,$A6&gt;=gulf_year),1,0)</f>
        <v>0</v>
      </c>
      <c r="F6" s="47" t="n">
        <v>0</v>
      </c>
      <c r="G6" s="47" t="n">
        <v>0</v>
      </c>
      <c r="H6" s="62" t="n">
        <v>0</v>
      </c>
      <c r="I6" s="62" t="n">
        <v>0</v>
      </c>
      <c r="J6" s="62" t="n">
        <v>0</v>
      </c>
      <c r="K6" s="62" t="n">
        <v>0</v>
      </c>
      <c r="L6" s="55" t="n">
        <v>0</v>
      </c>
      <c r="M6" s="55" t="n">
        <v>0</v>
      </c>
      <c r="N6" s="55" t="n">
        <v>0</v>
      </c>
      <c r="O6" s="55" t="n">
        <v>0</v>
      </c>
      <c r="P6" s="71" t="n">
        <v>0</v>
      </c>
      <c r="Q6" s="71" t="n">
        <v>0</v>
      </c>
      <c r="R6" s="71" t="n">
        <v>0</v>
      </c>
      <c r="S6" s="71" t="n">
        <v>0</v>
      </c>
      <c r="T6" s="66" t="n">
        <f aca="false">J6-IF(AND(OR(oil_compact=0,$A6&lt;compact_year),$A6&gt;=1931,$A6&lt;=1933),gulf_wage_dip,0)</f>
        <v>0</v>
      </c>
      <c r="U6" s="49" t="n">
        <f aca="false">IF($A6&lt;1900,0,IF(F6&lt;=G6,1,0))</f>
        <v>0</v>
      </c>
      <c r="V6" s="49" t="n">
        <f aca="false">IF($A6&lt;1900,0,IF(H6&gt;=I6,1,0))</f>
        <v>0</v>
      </c>
      <c r="W6" s="49" t="n">
        <f aca="false">IF($A6&lt;1900,0,IF(T6&gt;=K6,1,0))</f>
        <v>0</v>
      </c>
      <c r="X6" s="49" t="n">
        <f aca="false">IF($A6&lt;1900,0,IF(L6&lt;=M6,1,0))</f>
        <v>0</v>
      </c>
      <c r="Y6" s="49" t="n">
        <f aca="false">IF($A6&lt;1900,0,IF(N6&lt;=O6,1,0))</f>
        <v>0</v>
      </c>
      <c r="Z6" s="49" t="n">
        <f aca="false">IF($A6&lt;1900,0,IF(P6&lt;=Q6,1,0))</f>
        <v>0</v>
      </c>
      <c r="AA6" s="49" t="n">
        <f aca="false">IF($A6&lt;1900,0,IF(R6&gt;=S6,1,0))</f>
        <v>0</v>
      </c>
      <c r="AB6" s="49" t="n">
        <f aca="false">IF(SUM(U6:Y6)=5,1,0)</f>
        <v>0</v>
      </c>
      <c r="AC6" s="49" t="n">
        <f aca="false">IF(Z6+AA6=2,1,0)</f>
        <v>0</v>
      </c>
      <c r="AD6" s="49" t="n">
        <f aca="false">IF(AND(AB6=1,AC6=1),1,0)</f>
        <v>0</v>
      </c>
      <c r="AE6" s="49" t="n">
        <f aca="false">0</f>
        <v>0</v>
      </c>
      <c r="AF6" s="49" t="n">
        <f aca="false">0</f>
        <v>0</v>
      </c>
    </row>
    <row r="7" customFormat="false" ht="14.25" hidden="false" customHeight="true" outlineLevel="0" collapsed="false">
      <c r="A7" s="61" t="n">
        <v>1847</v>
      </c>
      <c r="B7" s="47" t="n">
        <v>0</v>
      </c>
      <c r="C7" s="71" t="n">
        <v>0</v>
      </c>
      <c r="D7" s="49" t="n">
        <f aca="false">Partners!Q7*(1-IF(AND(OR(oil_compact=0,$A7&lt;compact_year),OR($A7=1931,$A7=1932)),gulf_glut_gdp,0))</f>
        <v>0</v>
      </c>
      <c r="E7" s="49" t="n">
        <f aca="false">IF(AND(gulf_on=1,$A7&gt;=gulf_year),1,0)</f>
        <v>0</v>
      </c>
      <c r="F7" s="47" t="n">
        <v>0</v>
      </c>
      <c r="G7" s="47" t="n">
        <v>0</v>
      </c>
      <c r="H7" s="62" t="n">
        <v>0</v>
      </c>
      <c r="I7" s="62" t="n">
        <v>0</v>
      </c>
      <c r="J7" s="62" t="n">
        <v>0</v>
      </c>
      <c r="K7" s="62" t="n">
        <v>0</v>
      </c>
      <c r="L7" s="55" t="n">
        <v>0</v>
      </c>
      <c r="M7" s="55" t="n">
        <v>0</v>
      </c>
      <c r="N7" s="55" t="n">
        <v>0</v>
      </c>
      <c r="O7" s="55" t="n">
        <v>0</v>
      </c>
      <c r="P7" s="71" t="n">
        <v>0</v>
      </c>
      <c r="Q7" s="71" t="n">
        <v>0</v>
      </c>
      <c r="R7" s="71" t="n">
        <v>0</v>
      </c>
      <c r="S7" s="71" t="n">
        <v>0</v>
      </c>
      <c r="T7" s="66" t="n">
        <f aca="false">J7-IF(AND(OR(oil_compact=0,$A7&lt;compact_year),$A7&gt;=1931,$A7&lt;=1933),gulf_wage_dip,0)</f>
        <v>0</v>
      </c>
      <c r="U7" s="49" t="n">
        <f aca="false">IF($A7&lt;1900,0,IF(F7&lt;=G7,1,0))</f>
        <v>0</v>
      </c>
      <c r="V7" s="49" t="n">
        <f aca="false">IF($A7&lt;1900,0,IF(H7&gt;=I7,1,0))</f>
        <v>0</v>
      </c>
      <c r="W7" s="49" t="n">
        <f aca="false">IF($A7&lt;1900,0,IF(T7&gt;=K7,1,0))</f>
        <v>0</v>
      </c>
      <c r="X7" s="49" t="n">
        <f aca="false">IF($A7&lt;1900,0,IF(L7&lt;=M7,1,0))</f>
        <v>0</v>
      </c>
      <c r="Y7" s="49" t="n">
        <f aca="false">IF($A7&lt;1900,0,IF(N7&lt;=O7,1,0))</f>
        <v>0</v>
      </c>
      <c r="Z7" s="49" t="n">
        <f aca="false">IF($A7&lt;1900,0,IF(P7&lt;=Q7,1,0))</f>
        <v>0</v>
      </c>
      <c r="AA7" s="49" t="n">
        <f aca="false">IF($A7&lt;1900,0,IF(R7&gt;=S7,1,0))</f>
        <v>0</v>
      </c>
      <c r="AB7" s="49" t="n">
        <f aca="false">IF(SUM(U7:Y7)=5,1,0)</f>
        <v>0</v>
      </c>
      <c r="AC7" s="49" t="n">
        <f aca="false">IF(Z7+AA7=2,1,0)</f>
        <v>0</v>
      </c>
      <c r="AD7" s="49" t="n">
        <f aca="false">IF(AND(AB7=1,AC7=1),1,0)</f>
        <v>0</v>
      </c>
      <c r="AE7" s="49" t="n">
        <f aca="false">IF(AD7=1,AE6+1,0)</f>
        <v>0</v>
      </c>
      <c r="AF7" s="49" t="n">
        <f aca="false">IF(AE6&gt;=gulf_years_req,1,0)</f>
        <v>0</v>
      </c>
    </row>
    <row r="8" customFormat="false" ht="14.25" hidden="false" customHeight="true" outlineLevel="0" collapsed="false">
      <c r="A8" s="61" t="n">
        <v>1848</v>
      </c>
      <c r="B8" s="47" t="n">
        <v>0</v>
      </c>
      <c r="C8" s="71" t="n">
        <v>0</v>
      </c>
      <c r="D8" s="49" t="n">
        <f aca="false">Partners!Q8*(1-IF(AND(OR(oil_compact=0,$A8&lt;compact_year),OR($A8=1931,$A8=1932)),gulf_glut_gdp,0))</f>
        <v>0</v>
      </c>
      <c r="E8" s="49" t="n">
        <f aca="false">IF(AND(gulf_on=1,$A8&gt;=gulf_year),1,0)</f>
        <v>0</v>
      </c>
      <c r="F8" s="47" t="n">
        <v>0</v>
      </c>
      <c r="G8" s="47" t="n">
        <v>0</v>
      </c>
      <c r="H8" s="62" t="n">
        <v>0</v>
      </c>
      <c r="I8" s="62" t="n">
        <v>0</v>
      </c>
      <c r="J8" s="62" t="n">
        <v>0</v>
      </c>
      <c r="K8" s="62" t="n">
        <v>0</v>
      </c>
      <c r="L8" s="55" t="n">
        <v>0</v>
      </c>
      <c r="M8" s="55" t="n">
        <v>0</v>
      </c>
      <c r="N8" s="55" t="n">
        <v>0</v>
      </c>
      <c r="O8" s="55" t="n">
        <v>0</v>
      </c>
      <c r="P8" s="71" t="n">
        <v>0</v>
      </c>
      <c r="Q8" s="71" t="n">
        <v>0</v>
      </c>
      <c r="R8" s="71" t="n">
        <v>0</v>
      </c>
      <c r="S8" s="71" t="n">
        <v>0</v>
      </c>
      <c r="T8" s="66" t="n">
        <f aca="false">J8-IF(AND(OR(oil_compact=0,$A8&lt;compact_year),$A8&gt;=1931,$A8&lt;=1933),gulf_wage_dip,0)</f>
        <v>0</v>
      </c>
      <c r="U8" s="49" t="n">
        <f aca="false">IF($A8&lt;1900,0,IF(F8&lt;=G8,1,0))</f>
        <v>0</v>
      </c>
      <c r="V8" s="49" t="n">
        <f aca="false">IF($A8&lt;1900,0,IF(H8&gt;=I8,1,0))</f>
        <v>0</v>
      </c>
      <c r="W8" s="49" t="n">
        <f aca="false">IF($A8&lt;1900,0,IF(T8&gt;=K8,1,0))</f>
        <v>0</v>
      </c>
      <c r="X8" s="49" t="n">
        <f aca="false">IF($A8&lt;1900,0,IF(L8&lt;=M8,1,0))</f>
        <v>0</v>
      </c>
      <c r="Y8" s="49" t="n">
        <f aca="false">IF($A8&lt;1900,0,IF(N8&lt;=O8,1,0))</f>
        <v>0</v>
      </c>
      <c r="Z8" s="49" t="n">
        <f aca="false">IF($A8&lt;1900,0,IF(P8&lt;=Q8,1,0))</f>
        <v>0</v>
      </c>
      <c r="AA8" s="49" t="n">
        <f aca="false">IF($A8&lt;1900,0,IF(R8&gt;=S8,1,0))</f>
        <v>0</v>
      </c>
      <c r="AB8" s="49" t="n">
        <f aca="false">IF(SUM(U8:Y8)=5,1,0)</f>
        <v>0</v>
      </c>
      <c r="AC8" s="49" t="n">
        <f aca="false">IF(Z8+AA8=2,1,0)</f>
        <v>0</v>
      </c>
      <c r="AD8" s="49" t="n">
        <f aca="false">IF(AND(AB8=1,AC8=1),1,0)</f>
        <v>0</v>
      </c>
      <c r="AE8" s="49" t="n">
        <f aca="false">IF(AD8=1,AE7+1,0)</f>
        <v>0</v>
      </c>
      <c r="AF8" s="49" t="n">
        <f aca="false">IF(AE7&gt;=gulf_years_req,1,0)</f>
        <v>0</v>
      </c>
    </row>
    <row r="9" customFormat="false" ht="14.25" hidden="false" customHeight="true" outlineLevel="0" collapsed="false">
      <c r="A9" s="61" t="n">
        <v>1849</v>
      </c>
      <c r="B9" s="47" t="n">
        <v>0</v>
      </c>
      <c r="C9" s="71" t="n">
        <v>0</v>
      </c>
      <c r="D9" s="49" t="n">
        <f aca="false">Partners!Q9*(1-IF(AND(OR(oil_compact=0,$A9&lt;compact_year),OR($A9=1931,$A9=1932)),gulf_glut_gdp,0))</f>
        <v>0</v>
      </c>
      <c r="E9" s="49" t="n">
        <f aca="false">IF(AND(gulf_on=1,$A9&gt;=gulf_year),1,0)</f>
        <v>0</v>
      </c>
      <c r="F9" s="47" t="n">
        <v>0</v>
      </c>
      <c r="G9" s="47" t="n">
        <v>0</v>
      </c>
      <c r="H9" s="62" t="n">
        <v>0</v>
      </c>
      <c r="I9" s="62" t="n">
        <v>0</v>
      </c>
      <c r="J9" s="62" t="n">
        <v>0</v>
      </c>
      <c r="K9" s="62" t="n">
        <v>0</v>
      </c>
      <c r="L9" s="55" t="n">
        <v>0</v>
      </c>
      <c r="M9" s="55" t="n">
        <v>0</v>
      </c>
      <c r="N9" s="55" t="n">
        <v>0</v>
      </c>
      <c r="O9" s="55" t="n">
        <v>0</v>
      </c>
      <c r="P9" s="71" t="n">
        <v>0</v>
      </c>
      <c r="Q9" s="71" t="n">
        <v>0</v>
      </c>
      <c r="R9" s="71" t="n">
        <v>0</v>
      </c>
      <c r="S9" s="71" t="n">
        <v>0</v>
      </c>
      <c r="T9" s="66" t="n">
        <f aca="false">J9-IF(AND(OR(oil_compact=0,$A9&lt;compact_year),$A9&gt;=1931,$A9&lt;=1933),gulf_wage_dip,0)</f>
        <v>0</v>
      </c>
      <c r="U9" s="49" t="n">
        <f aca="false">IF($A9&lt;1900,0,IF(F9&lt;=G9,1,0))</f>
        <v>0</v>
      </c>
      <c r="V9" s="49" t="n">
        <f aca="false">IF($A9&lt;1900,0,IF(H9&gt;=I9,1,0))</f>
        <v>0</v>
      </c>
      <c r="W9" s="49" t="n">
        <f aca="false">IF($A9&lt;1900,0,IF(T9&gt;=K9,1,0))</f>
        <v>0</v>
      </c>
      <c r="X9" s="49" t="n">
        <f aca="false">IF($A9&lt;1900,0,IF(L9&lt;=M9,1,0))</f>
        <v>0</v>
      </c>
      <c r="Y9" s="49" t="n">
        <f aca="false">IF($A9&lt;1900,0,IF(N9&lt;=O9,1,0))</f>
        <v>0</v>
      </c>
      <c r="Z9" s="49" t="n">
        <f aca="false">IF($A9&lt;1900,0,IF(P9&lt;=Q9,1,0))</f>
        <v>0</v>
      </c>
      <c r="AA9" s="49" t="n">
        <f aca="false">IF($A9&lt;1900,0,IF(R9&gt;=S9,1,0))</f>
        <v>0</v>
      </c>
      <c r="AB9" s="49" t="n">
        <f aca="false">IF(SUM(U9:Y9)=5,1,0)</f>
        <v>0</v>
      </c>
      <c r="AC9" s="49" t="n">
        <f aca="false">IF(Z9+AA9=2,1,0)</f>
        <v>0</v>
      </c>
      <c r="AD9" s="49" t="n">
        <f aca="false">IF(AND(AB9=1,AC9=1),1,0)</f>
        <v>0</v>
      </c>
      <c r="AE9" s="49" t="n">
        <f aca="false">IF(AD9=1,AE8+1,0)</f>
        <v>0</v>
      </c>
      <c r="AF9" s="49" t="n">
        <f aca="false">IF(AE8&gt;=gulf_years_req,1,0)</f>
        <v>0</v>
      </c>
    </row>
    <row r="10" customFormat="false" ht="14.25" hidden="false" customHeight="true" outlineLevel="0" collapsed="false">
      <c r="A10" s="61" t="n">
        <v>1850</v>
      </c>
      <c r="B10" s="47" t="n">
        <v>0</v>
      </c>
      <c r="C10" s="71" t="n">
        <v>0</v>
      </c>
      <c r="D10" s="49" t="n">
        <f aca="false">Partners!Q10*(1-IF(AND(OR(oil_compact=0,$A10&lt;compact_year),OR($A10=1931,$A10=1932)),gulf_glut_gdp,0))</f>
        <v>0</v>
      </c>
      <c r="E10" s="49" t="n">
        <f aca="false">IF(AND(gulf_on=1,$A10&gt;=gulf_year),1,0)</f>
        <v>0</v>
      </c>
      <c r="F10" s="47" t="n">
        <v>0</v>
      </c>
      <c r="G10" s="47" t="n">
        <v>0</v>
      </c>
      <c r="H10" s="62" t="n">
        <v>0</v>
      </c>
      <c r="I10" s="62" t="n">
        <v>0</v>
      </c>
      <c r="J10" s="62" t="n">
        <v>0</v>
      </c>
      <c r="K10" s="62" t="n">
        <v>0</v>
      </c>
      <c r="L10" s="55" t="n">
        <v>0</v>
      </c>
      <c r="M10" s="55" t="n">
        <v>0</v>
      </c>
      <c r="N10" s="55" t="n">
        <v>0</v>
      </c>
      <c r="O10" s="55" t="n">
        <v>0</v>
      </c>
      <c r="P10" s="71" t="n">
        <v>0</v>
      </c>
      <c r="Q10" s="71" t="n">
        <v>0</v>
      </c>
      <c r="R10" s="71" t="n">
        <v>0</v>
      </c>
      <c r="S10" s="71" t="n">
        <v>0</v>
      </c>
      <c r="T10" s="66" t="n">
        <f aca="false">J10-IF(AND(OR(oil_compact=0,$A10&lt;compact_year),$A10&gt;=1931,$A10&lt;=1933),gulf_wage_dip,0)</f>
        <v>0</v>
      </c>
      <c r="U10" s="49" t="n">
        <f aca="false">IF($A10&lt;1900,0,IF(F10&lt;=G10,1,0))</f>
        <v>0</v>
      </c>
      <c r="V10" s="49" t="n">
        <f aca="false">IF($A10&lt;1900,0,IF(H10&gt;=I10,1,0))</f>
        <v>0</v>
      </c>
      <c r="W10" s="49" t="n">
        <f aca="false">IF($A10&lt;1900,0,IF(T10&gt;=K10,1,0))</f>
        <v>0</v>
      </c>
      <c r="X10" s="49" t="n">
        <f aca="false">IF($A10&lt;1900,0,IF(L10&lt;=M10,1,0))</f>
        <v>0</v>
      </c>
      <c r="Y10" s="49" t="n">
        <f aca="false">IF($A10&lt;1900,0,IF(N10&lt;=O10,1,0))</f>
        <v>0</v>
      </c>
      <c r="Z10" s="49" t="n">
        <f aca="false">IF($A10&lt;1900,0,IF(P10&lt;=Q10,1,0))</f>
        <v>0</v>
      </c>
      <c r="AA10" s="49" t="n">
        <f aca="false">IF($A10&lt;1900,0,IF(R10&gt;=S10,1,0))</f>
        <v>0</v>
      </c>
      <c r="AB10" s="49" t="n">
        <f aca="false">IF(SUM(U10:Y10)=5,1,0)</f>
        <v>0</v>
      </c>
      <c r="AC10" s="49" t="n">
        <f aca="false">IF(Z10+AA10=2,1,0)</f>
        <v>0</v>
      </c>
      <c r="AD10" s="49" t="n">
        <f aca="false">IF(AND(AB10=1,AC10=1),1,0)</f>
        <v>0</v>
      </c>
      <c r="AE10" s="49" t="n">
        <f aca="false">IF(AD10=1,AE9+1,0)</f>
        <v>0</v>
      </c>
      <c r="AF10" s="49" t="n">
        <f aca="false">IF(AE9&gt;=gulf_years_req,1,0)</f>
        <v>0</v>
      </c>
    </row>
    <row r="11" customFormat="false" ht="14.25" hidden="false" customHeight="true" outlineLevel="0" collapsed="false">
      <c r="A11" s="61" t="n">
        <v>1851</v>
      </c>
      <c r="B11" s="47" t="n">
        <v>0</v>
      </c>
      <c r="C11" s="71" t="n">
        <v>0</v>
      </c>
      <c r="D11" s="49" t="n">
        <f aca="false">Partners!Q11*(1-IF(AND(OR(oil_compact=0,$A11&lt;compact_year),OR($A11=1931,$A11=1932)),gulf_glut_gdp,0))</f>
        <v>0</v>
      </c>
      <c r="E11" s="49" t="n">
        <f aca="false">IF(AND(gulf_on=1,$A11&gt;=gulf_year),1,0)</f>
        <v>0</v>
      </c>
      <c r="F11" s="47" t="n">
        <v>0</v>
      </c>
      <c r="G11" s="47" t="n">
        <v>0</v>
      </c>
      <c r="H11" s="62" t="n">
        <v>0</v>
      </c>
      <c r="I11" s="62" t="n">
        <v>0</v>
      </c>
      <c r="J11" s="62" t="n">
        <v>0</v>
      </c>
      <c r="K11" s="62" t="n">
        <v>0</v>
      </c>
      <c r="L11" s="55" t="n">
        <v>0</v>
      </c>
      <c r="M11" s="55" t="n">
        <v>0</v>
      </c>
      <c r="N11" s="55" t="n">
        <v>0</v>
      </c>
      <c r="O11" s="55" t="n">
        <v>0</v>
      </c>
      <c r="P11" s="71" t="n">
        <v>0</v>
      </c>
      <c r="Q11" s="71" t="n">
        <v>0</v>
      </c>
      <c r="R11" s="71" t="n">
        <v>0</v>
      </c>
      <c r="S11" s="71" t="n">
        <v>0</v>
      </c>
      <c r="T11" s="66" t="n">
        <f aca="false">J11-IF(AND(OR(oil_compact=0,$A11&lt;compact_year),$A11&gt;=1931,$A11&lt;=1933),gulf_wage_dip,0)</f>
        <v>0</v>
      </c>
      <c r="U11" s="49" t="n">
        <f aca="false">IF($A11&lt;1900,0,IF(F11&lt;=G11,1,0))</f>
        <v>0</v>
      </c>
      <c r="V11" s="49" t="n">
        <f aca="false">IF($A11&lt;1900,0,IF(H11&gt;=I11,1,0))</f>
        <v>0</v>
      </c>
      <c r="W11" s="49" t="n">
        <f aca="false">IF($A11&lt;1900,0,IF(T11&gt;=K11,1,0))</f>
        <v>0</v>
      </c>
      <c r="X11" s="49" t="n">
        <f aca="false">IF($A11&lt;1900,0,IF(L11&lt;=M11,1,0))</f>
        <v>0</v>
      </c>
      <c r="Y11" s="49" t="n">
        <f aca="false">IF($A11&lt;1900,0,IF(N11&lt;=O11,1,0))</f>
        <v>0</v>
      </c>
      <c r="Z11" s="49" t="n">
        <f aca="false">IF($A11&lt;1900,0,IF(P11&lt;=Q11,1,0))</f>
        <v>0</v>
      </c>
      <c r="AA11" s="49" t="n">
        <f aca="false">IF($A11&lt;1900,0,IF(R11&gt;=S11,1,0))</f>
        <v>0</v>
      </c>
      <c r="AB11" s="49" t="n">
        <f aca="false">IF(SUM(U11:Y11)=5,1,0)</f>
        <v>0</v>
      </c>
      <c r="AC11" s="49" t="n">
        <f aca="false">IF(Z11+AA11=2,1,0)</f>
        <v>0</v>
      </c>
      <c r="AD11" s="49" t="n">
        <f aca="false">IF(AND(AB11=1,AC11=1),1,0)</f>
        <v>0</v>
      </c>
      <c r="AE11" s="49" t="n">
        <f aca="false">IF(AD11=1,AE10+1,0)</f>
        <v>0</v>
      </c>
      <c r="AF11" s="49" t="n">
        <f aca="false">IF(AE10&gt;=gulf_years_req,1,0)</f>
        <v>0</v>
      </c>
    </row>
    <row r="12" customFormat="false" ht="14.25" hidden="false" customHeight="true" outlineLevel="0" collapsed="false">
      <c r="A12" s="61" t="n">
        <v>1852</v>
      </c>
      <c r="B12" s="47" t="n">
        <v>0</v>
      </c>
      <c r="C12" s="71" t="n">
        <v>0</v>
      </c>
      <c r="D12" s="49" t="n">
        <f aca="false">Partners!Q12*(1-IF(AND(OR(oil_compact=0,$A12&lt;compact_year),OR($A12=1931,$A12=1932)),gulf_glut_gdp,0))</f>
        <v>0</v>
      </c>
      <c r="E12" s="49" t="n">
        <f aca="false">IF(AND(gulf_on=1,$A12&gt;=gulf_year),1,0)</f>
        <v>0</v>
      </c>
      <c r="F12" s="47" t="n">
        <v>0</v>
      </c>
      <c r="G12" s="47" t="n">
        <v>0</v>
      </c>
      <c r="H12" s="62" t="n">
        <v>0</v>
      </c>
      <c r="I12" s="62" t="n">
        <v>0</v>
      </c>
      <c r="J12" s="62" t="n">
        <v>0</v>
      </c>
      <c r="K12" s="62" t="n">
        <v>0</v>
      </c>
      <c r="L12" s="55" t="n">
        <v>0</v>
      </c>
      <c r="M12" s="55" t="n">
        <v>0</v>
      </c>
      <c r="N12" s="55" t="n">
        <v>0</v>
      </c>
      <c r="O12" s="55" t="n">
        <v>0</v>
      </c>
      <c r="P12" s="71" t="n">
        <v>0</v>
      </c>
      <c r="Q12" s="71" t="n">
        <v>0</v>
      </c>
      <c r="R12" s="71" t="n">
        <v>0</v>
      </c>
      <c r="S12" s="71" t="n">
        <v>0</v>
      </c>
      <c r="T12" s="66" t="n">
        <f aca="false">J12-IF(AND(OR(oil_compact=0,$A12&lt;compact_year),$A12&gt;=1931,$A12&lt;=1933),gulf_wage_dip,0)</f>
        <v>0</v>
      </c>
      <c r="U12" s="49" t="n">
        <f aca="false">IF($A12&lt;1900,0,IF(F12&lt;=G12,1,0))</f>
        <v>0</v>
      </c>
      <c r="V12" s="49" t="n">
        <f aca="false">IF($A12&lt;1900,0,IF(H12&gt;=I12,1,0))</f>
        <v>0</v>
      </c>
      <c r="W12" s="49" t="n">
        <f aca="false">IF($A12&lt;1900,0,IF(T12&gt;=K12,1,0))</f>
        <v>0</v>
      </c>
      <c r="X12" s="49" t="n">
        <f aca="false">IF($A12&lt;1900,0,IF(L12&lt;=M12,1,0))</f>
        <v>0</v>
      </c>
      <c r="Y12" s="49" t="n">
        <f aca="false">IF($A12&lt;1900,0,IF(N12&lt;=O12,1,0))</f>
        <v>0</v>
      </c>
      <c r="Z12" s="49" t="n">
        <f aca="false">IF($A12&lt;1900,0,IF(P12&lt;=Q12,1,0))</f>
        <v>0</v>
      </c>
      <c r="AA12" s="49" t="n">
        <f aca="false">IF($A12&lt;1900,0,IF(R12&gt;=S12,1,0))</f>
        <v>0</v>
      </c>
      <c r="AB12" s="49" t="n">
        <f aca="false">IF(SUM(U12:Y12)=5,1,0)</f>
        <v>0</v>
      </c>
      <c r="AC12" s="49" t="n">
        <f aca="false">IF(Z12+AA12=2,1,0)</f>
        <v>0</v>
      </c>
      <c r="AD12" s="49" t="n">
        <f aca="false">IF(AND(AB12=1,AC12=1),1,0)</f>
        <v>0</v>
      </c>
      <c r="AE12" s="49" t="n">
        <f aca="false">IF(AD12=1,AE11+1,0)</f>
        <v>0</v>
      </c>
      <c r="AF12" s="49" t="n">
        <f aca="false">IF(AE11&gt;=gulf_years_req,1,0)</f>
        <v>0</v>
      </c>
    </row>
    <row r="13" customFormat="false" ht="14.25" hidden="false" customHeight="true" outlineLevel="0" collapsed="false">
      <c r="A13" s="61" t="n">
        <v>1853</v>
      </c>
      <c r="B13" s="47" t="n">
        <v>0</v>
      </c>
      <c r="C13" s="71" t="n">
        <v>0</v>
      </c>
      <c r="D13" s="49" t="n">
        <f aca="false">Partners!Q13*(1-IF(AND(OR(oil_compact=0,$A13&lt;compact_year),OR($A13=1931,$A13=1932)),gulf_glut_gdp,0))</f>
        <v>0</v>
      </c>
      <c r="E13" s="49" t="n">
        <f aca="false">IF(AND(gulf_on=1,$A13&gt;=gulf_year),1,0)</f>
        <v>0</v>
      </c>
      <c r="F13" s="47" t="n">
        <v>0</v>
      </c>
      <c r="G13" s="47" t="n">
        <v>0</v>
      </c>
      <c r="H13" s="62" t="n">
        <v>0</v>
      </c>
      <c r="I13" s="62" t="n">
        <v>0</v>
      </c>
      <c r="J13" s="62" t="n">
        <v>0</v>
      </c>
      <c r="K13" s="62" t="n">
        <v>0</v>
      </c>
      <c r="L13" s="55" t="n">
        <v>0</v>
      </c>
      <c r="M13" s="55" t="n">
        <v>0</v>
      </c>
      <c r="N13" s="55" t="n">
        <v>0</v>
      </c>
      <c r="O13" s="55" t="n">
        <v>0</v>
      </c>
      <c r="P13" s="71" t="n">
        <v>0</v>
      </c>
      <c r="Q13" s="71" t="n">
        <v>0</v>
      </c>
      <c r="R13" s="71" t="n">
        <v>0</v>
      </c>
      <c r="S13" s="71" t="n">
        <v>0</v>
      </c>
      <c r="T13" s="66" t="n">
        <f aca="false">J13-IF(AND(OR(oil_compact=0,$A13&lt;compact_year),$A13&gt;=1931,$A13&lt;=1933),gulf_wage_dip,0)</f>
        <v>0</v>
      </c>
      <c r="U13" s="49" t="n">
        <f aca="false">IF($A13&lt;1900,0,IF(F13&lt;=G13,1,0))</f>
        <v>0</v>
      </c>
      <c r="V13" s="49" t="n">
        <f aca="false">IF($A13&lt;1900,0,IF(H13&gt;=I13,1,0))</f>
        <v>0</v>
      </c>
      <c r="W13" s="49" t="n">
        <f aca="false">IF($A13&lt;1900,0,IF(T13&gt;=K13,1,0))</f>
        <v>0</v>
      </c>
      <c r="X13" s="49" t="n">
        <f aca="false">IF($A13&lt;1900,0,IF(L13&lt;=M13,1,0))</f>
        <v>0</v>
      </c>
      <c r="Y13" s="49" t="n">
        <f aca="false">IF($A13&lt;1900,0,IF(N13&lt;=O13,1,0))</f>
        <v>0</v>
      </c>
      <c r="Z13" s="49" t="n">
        <f aca="false">IF($A13&lt;1900,0,IF(P13&lt;=Q13,1,0))</f>
        <v>0</v>
      </c>
      <c r="AA13" s="49" t="n">
        <f aca="false">IF($A13&lt;1900,0,IF(R13&gt;=S13,1,0))</f>
        <v>0</v>
      </c>
      <c r="AB13" s="49" t="n">
        <f aca="false">IF(SUM(U13:Y13)=5,1,0)</f>
        <v>0</v>
      </c>
      <c r="AC13" s="49" t="n">
        <f aca="false">IF(Z13+AA13=2,1,0)</f>
        <v>0</v>
      </c>
      <c r="AD13" s="49" t="n">
        <f aca="false">IF(AND(AB13=1,AC13=1),1,0)</f>
        <v>0</v>
      </c>
      <c r="AE13" s="49" t="n">
        <f aca="false">IF(AD13=1,AE12+1,0)</f>
        <v>0</v>
      </c>
      <c r="AF13" s="49" t="n">
        <f aca="false">IF(AE12&gt;=gulf_years_req,1,0)</f>
        <v>0</v>
      </c>
    </row>
    <row r="14" customFormat="false" ht="14.25" hidden="false" customHeight="true" outlineLevel="0" collapsed="false">
      <c r="A14" s="61" t="n">
        <v>1854</v>
      </c>
      <c r="B14" s="47" t="n">
        <v>0</v>
      </c>
      <c r="C14" s="71" t="n">
        <v>0</v>
      </c>
      <c r="D14" s="49" t="n">
        <f aca="false">Partners!Q14*(1-IF(AND(OR(oil_compact=0,$A14&lt;compact_year),OR($A14=1931,$A14=1932)),gulf_glut_gdp,0))</f>
        <v>0</v>
      </c>
      <c r="E14" s="49" t="n">
        <f aca="false">IF(AND(gulf_on=1,$A14&gt;=gulf_year),1,0)</f>
        <v>0</v>
      </c>
      <c r="F14" s="47" t="n">
        <v>0</v>
      </c>
      <c r="G14" s="47" t="n">
        <v>0</v>
      </c>
      <c r="H14" s="62" t="n">
        <v>0</v>
      </c>
      <c r="I14" s="62" t="n">
        <v>0</v>
      </c>
      <c r="J14" s="62" t="n">
        <v>0</v>
      </c>
      <c r="K14" s="62" t="n">
        <v>0</v>
      </c>
      <c r="L14" s="55" t="n">
        <v>0</v>
      </c>
      <c r="M14" s="55" t="n">
        <v>0</v>
      </c>
      <c r="N14" s="55" t="n">
        <v>0</v>
      </c>
      <c r="O14" s="55" t="n">
        <v>0</v>
      </c>
      <c r="P14" s="71" t="n">
        <v>0</v>
      </c>
      <c r="Q14" s="71" t="n">
        <v>0</v>
      </c>
      <c r="R14" s="71" t="n">
        <v>0</v>
      </c>
      <c r="S14" s="71" t="n">
        <v>0</v>
      </c>
      <c r="T14" s="66" t="n">
        <f aca="false">J14-IF(AND(OR(oil_compact=0,$A14&lt;compact_year),$A14&gt;=1931,$A14&lt;=1933),gulf_wage_dip,0)</f>
        <v>0</v>
      </c>
      <c r="U14" s="49" t="n">
        <f aca="false">IF($A14&lt;1900,0,IF(F14&lt;=G14,1,0))</f>
        <v>0</v>
      </c>
      <c r="V14" s="49" t="n">
        <f aca="false">IF($A14&lt;1900,0,IF(H14&gt;=I14,1,0))</f>
        <v>0</v>
      </c>
      <c r="W14" s="49" t="n">
        <f aca="false">IF($A14&lt;1900,0,IF(T14&gt;=K14,1,0))</f>
        <v>0</v>
      </c>
      <c r="X14" s="49" t="n">
        <f aca="false">IF($A14&lt;1900,0,IF(L14&lt;=M14,1,0))</f>
        <v>0</v>
      </c>
      <c r="Y14" s="49" t="n">
        <f aca="false">IF($A14&lt;1900,0,IF(N14&lt;=O14,1,0))</f>
        <v>0</v>
      </c>
      <c r="Z14" s="49" t="n">
        <f aca="false">IF($A14&lt;1900,0,IF(P14&lt;=Q14,1,0))</f>
        <v>0</v>
      </c>
      <c r="AA14" s="49" t="n">
        <f aca="false">IF($A14&lt;1900,0,IF(R14&gt;=S14,1,0))</f>
        <v>0</v>
      </c>
      <c r="AB14" s="49" t="n">
        <f aca="false">IF(SUM(U14:Y14)=5,1,0)</f>
        <v>0</v>
      </c>
      <c r="AC14" s="49" t="n">
        <f aca="false">IF(Z14+AA14=2,1,0)</f>
        <v>0</v>
      </c>
      <c r="AD14" s="49" t="n">
        <f aca="false">IF(AND(AB14=1,AC14=1),1,0)</f>
        <v>0</v>
      </c>
      <c r="AE14" s="49" t="n">
        <f aca="false">IF(AD14=1,AE13+1,0)</f>
        <v>0</v>
      </c>
      <c r="AF14" s="49" t="n">
        <f aca="false">IF(AE13&gt;=gulf_years_req,1,0)</f>
        <v>0</v>
      </c>
    </row>
    <row r="15" customFormat="false" ht="14.25" hidden="false" customHeight="true" outlineLevel="0" collapsed="false">
      <c r="A15" s="61" t="n">
        <v>1855</v>
      </c>
      <c r="B15" s="47" t="n">
        <v>0</v>
      </c>
      <c r="C15" s="71" t="n">
        <v>0</v>
      </c>
      <c r="D15" s="49" t="n">
        <f aca="false">Partners!Q15*(1-IF(AND(OR(oil_compact=0,$A15&lt;compact_year),OR($A15=1931,$A15=1932)),gulf_glut_gdp,0))</f>
        <v>0</v>
      </c>
      <c r="E15" s="49" t="n">
        <f aca="false">IF(AND(gulf_on=1,$A15&gt;=gulf_year),1,0)</f>
        <v>0</v>
      </c>
      <c r="F15" s="47" t="n">
        <v>0</v>
      </c>
      <c r="G15" s="47" t="n">
        <v>0</v>
      </c>
      <c r="H15" s="62" t="n">
        <v>0</v>
      </c>
      <c r="I15" s="62" t="n">
        <v>0</v>
      </c>
      <c r="J15" s="62" t="n">
        <v>0</v>
      </c>
      <c r="K15" s="62" t="n">
        <v>0</v>
      </c>
      <c r="L15" s="55" t="n">
        <v>0</v>
      </c>
      <c r="M15" s="55" t="n">
        <v>0</v>
      </c>
      <c r="N15" s="55" t="n">
        <v>0</v>
      </c>
      <c r="O15" s="55" t="n">
        <v>0</v>
      </c>
      <c r="P15" s="71" t="n">
        <v>0</v>
      </c>
      <c r="Q15" s="71" t="n">
        <v>0</v>
      </c>
      <c r="R15" s="71" t="n">
        <v>0</v>
      </c>
      <c r="S15" s="71" t="n">
        <v>0</v>
      </c>
      <c r="T15" s="66" t="n">
        <f aca="false">J15-IF(AND(OR(oil_compact=0,$A15&lt;compact_year),$A15&gt;=1931,$A15&lt;=1933),gulf_wage_dip,0)</f>
        <v>0</v>
      </c>
      <c r="U15" s="49" t="n">
        <f aca="false">IF($A15&lt;1900,0,IF(F15&lt;=G15,1,0))</f>
        <v>0</v>
      </c>
      <c r="V15" s="49" t="n">
        <f aca="false">IF($A15&lt;1900,0,IF(H15&gt;=I15,1,0))</f>
        <v>0</v>
      </c>
      <c r="W15" s="49" t="n">
        <f aca="false">IF($A15&lt;1900,0,IF(T15&gt;=K15,1,0))</f>
        <v>0</v>
      </c>
      <c r="X15" s="49" t="n">
        <f aca="false">IF($A15&lt;1900,0,IF(L15&lt;=M15,1,0))</f>
        <v>0</v>
      </c>
      <c r="Y15" s="49" t="n">
        <f aca="false">IF($A15&lt;1900,0,IF(N15&lt;=O15,1,0))</f>
        <v>0</v>
      </c>
      <c r="Z15" s="49" t="n">
        <f aca="false">IF($A15&lt;1900,0,IF(P15&lt;=Q15,1,0))</f>
        <v>0</v>
      </c>
      <c r="AA15" s="49" t="n">
        <f aca="false">IF($A15&lt;1900,0,IF(R15&gt;=S15,1,0))</f>
        <v>0</v>
      </c>
      <c r="AB15" s="49" t="n">
        <f aca="false">IF(SUM(U15:Y15)=5,1,0)</f>
        <v>0</v>
      </c>
      <c r="AC15" s="49" t="n">
        <f aca="false">IF(Z15+AA15=2,1,0)</f>
        <v>0</v>
      </c>
      <c r="AD15" s="49" t="n">
        <f aca="false">IF(AND(AB15=1,AC15=1),1,0)</f>
        <v>0</v>
      </c>
      <c r="AE15" s="49" t="n">
        <f aca="false">IF(AD15=1,AE14+1,0)</f>
        <v>0</v>
      </c>
      <c r="AF15" s="49" t="n">
        <f aca="false">IF(AE14&gt;=gulf_years_req,1,0)</f>
        <v>0</v>
      </c>
    </row>
    <row r="16" customFormat="false" ht="14.25" hidden="false" customHeight="true" outlineLevel="0" collapsed="false">
      <c r="A16" s="61" t="n">
        <v>1856</v>
      </c>
      <c r="B16" s="47" t="n">
        <v>0</v>
      </c>
      <c r="C16" s="71" t="n">
        <v>0</v>
      </c>
      <c r="D16" s="49" t="n">
        <f aca="false">Partners!Q16*(1-IF(AND(OR(oil_compact=0,$A16&lt;compact_year),OR($A16=1931,$A16=1932)),gulf_glut_gdp,0))</f>
        <v>0</v>
      </c>
      <c r="E16" s="49" t="n">
        <f aca="false">IF(AND(gulf_on=1,$A16&gt;=gulf_year),1,0)</f>
        <v>0</v>
      </c>
      <c r="F16" s="47" t="n">
        <v>0</v>
      </c>
      <c r="G16" s="47" t="n">
        <v>0</v>
      </c>
      <c r="H16" s="62" t="n">
        <v>0</v>
      </c>
      <c r="I16" s="62" t="n">
        <v>0</v>
      </c>
      <c r="J16" s="62" t="n">
        <v>0</v>
      </c>
      <c r="K16" s="62" t="n">
        <v>0</v>
      </c>
      <c r="L16" s="55" t="n">
        <v>0</v>
      </c>
      <c r="M16" s="55" t="n">
        <v>0</v>
      </c>
      <c r="N16" s="55" t="n">
        <v>0</v>
      </c>
      <c r="O16" s="55" t="n">
        <v>0</v>
      </c>
      <c r="P16" s="71" t="n">
        <v>0</v>
      </c>
      <c r="Q16" s="71" t="n">
        <v>0</v>
      </c>
      <c r="R16" s="71" t="n">
        <v>0</v>
      </c>
      <c r="S16" s="71" t="n">
        <v>0</v>
      </c>
      <c r="T16" s="66" t="n">
        <f aca="false">J16-IF(AND(OR(oil_compact=0,$A16&lt;compact_year),$A16&gt;=1931,$A16&lt;=1933),gulf_wage_dip,0)</f>
        <v>0</v>
      </c>
      <c r="U16" s="49" t="n">
        <f aca="false">IF($A16&lt;1900,0,IF(F16&lt;=G16,1,0))</f>
        <v>0</v>
      </c>
      <c r="V16" s="49" t="n">
        <f aca="false">IF($A16&lt;1900,0,IF(H16&gt;=I16,1,0))</f>
        <v>0</v>
      </c>
      <c r="W16" s="49" t="n">
        <f aca="false">IF($A16&lt;1900,0,IF(T16&gt;=K16,1,0))</f>
        <v>0</v>
      </c>
      <c r="X16" s="49" t="n">
        <f aca="false">IF($A16&lt;1900,0,IF(L16&lt;=M16,1,0))</f>
        <v>0</v>
      </c>
      <c r="Y16" s="49" t="n">
        <f aca="false">IF($A16&lt;1900,0,IF(N16&lt;=O16,1,0))</f>
        <v>0</v>
      </c>
      <c r="Z16" s="49" t="n">
        <f aca="false">IF($A16&lt;1900,0,IF(P16&lt;=Q16,1,0))</f>
        <v>0</v>
      </c>
      <c r="AA16" s="49" t="n">
        <f aca="false">IF($A16&lt;1900,0,IF(R16&gt;=S16,1,0))</f>
        <v>0</v>
      </c>
      <c r="AB16" s="49" t="n">
        <f aca="false">IF(SUM(U16:Y16)=5,1,0)</f>
        <v>0</v>
      </c>
      <c r="AC16" s="49" t="n">
        <f aca="false">IF(Z16+AA16=2,1,0)</f>
        <v>0</v>
      </c>
      <c r="AD16" s="49" t="n">
        <f aca="false">IF(AND(AB16=1,AC16=1),1,0)</f>
        <v>0</v>
      </c>
      <c r="AE16" s="49" t="n">
        <f aca="false">IF(AD16=1,AE15+1,0)</f>
        <v>0</v>
      </c>
      <c r="AF16" s="49" t="n">
        <f aca="false">IF(AE15&gt;=gulf_years_req,1,0)</f>
        <v>0</v>
      </c>
    </row>
    <row r="17" customFormat="false" ht="14.25" hidden="false" customHeight="true" outlineLevel="0" collapsed="false">
      <c r="A17" s="61" t="n">
        <v>1857</v>
      </c>
      <c r="B17" s="47" t="n">
        <v>0</v>
      </c>
      <c r="C17" s="71" t="n">
        <v>0</v>
      </c>
      <c r="D17" s="49" t="n">
        <f aca="false">Partners!Q17*(1-IF(AND(OR(oil_compact=0,$A17&lt;compact_year),OR($A17=1931,$A17=1932)),gulf_glut_gdp,0))</f>
        <v>0</v>
      </c>
      <c r="E17" s="49" t="n">
        <f aca="false">IF(AND(gulf_on=1,$A17&gt;=gulf_year),1,0)</f>
        <v>0</v>
      </c>
      <c r="F17" s="47" t="n">
        <v>0</v>
      </c>
      <c r="G17" s="47" t="n">
        <v>0</v>
      </c>
      <c r="H17" s="62" t="n">
        <v>0</v>
      </c>
      <c r="I17" s="62" t="n">
        <v>0</v>
      </c>
      <c r="J17" s="62" t="n">
        <v>0</v>
      </c>
      <c r="K17" s="62" t="n">
        <v>0</v>
      </c>
      <c r="L17" s="55" t="n">
        <v>0</v>
      </c>
      <c r="M17" s="55" t="n">
        <v>0</v>
      </c>
      <c r="N17" s="55" t="n">
        <v>0</v>
      </c>
      <c r="O17" s="55" t="n">
        <v>0</v>
      </c>
      <c r="P17" s="71" t="n">
        <v>0</v>
      </c>
      <c r="Q17" s="71" t="n">
        <v>0</v>
      </c>
      <c r="R17" s="71" t="n">
        <v>0</v>
      </c>
      <c r="S17" s="71" t="n">
        <v>0</v>
      </c>
      <c r="T17" s="66" t="n">
        <f aca="false">J17-IF(AND(OR(oil_compact=0,$A17&lt;compact_year),$A17&gt;=1931,$A17&lt;=1933),gulf_wage_dip,0)</f>
        <v>0</v>
      </c>
      <c r="U17" s="49" t="n">
        <f aca="false">IF($A17&lt;1900,0,IF(F17&lt;=G17,1,0))</f>
        <v>0</v>
      </c>
      <c r="V17" s="49" t="n">
        <f aca="false">IF($A17&lt;1900,0,IF(H17&gt;=I17,1,0))</f>
        <v>0</v>
      </c>
      <c r="W17" s="49" t="n">
        <f aca="false">IF($A17&lt;1900,0,IF(T17&gt;=K17,1,0))</f>
        <v>0</v>
      </c>
      <c r="X17" s="49" t="n">
        <f aca="false">IF($A17&lt;1900,0,IF(L17&lt;=M17,1,0))</f>
        <v>0</v>
      </c>
      <c r="Y17" s="49" t="n">
        <f aca="false">IF($A17&lt;1900,0,IF(N17&lt;=O17,1,0))</f>
        <v>0</v>
      </c>
      <c r="Z17" s="49" t="n">
        <f aca="false">IF($A17&lt;1900,0,IF(P17&lt;=Q17,1,0))</f>
        <v>0</v>
      </c>
      <c r="AA17" s="49" t="n">
        <f aca="false">IF($A17&lt;1900,0,IF(R17&gt;=S17,1,0))</f>
        <v>0</v>
      </c>
      <c r="AB17" s="49" t="n">
        <f aca="false">IF(SUM(U17:Y17)=5,1,0)</f>
        <v>0</v>
      </c>
      <c r="AC17" s="49" t="n">
        <f aca="false">IF(Z17+AA17=2,1,0)</f>
        <v>0</v>
      </c>
      <c r="AD17" s="49" t="n">
        <f aca="false">IF(AND(AB17=1,AC17=1),1,0)</f>
        <v>0</v>
      </c>
      <c r="AE17" s="49" t="n">
        <f aca="false">IF(AD17=1,AE16+1,0)</f>
        <v>0</v>
      </c>
      <c r="AF17" s="49" t="n">
        <f aca="false">IF(AE16&gt;=gulf_years_req,1,0)</f>
        <v>0</v>
      </c>
    </row>
    <row r="18" customFormat="false" ht="14.25" hidden="false" customHeight="true" outlineLevel="0" collapsed="false">
      <c r="A18" s="61" t="n">
        <v>1858</v>
      </c>
      <c r="B18" s="47" t="n">
        <v>0</v>
      </c>
      <c r="C18" s="71" t="n">
        <v>0</v>
      </c>
      <c r="D18" s="49" t="n">
        <f aca="false">Partners!Q18*(1-IF(AND(OR(oil_compact=0,$A18&lt;compact_year),OR($A18=1931,$A18=1932)),gulf_glut_gdp,0))</f>
        <v>0</v>
      </c>
      <c r="E18" s="49" t="n">
        <f aca="false">IF(AND(gulf_on=1,$A18&gt;=gulf_year),1,0)</f>
        <v>0</v>
      </c>
      <c r="F18" s="47" t="n">
        <v>0</v>
      </c>
      <c r="G18" s="47" t="n">
        <v>0</v>
      </c>
      <c r="H18" s="62" t="n">
        <v>0</v>
      </c>
      <c r="I18" s="62" t="n">
        <v>0</v>
      </c>
      <c r="J18" s="62" t="n">
        <v>0</v>
      </c>
      <c r="K18" s="62" t="n">
        <v>0</v>
      </c>
      <c r="L18" s="55" t="n">
        <v>0</v>
      </c>
      <c r="M18" s="55" t="n">
        <v>0</v>
      </c>
      <c r="N18" s="55" t="n">
        <v>0</v>
      </c>
      <c r="O18" s="55" t="n">
        <v>0</v>
      </c>
      <c r="P18" s="71" t="n">
        <v>0</v>
      </c>
      <c r="Q18" s="71" t="n">
        <v>0</v>
      </c>
      <c r="R18" s="71" t="n">
        <v>0</v>
      </c>
      <c r="S18" s="71" t="n">
        <v>0</v>
      </c>
      <c r="T18" s="66" t="n">
        <f aca="false">J18-IF(AND(OR(oil_compact=0,$A18&lt;compact_year),$A18&gt;=1931,$A18&lt;=1933),gulf_wage_dip,0)</f>
        <v>0</v>
      </c>
      <c r="U18" s="49" t="n">
        <f aca="false">IF($A18&lt;1900,0,IF(F18&lt;=G18,1,0))</f>
        <v>0</v>
      </c>
      <c r="V18" s="49" t="n">
        <f aca="false">IF($A18&lt;1900,0,IF(H18&gt;=I18,1,0))</f>
        <v>0</v>
      </c>
      <c r="W18" s="49" t="n">
        <f aca="false">IF($A18&lt;1900,0,IF(T18&gt;=K18,1,0))</f>
        <v>0</v>
      </c>
      <c r="X18" s="49" t="n">
        <f aca="false">IF($A18&lt;1900,0,IF(L18&lt;=M18,1,0))</f>
        <v>0</v>
      </c>
      <c r="Y18" s="49" t="n">
        <f aca="false">IF($A18&lt;1900,0,IF(N18&lt;=O18,1,0))</f>
        <v>0</v>
      </c>
      <c r="Z18" s="49" t="n">
        <f aca="false">IF($A18&lt;1900,0,IF(P18&lt;=Q18,1,0))</f>
        <v>0</v>
      </c>
      <c r="AA18" s="49" t="n">
        <f aca="false">IF($A18&lt;1900,0,IF(R18&gt;=S18,1,0))</f>
        <v>0</v>
      </c>
      <c r="AB18" s="49" t="n">
        <f aca="false">IF(SUM(U18:Y18)=5,1,0)</f>
        <v>0</v>
      </c>
      <c r="AC18" s="49" t="n">
        <f aca="false">IF(Z18+AA18=2,1,0)</f>
        <v>0</v>
      </c>
      <c r="AD18" s="49" t="n">
        <f aca="false">IF(AND(AB18=1,AC18=1),1,0)</f>
        <v>0</v>
      </c>
      <c r="AE18" s="49" t="n">
        <f aca="false">IF(AD18=1,AE17+1,0)</f>
        <v>0</v>
      </c>
      <c r="AF18" s="49" t="n">
        <f aca="false">IF(AE17&gt;=gulf_years_req,1,0)</f>
        <v>0</v>
      </c>
    </row>
    <row r="19" customFormat="false" ht="14.25" hidden="false" customHeight="true" outlineLevel="0" collapsed="false">
      <c r="A19" s="61" t="n">
        <v>1859</v>
      </c>
      <c r="B19" s="47" t="n">
        <v>0</v>
      </c>
      <c r="C19" s="71" t="n">
        <v>0</v>
      </c>
      <c r="D19" s="49" t="n">
        <f aca="false">Partners!Q19*(1-IF(AND(OR(oil_compact=0,$A19&lt;compact_year),OR($A19=1931,$A19=1932)),gulf_glut_gdp,0))</f>
        <v>0</v>
      </c>
      <c r="E19" s="49" t="n">
        <f aca="false">IF(AND(gulf_on=1,$A19&gt;=gulf_year),1,0)</f>
        <v>0</v>
      </c>
      <c r="F19" s="47" t="n">
        <v>0</v>
      </c>
      <c r="G19" s="47" t="n">
        <v>0</v>
      </c>
      <c r="H19" s="62" t="n">
        <v>0</v>
      </c>
      <c r="I19" s="62" t="n">
        <v>0</v>
      </c>
      <c r="J19" s="62" t="n">
        <v>0</v>
      </c>
      <c r="K19" s="62" t="n">
        <v>0</v>
      </c>
      <c r="L19" s="55" t="n">
        <v>0</v>
      </c>
      <c r="M19" s="55" t="n">
        <v>0</v>
      </c>
      <c r="N19" s="55" t="n">
        <v>0</v>
      </c>
      <c r="O19" s="55" t="n">
        <v>0</v>
      </c>
      <c r="P19" s="71" t="n">
        <v>0</v>
      </c>
      <c r="Q19" s="71" t="n">
        <v>0</v>
      </c>
      <c r="R19" s="71" t="n">
        <v>0</v>
      </c>
      <c r="S19" s="71" t="n">
        <v>0</v>
      </c>
      <c r="T19" s="66" t="n">
        <f aca="false">J19-IF(AND(OR(oil_compact=0,$A19&lt;compact_year),$A19&gt;=1931,$A19&lt;=1933),gulf_wage_dip,0)</f>
        <v>0</v>
      </c>
      <c r="U19" s="49" t="n">
        <f aca="false">IF($A19&lt;1900,0,IF(F19&lt;=G19,1,0))</f>
        <v>0</v>
      </c>
      <c r="V19" s="49" t="n">
        <f aca="false">IF($A19&lt;1900,0,IF(H19&gt;=I19,1,0))</f>
        <v>0</v>
      </c>
      <c r="W19" s="49" t="n">
        <f aca="false">IF($A19&lt;1900,0,IF(T19&gt;=K19,1,0))</f>
        <v>0</v>
      </c>
      <c r="X19" s="49" t="n">
        <f aca="false">IF($A19&lt;1900,0,IF(L19&lt;=M19,1,0))</f>
        <v>0</v>
      </c>
      <c r="Y19" s="49" t="n">
        <f aca="false">IF($A19&lt;1900,0,IF(N19&lt;=O19,1,0))</f>
        <v>0</v>
      </c>
      <c r="Z19" s="49" t="n">
        <f aca="false">IF($A19&lt;1900,0,IF(P19&lt;=Q19,1,0))</f>
        <v>0</v>
      </c>
      <c r="AA19" s="49" t="n">
        <f aca="false">IF($A19&lt;1900,0,IF(R19&gt;=S19,1,0))</f>
        <v>0</v>
      </c>
      <c r="AB19" s="49" t="n">
        <f aca="false">IF(SUM(U19:Y19)=5,1,0)</f>
        <v>0</v>
      </c>
      <c r="AC19" s="49" t="n">
        <f aca="false">IF(Z19+AA19=2,1,0)</f>
        <v>0</v>
      </c>
      <c r="AD19" s="49" t="n">
        <f aca="false">IF(AND(AB19=1,AC19=1),1,0)</f>
        <v>0</v>
      </c>
      <c r="AE19" s="49" t="n">
        <f aca="false">IF(AD19=1,AE18+1,0)</f>
        <v>0</v>
      </c>
      <c r="AF19" s="49" t="n">
        <f aca="false">IF(AE18&gt;=gulf_years_req,1,0)</f>
        <v>0</v>
      </c>
    </row>
    <row r="20" customFormat="false" ht="14.25" hidden="false" customHeight="true" outlineLevel="0" collapsed="false">
      <c r="A20" s="61" t="n">
        <v>1860</v>
      </c>
      <c r="B20" s="47" t="n">
        <v>0</v>
      </c>
      <c r="C20" s="71" t="n">
        <v>0</v>
      </c>
      <c r="D20" s="49" t="n">
        <f aca="false">Partners!Q20*(1-IF(AND(OR(oil_compact=0,$A20&lt;compact_year),OR($A20=1931,$A20=1932)),gulf_glut_gdp,0))</f>
        <v>0</v>
      </c>
      <c r="E20" s="49" t="n">
        <f aca="false">IF(AND(gulf_on=1,$A20&gt;=gulf_year),1,0)</f>
        <v>0</v>
      </c>
      <c r="F20" s="47" t="n">
        <v>0</v>
      </c>
      <c r="G20" s="47" t="n">
        <v>0</v>
      </c>
      <c r="H20" s="62" t="n">
        <v>0</v>
      </c>
      <c r="I20" s="62" t="n">
        <v>0</v>
      </c>
      <c r="J20" s="62" t="n">
        <v>0</v>
      </c>
      <c r="K20" s="62" t="n">
        <v>0</v>
      </c>
      <c r="L20" s="55" t="n">
        <v>0</v>
      </c>
      <c r="M20" s="55" t="n">
        <v>0</v>
      </c>
      <c r="N20" s="55" t="n">
        <v>0</v>
      </c>
      <c r="O20" s="55" t="n">
        <v>0</v>
      </c>
      <c r="P20" s="71" t="n">
        <v>0</v>
      </c>
      <c r="Q20" s="71" t="n">
        <v>0</v>
      </c>
      <c r="R20" s="71" t="n">
        <v>0</v>
      </c>
      <c r="S20" s="71" t="n">
        <v>0</v>
      </c>
      <c r="T20" s="66" t="n">
        <f aca="false">J20-IF(AND(OR(oil_compact=0,$A20&lt;compact_year),$A20&gt;=1931,$A20&lt;=1933),gulf_wage_dip,0)</f>
        <v>0</v>
      </c>
      <c r="U20" s="49" t="n">
        <f aca="false">IF($A20&lt;1900,0,IF(F20&lt;=G20,1,0))</f>
        <v>0</v>
      </c>
      <c r="V20" s="49" t="n">
        <f aca="false">IF($A20&lt;1900,0,IF(H20&gt;=I20,1,0))</f>
        <v>0</v>
      </c>
      <c r="W20" s="49" t="n">
        <f aca="false">IF($A20&lt;1900,0,IF(T20&gt;=K20,1,0))</f>
        <v>0</v>
      </c>
      <c r="X20" s="49" t="n">
        <f aca="false">IF($A20&lt;1900,0,IF(L20&lt;=M20,1,0))</f>
        <v>0</v>
      </c>
      <c r="Y20" s="49" t="n">
        <f aca="false">IF($A20&lt;1900,0,IF(N20&lt;=O20,1,0))</f>
        <v>0</v>
      </c>
      <c r="Z20" s="49" t="n">
        <f aca="false">IF($A20&lt;1900,0,IF(P20&lt;=Q20,1,0))</f>
        <v>0</v>
      </c>
      <c r="AA20" s="49" t="n">
        <f aca="false">IF($A20&lt;1900,0,IF(R20&gt;=S20,1,0))</f>
        <v>0</v>
      </c>
      <c r="AB20" s="49" t="n">
        <f aca="false">IF(SUM(U20:Y20)=5,1,0)</f>
        <v>0</v>
      </c>
      <c r="AC20" s="49" t="n">
        <f aca="false">IF(Z20+AA20=2,1,0)</f>
        <v>0</v>
      </c>
      <c r="AD20" s="49" t="n">
        <f aca="false">IF(AND(AB20=1,AC20=1),1,0)</f>
        <v>0</v>
      </c>
      <c r="AE20" s="49" t="n">
        <f aca="false">IF(AD20=1,AE19+1,0)</f>
        <v>0</v>
      </c>
      <c r="AF20" s="49" t="n">
        <f aca="false">IF(AE19&gt;=gulf_years_req,1,0)</f>
        <v>0</v>
      </c>
    </row>
    <row r="21" customFormat="false" ht="14.25" hidden="false" customHeight="true" outlineLevel="0" collapsed="false">
      <c r="A21" s="64" t="n">
        <v>1861</v>
      </c>
      <c r="B21" s="47" t="n">
        <v>0</v>
      </c>
      <c r="C21" s="71" t="n">
        <v>0</v>
      </c>
      <c r="D21" s="49" t="n">
        <f aca="false">Partners!Q21*(1-IF(AND(OR(oil_compact=0,$A21&lt;compact_year),OR($A21=1931,$A21=1932)),gulf_glut_gdp,0))</f>
        <v>0</v>
      </c>
      <c r="E21" s="49" t="n">
        <f aca="false">IF(AND(gulf_on=1,$A21&gt;=gulf_year),1,0)</f>
        <v>0</v>
      </c>
      <c r="F21" s="47" t="n">
        <v>0</v>
      </c>
      <c r="G21" s="47" t="n">
        <v>0</v>
      </c>
      <c r="H21" s="62" t="n">
        <v>0</v>
      </c>
      <c r="I21" s="62" t="n">
        <v>0</v>
      </c>
      <c r="J21" s="62" t="n">
        <v>0</v>
      </c>
      <c r="K21" s="62" t="n">
        <v>0</v>
      </c>
      <c r="L21" s="55" t="n">
        <v>0</v>
      </c>
      <c r="M21" s="55" t="n">
        <v>0</v>
      </c>
      <c r="N21" s="55" t="n">
        <v>0</v>
      </c>
      <c r="O21" s="55" t="n">
        <v>0</v>
      </c>
      <c r="P21" s="71" t="n">
        <v>0</v>
      </c>
      <c r="Q21" s="71" t="n">
        <v>0</v>
      </c>
      <c r="R21" s="71" t="n">
        <v>0</v>
      </c>
      <c r="S21" s="71" t="n">
        <v>0</v>
      </c>
      <c r="T21" s="66" t="n">
        <f aca="false">J21-IF(AND(OR(oil_compact=0,$A21&lt;compact_year),$A21&gt;=1931,$A21&lt;=1933),gulf_wage_dip,0)</f>
        <v>0</v>
      </c>
      <c r="U21" s="49" t="n">
        <f aca="false">IF($A21&lt;1900,0,IF(F21&lt;=G21,1,0))</f>
        <v>0</v>
      </c>
      <c r="V21" s="49" t="n">
        <f aca="false">IF($A21&lt;1900,0,IF(H21&gt;=I21,1,0))</f>
        <v>0</v>
      </c>
      <c r="W21" s="49" t="n">
        <f aca="false">IF($A21&lt;1900,0,IF(T21&gt;=K21,1,0))</f>
        <v>0</v>
      </c>
      <c r="X21" s="49" t="n">
        <f aca="false">IF($A21&lt;1900,0,IF(L21&lt;=M21,1,0))</f>
        <v>0</v>
      </c>
      <c r="Y21" s="49" t="n">
        <f aca="false">IF($A21&lt;1900,0,IF(N21&lt;=O21,1,0))</f>
        <v>0</v>
      </c>
      <c r="Z21" s="49" t="n">
        <f aca="false">IF($A21&lt;1900,0,IF(P21&lt;=Q21,1,0))</f>
        <v>0</v>
      </c>
      <c r="AA21" s="49" t="n">
        <f aca="false">IF($A21&lt;1900,0,IF(R21&gt;=S21,1,0))</f>
        <v>0</v>
      </c>
      <c r="AB21" s="49" t="n">
        <f aca="false">IF(SUM(U21:Y21)=5,1,0)</f>
        <v>0</v>
      </c>
      <c r="AC21" s="49" t="n">
        <f aca="false">IF(Z21+AA21=2,1,0)</f>
        <v>0</v>
      </c>
      <c r="AD21" s="49" t="n">
        <f aca="false">IF(AND(AB21=1,AC21=1),1,0)</f>
        <v>0</v>
      </c>
      <c r="AE21" s="49" t="n">
        <f aca="false">IF(AD21=1,AE20+1,0)</f>
        <v>0</v>
      </c>
      <c r="AF21" s="49" t="n">
        <f aca="false">IF(AE20&gt;=gulf_years_req,1,0)</f>
        <v>0</v>
      </c>
    </row>
    <row r="22" customFormat="false" ht="14.25" hidden="false" customHeight="true" outlineLevel="0" collapsed="false">
      <c r="A22" s="64" t="n">
        <v>1862</v>
      </c>
      <c r="B22" s="47" t="n">
        <v>0</v>
      </c>
      <c r="C22" s="71" t="n">
        <v>0</v>
      </c>
      <c r="D22" s="49" t="n">
        <f aca="false">Partners!Q22*(1-IF(AND(OR(oil_compact=0,$A22&lt;compact_year),OR($A22=1931,$A22=1932)),gulf_glut_gdp,0))</f>
        <v>0</v>
      </c>
      <c r="E22" s="49" t="n">
        <f aca="false">IF(AND(gulf_on=1,$A22&gt;=gulf_year),1,0)</f>
        <v>0</v>
      </c>
      <c r="F22" s="47" t="n">
        <v>0</v>
      </c>
      <c r="G22" s="47" t="n">
        <v>0</v>
      </c>
      <c r="H22" s="62" t="n">
        <v>0</v>
      </c>
      <c r="I22" s="62" t="n">
        <v>0</v>
      </c>
      <c r="J22" s="62" t="n">
        <v>0</v>
      </c>
      <c r="K22" s="62" t="n">
        <v>0</v>
      </c>
      <c r="L22" s="55" t="n">
        <v>0</v>
      </c>
      <c r="M22" s="55" t="n">
        <v>0</v>
      </c>
      <c r="N22" s="55" t="n">
        <v>0</v>
      </c>
      <c r="O22" s="55" t="n">
        <v>0</v>
      </c>
      <c r="P22" s="71" t="n">
        <v>0</v>
      </c>
      <c r="Q22" s="71" t="n">
        <v>0</v>
      </c>
      <c r="R22" s="71" t="n">
        <v>0</v>
      </c>
      <c r="S22" s="71" t="n">
        <v>0</v>
      </c>
      <c r="T22" s="66" t="n">
        <f aca="false">J22-IF(AND(OR(oil_compact=0,$A22&lt;compact_year),$A22&gt;=1931,$A22&lt;=1933),gulf_wage_dip,0)</f>
        <v>0</v>
      </c>
      <c r="U22" s="49" t="n">
        <f aca="false">IF($A22&lt;1900,0,IF(F22&lt;=G22,1,0))</f>
        <v>0</v>
      </c>
      <c r="V22" s="49" t="n">
        <f aca="false">IF($A22&lt;1900,0,IF(H22&gt;=I22,1,0))</f>
        <v>0</v>
      </c>
      <c r="W22" s="49" t="n">
        <f aca="false">IF($A22&lt;1900,0,IF(T22&gt;=K22,1,0))</f>
        <v>0</v>
      </c>
      <c r="X22" s="49" t="n">
        <f aca="false">IF($A22&lt;1900,0,IF(L22&lt;=M22,1,0))</f>
        <v>0</v>
      </c>
      <c r="Y22" s="49" t="n">
        <f aca="false">IF($A22&lt;1900,0,IF(N22&lt;=O22,1,0))</f>
        <v>0</v>
      </c>
      <c r="Z22" s="49" t="n">
        <f aca="false">IF($A22&lt;1900,0,IF(P22&lt;=Q22,1,0))</f>
        <v>0</v>
      </c>
      <c r="AA22" s="49" t="n">
        <f aca="false">IF($A22&lt;1900,0,IF(R22&gt;=S22,1,0))</f>
        <v>0</v>
      </c>
      <c r="AB22" s="49" t="n">
        <f aca="false">IF(SUM(U22:Y22)=5,1,0)</f>
        <v>0</v>
      </c>
      <c r="AC22" s="49" t="n">
        <f aca="false">IF(Z22+AA22=2,1,0)</f>
        <v>0</v>
      </c>
      <c r="AD22" s="49" t="n">
        <f aca="false">IF(AND(AB22=1,AC22=1),1,0)</f>
        <v>0</v>
      </c>
      <c r="AE22" s="49" t="n">
        <f aca="false">IF(AD22=1,AE21+1,0)</f>
        <v>0</v>
      </c>
      <c r="AF22" s="49" t="n">
        <f aca="false">IF(AE21&gt;=gulf_years_req,1,0)</f>
        <v>0</v>
      </c>
    </row>
    <row r="23" customFormat="false" ht="14.25" hidden="false" customHeight="true" outlineLevel="0" collapsed="false">
      <c r="A23" s="64" t="n">
        <v>1863</v>
      </c>
      <c r="B23" s="47" t="n">
        <v>0</v>
      </c>
      <c r="C23" s="71" t="n">
        <v>0</v>
      </c>
      <c r="D23" s="49" t="n">
        <f aca="false">Partners!Q23*(1-IF(AND(OR(oil_compact=0,$A23&lt;compact_year),OR($A23=1931,$A23=1932)),gulf_glut_gdp,0))</f>
        <v>0</v>
      </c>
      <c r="E23" s="49" t="n">
        <f aca="false">IF(AND(gulf_on=1,$A23&gt;=gulf_year),1,0)</f>
        <v>0</v>
      </c>
      <c r="F23" s="47" t="n">
        <v>0</v>
      </c>
      <c r="G23" s="47" t="n">
        <v>0</v>
      </c>
      <c r="H23" s="62" t="n">
        <v>0</v>
      </c>
      <c r="I23" s="62" t="n">
        <v>0</v>
      </c>
      <c r="J23" s="62" t="n">
        <v>0</v>
      </c>
      <c r="K23" s="62" t="n">
        <v>0</v>
      </c>
      <c r="L23" s="55" t="n">
        <v>0</v>
      </c>
      <c r="M23" s="55" t="n">
        <v>0</v>
      </c>
      <c r="N23" s="55" t="n">
        <v>0</v>
      </c>
      <c r="O23" s="55" t="n">
        <v>0</v>
      </c>
      <c r="P23" s="71" t="n">
        <v>0</v>
      </c>
      <c r="Q23" s="71" t="n">
        <v>0</v>
      </c>
      <c r="R23" s="71" t="n">
        <v>0</v>
      </c>
      <c r="S23" s="71" t="n">
        <v>0</v>
      </c>
      <c r="T23" s="66" t="n">
        <f aca="false">J23-IF(AND(OR(oil_compact=0,$A23&lt;compact_year),$A23&gt;=1931,$A23&lt;=1933),gulf_wage_dip,0)</f>
        <v>0</v>
      </c>
      <c r="U23" s="49" t="n">
        <f aca="false">IF($A23&lt;1900,0,IF(F23&lt;=G23,1,0))</f>
        <v>0</v>
      </c>
      <c r="V23" s="49" t="n">
        <f aca="false">IF($A23&lt;1900,0,IF(H23&gt;=I23,1,0))</f>
        <v>0</v>
      </c>
      <c r="W23" s="49" t="n">
        <f aca="false">IF($A23&lt;1900,0,IF(T23&gt;=K23,1,0))</f>
        <v>0</v>
      </c>
      <c r="X23" s="49" t="n">
        <f aca="false">IF($A23&lt;1900,0,IF(L23&lt;=M23,1,0))</f>
        <v>0</v>
      </c>
      <c r="Y23" s="49" t="n">
        <f aca="false">IF($A23&lt;1900,0,IF(N23&lt;=O23,1,0))</f>
        <v>0</v>
      </c>
      <c r="Z23" s="49" t="n">
        <f aca="false">IF($A23&lt;1900,0,IF(P23&lt;=Q23,1,0))</f>
        <v>0</v>
      </c>
      <c r="AA23" s="49" t="n">
        <f aca="false">IF($A23&lt;1900,0,IF(R23&gt;=S23,1,0))</f>
        <v>0</v>
      </c>
      <c r="AB23" s="49" t="n">
        <f aca="false">IF(SUM(U23:Y23)=5,1,0)</f>
        <v>0</v>
      </c>
      <c r="AC23" s="49" t="n">
        <f aca="false">IF(Z23+AA23=2,1,0)</f>
        <v>0</v>
      </c>
      <c r="AD23" s="49" t="n">
        <f aca="false">IF(AND(AB23=1,AC23=1),1,0)</f>
        <v>0</v>
      </c>
      <c r="AE23" s="49" t="n">
        <f aca="false">IF(AD23=1,AE22+1,0)</f>
        <v>0</v>
      </c>
      <c r="AF23" s="49" t="n">
        <f aca="false">IF(AE22&gt;=gulf_years_req,1,0)</f>
        <v>0</v>
      </c>
    </row>
    <row r="24" customFormat="false" ht="14.25" hidden="false" customHeight="true" outlineLevel="0" collapsed="false">
      <c r="A24" s="64" t="n">
        <v>1864</v>
      </c>
      <c r="B24" s="47" t="n">
        <v>0</v>
      </c>
      <c r="C24" s="71" t="n">
        <v>0</v>
      </c>
      <c r="D24" s="49" t="n">
        <f aca="false">Partners!Q24*(1-IF(AND(OR(oil_compact=0,$A24&lt;compact_year),OR($A24=1931,$A24=1932)),gulf_glut_gdp,0))</f>
        <v>0</v>
      </c>
      <c r="E24" s="49" t="n">
        <f aca="false">IF(AND(gulf_on=1,$A24&gt;=gulf_year),1,0)</f>
        <v>0</v>
      </c>
      <c r="F24" s="47" t="n">
        <v>0</v>
      </c>
      <c r="G24" s="47" t="n">
        <v>0</v>
      </c>
      <c r="H24" s="62" t="n">
        <v>0</v>
      </c>
      <c r="I24" s="62" t="n">
        <v>0</v>
      </c>
      <c r="J24" s="62" t="n">
        <v>0</v>
      </c>
      <c r="K24" s="62" t="n">
        <v>0</v>
      </c>
      <c r="L24" s="55" t="n">
        <v>0</v>
      </c>
      <c r="M24" s="55" t="n">
        <v>0</v>
      </c>
      <c r="N24" s="55" t="n">
        <v>0</v>
      </c>
      <c r="O24" s="55" t="n">
        <v>0</v>
      </c>
      <c r="P24" s="71" t="n">
        <v>0</v>
      </c>
      <c r="Q24" s="71" t="n">
        <v>0</v>
      </c>
      <c r="R24" s="71" t="n">
        <v>0</v>
      </c>
      <c r="S24" s="71" t="n">
        <v>0</v>
      </c>
      <c r="T24" s="66" t="n">
        <f aca="false">J24-IF(AND(OR(oil_compact=0,$A24&lt;compact_year),$A24&gt;=1931,$A24&lt;=1933),gulf_wage_dip,0)</f>
        <v>0</v>
      </c>
      <c r="U24" s="49" t="n">
        <f aca="false">IF($A24&lt;1900,0,IF(F24&lt;=G24,1,0))</f>
        <v>0</v>
      </c>
      <c r="V24" s="49" t="n">
        <f aca="false">IF($A24&lt;1900,0,IF(H24&gt;=I24,1,0))</f>
        <v>0</v>
      </c>
      <c r="W24" s="49" t="n">
        <f aca="false">IF($A24&lt;1900,0,IF(T24&gt;=K24,1,0))</f>
        <v>0</v>
      </c>
      <c r="X24" s="49" t="n">
        <f aca="false">IF($A24&lt;1900,0,IF(L24&lt;=M24,1,0))</f>
        <v>0</v>
      </c>
      <c r="Y24" s="49" t="n">
        <f aca="false">IF($A24&lt;1900,0,IF(N24&lt;=O24,1,0))</f>
        <v>0</v>
      </c>
      <c r="Z24" s="49" t="n">
        <f aca="false">IF($A24&lt;1900,0,IF(P24&lt;=Q24,1,0))</f>
        <v>0</v>
      </c>
      <c r="AA24" s="49" t="n">
        <f aca="false">IF($A24&lt;1900,0,IF(R24&gt;=S24,1,0))</f>
        <v>0</v>
      </c>
      <c r="AB24" s="49" t="n">
        <f aca="false">IF(SUM(U24:Y24)=5,1,0)</f>
        <v>0</v>
      </c>
      <c r="AC24" s="49" t="n">
        <f aca="false">IF(Z24+AA24=2,1,0)</f>
        <v>0</v>
      </c>
      <c r="AD24" s="49" t="n">
        <f aca="false">IF(AND(AB24=1,AC24=1),1,0)</f>
        <v>0</v>
      </c>
      <c r="AE24" s="49" t="n">
        <f aca="false">IF(AD24=1,AE23+1,0)</f>
        <v>0</v>
      </c>
      <c r="AF24" s="49" t="n">
        <f aca="false">IF(AE23&gt;=gulf_years_req,1,0)</f>
        <v>0</v>
      </c>
    </row>
    <row r="25" customFormat="false" ht="14.25" hidden="false" customHeight="true" outlineLevel="0" collapsed="false">
      <c r="A25" s="64" t="n">
        <v>1865</v>
      </c>
      <c r="B25" s="47" t="n">
        <v>0</v>
      </c>
      <c r="C25" s="71" t="n">
        <v>0</v>
      </c>
      <c r="D25" s="49" t="n">
        <f aca="false">Partners!Q25*(1-IF(AND(OR(oil_compact=0,$A25&lt;compact_year),OR($A25=1931,$A25=1932)),gulf_glut_gdp,0))</f>
        <v>0</v>
      </c>
      <c r="E25" s="49" t="n">
        <f aca="false">IF(AND(gulf_on=1,$A25&gt;=gulf_year),1,0)</f>
        <v>0</v>
      </c>
      <c r="F25" s="47" t="n">
        <v>0</v>
      </c>
      <c r="G25" s="47" t="n">
        <v>0</v>
      </c>
      <c r="H25" s="62" t="n">
        <v>0</v>
      </c>
      <c r="I25" s="62" t="n">
        <v>0</v>
      </c>
      <c r="J25" s="62" t="n">
        <v>0</v>
      </c>
      <c r="K25" s="62" t="n">
        <v>0</v>
      </c>
      <c r="L25" s="55" t="n">
        <v>0</v>
      </c>
      <c r="M25" s="55" t="n">
        <v>0</v>
      </c>
      <c r="N25" s="55" t="n">
        <v>0</v>
      </c>
      <c r="O25" s="55" t="n">
        <v>0</v>
      </c>
      <c r="P25" s="71" t="n">
        <v>0</v>
      </c>
      <c r="Q25" s="71" t="n">
        <v>0</v>
      </c>
      <c r="R25" s="71" t="n">
        <v>0</v>
      </c>
      <c r="S25" s="71" t="n">
        <v>0</v>
      </c>
      <c r="T25" s="66" t="n">
        <f aca="false">J25-IF(AND(OR(oil_compact=0,$A25&lt;compact_year),$A25&gt;=1931,$A25&lt;=1933),gulf_wage_dip,0)</f>
        <v>0</v>
      </c>
      <c r="U25" s="49" t="n">
        <f aca="false">IF($A25&lt;1900,0,IF(F25&lt;=G25,1,0))</f>
        <v>0</v>
      </c>
      <c r="V25" s="49" t="n">
        <f aca="false">IF($A25&lt;1900,0,IF(H25&gt;=I25,1,0))</f>
        <v>0</v>
      </c>
      <c r="W25" s="49" t="n">
        <f aca="false">IF($A25&lt;1900,0,IF(T25&gt;=K25,1,0))</f>
        <v>0</v>
      </c>
      <c r="X25" s="49" t="n">
        <f aca="false">IF($A25&lt;1900,0,IF(L25&lt;=M25,1,0))</f>
        <v>0</v>
      </c>
      <c r="Y25" s="49" t="n">
        <f aca="false">IF($A25&lt;1900,0,IF(N25&lt;=O25,1,0))</f>
        <v>0</v>
      </c>
      <c r="Z25" s="49" t="n">
        <f aca="false">IF($A25&lt;1900,0,IF(P25&lt;=Q25,1,0))</f>
        <v>0</v>
      </c>
      <c r="AA25" s="49" t="n">
        <f aca="false">IF($A25&lt;1900,0,IF(R25&gt;=S25,1,0))</f>
        <v>0</v>
      </c>
      <c r="AB25" s="49" t="n">
        <f aca="false">IF(SUM(U25:Y25)=5,1,0)</f>
        <v>0</v>
      </c>
      <c r="AC25" s="49" t="n">
        <f aca="false">IF(Z25+AA25=2,1,0)</f>
        <v>0</v>
      </c>
      <c r="AD25" s="49" t="n">
        <f aca="false">IF(AND(AB25=1,AC25=1),1,0)</f>
        <v>0</v>
      </c>
      <c r="AE25" s="49" t="n">
        <f aca="false">IF(AD25=1,AE24+1,0)</f>
        <v>0</v>
      </c>
      <c r="AF25" s="49" t="n">
        <f aca="false">IF(AE24&gt;=gulf_years_req,1,0)</f>
        <v>0</v>
      </c>
    </row>
    <row r="26" customFormat="false" ht="14.25" hidden="false" customHeight="true" outlineLevel="0" collapsed="false">
      <c r="A26" s="61" t="n">
        <v>1866</v>
      </c>
      <c r="B26" s="47" t="n">
        <v>0</v>
      </c>
      <c r="C26" s="71" t="n">
        <v>0</v>
      </c>
      <c r="D26" s="49" t="n">
        <f aca="false">Partners!Q26*(1-IF(AND(OR(oil_compact=0,$A26&lt;compact_year),OR($A26=1931,$A26=1932)),gulf_glut_gdp,0))</f>
        <v>0</v>
      </c>
      <c r="E26" s="49" t="n">
        <f aca="false">IF(AND(gulf_on=1,$A26&gt;=gulf_year),1,0)</f>
        <v>0</v>
      </c>
      <c r="F26" s="47" t="n">
        <v>0</v>
      </c>
      <c r="G26" s="47" t="n">
        <v>0</v>
      </c>
      <c r="H26" s="62" t="n">
        <v>0</v>
      </c>
      <c r="I26" s="62" t="n">
        <v>0</v>
      </c>
      <c r="J26" s="62" t="n">
        <v>0</v>
      </c>
      <c r="K26" s="62" t="n">
        <v>0</v>
      </c>
      <c r="L26" s="55" t="n">
        <v>0</v>
      </c>
      <c r="M26" s="55" t="n">
        <v>0</v>
      </c>
      <c r="N26" s="55" t="n">
        <v>0</v>
      </c>
      <c r="O26" s="55" t="n">
        <v>0</v>
      </c>
      <c r="P26" s="71" t="n">
        <v>0</v>
      </c>
      <c r="Q26" s="71" t="n">
        <v>0</v>
      </c>
      <c r="R26" s="71" t="n">
        <v>0</v>
      </c>
      <c r="S26" s="71" t="n">
        <v>0</v>
      </c>
      <c r="T26" s="66" t="n">
        <f aca="false">J26-IF(AND(OR(oil_compact=0,$A26&lt;compact_year),$A26&gt;=1931,$A26&lt;=1933),gulf_wage_dip,0)</f>
        <v>0</v>
      </c>
      <c r="U26" s="49" t="n">
        <f aca="false">IF($A26&lt;1900,0,IF(F26&lt;=G26,1,0))</f>
        <v>0</v>
      </c>
      <c r="V26" s="49" t="n">
        <f aca="false">IF($A26&lt;1900,0,IF(H26&gt;=I26,1,0))</f>
        <v>0</v>
      </c>
      <c r="W26" s="49" t="n">
        <f aca="false">IF($A26&lt;1900,0,IF(T26&gt;=K26,1,0))</f>
        <v>0</v>
      </c>
      <c r="X26" s="49" t="n">
        <f aca="false">IF($A26&lt;1900,0,IF(L26&lt;=M26,1,0))</f>
        <v>0</v>
      </c>
      <c r="Y26" s="49" t="n">
        <f aca="false">IF($A26&lt;1900,0,IF(N26&lt;=O26,1,0))</f>
        <v>0</v>
      </c>
      <c r="Z26" s="49" t="n">
        <f aca="false">IF($A26&lt;1900,0,IF(P26&lt;=Q26,1,0))</f>
        <v>0</v>
      </c>
      <c r="AA26" s="49" t="n">
        <f aca="false">IF($A26&lt;1900,0,IF(R26&gt;=S26,1,0))</f>
        <v>0</v>
      </c>
      <c r="AB26" s="49" t="n">
        <f aca="false">IF(SUM(U26:Y26)=5,1,0)</f>
        <v>0</v>
      </c>
      <c r="AC26" s="49" t="n">
        <f aca="false">IF(Z26+AA26=2,1,0)</f>
        <v>0</v>
      </c>
      <c r="AD26" s="49" t="n">
        <f aca="false">IF(AND(AB26=1,AC26=1),1,0)</f>
        <v>0</v>
      </c>
      <c r="AE26" s="49" t="n">
        <f aca="false">IF(AD26=1,AE25+1,0)</f>
        <v>0</v>
      </c>
      <c r="AF26" s="49" t="n">
        <f aca="false">IF(AE25&gt;=gulf_years_req,1,0)</f>
        <v>0</v>
      </c>
    </row>
    <row r="27" customFormat="false" ht="14.25" hidden="false" customHeight="true" outlineLevel="0" collapsed="false">
      <c r="A27" s="61" t="n">
        <v>1867</v>
      </c>
      <c r="B27" s="47" t="n">
        <v>0</v>
      </c>
      <c r="C27" s="71" t="n">
        <v>0</v>
      </c>
      <c r="D27" s="49" t="n">
        <f aca="false">Partners!Q27*(1-IF(AND(OR(oil_compact=0,$A27&lt;compact_year),OR($A27=1931,$A27=1932)),gulf_glut_gdp,0))</f>
        <v>0</v>
      </c>
      <c r="E27" s="49" t="n">
        <f aca="false">IF(AND(gulf_on=1,$A27&gt;=gulf_year),1,0)</f>
        <v>0</v>
      </c>
      <c r="F27" s="47" t="n">
        <v>0</v>
      </c>
      <c r="G27" s="47" t="n">
        <v>0</v>
      </c>
      <c r="H27" s="62" t="n">
        <v>0</v>
      </c>
      <c r="I27" s="62" t="n">
        <v>0</v>
      </c>
      <c r="J27" s="62" t="n">
        <v>0</v>
      </c>
      <c r="K27" s="62" t="n">
        <v>0</v>
      </c>
      <c r="L27" s="55" t="n">
        <v>0</v>
      </c>
      <c r="M27" s="55" t="n">
        <v>0</v>
      </c>
      <c r="N27" s="55" t="n">
        <v>0</v>
      </c>
      <c r="O27" s="55" t="n">
        <v>0</v>
      </c>
      <c r="P27" s="71" t="n">
        <v>0</v>
      </c>
      <c r="Q27" s="71" t="n">
        <v>0</v>
      </c>
      <c r="R27" s="71" t="n">
        <v>0</v>
      </c>
      <c r="S27" s="71" t="n">
        <v>0</v>
      </c>
      <c r="T27" s="66" t="n">
        <f aca="false">J27-IF(AND(OR(oil_compact=0,$A27&lt;compact_year),$A27&gt;=1931,$A27&lt;=1933),gulf_wage_dip,0)</f>
        <v>0</v>
      </c>
      <c r="U27" s="49" t="n">
        <f aca="false">IF($A27&lt;1900,0,IF(F27&lt;=G27,1,0))</f>
        <v>0</v>
      </c>
      <c r="V27" s="49" t="n">
        <f aca="false">IF($A27&lt;1900,0,IF(H27&gt;=I27,1,0))</f>
        <v>0</v>
      </c>
      <c r="W27" s="49" t="n">
        <f aca="false">IF($A27&lt;1900,0,IF(T27&gt;=K27,1,0))</f>
        <v>0</v>
      </c>
      <c r="X27" s="49" t="n">
        <f aca="false">IF($A27&lt;1900,0,IF(L27&lt;=M27,1,0))</f>
        <v>0</v>
      </c>
      <c r="Y27" s="49" t="n">
        <f aca="false">IF($A27&lt;1900,0,IF(N27&lt;=O27,1,0))</f>
        <v>0</v>
      </c>
      <c r="Z27" s="49" t="n">
        <f aca="false">IF($A27&lt;1900,0,IF(P27&lt;=Q27,1,0))</f>
        <v>0</v>
      </c>
      <c r="AA27" s="49" t="n">
        <f aca="false">IF($A27&lt;1900,0,IF(R27&gt;=S27,1,0))</f>
        <v>0</v>
      </c>
      <c r="AB27" s="49" t="n">
        <f aca="false">IF(SUM(U27:Y27)=5,1,0)</f>
        <v>0</v>
      </c>
      <c r="AC27" s="49" t="n">
        <f aca="false">IF(Z27+AA27=2,1,0)</f>
        <v>0</v>
      </c>
      <c r="AD27" s="49" t="n">
        <f aca="false">IF(AND(AB27=1,AC27=1),1,0)</f>
        <v>0</v>
      </c>
      <c r="AE27" s="49" t="n">
        <f aca="false">IF(AD27=1,AE26+1,0)</f>
        <v>0</v>
      </c>
      <c r="AF27" s="49" t="n">
        <f aca="false">IF(AE26&gt;=gulf_years_req,1,0)</f>
        <v>0</v>
      </c>
    </row>
    <row r="28" customFormat="false" ht="14.25" hidden="false" customHeight="true" outlineLevel="0" collapsed="false">
      <c r="A28" s="61" t="n">
        <v>1868</v>
      </c>
      <c r="B28" s="47" t="n">
        <v>0</v>
      </c>
      <c r="C28" s="71" t="n">
        <v>0</v>
      </c>
      <c r="D28" s="49" t="n">
        <f aca="false">Partners!Q28*(1-IF(AND(OR(oil_compact=0,$A28&lt;compact_year),OR($A28=1931,$A28=1932)),gulf_glut_gdp,0))</f>
        <v>0</v>
      </c>
      <c r="E28" s="49" t="n">
        <f aca="false">IF(AND(gulf_on=1,$A28&gt;=gulf_year),1,0)</f>
        <v>0</v>
      </c>
      <c r="F28" s="47" t="n">
        <v>0</v>
      </c>
      <c r="G28" s="47" t="n">
        <v>0</v>
      </c>
      <c r="H28" s="62" t="n">
        <v>0</v>
      </c>
      <c r="I28" s="62" t="n">
        <v>0</v>
      </c>
      <c r="J28" s="62" t="n">
        <v>0</v>
      </c>
      <c r="K28" s="62" t="n">
        <v>0</v>
      </c>
      <c r="L28" s="55" t="n">
        <v>0</v>
      </c>
      <c r="M28" s="55" t="n">
        <v>0</v>
      </c>
      <c r="N28" s="55" t="n">
        <v>0</v>
      </c>
      <c r="O28" s="55" t="n">
        <v>0</v>
      </c>
      <c r="P28" s="71" t="n">
        <v>0</v>
      </c>
      <c r="Q28" s="71" t="n">
        <v>0</v>
      </c>
      <c r="R28" s="71" t="n">
        <v>0</v>
      </c>
      <c r="S28" s="71" t="n">
        <v>0</v>
      </c>
      <c r="T28" s="66" t="n">
        <f aca="false">J28-IF(AND(OR(oil_compact=0,$A28&lt;compact_year),$A28&gt;=1931,$A28&lt;=1933),gulf_wage_dip,0)</f>
        <v>0</v>
      </c>
      <c r="U28" s="49" t="n">
        <f aca="false">IF($A28&lt;1900,0,IF(F28&lt;=G28,1,0))</f>
        <v>0</v>
      </c>
      <c r="V28" s="49" t="n">
        <f aca="false">IF($A28&lt;1900,0,IF(H28&gt;=I28,1,0))</f>
        <v>0</v>
      </c>
      <c r="W28" s="49" t="n">
        <f aca="false">IF($A28&lt;1900,0,IF(T28&gt;=K28,1,0))</f>
        <v>0</v>
      </c>
      <c r="X28" s="49" t="n">
        <f aca="false">IF($A28&lt;1900,0,IF(L28&lt;=M28,1,0))</f>
        <v>0</v>
      </c>
      <c r="Y28" s="49" t="n">
        <f aca="false">IF($A28&lt;1900,0,IF(N28&lt;=O28,1,0))</f>
        <v>0</v>
      </c>
      <c r="Z28" s="49" t="n">
        <f aca="false">IF($A28&lt;1900,0,IF(P28&lt;=Q28,1,0))</f>
        <v>0</v>
      </c>
      <c r="AA28" s="49" t="n">
        <f aca="false">IF($A28&lt;1900,0,IF(R28&gt;=S28,1,0))</f>
        <v>0</v>
      </c>
      <c r="AB28" s="49" t="n">
        <f aca="false">IF(SUM(U28:Y28)=5,1,0)</f>
        <v>0</v>
      </c>
      <c r="AC28" s="49" t="n">
        <f aca="false">IF(Z28+AA28=2,1,0)</f>
        <v>0</v>
      </c>
      <c r="AD28" s="49" t="n">
        <f aca="false">IF(AND(AB28=1,AC28=1),1,0)</f>
        <v>0</v>
      </c>
      <c r="AE28" s="49" t="n">
        <f aca="false">IF(AD28=1,AE27+1,0)</f>
        <v>0</v>
      </c>
      <c r="AF28" s="49" t="n">
        <f aca="false">IF(AE27&gt;=gulf_years_req,1,0)</f>
        <v>0</v>
      </c>
    </row>
    <row r="29" customFormat="false" ht="14.25" hidden="false" customHeight="true" outlineLevel="0" collapsed="false">
      <c r="A29" s="61" t="n">
        <v>1869</v>
      </c>
      <c r="B29" s="47" t="n">
        <v>0</v>
      </c>
      <c r="C29" s="71" t="n">
        <v>0</v>
      </c>
      <c r="D29" s="49" t="n">
        <f aca="false">Partners!Q29*(1-IF(AND(OR(oil_compact=0,$A29&lt;compact_year),OR($A29=1931,$A29=1932)),gulf_glut_gdp,0))</f>
        <v>0</v>
      </c>
      <c r="E29" s="49" t="n">
        <f aca="false">IF(AND(gulf_on=1,$A29&gt;=gulf_year),1,0)</f>
        <v>0</v>
      </c>
      <c r="F29" s="47" t="n">
        <v>0</v>
      </c>
      <c r="G29" s="47" t="n">
        <v>0</v>
      </c>
      <c r="H29" s="62" t="n">
        <v>0</v>
      </c>
      <c r="I29" s="62" t="n">
        <v>0</v>
      </c>
      <c r="J29" s="62" t="n">
        <v>0</v>
      </c>
      <c r="K29" s="62" t="n">
        <v>0</v>
      </c>
      <c r="L29" s="55" t="n">
        <v>0</v>
      </c>
      <c r="M29" s="55" t="n">
        <v>0</v>
      </c>
      <c r="N29" s="55" t="n">
        <v>0</v>
      </c>
      <c r="O29" s="55" t="n">
        <v>0</v>
      </c>
      <c r="P29" s="71" t="n">
        <v>0</v>
      </c>
      <c r="Q29" s="71" t="n">
        <v>0</v>
      </c>
      <c r="R29" s="71" t="n">
        <v>0</v>
      </c>
      <c r="S29" s="71" t="n">
        <v>0</v>
      </c>
      <c r="T29" s="66" t="n">
        <f aca="false">J29-IF(AND(OR(oil_compact=0,$A29&lt;compact_year),$A29&gt;=1931,$A29&lt;=1933),gulf_wage_dip,0)</f>
        <v>0</v>
      </c>
      <c r="U29" s="49" t="n">
        <f aca="false">IF($A29&lt;1900,0,IF(F29&lt;=G29,1,0))</f>
        <v>0</v>
      </c>
      <c r="V29" s="49" t="n">
        <f aca="false">IF($A29&lt;1900,0,IF(H29&gt;=I29,1,0))</f>
        <v>0</v>
      </c>
      <c r="W29" s="49" t="n">
        <f aca="false">IF($A29&lt;1900,0,IF(T29&gt;=K29,1,0))</f>
        <v>0</v>
      </c>
      <c r="X29" s="49" t="n">
        <f aca="false">IF($A29&lt;1900,0,IF(L29&lt;=M29,1,0))</f>
        <v>0</v>
      </c>
      <c r="Y29" s="49" t="n">
        <f aca="false">IF($A29&lt;1900,0,IF(N29&lt;=O29,1,0))</f>
        <v>0</v>
      </c>
      <c r="Z29" s="49" t="n">
        <f aca="false">IF($A29&lt;1900,0,IF(P29&lt;=Q29,1,0))</f>
        <v>0</v>
      </c>
      <c r="AA29" s="49" t="n">
        <f aca="false">IF($A29&lt;1900,0,IF(R29&gt;=S29,1,0))</f>
        <v>0</v>
      </c>
      <c r="AB29" s="49" t="n">
        <f aca="false">IF(SUM(U29:Y29)=5,1,0)</f>
        <v>0</v>
      </c>
      <c r="AC29" s="49" t="n">
        <f aca="false">IF(Z29+AA29=2,1,0)</f>
        <v>0</v>
      </c>
      <c r="AD29" s="49" t="n">
        <f aca="false">IF(AND(AB29=1,AC29=1),1,0)</f>
        <v>0</v>
      </c>
      <c r="AE29" s="49" t="n">
        <f aca="false">IF(AD29=1,AE28+1,0)</f>
        <v>0</v>
      </c>
      <c r="AF29" s="49" t="n">
        <f aca="false">IF(AE28&gt;=gulf_years_req,1,0)</f>
        <v>0</v>
      </c>
    </row>
    <row r="30" customFormat="false" ht="14.25" hidden="false" customHeight="true" outlineLevel="0" collapsed="false">
      <c r="A30" s="64" t="n">
        <v>1870</v>
      </c>
      <c r="B30" s="47" t="n">
        <v>0</v>
      </c>
      <c r="C30" s="71" t="n">
        <v>0</v>
      </c>
      <c r="D30" s="49" t="n">
        <f aca="false">Partners!Q30*(1-IF(AND(OR(oil_compact=0,$A30&lt;compact_year),OR($A30=1931,$A30=1932)),gulf_glut_gdp,0))</f>
        <v>0</v>
      </c>
      <c r="E30" s="49" t="n">
        <f aca="false">IF(AND(gulf_on=1,$A30&gt;=gulf_year),1,0)</f>
        <v>0</v>
      </c>
      <c r="F30" s="47" t="n">
        <v>0</v>
      </c>
      <c r="G30" s="47" t="n">
        <v>0</v>
      </c>
      <c r="H30" s="62" t="n">
        <v>0</v>
      </c>
      <c r="I30" s="62" t="n">
        <v>0</v>
      </c>
      <c r="J30" s="62" t="n">
        <v>0</v>
      </c>
      <c r="K30" s="62" t="n">
        <v>0</v>
      </c>
      <c r="L30" s="55" t="n">
        <v>0</v>
      </c>
      <c r="M30" s="55" t="n">
        <v>0</v>
      </c>
      <c r="N30" s="55" t="n">
        <v>0</v>
      </c>
      <c r="O30" s="55" t="n">
        <v>0</v>
      </c>
      <c r="P30" s="71" t="n">
        <v>0</v>
      </c>
      <c r="Q30" s="71" t="n">
        <v>0</v>
      </c>
      <c r="R30" s="71" t="n">
        <v>0</v>
      </c>
      <c r="S30" s="71" t="n">
        <v>0</v>
      </c>
      <c r="T30" s="66" t="n">
        <f aca="false">J30-IF(AND(OR(oil_compact=0,$A30&lt;compact_year),$A30&gt;=1931,$A30&lt;=1933),gulf_wage_dip,0)</f>
        <v>0</v>
      </c>
      <c r="U30" s="49" t="n">
        <f aca="false">IF($A30&lt;1900,0,IF(F30&lt;=G30,1,0))</f>
        <v>0</v>
      </c>
      <c r="V30" s="49" t="n">
        <f aca="false">IF($A30&lt;1900,0,IF(H30&gt;=I30,1,0))</f>
        <v>0</v>
      </c>
      <c r="W30" s="49" t="n">
        <f aca="false">IF($A30&lt;1900,0,IF(T30&gt;=K30,1,0))</f>
        <v>0</v>
      </c>
      <c r="X30" s="49" t="n">
        <f aca="false">IF($A30&lt;1900,0,IF(L30&lt;=M30,1,0))</f>
        <v>0</v>
      </c>
      <c r="Y30" s="49" t="n">
        <f aca="false">IF($A30&lt;1900,0,IF(N30&lt;=O30,1,0))</f>
        <v>0</v>
      </c>
      <c r="Z30" s="49" t="n">
        <f aca="false">IF($A30&lt;1900,0,IF(P30&lt;=Q30,1,0))</f>
        <v>0</v>
      </c>
      <c r="AA30" s="49" t="n">
        <f aca="false">IF($A30&lt;1900,0,IF(R30&gt;=S30,1,0))</f>
        <v>0</v>
      </c>
      <c r="AB30" s="49" t="n">
        <f aca="false">IF(SUM(U30:Y30)=5,1,0)</f>
        <v>0</v>
      </c>
      <c r="AC30" s="49" t="n">
        <f aca="false">IF(Z30+AA30=2,1,0)</f>
        <v>0</v>
      </c>
      <c r="AD30" s="49" t="n">
        <f aca="false">IF(AND(AB30=1,AC30=1),1,0)</f>
        <v>0</v>
      </c>
      <c r="AE30" s="49" t="n">
        <f aca="false">IF(AD30=1,AE29+1,0)</f>
        <v>0</v>
      </c>
      <c r="AF30" s="49" t="n">
        <f aca="false">IF(AE29&gt;=gulf_years_req,1,0)</f>
        <v>0</v>
      </c>
    </row>
    <row r="31" customFormat="false" ht="14.25" hidden="false" customHeight="true" outlineLevel="0" collapsed="false">
      <c r="A31" s="64" t="n">
        <v>1871</v>
      </c>
      <c r="B31" s="47" t="n">
        <v>0</v>
      </c>
      <c r="C31" s="71" t="n">
        <v>0</v>
      </c>
      <c r="D31" s="49" t="n">
        <f aca="false">Partners!Q31*(1-IF(AND(OR(oil_compact=0,$A31&lt;compact_year),OR($A31=1931,$A31=1932)),gulf_glut_gdp,0))</f>
        <v>0</v>
      </c>
      <c r="E31" s="49" t="n">
        <f aca="false">IF(AND(gulf_on=1,$A31&gt;=gulf_year),1,0)</f>
        <v>0</v>
      </c>
      <c r="F31" s="47" t="n">
        <v>0</v>
      </c>
      <c r="G31" s="47" t="n">
        <v>0</v>
      </c>
      <c r="H31" s="62" t="n">
        <v>0</v>
      </c>
      <c r="I31" s="62" t="n">
        <v>0</v>
      </c>
      <c r="J31" s="62" t="n">
        <v>0</v>
      </c>
      <c r="K31" s="62" t="n">
        <v>0</v>
      </c>
      <c r="L31" s="55" t="n">
        <v>0</v>
      </c>
      <c r="M31" s="55" t="n">
        <v>0</v>
      </c>
      <c r="N31" s="55" t="n">
        <v>0</v>
      </c>
      <c r="O31" s="55" t="n">
        <v>0</v>
      </c>
      <c r="P31" s="71" t="n">
        <v>0</v>
      </c>
      <c r="Q31" s="71" t="n">
        <v>0</v>
      </c>
      <c r="R31" s="71" t="n">
        <v>0</v>
      </c>
      <c r="S31" s="71" t="n">
        <v>0</v>
      </c>
      <c r="T31" s="66" t="n">
        <f aca="false">J31-IF(AND(OR(oil_compact=0,$A31&lt;compact_year),$A31&gt;=1931,$A31&lt;=1933),gulf_wage_dip,0)</f>
        <v>0</v>
      </c>
      <c r="U31" s="49" t="n">
        <f aca="false">IF($A31&lt;1900,0,IF(F31&lt;=G31,1,0))</f>
        <v>0</v>
      </c>
      <c r="V31" s="49" t="n">
        <f aca="false">IF($A31&lt;1900,0,IF(H31&gt;=I31,1,0))</f>
        <v>0</v>
      </c>
      <c r="W31" s="49" t="n">
        <f aca="false">IF($A31&lt;1900,0,IF(T31&gt;=K31,1,0))</f>
        <v>0</v>
      </c>
      <c r="X31" s="49" t="n">
        <f aca="false">IF($A31&lt;1900,0,IF(L31&lt;=M31,1,0))</f>
        <v>0</v>
      </c>
      <c r="Y31" s="49" t="n">
        <f aca="false">IF($A31&lt;1900,0,IF(N31&lt;=O31,1,0))</f>
        <v>0</v>
      </c>
      <c r="Z31" s="49" t="n">
        <f aca="false">IF($A31&lt;1900,0,IF(P31&lt;=Q31,1,0))</f>
        <v>0</v>
      </c>
      <c r="AA31" s="49" t="n">
        <f aca="false">IF($A31&lt;1900,0,IF(R31&gt;=S31,1,0))</f>
        <v>0</v>
      </c>
      <c r="AB31" s="49" t="n">
        <f aca="false">IF(SUM(U31:Y31)=5,1,0)</f>
        <v>0</v>
      </c>
      <c r="AC31" s="49" t="n">
        <f aca="false">IF(Z31+AA31=2,1,0)</f>
        <v>0</v>
      </c>
      <c r="AD31" s="49" t="n">
        <f aca="false">IF(AND(AB31=1,AC31=1),1,0)</f>
        <v>0</v>
      </c>
      <c r="AE31" s="49" t="n">
        <f aca="false">IF(AD31=1,AE30+1,0)</f>
        <v>0</v>
      </c>
      <c r="AF31" s="49" t="n">
        <f aca="false">IF(AE30&gt;=gulf_years_req,1,0)</f>
        <v>0</v>
      </c>
    </row>
    <row r="32" customFormat="false" ht="14.25" hidden="false" customHeight="true" outlineLevel="0" collapsed="false">
      <c r="A32" s="61" t="n">
        <v>1872</v>
      </c>
      <c r="B32" s="47" t="n">
        <v>0</v>
      </c>
      <c r="C32" s="71" t="n">
        <v>0</v>
      </c>
      <c r="D32" s="49" t="n">
        <f aca="false">Partners!Q32*(1-IF(AND(OR(oil_compact=0,$A32&lt;compact_year),OR($A32=1931,$A32=1932)),gulf_glut_gdp,0))</f>
        <v>0</v>
      </c>
      <c r="E32" s="49" t="n">
        <f aca="false">IF(AND(gulf_on=1,$A32&gt;=gulf_year),1,0)</f>
        <v>0</v>
      </c>
      <c r="F32" s="47" t="n">
        <v>0</v>
      </c>
      <c r="G32" s="47" t="n">
        <v>0</v>
      </c>
      <c r="H32" s="62" t="n">
        <v>0</v>
      </c>
      <c r="I32" s="62" t="n">
        <v>0</v>
      </c>
      <c r="J32" s="62" t="n">
        <v>0</v>
      </c>
      <c r="K32" s="62" t="n">
        <v>0</v>
      </c>
      <c r="L32" s="55" t="n">
        <v>0</v>
      </c>
      <c r="M32" s="55" t="n">
        <v>0</v>
      </c>
      <c r="N32" s="55" t="n">
        <v>0</v>
      </c>
      <c r="O32" s="55" t="n">
        <v>0</v>
      </c>
      <c r="P32" s="71" t="n">
        <v>0</v>
      </c>
      <c r="Q32" s="71" t="n">
        <v>0</v>
      </c>
      <c r="R32" s="71" t="n">
        <v>0</v>
      </c>
      <c r="S32" s="71" t="n">
        <v>0</v>
      </c>
      <c r="T32" s="66" t="n">
        <f aca="false">J32-IF(AND(OR(oil_compact=0,$A32&lt;compact_year),$A32&gt;=1931,$A32&lt;=1933),gulf_wage_dip,0)</f>
        <v>0</v>
      </c>
      <c r="U32" s="49" t="n">
        <f aca="false">IF($A32&lt;1900,0,IF(F32&lt;=G32,1,0))</f>
        <v>0</v>
      </c>
      <c r="V32" s="49" t="n">
        <f aca="false">IF($A32&lt;1900,0,IF(H32&gt;=I32,1,0))</f>
        <v>0</v>
      </c>
      <c r="W32" s="49" t="n">
        <f aca="false">IF($A32&lt;1900,0,IF(T32&gt;=K32,1,0))</f>
        <v>0</v>
      </c>
      <c r="X32" s="49" t="n">
        <f aca="false">IF($A32&lt;1900,0,IF(L32&lt;=M32,1,0))</f>
        <v>0</v>
      </c>
      <c r="Y32" s="49" t="n">
        <f aca="false">IF($A32&lt;1900,0,IF(N32&lt;=O32,1,0))</f>
        <v>0</v>
      </c>
      <c r="Z32" s="49" t="n">
        <f aca="false">IF($A32&lt;1900,0,IF(P32&lt;=Q32,1,0))</f>
        <v>0</v>
      </c>
      <c r="AA32" s="49" t="n">
        <f aca="false">IF($A32&lt;1900,0,IF(R32&gt;=S32,1,0))</f>
        <v>0</v>
      </c>
      <c r="AB32" s="49" t="n">
        <f aca="false">IF(SUM(U32:Y32)=5,1,0)</f>
        <v>0</v>
      </c>
      <c r="AC32" s="49" t="n">
        <f aca="false">IF(Z32+AA32=2,1,0)</f>
        <v>0</v>
      </c>
      <c r="AD32" s="49" t="n">
        <f aca="false">IF(AND(AB32=1,AC32=1),1,0)</f>
        <v>0</v>
      </c>
      <c r="AE32" s="49" t="n">
        <f aca="false">IF(AD32=1,AE31+1,0)</f>
        <v>0</v>
      </c>
      <c r="AF32" s="49" t="n">
        <f aca="false">IF(AE31&gt;=gulf_years_req,1,0)</f>
        <v>0</v>
      </c>
    </row>
    <row r="33" customFormat="false" ht="14.25" hidden="false" customHeight="true" outlineLevel="0" collapsed="false">
      <c r="A33" s="61" t="n">
        <v>1873</v>
      </c>
      <c r="B33" s="47" t="n">
        <v>0</v>
      </c>
      <c r="C33" s="71" t="n">
        <v>0</v>
      </c>
      <c r="D33" s="49" t="n">
        <f aca="false">Partners!Q33*(1-IF(AND(OR(oil_compact=0,$A33&lt;compact_year),OR($A33=1931,$A33=1932)),gulf_glut_gdp,0))</f>
        <v>0</v>
      </c>
      <c r="E33" s="49" t="n">
        <f aca="false">IF(AND(gulf_on=1,$A33&gt;=gulf_year),1,0)</f>
        <v>0</v>
      </c>
      <c r="F33" s="47" t="n">
        <v>0</v>
      </c>
      <c r="G33" s="47" t="n">
        <v>0</v>
      </c>
      <c r="H33" s="62" t="n">
        <v>0</v>
      </c>
      <c r="I33" s="62" t="n">
        <v>0</v>
      </c>
      <c r="J33" s="62" t="n">
        <v>0</v>
      </c>
      <c r="K33" s="62" t="n">
        <v>0</v>
      </c>
      <c r="L33" s="55" t="n">
        <v>0</v>
      </c>
      <c r="M33" s="55" t="n">
        <v>0</v>
      </c>
      <c r="N33" s="55" t="n">
        <v>0</v>
      </c>
      <c r="O33" s="55" t="n">
        <v>0</v>
      </c>
      <c r="P33" s="71" t="n">
        <v>0</v>
      </c>
      <c r="Q33" s="71" t="n">
        <v>0</v>
      </c>
      <c r="R33" s="71" t="n">
        <v>0</v>
      </c>
      <c r="S33" s="71" t="n">
        <v>0</v>
      </c>
      <c r="T33" s="66" t="n">
        <f aca="false">J33-IF(AND(OR(oil_compact=0,$A33&lt;compact_year),$A33&gt;=1931,$A33&lt;=1933),gulf_wage_dip,0)</f>
        <v>0</v>
      </c>
      <c r="U33" s="49" t="n">
        <f aca="false">IF($A33&lt;1900,0,IF(F33&lt;=G33,1,0))</f>
        <v>0</v>
      </c>
      <c r="V33" s="49" t="n">
        <f aca="false">IF($A33&lt;1900,0,IF(H33&gt;=I33,1,0))</f>
        <v>0</v>
      </c>
      <c r="W33" s="49" t="n">
        <f aca="false">IF($A33&lt;1900,0,IF(T33&gt;=K33,1,0))</f>
        <v>0</v>
      </c>
      <c r="X33" s="49" t="n">
        <f aca="false">IF($A33&lt;1900,0,IF(L33&lt;=M33,1,0))</f>
        <v>0</v>
      </c>
      <c r="Y33" s="49" t="n">
        <f aca="false">IF($A33&lt;1900,0,IF(N33&lt;=O33,1,0))</f>
        <v>0</v>
      </c>
      <c r="Z33" s="49" t="n">
        <f aca="false">IF($A33&lt;1900,0,IF(P33&lt;=Q33,1,0))</f>
        <v>0</v>
      </c>
      <c r="AA33" s="49" t="n">
        <f aca="false">IF($A33&lt;1900,0,IF(R33&gt;=S33,1,0))</f>
        <v>0</v>
      </c>
      <c r="AB33" s="49" t="n">
        <f aca="false">IF(SUM(U33:Y33)=5,1,0)</f>
        <v>0</v>
      </c>
      <c r="AC33" s="49" t="n">
        <f aca="false">IF(Z33+AA33=2,1,0)</f>
        <v>0</v>
      </c>
      <c r="AD33" s="49" t="n">
        <f aca="false">IF(AND(AB33=1,AC33=1),1,0)</f>
        <v>0</v>
      </c>
      <c r="AE33" s="49" t="n">
        <f aca="false">IF(AD33=1,AE32+1,0)</f>
        <v>0</v>
      </c>
      <c r="AF33" s="49" t="n">
        <f aca="false">IF(AE32&gt;=gulf_years_req,1,0)</f>
        <v>0</v>
      </c>
    </row>
    <row r="34" customFormat="false" ht="14.25" hidden="false" customHeight="true" outlineLevel="0" collapsed="false">
      <c r="A34" s="61" t="n">
        <v>1874</v>
      </c>
      <c r="B34" s="47" t="n">
        <v>0</v>
      </c>
      <c r="C34" s="71" t="n">
        <v>0</v>
      </c>
      <c r="D34" s="49" t="n">
        <f aca="false">Partners!Q34*(1-IF(AND(OR(oil_compact=0,$A34&lt;compact_year),OR($A34=1931,$A34=1932)),gulf_glut_gdp,0))</f>
        <v>0</v>
      </c>
      <c r="E34" s="49" t="n">
        <f aca="false">IF(AND(gulf_on=1,$A34&gt;=gulf_year),1,0)</f>
        <v>0</v>
      </c>
      <c r="F34" s="47" t="n">
        <v>0</v>
      </c>
      <c r="G34" s="47" t="n">
        <v>0</v>
      </c>
      <c r="H34" s="62" t="n">
        <v>0</v>
      </c>
      <c r="I34" s="62" t="n">
        <v>0</v>
      </c>
      <c r="J34" s="62" t="n">
        <v>0</v>
      </c>
      <c r="K34" s="62" t="n">
        <v>0</v>
      </c>
      <c r="L34" s="55" t="n">
        <v>0</v>
      </c>
      <c r="M34" s="55" t="n">
        <v>0</v>
      </c>
      <c r="N34" s="55" t="n">
        <v>0</v>
      </c>
      <c r="O34" s="55" t="n">
        <v>0</v>
      </c>
      <c r="P34" s="71" t="n">
        <v>0</v>
      </c>
      <c r="Q34" s="71" t="n">
        <v>0</v>
      </c>
      <c r="R34" s="71" t="n">
        <v>0</v>
      </c>
      <c r="S34" s="71" t="n">
        <v>0</v>
      </c>
      <c r="T34" s="66" t="n">
        <f aca="false">J34-IF(AND(OR(oil_compact=0,$A34&lt;compact_year),$A34&gt;=1931,$A34&lt;=1933),gulf_wage_dip,0)</f>
        <v>0</v>
      </c>
      <c r="U34" s="49" t="n">
        <f aca="false">IF($A34&lt;1900,0,IF(F34&lt;=G34,1,0))</f>
        <v>0</v>
      </c>
      <c r="V34" s="49" t="n">
        <f aca="false">IF($A34&lt;1900,0,IF(H34&gt;=I34,1,0))</f>
        <v>0</v>
      </c>
      <c r="W34" s="49" t="n">
        <f aca="false">IF($A34&lt;1900,0,IF(T34&gt;=K34,1,0))</f>
        <v>0</v>
      </c>
      <c r="X34" s="49" t="n">
        <f aca="false">IF($A34&lt;1900,0,IF(L34&lt;=M34,1,0))</f>
        <v>0</v>
      </c>
      <c r="Y34" s="49" t="n">
        <f aca="false">IF($A34&lt;1900,0,IF(N34&lt;=O34,1,0))</f>
        <v>0</v>
      </c>
      <c r="Z34" s="49" t="n">
        <f aca="false">IF($A34&lt;1900,0,IF(P34&lt;=Q34,1,0))</f>
        <v>0</v>
      </c>
      <c r="AA34" s="49" t="n">
        <f aca="false">IF($A34&lt;1900,0,IF(R34&gt;=S34,1,0))</f>
        <v>0</v>
      </c>
      <c r="AB34" s="49" t="n">
        <f aca="false">IF(SUM(U34:Y34)=5,1,0)</f>
        <v>0</v>
      </c>
      <c r="AC34" s="49" t="n">
        <f aca="false">IF(Z34+AA34=2,1,0)</f>
        <v>0</v>
      </c>
      <c r="AD34" s="49" t="n">
        <f aca="false">IF(AND(AB34=1,AC34=1),1,0)</f>
        <v>0</v>
      </c>
      <c r="AE34" s="49" t="n">
        <f aca="false">IF(AD34=1,AE33+1,0)</f>
        <v>0</v>
      </c>
      <c r="AF34" s="49" t="n">
        <f aca="false">IF(AE33&gt;=gulf_years_req,1,0)</f>
        <v>0</v>
      </c>
    </row>
    <row r="35" customFormat="false" ht="14.25" hidden="false" customHeight="true" outlineLevel="0" collapsed="false">
      <c r="A35" s="61" t="n">
        <v>1875</v>
      </c>
      <c r="B35" s="47" t="n">
        <v>0</v>
      </c>
      <c r="C35" s="71" t="n">
        <v>0</v>
      </c>
      <c r="D35" s="49" t="n">
        <f aca="false">Partners!Q35*(1-IF(AND(OR(oil_compact=0,$A35&lt;compact_year),OR($A35=1931,$A35=1932)),gulf_glut_gdp,0))</f>
        <v>0</v>
      </c>
      <c r="E35" s="49" t="n">
        <f aca="false">IF(AND(gulf_on=1,$A35&gt;=gulf_year),1,0)</f>
        <v>0</v>
      </c>
      <c r="F35" s="47" t="n">
        <v>0</v>
      </c>
      <c r="G35" s="47" t="n">
        <v>0</v>
      </c>
      <c r="H35" s="62" t="n">
        <v>0</v>
      </c>
      <c r="I35" s="62" t="n">
        <v>0</v>
      </c>
      <c r="J35" s="62" t="n">
        <v>0</v>
      </c>
      <c r="K35" s="62" t="n">
        <v>0</v>
      </c>
      <c r="L35" s="55" t="n">
        <v>0</v>
      </c>
      <c r="M35" s="55" t="n">
        <v>0</v>
      </c>
      <c r="N35" s="55" t="n">
        <v>0</v>
      </c>
      <c r="O35" s="55" t="n">
        <v>0</v>
      </c>
      <c r="P35" s="71" t="n">
        <v>0</v>
      </c>
      <c r="Q35" s="71" t="n">
        <v>0</v>
      </c>
      <c r="R35" s="71" t="n">
        <v>0</v>
      </c>
      <c r="S35" s="71" t="n">
        <v>0</v>
      </c>
      <c r="T35" s="66" t="n">
        <f aca="false">J35-IF(AND(OR(oil_compact=0,$A35&lt;compact_year),$A35&gt;=1931,$A35&lt;=1933),gulf_wage_dip,0)</f>
        <v>0</v>
      </c>
      <c r="U35" s="49" t="n">
        <f aca="false">IF($A35&lt;1900,0,IF(F35&lt;=G35,1,0))</f>
        <v>0</v>
      </c>
      <c r="V35" s="49" t="n">
        <f aca="false">IF($A35&lt;1900,0,IF(H35&gt;=I35,1,0))</f>
        <v>0</v>
      </c>
      <c r="W35" s="49" t="n">
        <f aca="false">IF($A35&lt;1900,0,IF(T35&gt;=K35,1,0))</f>
        <v>0</v>
      </c>
      <c r="X35" s="49" t="n">
        <f aca="false">IF($A35&lt;1900,0,IF(L35&lt;=M35,1,0))</f>
        <v>0</v>
      </c>
      <c r="Y35" s="49" t="n">
        <f aca="false">IF($A35&lt;1900,0,IF(N35&lt;=O35,1,0))</f>
        <v>0</v>
      </c>
      <c r="Z35" s="49" t="n">
        <f aca="false">IF($A35&lt;1900,0,IF(P35&lt;=Q35,1,0))</f>
        <v>0</v>
      </c>
      <c r="AA35" s="49" t="n">
        <f aca="false">IF($A35&lt;1900,0,IF(R35&gt;=S35,1,0))</f>
        <v>0</v>
      </c>
      <c r="AB35" s="49" t="n">
        <f aca="false">IF(SUM(U35:Y35)=5,1,0)</f>
        <v>0</v>
      </c>
      <c r="AC35" s="49" t="n">
        <f aca="false">IF(Z35+AA35=2,1,0)</f>
        <v>0</v>
      </c>
      <c r="AD35" s="49" t="n">
        <f aca="false">IF(AND(AB35=1,AC35=1),1,0)</f>
        <v>0</v>
      </c>
      <c r="AE35" s="49" t="n">
        <f aca="false">IF(AD35=1,AE34+1,0)</f>
        <v>0</v>
      </c>
      <c r="AF35" s="49" t="n">
        <f aca="false">IF(AE34&gt;=gulf_years_req,1,0)</f>
        <v>0</v>
      </c>
    </row>
    <row r="36" customFormat="false" ht="14.25" hidden="false" customHeight="true" outlineLevel="0" collapsed="false">
      <c r="A36" s="61" t="n">
        <v>1876</v>
      </c>
      <c r="B36" s="47" t="n">
        <v>0</v>
      </c>
      <c r="C36" s="71" t="n">
        <v>0</v>
      </c>
      <c r="D36" s="49" t="n">
        <f aca="false">Partners!Q36*(1-IF(AND(OR(oil_compact=0,$A36&lt;compact_year),OR($A36=1931,$A36=1932)),gulf_glut_gdp,0))</f>
        <v>0</v>
      </c>
      <c r="E36" s="49" t="n">
        <f aca="false">IF(AND(gulf_on=1,$A36&gt;=gulf_year),1,0)</f>
        <v>0</v>
      </c>
      <c r="F36" s="47" t="n">
        <v>0</v>
      </c>
      <c r="G36" s="47" t="n">
        <v>0</v>
      </c>
      <c r="H36" s="62" t="n">
        <v>0</v>
      </c>
      <c r="I36" s="62" t="n">
        <v>0</v>
      </c>
      <c r="J36" s="62" t="n">
        <v>0</v>
      </c>
      <c r="K36" s="62" t="n">
        <v>0</v>
      </c>
      <c r="L36" s="55" t="n">
        <v>0</v>
      </c>
      <c r="M36" s="55" t="n">
        <v>0</v>
      </c>
      <c r="N36" s="55" t="n">
        <v>0</v>
      </c>
      <c r="O36" s="55" t="n">
        <v>0</v>
      </c>
      <c r="P36" s="71" t="n">
        <v>0</v>
      </c>
      <c r="Q36" s="71" t="n">
        <v>0</v>
      </c>
      <c r="R36" s="71" t="n">
        <v>0</v>
      </c>
      <c r="S36" s="71" t="n">
        <v>0</v>
      </c>
      <c r="T36" s="66" t="n">
        <f aca="false">J36-IF(AND(OR(oil_compact=0,$A36&lt;compact_year),$A36&gt;=1931,$A36&lt;=1933),gulf_wage_dip,0)</f>
        <v>0</v>
      </c>
      <c r="U36" s="49" t="n">
        <f aca="false">IF($A36&lt;1900,0,IF(F36&lt;=G36,1,0))</f>
        <v>0</v>
      </c>
      <c r="V36" s="49" t="n">
        <f aca="false">IF($A36&lt;1900,0,IF(H36&gt;=I36,1,0))</f>
        <v>0</v>
      </c>
      <c r="W36" s="49" t="n">
        <f aca="false">IF($A36&lt;1900,0,IF(T36&gt;=K36,1,0))</f>
        <v>0</v>
      </c>
      <c r="X36" s="49" t="n">
        <f aca="false">IF($A36&lt;1900,0,IF(L36&lt;=M36,1,0))</f>
        <v>0</v>
      </c>
      <c r="Y36" s="49" t="n">
        <f aca="false">IF($A36&lt;1900,0,IF(N36&lt;=O36,1,0))</f>
        <v>0</v>
      </c>
      <c r="Z36" s="49" t="n">
        <f aca="false">IF($A36&lt;1900,0,IF(P36&lt;=Q36,1,0))</f>
        <v>0</v>
      </c>
      <c r="AA36" s="49" t="n">
        <f aca="false">IF($A36&lt;1900,0,IF(R36&gt;=S36,1,0))</f>
        <v>0</v>
      </c>
      <c r="AB36" s="49" t="n">
        <f aca="false">IF(SUM(U36:Y36)=5,1,0)</f>
        <v>0</v>
      </c>
      <c r="AC36" s="49" t="n">
        <f aca="false">IF(Z36+AA36=2,1,0)</f>
        <v>0</v>
      </c>
      <c r="AD36" s="49" t="n">
        <f aca="false">IF(AND(AB36=1,AC36=1),1,0)</f>
        <v>0</v>
      </c>
      <c r="AE36" s="49" t="n">
        <f aca="false">IF(AD36=1,AE35+1,0)</f>
        <v>0</v>
      </c>
      <c r="AF36" s="49" t="n">
        <f aca="false">IF(AE35&gt;=gulf_years_req,1,0)</f>
        <v>0</v>
      </c>
    </row>
    <row r="37" customFormat="false" ht="14.25" hidden="false" customHeight="true" outlineLevel="0" collapsed="false">
      <c r="A37" s="61" t="n">
        <v>1877</v>
      </c>
      <c r="B37" s="47" t="n">
        <v>0</v>
      </c>
      <c r="C37" s="71" t="n">
        <v>0</v>
      </c>
      <c r="D37" s="49" t="n">
        <f aca="false">Partners!Q37*(1-IF(AND(OR(oil_compact=0,$A37&lt;compact_year),OR($A37=1931,$A37=1932)),gulf_glut_gdp,0))</f>
        <v>0</v>
      </c>
      <c r="E37" s="49" t="n">
        <f aca="false">IF(AND(gulf_on=1,$A37&gt;=gulf_year),1,0)</f>
        <v>0</v>
      </c>
      <c r="F37" s="47" t="n">
        <v>0</v>
      </c>
      <c r="G37" s="47" t="n">
        <v>0</v>
      </c>
      <c r="H37" s="62" t="n">
        <v>0</v>
      </c>
      <c r="I37" s="62" t="n">
        <v>0</v>
      </c>
      <c r="J37" s="62" t="n">
        <v>0</v>
      </c>
      <c r="K37" s="62" t="n">
        <v>0</v>
      </c>
      <c r="L37" s="55" t="n">
        <v>0</v>
      </c>
      <c r="M37" s="55" t="n">
        <v>0</v>
      </c>
      <c r="N37" s="55" t="n">
        <v>0</v>
      </c>
      <c r="O37" s="55" t="n">
        <v>0</v>
      </c>
      <c r="P37" s="71" t="n">
        <v>0</v>
      </c>
      <c r="Q37" s="71" t="n">
        <v>0</v>
      </c>
      <c r="R37" s="71" t="n">
        <v>0</v>
      </c>
      <c r="S37" s="71" t="n">
        <v>0</v>
      </c>
      <c r="T37" s="66" t="n">
        <f aca="false">J37-IF(AND(OR(oil_compact=0,$A37&lt;compact_year),$A37&gt;=1931,$A37&lt;=1933),gulf_wage_dip,0)</f>
        <v>0</v>
      </c>
      <c r="U37" s="49" t="n">
        <f aca="false">IF($A37&lt;1900,0,IF(F37&lt;=G37,1,0))</f>
        <v>0</v>
      </c>
      <c r="V37" s="49" t="n">
        <f aca="false">IF($A37&lt;1900,0,IF(H37&gt;=I37,1,0))</f>
        <v>0</v>
      </c>
      <c r="W37" s="49" t="n">
        <f aca="false">IF($A37&lt;1900,0,IF(T37&gt;=K37,1,0))</f>
        <v>0</v>
      </c>
      <c r="X37" s="49" t="n">
        <f aca="false">IF($A37&lt;1900,0,IF(L37&lt;=M37,1,0))</f>
        <v>0</v>
      </c>
      <c r="Y37" s="49" t="n">
        <f aca="false">IF($A37&lt;1900,0,IF(N37&lt;=O37,1,0))</f>
        <v>0</v>
      </c>
      <c r="Z37" s="49" t="n">
        <f aca="false">IF($A37&lt;1900,0,IF(P37&lt;=Q37,1,0))</f>
        <v>0</v>
      </c>
      <c r="AA37" s="49" t="n">
        <f aca="false">IF($A37&lt;1900,0,IF(R37&gt;=S37,1,0))</f>
        <v>0</v>
      </c>
      <c r="AB37" s="49" t="n">
        <f aca="false">IF(SUM(U37:Y37)=5,1,0)</f>
        <v>0</v>
      </c>
      <c r="AC37" s="49" t="n">
        <f aca="false">IF(Z37+AA37=2,1,0)</f>
        <v>0</v>
      </c>
      <c r="AD37" s="49" t="n">
        <f aca="false">IF(AND(AB37=1,AC37=1),1,0)</f>
        <v>0</v>
      </c>
      <c r="AE37" s="49" t="n">
        <f aca="false">IF(AD37=1,AE36+1,0)</f>
        <v>0</v>
      </c>
      <c r="AF37" s="49" t="n">
        <f aca="false">IF(AE36&gt;=gulf_years_req,1,0)</f>
        <v>0</v>
      </c>
    </row>
    <row r="38" customFormat="false" ht="14.25" hidden="false" customHeight="true" outlineLevel="0" collapsed="false">
      <c r="A38" s="61" t="n">
        <v>1878</v>
      </c>
      <c r="B38" s="47" t="n">
        <v>0</v>
      </c>
      <c r="C38" s="71" t="n">
        <v>0</v>
      </c>
      <c r="D38" s="49" t="n">
        <f aca="false">Partners!Q38*(1-IF(AND(OR(oil_compact=0,$A38&lt;compact_year),OR($A38=1931,$A38=1932)),gulf_glut_gdp,0))</f>
        <v>0</v>
      </c>
      <c r="E38" s="49" t="n">
        <f aca="false">IF(AND(gulf_on=1,$A38&gt;=gulf_year),1,0)</f>
        <v>0</v>
      </c>
      <c r="F38" s="47" t="n">
        <v>0</v>
      </c>
      <c r="G38" s="47" t="n">
        <v>0</v>
      </c>
      <c r="H38" s="62" t="n">
        <v>0</v>
      </c>
      <c r="I38" s="62" t="n">
        <v>0</v>
      </c>
      <c r="J38" s="62" t="n">
        <v>0</v>
      </c>
      <c r="K38" s="62" t="n">
        <v>0</v>
      </c>
      <c r="L38" s="55" t="n">
        <v>0</v>
      </c>
      <c r="M38" s="55" t="n">
        <v>0</v>
      </c>
      <c r="N38" s="55" t="n">
        <v>0</v>
      </c>
      <c r="O38" s="55" t="n">
        <v>0</v>
      </c>
      <c r="P38" s="71" t="n">
        <v>0</v>
      </c>
      <c r="Q38" s="71" t="n">
        <v>0</v>
      </c>
      <c r="R38" s="71" t="n">
        <v>0</v>
      </c>
      <c r="S38" s="71" t="n">
        <v>0</v>
      </c>
      <c r="T38" s="66" t="n">
        <f aca="false">J38-IF(AND(OR(oil_compact=0,$A38&lt;compact_year),$A38&gt;=1931,$A38&lt;=1933),gulf_wage_dip,0)</f>
        <v>0</v>
      </c>
      <c r="U38" s="49" t="n">
        <f aca="false">IF($A38&lt;1900,0,IF(F38&lt;=G38,1,0))</f>
        <v>0</v>
      </c>
      <c r="V38" s="49" t="n">
        <f aca="false">IF($A38&lt;1900,0,IF(H38&gt;=I38,1,0))</f>
        <v>0</v>
      </c>
      <c r="W38" s="49" t="n">
        <f aca="false">IF($A38&lt;1900,0,IF(T38&gt;=K38,1,0))</f>
        <v>0</v>
      </c>
      <c r="X38" s="49" t="n">
        <f aca="false">IF($A38&lt;1900,0,IF(L38&lt;=M38,1,0))</f>
        <v>0</v>
      </c>
      <c r="Y38" s="49" t="n">
        <f aca="false">IF($A38&lt;1900,0,IF(N38&lt;=O38,1,0))</f>
        <v>0</v>
      </c>
      <c r="Z38" s="49" t="n">
        <f aca="false">IF($A38&lt;1900,0,IF(P38&lt;=Q38,1,0))</f>
        <v>0</v>
      </c>
      <c r="AA38" s="49" t="n">
        <f aca="false">IF($A38&lt;1900,0,IF(R38&gt;=S38,1,0))</f>
        <v>0</v>
      </c>
      <c r="AB38" s="49" t="n">
        <f aca="false">IF(SUM(U38:Y38)=5,1,0)</f>
        <v>0</v>
      </c>
      <c r="AC38" s="49" t="n">
        <f aca="false">IF(Z38+AA38=2,1,0)</f>
        <v>0</v>
      </c>
      <c r="AD38" s="49" t="n">
        <f aca="false">IF(AND(AB38=1,AC38=1),1,0)</f>
        <v>0</v>
      </c>
      <c r="AE38" s="49" t="n">
        <f aca="false">IF(AD38=1,AE37+1,0)</f>
        <v>0</v>
      </c>
      <c r="AF38" s="49" t="n">
        <f aca="false">IF(AE37&gt;=gulf_years_req,1,0)</f>
        <v>0</v>
      </c>
    </row>
    <row r="39" customFormat="false" ht="14.25" hidden="false" customHeight="true" outlineLevel="0" collapsed="false">
      <c r="A39" s="61" t="n">
        <v>1879</v>
      </c>
      <c r="B39" s="47" t="n">
        <v>0</v>
      </c>
      <c r="C39" s="71" t="n">
        <v>0</v>
      </c>
      <c r="D39" s="49" t="n">
        <f aca="false">Partners!Q39*(1-IF(AND(OR(oil_compact=0,$A39&lt;compact_year),OR($A39=1931,$A39=1932)),gulf_glut_gdp,0))</f>
        <v>0</v>
      </c>
      <c r="E39" s="49" t="n">
        <f aca="false">IF(AND(gulf_on=1,$A39&gt;=gulf_year),1,0)</f>
        <v>0</v>
      </c>
      <c r="F39" s="47" t="n">
        <v>0</v>
      </c>
      <c r="G39" s="47" t="n">
        <v>0</v>
      </c>
      <c r="H39" s="62" t="n">
        <v>0</v>
      </c>
      <c r="I39" s="62" t="n">
        <v>0</v>
      </c>
      <c r="J39" s="62" t="n">
        <v>0</v>
      </c>
      <c r="K39" s="62" t="n">
        <v>0</v>
      </c>
      <c r="L39" s="55" t="n">
        <v>0</v>
      </c>
      <c r="M39" s="55" t="n">
        <v>0</v>
      </c>
      <c r="N39" s="55" t="n">
        <v>0</v>
      </c>
      <c r="O39" s="55" t="n">
        <v>0</v>
      </c>
      <c r="P39" s="71" t="n">
        <v>0</v>
      </c>
      <c r="Q39" s="71" t="n">
        <v>0</v>
      </c>
      <c r="R39" s="71" t="n">
        <v>0</v>
      </c>
      <c r="S39" s="71" t="n">
        <v>0</v>
      </c>
      <c r="T39" s="66" t="n">
        <f aca="false">J39-IF(AND(OR(oil_compact=0,$A39&lt;compact_year),$A39&gt;=1931,$A39&lt;=1933),gulf_wage_dip,0)</f>
        <v>0</v>
      </c>
      <c r="U39" s="49" t="n">
        <f aca="false">IF($A39&lt;1900,0,IF(F39&lt;=G39,1,0))</f>
        <v>0</v>
      </c>
      <c r="V39" s="49" t="n">
        <f aca="false">IF($A39&lt;1900,0,IF(H39&gt;=I39,1,0))</f>
        <v>0</v>
      </c>
      <c r="W39" s="49" t="n">
        <f aca="false">IF($A39&lt;1900,0,IF(T39&gt;=K39,1,0))</f>
        <v>0</v>
      </c>
      <c r="X39" s="49" t="n">
        <f aca="false">IF($A39&lt;1900,0,IF(L39&lt;=M39,1,0))</f>
        <v>0</v>
      </c>
      <c r="Y39" s="49" t="n">
        <f aca="false">IF($A39&lt;1900,0,IF(N39&lt;=O39,1,0))</f>
        <v>0</v>
      </c>
      <c r="Z39" s="49" t="n">
        <f aca="false">IF($A39&lt;1900,0,IF(P39&lt;=Q39,1,0))</f>
        <v>0</v>
      </c>
      <c r="AA39" s="49" t="n">
        <f aca="false">IF($A39&lt;1900,0,IF(R39&gt;=S39,1,0))</f>
        <v>0</v>
      </c>
      <c r="AB39" s="49" t="n">
        <f aca="false">IF(SUM(U39:Y39)=5,1,0)</f>
        <v>0</v>
      </c>
      <c r="AC39" s="49" t="n">
        <f aca="false">IF(Z39+AA39=2,1,0)</f>
        <v>0</v>
      </c>
      <c r="AD39" s="49" t="n">
        <f aca="false">IF(AND(AB39=1,AC39=1),1,0)</f>
        <v>0</v>
      </c>
      <c r="AE39" s="49" t="n">
        <f aca="false">IF(AD39=1,AE38+1,0)</f>
        <v>0</v>
      </c>
      <c r="AF39" s="49" t="n">
        <f aca="false">IF(AE38&gt;=gulf_years_req,1,0)</f>
        <v>0</v>
      </c>
    </row>
    <row r="40" customFormat="false" ht="14.25" hidden="false" customHeight="true" outlineLevel="0" collapsed="false">
      <c r="A40" s="61" t="n">
        <v>1880</v>
      </c>
      <c r="B40" s="47" t="n">
        <v>0</v>
      </c>
      <c r="C40" s="71" t="n">
        <v>0</v>
      </c>
      <c r="D40" s="49" t="n">
        <f aca="false">Partners!Q40*(1-IF(AND(OR(oil_compact=0,$A40&lt;compact_year),OR($A40=1931,$A40=1932)),gulf_glut_gdp,0))</f>
        <v>0</v>
      </c>
      <c r="E40" s="49" t="n">
        <f aca="false">IF(AND(gulf_on=1,$A40&gt;=gulf_year),1,0)</f>
        <v>0</v>
      </c>
      <c r="F40" s="47" t="n">
        <v>0</v>
      </c>
      <c r="G40" s="47" t="n">
        <v>0</v>
      </c>
      <c r="H40" s="62" t="n">
        <v>0</v>
      </c>
      <c r="I40" s="62" t="n">
        <v>0</v>
      </c>
      <c r="J40" s="62" t="n">
        <v>0</v>
      </c>
      <c r="K40" s="62" t="n">
        <v>0</v>
      </c>
      <c r="L40" s="55" t="n">
        <v>0</v>
      </c>
      <c r="M40" s="55" t="n">
        <v>0</v>
      </c>
      <c r="N40" s="55" t="n">
        <v>0</v>
      </c>
      <c r="O40" s="55" t="n">
        <v>0</v>
      </c>
      <c r="P40" s="71" t="n">
        <v>0</v>
      </c>
      <c r="Q40" s="71" t="n">
        <v>0</v>
      </c>
      <c r="R40" s="71" t="n">
        <v>0</v>
      </c>
      <c r="S40" s="71" t="n">
        <v>0</v>
      </c>
      <c r="T40" s="66" t="n">
        <f aca="false">J40-IF(AND(OR(oil_compact=0,$A40&lt;compact_year),$A40&gt;=1931,$A40&lt;=1933),gulf_wage_dip,0)</f>
        <v>0</v>
      </c>
      <c r="U40" s="49" t="n">
        <f aca="false">IF($A40&lt;1900,0,IF(F40&lt;=G40,1,0))</f>
        <v>0</v>
      </c>
      <c r="V40" s="49" t="n">
        <f aca="false">IF($A40&lt;1900,0,IF(H40&gt;=I40,1,0))</f>
        <v>0</v>
      </c>
      <c r="W40" s="49" t="n">
        <f aca="false">IF($A40&lt;1900,0,IF(T40&gt;=K40,1,0))</f>
        <v>0</v>
      </c>
      <c r="X40" s="49" t="n">
        <f aca="false">IF($A40&lt;1900,0,IF(L40&lt;=M40,1,0))</f>
        <v>0</v>
      </c>
      <c r="Y40" s="49" t="n">
        <f aca="false">IF($A40&lt;1900,0,IF(N40&lt;=O40,1,0))</f>
        <v>0</v>
      </c>
      <c r="Z40" s="49" t="n">
        <f aca="false">IF($A40&lt;1900,0,IF(P40&lt;=Q40,1,0))</f>
        <v>0</v>
      </c>
      <c r="AA40" s="49" t="n">
        <f aca="false">IF($A40&lt;1900,0,IF(R40&gt;=S40,1,0))</f>
        <v>0</v>
      </c>
      <c r="AB40" s="49" t="n">
        <f aca="false">IF(SUM(U40:Y40)=5,1,0)</f>
        <v>0</v>
      </c>
      <c r="AC40" s="49" t="n">
        <f aca="false">IF(Z40+AA40=2,1,0)</f>
        <v>0</v>
      </c>
      <c r="AD40" s="49" t="n">
        <f aca="false">IF(AND(AB40=1,AC40=1),1,0)</f>
        <v>0</v>
      </c>
      <c r="AE40" s="49" t="n">
        <f aca="false">IF(AD40=1,AE39+1,0)</f>
        <v>0</v>
      </c>
      <c r="AF40" s="49" t="n">
        <f aca="false">IF(AE39&gt;=gulf_years_req,1,0)</f>
        <v>0</v>
      </c>
    </row>
    <row r="41" customFormat="false" ht="14.25" hidden="false" customHeight="true" outlineLevel="0" collapsed="false">
      <c r="A41" s="61" t="n">
        <v>1881</v>
      </c>
      <c r="B41" s="47" t="n">
        <v>0</v>
      </c>
      <c r="C41" s="71" t="n">
        <v>0</v>
      </c>
      <c r="D41" s="49" t="n">
        <f aca="false">Partners!Q41*(1-IF(AND(OR(oil_compact=0,$A41&lt;compact_year),OR($A41=1931,$A41=1932)),gulf_glut_gdp,0))</f>
        <v>0</v>
      </c>
      <c r="E41" s="49" t="n">
        <f aca="false">IF(AND(gulf_on=1,$A41&gt;=gulf_year),1,0)</f>
        <v>0</v>
      </c>
      <c r="F41" s="47" t="n">
        <v>0</v>
      </c>
      <c r="G41" s="47" t="n">
        <v>0</v>
      </c>
      <c r="H41" s="62" t="n">
        <v>0</v>
      </c>
      <c r="I41" s="62" t="n">
        <v>0</v>
      </c>
      <c r="J41" s="62" t="n">
        <v>0</v>
      </c>
      <c r="K41" s="62" t="n">
        <v>0</v>
      </c>
      <c r="L41" s="55" t="n">
        <v>0</v>
      </c>
      <c r="M41" s="55" t="n">
        <v>0</v>
      </c>
      <c r="N41" s="55" t="n">
        <v>0</v>
      </c>
      <c r="O41" s="55" t="n">
        <v>0</v>
      </c>
      <c r="P41" s="71" t="n">
        <v>0</v>
      </c>
      <c r="Q41" s="71" t="n">
        <v>0</v>
      </c>
      <c r="R41" s="71" t="n">
        <v>0</v>
      </c>
      <c r="S41" s="71" t="n">
        <v>0</v>
      </c>
      <c r="T41" s="66" t="n">
        <f aca="false">J41-IF(AND(OR(oil_compact=0,$A41&lt;compact_year),$A41&gt;=1931,$A41&lt;=1933),gulf_wage_dip,0)</f>
        <v>0</v>
      </c>
      <c r="U41" s="49" t="n">
        <f aca="false">IF($A41&lt;1900,0,IF(F41&lt;=G41,1,0))</f>
        <v>0</v>
      </c>
      <c r="V41" s="49" t="n">
        <f aca="false">IF($A41&lt;1900,0,IF(H41&gt;=I41,1,0))</f>
        <v>0</v>
      </c>
      <c r="W41" s="49" t="n">
        <f aca="false">IF($A41&lt;1900,0,IF(T41&gt;=K41,1,0))</f>
        <v>0</v>
      </c>
      <c r="X41" s="49" t="n">
        <f aca="false">IF($A41&lt;1900,0,IF(L41&lt;=M41,1,0))</f>
        <v>0</v>
      </c>
      <c r="Y41" s="49" t="n">
        <f aca="false">IF($A41&lt;1900,0,IF(N41&lt;=O41,1,0))</f>
        <v>0</v>
      </c>
      <c r="Z41" s="49" t="n">
        <f aca="false">IF($A41&lt;1900,0,IF(P41&lt;=Q41,1,0))</f>
        <v>0</v>
      </c>
      <c r="AA41" s="49" t="n">
        <f aca="false">IF($A41&lt;1900,0,IF(R41&gt;=S41,1,0))</f>
        <v>0</v>
      </c>
      <c r="AB41" s="49" t="n">
        <f aca="false">IF(SUM(U41:Y41)=5,1,0)</f>
        <v>0</v>
      </c>
      <c r="AC41" s="49" t="n">
        <f aca="false">IF(Z41+AA41=2,1,0)</f>
        <v>0</v>
      </c>
      <c r="AD41" s="49" t="n">
        <f aca="false">IF(AND(AB41=1,AC41=1),1,0)</f>
        <v>0</v>
      </c>
      <c r="AE41" s="49" t="n">
        <f aca="false">IF(AD41=1,AE40+1,0)</f>
        <v>0</v>
      </c>
      <c r="AF41" s="49" t="n">
        <f aca="false">IF(AE40&gt;=gulf_years_req,1,0)</f>
        <v>0</v>
      </c>
    </row>
    <row r="42" customFormat="false" ht="14.25" hidden="false" customHeight="true" outlineLevel="0" collapsed="false">
      <c r="A42" s="61" t="n">
        <v>1882</v>
      </c>
      <c r="B42" s="47" t="n">
        <v>0</v>
      </c>
      <c r="C42" s="71" t="n">
        <v>0</v>
      </c>
      <c r="D42" s="49" t="n">
        <f aca="false">Partners!Q42*(1-IF(AND(OR(oil_compact=0,$A42&lt;compact_year),OR($A42=1931,$A42=1932)),gulf_glut_gdp,0))</f>
        <v>0</v>
      </c>
      <c r="E42" s="49" t="n">
        <f aca="false">IF(AND(gulf_on=1,$A42&gt;=gulf_year),1,0)</f>
        <v>0</v>
      </c>
      <c r="F42" s="47" t="n">
        <v>0</v>
      </c>
      <c r="G42" s="47" t="n">
        <v>0</v>
      </c>
      <c r="H42" s="62" t="n">
        <v>0</v>
      </c>
      <c r="I42" s="62" t="n">
        <v>0</v>
      </c>
      <c r="J42" s="62" t="n">
        <v>0</v>
      </c>
      <c r="K42" s="62" t="n">
        <v>0</v>
      </c>
      <c r="L42" s="55" t="n">
        <v>0</v>
      </c>
      <c r="M42" s="55" t="n">
        <v>0</v>
      </c>
      <c r="N42" s="55" t="n">
        <v>0</v>
      </c>
      <c r="O42" s="55" t="n">
        <v>0</v>
      </c>
      <c r="P42" s="71" t="n">
        <v>0</v>
      </c>
      <c r="Q42" s="71" t="n">
        <v>0</v>
      </c>
      <c r="R42" s="71" t="n">
        <v>0</v>
      </c>
      <c r="S42" s="71" t="n">
        <v>0</v>
      </c>
      <c r="T42" s="66" t="n">
        <f aca="false">J42-IF(AND(OR(oil_compact=0,$A42&lt;compact_year),$A42&gt;=1931,$A42&lt;=1933),gulf_wage_dip,0)</f>
        <v>0</v>
      </c>
      <c r="U42" s="49" t="n">
        <f aca="false">IF($A42&lt;1900,0,IF(F42&lt;=G42,1,0))</f>
        <v>0</v>
      </c>
      <c r="V42" s="49" t="n">
        <f aca="false">IF($A42&lt;1900,0,IF(H42&gt;=I42,1,0))</f>
        <v>0</v>
      </c>
      <c r="W42" s="49" t="n">
        <f aca="false">IF($A42&lt;1900,0,IF(T42&gt;=K42,1,0))</f>
        <v>0</v>
      </c>
      <c r="X42" s="49" t="n">
        <f aca="false">IF($A42&lt;1900,0,IF(L42&lt;=M42,1,0))</f>
        <v>0</v>
      </c>
      <c r="Y42" s="49" t="n">
        <f aca="false">IF($A42&lt;1900,0,IF(N42&lt;=O42,1,0))</f>
        <v>0</v>
      </c>
      <c r="Z42" s="49" t="n">
        <f aca="false">IF($A42&lt;1900,0,IF(P42&lt;=Q42,1,0))</f>
        <v>0</v>
      </c>
      <c r="AA42" s="49" t="n">
        <f aca="false">IF($A42&lt;1900,0,IF(R42&gt;=S42,1,0))</f>
        <v>0</v>
      </c>
      <c r="AB42" s="49" t="n">
        <f aca="false">IF(SUM(U42:Y42)=5,1,0)</f>
        <v>0</v>
      </c>
      <c r="AC42" s="49" t="n">
        <f aca="false">IF(Z42+AA42=2,1,0)</f>
        <v>0</v>
      </c>
      <c r="AD42" s="49" t="n">
        <f aca="false">IF(AND(AB42=1,AC42=1),1,0)</f>
        <v>0</v>
      </c>
      <c r="AE42" s="49" t="n">
        <f aca="false">IF(AD42=1,AE41+1,0)</f>
        <v>0</v>
      </c>
      <c r="AF42" s="49" t="n">
        <f aca="false">IF(AE41&gt;=gulf_years_req,1,0)</f>
        <v>0</v>
      </c>
    </row>
    <row r="43" customFormat="false" ht="14.25" hidden="false" customHeight="true" outlineLevel="0" collapsed="false">
      <c r="A43" s="61" t="n">
        <v>1883</v>
      </c>
      <c r="B43" s="47" t="n">
        <v>0</v>
      </c>
      <c r="C43" s="71" t="n">
        <v>0</v>
      </c>
      <c r="D43" s="49" t="n">
        <f aca="false">Partners!Q43*(1-IF(AND(OR(oil_compact=0,$A43&lt;compact_year),OR($A43=1931,$A43=1932)),gulf_glut_gdp,0))</f>
        <v>0</v>
      </c>
      <c r="E43" s="49" t="n">
        <f aca="false">IF(AND(gulf_on=1,$A43&gt;=gulf_year),1,0)</f>
        <v>0</v>
      </c>
      <c r="F43" s="47" t="n">
        <v>0</v>
      </c>
      <c r="G43" s="47" t="n">
        <v>0</v>
      </c>
      <c r="H43" s="62" t="n">
        <v>0</v>
      </c>
      <c r="I43" s="62" t="n">
        <v>0</v>
      </c>
      <c r="J43" s="62" t="n">
        <v>0</v>
      </c>
      <c r="K43" s="62" t="n">
        <v>0</v>
      </c>
      <c r="L43" s="55" t="n">
        <v>0</v>
      </c>
      <c r="M43" s="55" t="n">
        <v>0</v>
      </c>
      <c r="N43" s="55" t="n">
        <v>0</v>
      </c>
      <c r="O43" s="55" t="n">
        <v>0</v>
      </c>
      <c r="P43" s="71" t="n">
        <v>0</v>
      </c>
      <c r="Q43" s="71" t="n">
        <v>0</v>
      </c>
      <c r="R43" s="71" t="n">
        <v>0</v>
      </c>
      <c r="S43" s="71" t="n">
        <v>0</v>
      </c>
      <c r="T43" s="66" t="n">
        <f aca="false">J43-IF(AND(OR(oil_compact=0,$A43&lt;compact_year),$A43&gt;=1931,$A43&lt;=1933),gulf_wage_dip,0)</f>
        <v>0</v>
      </c>
      <c r="U43" s="49" t="n">
        <f aca="false">IF($A43&lt;1900,0,IF(F43&lt;=G43,1,0))</f>
        <v>0</v>
      </c>
      <c r="V43" s="49" t="n">
        <f aca="false">IF($A43&lt;1900,0,IF(H43&gt;=I43,1,0))</f>
        <v>0</v>
      </c>
      <c r="W43" s="49" t="n">
        <f aca="false">IF($A43&lt;1900,0,IF(T43&gt;=K43,1,0))</f>
        <v>0</v>
      </c>
      <c r="X43" s="49" t="n">
        <f aca="false">IF($A43&lt;1900,0,IF(L43&lt;=M43,1,0))</f>
        <v>0</v>
      </c>
      <c r="Y43" s="49" t="n">
        <f aca="false">IF($A43&lt;1900,0,IF(N43&lt;=O43,1,0))</f>
        <v>0</v>
      </c>
      <c r="Z43" s="49" t="n">
        <f aca="false">IF($A43&lt;1900,0,IF(P43&lt;=Q43,1,0))</f>
        <v>0</v>
      </c>
      <c r="AA43" s="49" t="n">
        <f aca="false">IF($A43&lt;1900,0,IF(R43&gt;=S43,1,0))</f>
        <v>0</v>
      </c>
      <c r="AB43" s="49" t="n">
        <f aca="false">IF(SUM(U43:Y43)=5,1,0)</f>
        <v>0</v>
      </c>
      <c r="AC43" s="49" t="n">
        <f aca="false">IF(Z43+AA43=2,1,0)</f>
        <v>0</v>
      </c>
      <c r="AD43" s="49" t="n">
        <f aca="false">IF(AND(AB43=1,AC43=1),1,0)</f>
        <v>0</v>
      </c>
      <c r="AE43" s="49" t="n">
        <f aca="false">IF(AD43=1,AE42+1,0)</f>
        <v>0</v>
      </c>
      <c r="AF43" s="49" t="n">
        <f aca="false">IF(AE42&gt;=gulf_years_req,1,0)</f>
        <v>0</v>
      </c>
    </row>
    <row r="44" customFormat="false" ht="14.25" hidden="false" customHeight="true" outlineLevel="0" collapsed="false">
      <c r="A44" s="61" t="n">
        <v>1884</v>
      </c>
      <c r="B44" s="47" t="n">
        <v>0</v>
      </c>
      <c r="C44" s="71" t="n">
        <v>0</v>
      </c>
      <c r="D44" s="49" t="n">
        <f aca="false">Partners!Q44*(1-IF(AND(OR(oil_compact=0,$A44&lt;compact_year),OR($A44=1931,$A44=1932)),gulf_glut_gdp,0))</f>
        <v>0</v>
      </c>
      <c r="E44" s="49" t="n">
        <f aca="false">IF(AND(gulf_on=1,$A44&gt;=gulf_year),1,0)</f>
        <v>0</v>
      </c>
      <c r="F44" s="47" t="n">
        <v>0</v>
      </c>
      <c r="G44" s="47" t="n">
        <v>0</v>
      </c>
      <c r="H44" s="62" t="n">
        <v>0</v>
      </c>
      <c r="I44" s="62" t="n">
        <v>0</v>
      </c>
      <c r="J44" s="62" t="n">
        <v>0</v>
      </c>
      <c r="K44" s="62" t="n">
        <v>0</v>
      </c>
      <c r="L44" s="55" t="n">
        <v>0</v>
      </c>
      <c r="M44" s="55" t="n">
        <v>0</v>
      </c>
      <c r="N44" s="55" t="n">
        <v>0</v>
      </c>
      <c r="O44" s="55" t="n">
        <v>0</v>
      </c>
      <c r="P44" s="71" t="n">
        <v>0</v>
      </c>
      <c r="Q44" s="71" t="n">
        <v>0</v>
      </c>
      <c r="R44" s="71" t="n">
        <v>0</v>
      </c>
      <c r="S44" s="71" t="n">
        <v>0</v>
      </c>
      <c r="T44" s="66" t="n">
        <f aca="false">J44-IF(AND(OR(oil_compact=0,$A44&lt;compact_year),$A44&gt;=1931,$A44&lt;=1933),gulf_wage_dip,0)</f>
        <v>0</v>
      </c>
      <c r="U44" s="49" t="n">
        <f aca="false">IF($A44&lt;1900,0,IF(F44&lt;=G44,1,0))</f>
        <v>0</v>
      </c>
      <c r="V44" s="49" t="n">
        <f aca="false">IF($A44&lt;1900,0,IF(H44&gt;=I44,1,0))</f>
        <v>0</v>
      </c>
      <c r="W44" s="49" t="n">
        <f aca="false">IF($A44&lt;1900,0,IF(T44&gt;=K44,1,0))</f>
        <v>0</v>
      </c>
      <c r="X44" s="49" t="n">
        <f aca="false">IF($A44&lt;1900,0,IF(L44&lt;=M44,1,0))</f>
        <v>0</v>
      </c>
      <c r="Y44" s="49" t="n">
        <f aca="false">IF($A44&lt;1900,0,IF(N44&lt;=O44,1,0))</f>
        <v>0</v>
      </c>
      <c r="Z44" s="49" t="n">
        <f aca="false">IF($A44&lt;1900,0,IF(P44&lt;=Q44,1,0))</f>
        <v>0</v>
      </c>
      <c r="AA44" s="49" t="n">
        <f aca="false">IF($A44&lt;1900,0,IF(R44&gt;=S44,1,0))</f>
        <v>0</v>
      </c>
      <c r="AB44" s="49" t="n">
        <f aca="false">IF(SUM(U44:Y44)=5,1,0)</f>
        <v>0</v>
      </c>
      <c r="AC44" s="49" t="n">
        <f aca="false">IF(Z44+AA44=2,1,0)</f>
        <v>0</v>
      </c>
      <c r="AD44" s="49" t="n">
        <f aca="false">IF(AND(AB44=1,AC44=1),1,0)</f>
        <v>0</v>
      </c>
      <c r="AE44" s="49" t="n">
        <f aca="false">IF(AD44=1,AE43+1,0)</f>
        <v>0</v>
      </c>
      <c r="AF44" s="49" t="n">
        <f aca="false">IF(AE43&gt;=gulf_years_req,1,0)</f>
        <v>0</v>
      </c>
    </row>
    <row r="45" customFormat="false" ht="14.25" hidden="false" customHeight="true" outlineLevel="0" collapsed="false">
      <c r="A45" s="61" t="n">
        <v>1885</v>
      </c>
      <c r="B45" s="47" t="n">
        <v>0</v>
      </c>
      <c r="C45" s="71" t="n">
        <v>0</v>
      </c>
      <c r="D45" s="49" t="n">
        <f aca="false">Partners!Q45*(1-IF(AND(OR(oil_compact=0,$A45&lt;compact_year),OR($A45=1931,$A45=1932)),gulf_glut_gdp,0))</f>
        <v>0</v>
      </c>
      <c r="E45" s="49" t="n">
        <f aca="false">IF(AND(gulf_on=1,$A45&gt;=gulf_year),1,0)</f>
        <v>0</v>
      </c>
      <c r="F45" s="47" t="n">
        <v>0</v>
      </c>
      <c r="G45" s="47" t="n">
        <v>0</v>
      </c>
      <c r="H45" s="62" t="n">
        <v>0</v>
      </c>
      <c r="I45" s="62" t="n">
        <v>0</v>
      </c>
      <c r="J45" s="62" t="n">
        <v>0</v>
      </c>
      <c r="K45" s="62" t="n">
        <v>0</v>
      </c>
      <c r="L45" s="55" t="n">
        <v>0</v>
      </c>
      <c r="M45" s="55" t="n">
        <v>0</v>
      </c>
      <c r="N45" s="55" t="n">
        <v>0</v>
      </c>
      <c r="O45" s="55" t="n">
        <v>0</v>
      </c>
      <c r="P45" s="71" t="n">
        <v>0</v>
      </c>
      <c r="Q45" s="71" t="n">
        <v>0</v>
      </c>
      <c r="R45" s="71" t="n">
        <v>0</v>
      </c>
      <c r="S45" s="71" t="n">
        <v>0</v>
      </c>
      <c r="T45" s="66" t="n">
        <f aca="false">J45-IF(AND(OR(oil_compact=0,$A45&lt;compact_year),$A45&gt;=1931,$A45&lt;=1933),gulf_wage_dip,0)</f>
        <v>0</v>
      </c>
      <c r="U45" s="49" t="n">
        <f aca="false">IF($A45&lt;1900,0,IF(F45&lt;=G45,1,0))</f>
        <v>0</v>
      </c>
      <c r="V45" s="49" t="n">
        <f aca="false">IF($A45&lt;1900,0,IF(H45&gt;=I45,1,0))</f>
        <v>0</v>
      </c>
      <c r="W45" s="49" t="n">
        <f aca="false">IF($A45&lt;1900,0,IF(T45&gt;=K45,1,0))</f>
        <v>0</v>
      </c>
      <c r="X45" s="49" t="n">
        <f aca="false">IF($A45&lt;1900,0,IF(L45&lt;=M45,1,0))</f>
        <v>0</v>
      </c>
      <c r="Y45" s="49" t="n">
        <f aca="false">IF($A45&lt;1900,0,IF(N45&lt;=O45,1,0))</f>
        <v>0</v>
      </c>
      <c r="Z45" s="49" t="n">
        <f aca="false">IF($A45&lt;1900,0,IF(P45&lt;=Q45,1,0))</f>
        <v>0</v>
      </c>
      <c r="AA45" s="49" t="n">
        <f aca="false">IF($A45&lt;1900,0,IF(R45&gt;=S45,1,0))</f>
        <v>0</v>
      </c>
      <c r="AB45" s="49" t="n">
        <f aca="false">IF(SUM(U45:Y45)=5,1,0)</f>
        <v>0</v>
      </c>
      <c r="AC45" s="49" t="n">
        <f aca="false">IF(Z45+AA45=2,1,0)</f>
        <v>0</v>
      </c>
      <c r="AD45" s="49" t="n">
        <f aca="false">IF(AND(AB45=1,AC45=1),1,0)</f>
        <v>0</v>
      </c>
      <c r="AE45" s="49" t="n">
        <f aca="false">IF(AD45=1,AE44+1,0)</f>
        <v>0</v>
      </c>
      <c r="AF45" s="49" t="n">
        <f aca="false">IF(AE44&gt;=gulf_years_req,1,0)</f>
        <v>0</v>
      </c>
    </row>
    <row r="46" customFormat="false" ht="14.25" hidden="false" customHeight="true" outlineLevel="0" collapsed="false">
      <c r="A46" s="61" t="n">
        <v>1886</v>
      </c>
      <c r="B46" s="47" t="n">
        <v>0</v>
      </c>
      <c r="C46" s="71" t="n">
        <v>0</v>
      </c>
      <c r="D46" s="49" t="n">
        <f aca="false">Partners!Q46*(1-IF(AND(OR(oil_compact=0,$A46&lt;compact_year),OR($A46=1931,$A46=1932)),gulf_glut_gdp,0))</f>
        <v>0</v>
      </c>
      <c r="E46" s="49" t="n">
        <f aca="false">IF(AND(gulf_on=1,$A46&gt;=gulf_year),1,0)</f>
        <v>0</v>
      </c>
      <c r="F46" s="47" t="n">
        <v>0</v>
      </c>
      <c r="G46" s="47" t="n">
        <v>0</v>
      </c>
      <c r="H46" s="62" t="n">
        <v>0</v>
      </c>
      <c r="I46" s="62" t="n">
        <v>0</v>
      </c>
      <c r="J46" s="62" t="n">
        <v>0</v>
      </c>
      <c r="K46" s="62" t="n">
        <v>0</v>
      </c>
      <c r="L46" s="55" t="n">
        <v>0</v>
      </c>
      <c r="M46" s="55" t="n">
        <v>0</v>
      </c>
      <c r="N46" s="55" t="n">
        <v>0</v>
      </c>
      <c r="O46" s="55" t="n">
        <v>0</v>
      </c>
      <c r="P46" s="71" t="n">
        <v>0</v>
      </c>
      <c r="Q46" s="71" t="n">
        <v>0</v>
      </c>
      <c r="R46" s="71" t="n">
        <v>0</v>
      </c>
      <c r="S46" s="71" t="n">
        <v>0</v>
      </c>
      <c r="T46" s="66" t="n">
        <f aca="false">J46-IF(AND(OR(oil_compact=0,$A46&lt;compact_year),$A46&gt;=1931,$A46&lt;=1933),gulf_wage_dip,0)</f>
        <v>0</v>
      </c>
      <c r="U46" s="49" t="n">
        <f aca="false">IF($A46&lt;1900,0,IF(F46&lt;=G46,1,0))</f>
        <v>0</v>
      </c>
      <c r="V46" s="49" t="n">
        <f aca="false">IF($A46&lt;1900,0,IF(H46&gt;=I46,1,0))</f>
        <v>0</v>
      </c>
      <c r="W46" s="49" t="n">
        <f aca="false">IF($A46&lt;1900,0,IF(T46&gt;=K46,1,0))</f>
        <v>0</v>
      </c>
      <c r="X46" s="49" t="n">
        <f aca="false">IF($A46&lt;1900,0,IF(L46&lt;=M46,1,0))</f>
        <v>0</v>
      </c>
      <c r="Y46" s="49" t="n">
        <f aca="false">IF($A46&lt;1900,0,IF(N46&lt;=O46,1,0))</f>
        <v>0</v>
      </c>
      <c r="Z46" s="49" t="n">
        <f aca="false">IF($A46&lt;1900,0,IF(P46&lt;=Q46,1,0))</f>
        <v>0</v>
      </c>
      <c r="AA46" s="49" t="n">
        <f aca="false">IF($A46&lt;1900,0,IF(R46&gt;=S46,1,0))</f>
        <v>0</v>
      </c>
      <c r="AB46" s="49" t="n">
        <f aca="false">IF(SUM(U46:Y46)=5,1,0)</f>
        <v>0</v>
      </c>
      <c r="AC46" s="49" t="n">
        <f aca="false">IF(Z46+AA46=2,1,0)</f>
        <v>0</v>
      </c>
      <c r="AD46" s="49" t="n">
        <f aca="false">IF(AND(AB46=1,AC46=1),1,0)</f>
        <v>0</v>
      </c>
      <c r="AE46" s="49" t="n">
        <f aca="false">IF(AD46=1,AE45+1,0)</f>
        <v>0</v>
      </c>
      <c r="AF46" s="49" t="n">
        <f aca="false">IF(AE45&gt;=gulf_years_req,1,0)</f>
        <v>0</v>
      </c>
    </row>
    <row r="47" customFormat="false" ht="14.25" hidden="false" customHeight="true" outlineLevel="0" collapsed="false">
      <c r="A47" s="61" t="n">
        <v>1887</v>
      </c>
      <c r="B47" s="47" t="n">
        <v>0</v>
      </c>
      <c r="C47" s="71" t="n">
        <v>0</v>
      </c>
      <c r="D47" s="49" t="n">
        <f aca="false">Partners!Q47*(1-IF(AND(OR(oil_compact=0,$A47&lt;compact_year),OR($A47=1931,$A47=1932)),gulf_glut_gdp,0))</f>
        <v>0</v>
      </c>
      <c r="E47" s="49" t="n">
        <f aca="false">IF(AND(gulf_on=1,$A47&gt;=gulf_year),1,0)</f>
        <v>0</v>
      </c>
      <c r="F47" s="47" t="n">
        <v>0</v>
      </c>
      <c r="G47" s="47" t="n">
        <v>0</v>
      </c>
      <c r="H47" s="62" t="n">
        <v>0</v>
      </c>
      <c r="I47" s="62" t="n">
        <v>0</v>
      </c>
      <c r="J47" s="62" t="n">
        <v>0</v>
      </c>
      <c r="K47" s="62" t="n">
        <v>0</v>
      </c>
      <c r="L47" s="55" t="n">
        <v>0</v>
      </c>
      <c r="M47" s="55" t="n">
        <v>0</v>
      </c>
      <c r="N47" s="55" t="n">
        <v>0</v>
      </c>
      <c r="O47" s="55" t="n">
        <v>0</v>
      </c>
      <c r="P47" s="71" t="n">
        <v>0</v>
      </c>
      <c r="Q47" s="71" t="n">
        <v>0</v>
      </c>
      <c r="R47" s="71" t="n">
        <v>0</v>
      </c>
      <c r="S47" s="71" t="n">
        <v>0</v>
      </c>
      <c r="T47" s="66" t="n">
        <f aca="false">J47-IF(AND(OR(oil_compact=0,$A47&lt;compact_year),$A47&gt;=1931,$A47&lt;=1933),gulf_wage_dip,0)</f>
        <v>0</v>
      </c>
      <c r="U47" s="49" t="n">
        <f aca="false">IF($A47&lt;1900,0,IF(F47&lt;=G47,1,0))</f>
        <v>0</v>
      </c>
      <c r="V47" s="49" t="n">
        <f aca="false">IF($A47&lt;1900,0,IF(H47&gt;=I47,1,0))</f>
        <v>0</v>
      </c>
      <c r="W47" s="49" t="n">
        <f aca="false">IF($A47&lt;1900,0,IF(T47&gt;=K47,1,0))</f>
        <v>0</v>
      </c>
      <c r="X47" s="49" t="n">
        <f aca="false">IF($A47&lt;1900,0,IF(L47&lt;=M47,1,0))</f>
        <v>0</v>
      </c>
      <c r="Y47" s="49" t="n">
        <f aca="false">IF($A47&lt;1900,0,IF(N47&lt;=O47,1,0))</f>
        <v>0</v>
      </c>
      <c r="Z47" s="49" t="n">
        <f aca="false">IF($A47&lt;1900,0,IF(P47&lt;=Q47,1,0))</f>
        <v>0</v>
      </c>
      <c r="AA47" s="49" t="n">
        <f aca="false">IF($A47&lt;1900,0,IF(R47&gt;=S47,1,0))</f>
        <v>0</v>
      </c>
      <c r="AB47" s="49" t="n">
        <f aca="false">IF(SUM(U47:Y47)=5,1,0)</f>
        <v>0</v>
      </c>
      <c r="AC47" s="49" t="n">
        <f aca="false">IF(Z47+AA47=2,1,0)</f>
        <v>0</v>
      </c>
      <c r="AD47" s="49" t="n">
        <f aca="false">IF(AND(AB47=1,AC47=1),1,0)</f>
        <v>0</v>
      </c>
      <c r="AE47" s="49" t="n">
        <f aca="false">IF(AD47=1,AE46+1,0)</f>
        <v>0</v>
      </c>
      <c r="AF47" s="49" t="n">
        <f aca="false">IF(AE46&gt;=gulf_years_req,1,0)</f>
        <v>0</v>
      </c>
    </row>
    <row r="48" customFormat="false" ht="14.25" hidden="false" customHeight="true" outlineLevel="0" collapsed="false">
      <c r="A48" s="61" t="n">
        <v>1888</v>
      </c>
      <c r="B48" s="47" t="n">
        <v>0</v>
      </c>
      <c r="C48" s="71" t="n">
        <v>0</v>
      </c>
      <c r="D48" s="49" t="n">
        <f aca="false">Partners!Q48*(1-IF(AND(OR(oil_compact=0,$A48&lt;compact_year),OR($A48=1931,$A48=1932)),gulf_glut_gdp,0))</f>
        <v>0</v>
      </c>
      <c r="E48" s="49" t="n">
        <f aca="false">IF(AND(gulf_on=1,$A48&gt;=gulf_year),1,0)</f>
        <v>0</v>
      </c>
      <c r="F48" s="47" t="n">
        <v>0</v>
      </c>
      <c r="G48" s="47" t="n">
        <v>0</v>
      </c>
      <c r="H48" s="62" t="n">
        <v>0</v>
      </c>
      <c r="I48" s="62" t="n">
        <v>0</v>
      </c>
      <c r="J48" s="62" t="n">
        <v>0</v>
      </c>
      <c r="K48" s="62" t="n">
        <v>0</v>
      </c>
      <c r="L48" s="55" t="n">
        <v>0</v>
      </c>
      <c r="M48" s="55" t="n">
        <v>0</v>
      </c>
      <c r="N48" s="55" t="n">
        <v>0</v>
      </c>
      <c r="O48" s="55" t="n">
        <v>0</v>
      </c>
      <c r="P48" s="71" t="n">
        <v>0</v>
      </c>
      <c r="Q48" s="71" t="n">
        <v>0</v>
      </c>
      <c r="R48" s="71" t="n">
        <v>0</v>
      </c>
      <c r="S48" s="71" t="n">
        <v>0</v>
      </c>
      <c r="T48" s="66" t="n">
        <f aca="false">J48-IF(AND(OR(oil_compact=0,$A48&lt;compact_year),$A48&gt;=1931,$A48&lt;=1933),gulf_wage_dip,0)</f>
        <v>0</v>
      </c>
      <c r="U48" s="49" t="n">
        <f aca="false">IF($A48&lt;1900,0,IF(F48&lt;=G48,1,0))</f>
        <v>0</v>
      </c>
      <c r="V48" s="49" t="n">
        <f aca="false">IF($A48&lt;1900,0,IF(H48&gt;=I48,1,0))</f>
        <v>0</v>
      </c>
      <c r="W48" s="49" t="n">
        <f aca="false">IF($A48&lt;1900,0,IF(T48&gt;=K48,1,0))</f>
        <v>0</v>
      </c>
      <c r="X48" s="49" t="n">
        <f aca="false">IF($A48&lt;1900,0,IF(L48&lt;=M48,1,0))</f>
        <v>0</v>
      </c>
      <c r="Y48" s="49" t="n">
        <f aca="false">IF($A48&lt;1900,0,IF(N48&lt;=O48,1,0))</f>
        <v>0</v>
      </c>
      <c r="Z48" s="49" t="n">
        <f aca="false">IF($A48&lt;1900,0,IF(P48&lt;=Q48,1,0))</f>
        <v>0</v>
      </c>
      <c r="AA48" s="49" t="n">
        <f aca="false">IF($A48&lt;1900,0,IF(R48&gt;=S48,1,0))</f>
        <v>0</v>
      </c>
      <c r="AB48" s="49" t="n">
        <f aca="false">IF(SUM(U48:Y48)=5,1,0)</f>
        <v>0</v>
      </c>
      <c r="AC48" s="49" t="n">
        <f aca="false">IF(Z48+AA48=2,1,0)</f>
        <v>0</v>
      </c>
      <c r="AD48" s="49" t="n">
        <f aca="false">IF(AND(AB48=1,AC48=1),1,0)</f>
        <v>0</v>
      </c>
      <c r="AE48" s="49" t="n">
        <f aca="false">IF(AD48=1,AE47+1,0)</f>
        <v>0</v>
      </c>
      <c r="AF48" s="49" t="n">
        <f aca="false">IF(AE47&gt;=gulf_years_req,1,0)</f>
        <v>0</v>
      </c>
    </row>
    <row r="49" customFormat="false" ht="14.25" hidden="false" customHeight="true" outlineLevel="0" collapsed="false">
      <c r="A49" s="61" t="n">
        <v>1889</v>
      </c>
      <c r="B49" s="47" t="n">
        <v>0</v>
      </c>
      <c r="C49" s="71" t="n">
        <v>0</v>
      </c>
      <c r="D49" s="49" t="n">
        <f aca="false">Partners!Q49*(1-IF(AND(OR(oil_compact=0,$A49&lt;compact_year),OR($A49=1931,$A49=1932)),gulf_glut_gdp,0))</f>
        <v>0</v>
      </c>
      <c r="E49" s="49" t="n">
        <f aca="false">IF(AND(gulf_on=1,$A49&gt;=gulf_year),1,0)</f>
        <v>0</v>
      </c>
      <c r="F49" s="47" t="n">
        <v>0</v>
      </c>
      <c r="G49" s="47" t="n">
        <v>0</v>
      </c>
      <c r="H49" s="62" t="n">
        <v>0</v>
      </c>
      <c r="I49" s="62" t="n">
        <v>0</v>
      </c>
      <c r="J49" s="62" t="n">
        <v>0</v>
      </c>
      <c r="K49" s="62" t="n">
        <v>0</v>
      </c>
      <c r="L49" s="55" t="n">
        <v>0</v>
      </c>
      <c r="M49" s="55" t="n">
        <v>0</v>
      </c>
      <c r="N49" s="55" t="n">
        <v>0</v>
      </c>
      <c r="O49" s="55" t="n">
        <v>0</v>
      </c>
      <c r="P49" s="71" t="n">
        <v>0</v>
      </c>
      <c r="Q49" s="71" t="n">
        <v>0</v>
      </c>
      <c r="R49" s="71" t="n">
        <v>0</v>
      </c>
      <c r="S49" s="71" t="n">
        <v>0</v>
      </c>
      <c r="T49" s="66" t="n">
        <f aca="false">J49-IF(AND(OR(oil_compact=0,$A49&lt;compact_year),$A49&gt;=1931,$A49&lt;=1933),gulf_wage_dip,0)</f>
        <v>0</v>
      </c>
      <c r="U49" s="49" t="n">
        <f aca="false">IF($A49&lt;1900,0,IF(F49&lt;=G49,1,0))</f>
        <v>0</v>
      </c>
      <c r="V49" s="49" t="n">
        <f aca="false">IF($A49&lt;1900,0,IF(H49&gt;=I49,1,0))</f>
        <v>0</v>
      </c>
      <c r="W49" s="49" t="n">
        <f aca="false">IF($A49&lt;1900,0,IF(T49&gt;=K49,1,0))</f>
        <v>0</v>
      </c>
      <c r="X49" s="49" t="n">
        <f aca="false">IF($A49&lt;1900,0,IF(L49&lt;=M49,1,0))</f>
        <v>0</v>
      </c>
      <c r="Y49" s="49" t="n">
        <f aca="false">IF($A49&lt;1900,0,IF(N49&lt;=O49,1,0))</f>
        <v>0</v>
      </c>
      <c r="Z49" s="49" t="n">
        <f aca="false">IF($A49&lt;1900,0,IF(P49&lt;=Q49,1,0))</f>
        <v>0</v>
      </c>
      <c r="AA49" s="49" t="n">
        <f aca="false">IF($A49&lt;1900,0,IF(R49&gt;=S49,1,0))</f>
        <v>0</v>
      </c>
      <c r="AB49" s="49" t="n">
        <f aca="false">IF(SUM(U49:Y49)=5,1,0)</f>
        <v>0</v>
      </c>
      <c r="AC49" s="49" t="n">
        <f aca="false">IF(Z49+AA49=2,1,0)</f>
        <v>0</v>
      </c>
      <c r="AD49" s="49" t="n">
        <f aca="false">IF(AND(AB49=1,AC49=1),1,0)</f>
        <v>0</v>
      </c>
      <c r="AE49" s="49" t="n">
        <f aca="false">IF(AD49=1,AE48+1,0)</f>
        <v>0</v>
      </c>
      <c r="AF49" s="49" t="n">
        <f aca="false">IF(AE48&gt;=gulf_years_req,1,0)</f>
        <v>0</v>
      </c>
    </row>
    <row r="50" customFormat="false" ht="14.25" hidden="false" customHeight="true" outlineLevel="0" collapsed="false">
      <c r="A50" s="61" t="n">
        <v>1890</v>
      </c>
      <c r="B50" s="47" t="n">
        <v>0</v>
      </c>
      <c r="C50" s="71" t="n">
        <v>0</v>
      </c>
      <c r="D50" s="49" t="n">
        <f aca="false">Partners!Q50*(1-IF(AND(OR(oil_compact=0,$A50&lt;compact_year),OR($A50=1931,$A50=1932)),gulf_glut_gdp,0))</f>
        <v>0</v>
      </c>
      <c r="E50" s="49" t="n">
        <f aca="false">IF(AND(gulf_on=1,$A50&gt;=gulf_year),1,0)</f>
        <v>0</v>
      </c>
      <c r="F50" s="47" t="n">
        <v>0</v>
      </c>
      <c r="G50" s="47" t="n">
        <v>0</v>
      </c>
      <c r="H50" s="62" t="n">
        <v>0</v>
      </c>
      <c r="I50" s="62" t="n">
        <v>0</v>
      </c>
      <c r="J50" s="62" t="n">
        <v>0</v>
      </c>
      <c r="K50" s="62" t="n">
        <v>0</v>
      </c>
      <c r="L50" s="55" t="n">
        <v>0</v>
      </c>
      <c r="M50" s="55" t="n">
        <v>0</v>
      </c>
      <c r="N50" s="55" t="n">
        <v>0</v>
      </c>
      <c r="O50" s="55" t="n">
        <v>0</v>
      </c>
      <c r="P50" s="71" t="n">
        <v>0</v>
      </c>
      <c r="Q50" s="71" t="n">
        <v>0</v>
      </c>
      <c r="R50" s="71" t="n">
        <v>0</v>
      </c>
      <c r="S50" s="71" t="n">
        <v>0</v>
      </c>
      <c r="T50" s="66" t="n">
        <f aca="false">J50-IF(AND(OR(oil_compact=0,$A50&lt;compact_year),$A50&gt;=1931,$A50&lt;=1933),gulf_wage_dip,0)</f>
        <v>0</v>
      </c>
      <c r="U50" s="49" t="n">
        <f aca="false">IF($A50&lt;1900,0,IF(F50&lt;=G50,1,0))</f>
        <v>0</v>
      </c>
      <c r="V50" s="49" t="n">
        <f aca="false">IF($A50&lt;1900,0,IF(H50&gt;=I50,1,0))</f>
        <v>0</v>
      </c>
      <c r="W50" s="49" t="n">
        <f aca="false">IF($A50&lt;1900,0,IF(T50&gt;=K50,1,0))</f>
        <v>0</v>
      </c>
      <c r="X50" s="49" t="n">
        <f aca="false">IF($A50&lt;1900,0,IF(L50&lt;=M50,1,0))</f>
        <v>0</v>
      </c>
      <c r="Y50" s="49" t="n">
        <f aca="false">IF($A50&lt;1900,0,IF(N50&lt;=O50,1,0))</f>
        <v>0</v>
      </c>
      <c r="Z50" s="49" t="n">
        <f aca="false">IF($A50&lt;1900,0,IF(P50&lt;=Q50,1,0))</f>
        <v>0</v>
      </c>
      <c r="AA50" s="49" t="n">
        <f aca="false">IF($A50&lt;1900,0,IF(R50&gt;=S50,1,0))</f>
        <v>0</v>
      </c>
      <c r="AB50" s="49" t="n">
        <f aca="false">IF(SUM(U50:Y50)=5,1,0)</f>
        <v>0</v>
      </c>
      <c r="AC50" s="49" t="n">
        <f aca="false">IF(Z50+AA50=2,1,0)</f>
        <v>0</v>
      </c>
      <c r="AD50" s="49" t="n">
        <f aca="false">IF(AND(AB50=1,AC50=1),1,0)</f>
        <v>0</v>
      </c>
      <c r="AE50" s="49" t="n">
        <f aca="false">IF(AD50=1,AE49+1,0)</f>
        <v>0</v>
      </c>
      <c r="AF50" s="49" t="n">
        <f aca="false">IF(AE49&gt;=gulf_years_req,1,0)</f>
        <v>0</v>
      </c>
    </row>
    <row r="51" customFormat="false" ht="14.25" hidden="false" customHeight="true" outlineLevel="0" collapsed="false">
      <c r="A51" s="61" t="n">
        <v>1891</v>
      </c>
      <c r="B51" s="47" t="n">
        <v>0</v>
      </c>
      <c r="C51" s="71" t="n">
        <v>0</v>
      </c>
      <c r="D51" s="49" t="n">
        <f aca="false">Partners!Q51*(1-IF(AND(OR(oil_compact=0,$A51&lt;compact_year),OR($A51=1931,$A51=1932)),gulf_glut_gdp,0))</f>
        <v>0</v>
      </c>
      <c r="E51" s="49" t="n">
        <f aca="false">IF(AND(gulf_on=1,$A51&gt;=gulf_year),1,0)</f>
        <v>0</v>
      </c>
      <c r="F51" s="47" t="n">
        <v>0</v>
      </c>
      <c r="G51" s="47" t="n">
        <v>0</v>
      </c>
      <c r="H51" s="62" t="n">
        <v>0</v>
      </c>
      <c r="I51" s="62" t="n">
        <v>0</v>
      </c>
      <c r="J51" s="62" t="n">
        <v>0</v>
      </c>
      <c r="K51" s="62" t="n">
        <v>0</v>
      </c>
      <c r="L51" s="55" t="n">
        <v>0</v>
      </c>
      <c r="M51" s="55" t="n">
        <v>0</v>
      </c>
      <c r="N51" s="55" t="n">
        <v>0</v>
      </c>
      <c r="O51" s="55" t="n">
        <v>0</v>
      </c>
      <c r="P51" s="71" t="n">
        <v>0</v>
      </c>
      <c r="Q51" s="71" t="n">
        <v>0</v>
      </c>
      <c r="R51" s="71" t="n">
        <v>0</v>
      </c>
      <c r="S51" s="71" t="n">
        <v>0</v>
      </c>
      <c r="T51" s="66" t="n">
        <f aca="false">J51-IF(AND(OR(oil_compact=0,$A51&lt;compact_year),$A51&gt;=1931,$A51&lt;=1933),gulf_wage_dip,0)</f>
        <v>0</v>
      </c>
      <c r="U51" s="49" t="n">
        <f aca="false">IF($A51&lt;1900,0,IF(F51&lt;=G51,1,0))</f>
        <v>0</v>
      </c>
      <c r="V51" s="49" t="n">
        <f aca="false">IF($A51&lt;1900,0,IF(H51&gt;=I51,1,0))</f>
        <v>0</v>
      </c>
      <c r="W51" s="49" t="n">
        <f aca="false">IF($A51&lt;1900,0,IF(T51&gt;=K51,1,0))</f>
        <v>0</v>
      </c>
      <c r="X51" s="49" t="n">
        <f aca="false">IF($A51&lt;1900,0,IF(L51&lt;=M51,1,0))</f>
        <v>0</v>
      </c>
      <c r="Y51" s="49" t="n">
        <f aca="false">IF($A51&lt;1900,0,IF(N51&lt;=O51,1,0))</f>
        <v>0</v>
      </c>
      <c r="Z51" s="49" t="n">
        <f aca="false">IF($A51&lt;1900,0,IF(P51&lt;=Q51,1,0))</f>
        <v>0</v>
      </c>
      <c r="AA51" s="49" t="n">
        <f aca="false">IF($A51&lt;1900,0,IF(R51&gt;=S51,1,0))</f>
        <v>0</v>
      </c>
      <c r="AB51" s="49" t="n">
        <f aca="false">IF(SUM(U51:Y51)=5,1,0)</f>
        <v>0</v>
      </c>
      <c r="AC51" s="49" t="n">
        <f aca="false">IF(Z51+AA51=2,1,0)</f>
        <v>0</v>
      </c>
      <c r="AD51" s="49" t="n">
        <f aca="false">IF(AND(AB51=1,AC51=1),1,0)</f>
        <v>0</v>
      </c>
      <c r="AE51" s="49" t="n">
        <f aca="false">IF(AD51=1,AE50+1,0)</f>
        <v>0</v>
      </c>
      <c r="AF51" s="49" t="n">
        <f aca="false">IF(AE50&gt;=gulf_years_req,1,0)</f>
        <v>0</v>
      </c>
    </row>
    <row r="52" customFormat="false" ht="14.25" hidden="false" customHeight="true" outlineLevel="0" collapsed="false">
      <c r="A52" s="61" t="n">
        <v>1892</v>
      </c>
      <c r="B52" s="47" t="n">
        <v>0</v>
      </c>
      <c r="C52" s="71" t="n">
        <v>0</v>
      </c>
      <c r="D52" s="49" t="n">
        <f aca="false">Partners!Q52*(1-IF(AND(OR(oil_compact=0,$A52&lt;compact_year),OR($A52=1931,$A52=1932)),gulf_glut_gdp,0))</f>
        <v>0</v>
      </c>
      <c r="E52" s="49" t="n">
        <f aca="false">IF(AND(gulf_on=1,$A52&gt;=gulf_year),1,0)</f>
        <v>0</v>
      </c>
      <c r="F52" s="47" t="n">
        <v>0</v>
      </c>
      <c r="G52" s="47" t="n">
        <v>0</v>
      </c>
      <c r="H52" s="62" t="n">
        <v>0</v>
      </c>
      <c r="I52" s="62" t="n">
        <v>0</v>
      </c>
      <c r="J52" s="62" t="n">
        <v>0</v>
      </c>
      <c r="K52" s="62" t="n">
        <v>0</v>
      </c>
      <c r="L52" s="55" t="n">
        <v>0</v>
      </c>
      <c r="M52" s="55" t="n">
        <v>0</v>
      </c>
      <c r="N52" s="55" t="n">
        <v>0</v>
      </c>
      <c r="O52" s="55" t="n">
        <v>0</v>
      </c>
      <c r="P52" s="71" t="n">
        <v>0</v>
      </c>
      <c r="Q52" s="71" t="n">
        <v>0</v>
      </c>
      <c r="R52" s="71" t="n">
        <v>0</v>
      </c>
      <c r="S52" s="71" t="n">
        <v>0</v>
      </c>
      <c r="T52" s="66" t="n">
        <f aca="false">J52-IF(AND(OR(oil_compact=0,$A52&lt;compact_year),$A52&gt;=1931,$A52&lt;=1933),gulf_wage_dip,0)</f>
        <v>0</v>
      </c>
      <c r="U52" s="49" t="n">
        <f aca="false">IF($A52&lt;1900,0,IF(F52&lt;=G52,1,0))</f>
        <v>0</v>
      </c>
      <c r="V52" s="49" t="n">
        <f aca="false">IF($A52&lt;1900,0,IF(H52&gt;=I52,1,0))</f>
        <v>0</v>
      </c>
      <c r="W52" s="49" t="n">
        <f aca="false">IF($A52&lt;1900,0,IF(T52&gt;=K52,1,0))</f>
        <v>0</v>
      </c>
      <c r="X52" s="49" t="n">
        <f aca="false">IF($A52&lt;1900,0,IF(L52&lt;=M52,1,0))</f>
        <v>0</v>
      </c>
      <c r="Y52" s="49" t="n">
        <f aca="false">IF($A52&lt;1900,0,IF(N52&lt;=O52,1,0))</f>
        <v>0</v>
      </c>
      <c r="Z52" s="49" t="n">
        <f aca="false">IF($A52&lt;1900,0,IF(P52&lt;=Q52,1,0))</f>
        <v>0</v>
      </c>
      <c r="AA52" s="49" t="n">
        <f aca="false">IF($A52&lt;1900,0,IF(R52&gt;=S52,1,0))</f>
        <v>0</v>
      </c>
      <c r="AB52" s="49" t="n">
        <f aca="false">IF(SUM(U52:Y52)=5,1,0)</f>
        <v>0</v>
      </c>
      <c r="AC52" s="49" t="n">
        <f aca="false">IF(Z52+AA52=2,1,0)</f>
        <v>0</v>
      </c>
      <c r="AD52" s="49" t="n">
        <f aca="false">IF(AND(AB52=1,AC52=1),1,0)</f>
        <v>0</v>
      </c>
      <c r="AE52" s="49" t="n">
        <f aca="false">IF(AD52=1,AE51+1,0)</f>
        <v>0</v>
      </c>
      <c r="AF52" s="49" t="n">
        <f aca="false">IF(AE51&gt;=gulf_years_req,1,0)</f>
        <v>0</v>
      </c>
    </row>
    <row r="53" customFormat="false" ht="14.25" hidden="false" customHeight="true" outlineLevel="0" collapsed="false">
      <c r="A53" s="61" t="n">
        <v>1893</v>
      </c>
      <c r="B53" s="47" t="n">
        <v>0</v>
      </c>
      <c r="C53" s="71" t="n">
        <v>0</v>
      </c>
      <c r="D53" s="49" t="n">
        <f aca="false">Partners!Q53*(1-IF(AND(OR(oil_compact=0,$A53&lt;compact_year),OR($A53=1931,$A53=1932)),gulf_glut_gdp,0))</f>
        <v>0</v>
      </c>
      <c r="E53" s="49" t="n">
        <f aca="false">IF(AND(gulf_on=1,$A53&gt;=gulf_year),1,0)</f>
        <v>0</v>
      </c>
      <c r="F53" s="47" t="n">
        <v>0</v>
      </c>
      <c r="G53" s="47" t="n">
        <v>0</v>
      </c>
      <c r="H53" s="62" t="n">
        <v>0</v>
      </c>
      <c r="I53" s="62" t="n">
        <v>0</v>
      </c>
      <c r="J53" s="62" t="n">
        <v>0</v>
      </c>
      <c r="K53" s="62" t="n">
        <v>0</v>
      </c>
      <c r="L53" s="55" t="n">
        <v>0</v>
      </c>
      <c r="M53" s="55" t="n">
        <v>0</v>
      </c>
      <c r="N53" s="55" t="n">
        <v>0</v>
      </c>
      <c r="O53" s="55" t="n">
        <v>0</v>
      </c>
      <c r="P53" s="71" t="n">
        <v>0</v>
      </c>
      <c r="Q53" s="71" t="n">
        <v>0</v>
      </c>
      <c r="R53" s="71" t="n">
        <v>0</v>
      </c>
      <c r="S53" s="71" t="n">
        <v>0</v>
      </c>
      <c r="T53" s="66" t="n">
        <f aca="false">J53-IF(AND(OR(oil_compact=0,$A53&lt;compact_year),$A53&gt;=1931,$A53&lt;=1933),gulf_wage_dip,0)</f>
        <v>0</v>
      </c>
      <c r="U53" s="49" t="n">
        <f aca="false">IF($A53&lt;1900,0,IF(F53&lt;=G53,1,0))</f>
        <v>0</v>
      </c>
      <c r="V53" s="49" t="n">
        <f aca="false">IF($A53&lt;1900,0,IF(H53&gt;=I53,1,0))</f>
        <v>0</v>
      </c>
      <c r="W53" s="49" t="n">
        <f aca="false">IF($A53&lt;1900,0,IF(T53&gt;=K53,1,0))</f>
        <v>0</v>
      </c>
      <c r="X53" s="49" t="n">
        <f aca="false">IF($A53&lt;1900,0,IF(L53&lt;=M53,1,0))</f>
        <v>0</v>
      </c>
      <c r="Y53" s="49" t="n">
        <f aca="false">IF($A53&lt;1900,0,IF(N53&lt;=O53,1,0))</f>
        <v>0</v>
      </c>
      <c r="Z53" s="49" t="n">
        <f aca="false">IF($A53&lt;1900,0,IF(P53&lt;=Q53,1,0))</f>
        <v>0</v>
      </c>
      <c r="AA53" s="49" t="n">
        <f aca="false">IF($A53&lt;1900,0,IF(R53&gt;=S53,1,0))</f>
        <v>0</v>
      </c>
      <c r="AB53" s="49" t="n">
        <f aca="false">IF(SUM(U53:Y53)=5,1,0)</f>
        <v>0</v>
      </c>
      <c r="AC53" s="49" t="n">
        <f aca="false">IF(Z53+AA53=2,1,0)</f>
        <v>0</v>
      </c>
      <c r="AD53" s="49" t="n">
        <f aca="false">IF(AND(AB53=1,AC53=1),1,0)</f>
        <v>0</v>
      </c>
      <c r="AE53" s="49" t="n">
        <f aca="false">IF(AD53=1,AE52+1,0)</f>
        <v>0</v>
      </c>
      <c r="AF53" s="49" t="n">
        <f aca="false">IF(AE52&gt;=gulf_years_req,1,0)</f>
        <v>0</v>
      </c>
    </row>
    <row r="54" customFormat="false" ht="14.25" hidden="false" customHeight="true" outlineLevel="0" collapsed="false">
      <c r="A54" s="61" t="n">
        <v>1894</v>
      </c>
      <c r="B54" s="47" t="n">
        <v>0</v>
      </c>
      <c r="C54" s="71" t="n">
        <v>0</v>
      </c>
      <c r="D54" s="49" t="n">
        <f aca="false">Partners!Q54*(1-IF(AND(OR(oil_compact=0,$A54&lt;compact_year),OR($A54=1931,$A54=1932)),gulf_glut_gdp,0))</f>
        <v>0</v>
      </c>
      <c r="E54" s="49" t="n">
        <f aca="false">IF(AND(gulf_on=1,$A54&gt;=gulf_year),1,0)</f>
        <v>0</v>
      </c>
      <c r="F54" s="47" t="n">
        <v>0</v>
      </c>
      <c r="G54" s="47" t="n">
        <v>0</v>
      </c>
      <c r="H54" s="62" t="n">
        <v>0</v>
      </c>
      <c r="I54" s="62" t="n">
        <v>0</v>
      </c>
      <c r="J54" s="62" t="n">
        <v>0</v>
      </c>
      <c r="K54" s="62" t="n">
        <v>0</v>
      </c>
      <c r="L54" s="55" t="n">
        <v>0</v>
      </c>
      <c r="M54" s="55" t="n">
        <v>0</v>
      </c>
      <c r="N54" s="55" t="n">
        <v>0</v>
      </c>
      <c r="O54" s="55" t="n">
        <v>0</v>
      </c>
      <c r="P54" s="71" t="n">
        <v>0</v>
      </c>
      <c r="Q54" s="71" t="n">
        <v>0</v>
      </c>
      <c r="R54" s="71" t="n">
        <v>0</v>
      </c>
      <c r="S54" s="71" t="n">
        <v>0</v>
      </c>
      <c r="T54" s="66" t="n">
        <f aca="false">J54-IF(AND(OR(oil_compact=0,$A54&lt;compact_year),$A54&gt;=1931,$A54&lt;=1933),gulf_wage_dip,0)</f>
        <v>0</v>
      </c>
      <c r="U54" s="49" t="n">
        <f aca="false">IF($A54&lt;1900,0,IF(F54&lt;=G54,1,0))</f>
        <v>0</v>
      </c>
      <c r="V54" s="49" t="n">
        <f aca="false">IF($A54&lt;1900,0,IF(H54&gt;=I54,1,0))</f>
        <v>0</v>
      </c>
      <c r="W54" s="49" t="n">
        <f aca="false">IF($A54&lt;1900,0,IF(T54&gt;=K54,1,0))</f>
        <v>0</v>
      </c>
      <c r="X54" s="49" t="n">
        <f aca="false">IF($A54&lt;1900,0,IF(L54&lt;=M54,1,0))</f>
        <v>0</v>
      </c>
      <c r="Y54" s="49" t="n">
        <f aca="false">IF($A54&lt;1900,0,IF(N54&lt;=O54,1,0))</f>
        <v>0</v>
      </c>
      <c r="Z54" s="49" t="n">
        <f aca="false">IF($A54&lt;1900,0,IF(P54&lt;=Q54,1,0))</f>
        <v>0</v>
      </c>
      <c r="AA54" s="49" t="n">
        <f aca="false">IF($A54&lt;1900,0,IF(R54&gt;=S54,1,0))</f>
        <v>0</v>
      </c>
      <c r="AB54" s="49" t="n">
        <f aca="false">IF(SUM(U54:Y54)=5,1,0)</f>
        <v>0</v>
      </c>
      <c r="AC54" s="49" t="n">
        <f aca="false">IF(Z54+AA54=2,1,0)</f>
        <v>0</v>
      </c>
      <c r="AD54" s="49" t="n">
        <f aca="false">IF(AND(AB54=1,AC54=1),1,0)</f>
        <v>0</v>
      </c>
      <c r="AE54" s="49" t="n">
        <f aca="false">IF(AD54=1,AE53+1,0)</f>
        <v>0</v>
      </c>
      <c r="AF54" s="49" t="n">
        <f aca="false">IF(AE53&gt;=gulf_years_req,1,0)</f>
        <v>0</v>
      </c>
    </row>
    <row r="55" customFormat="false" ht="14.25" hidden="false" customHeight="true" outlineLevel="0" collapsed="false">
      <c r="A55" s="61" t="n">
        <v>1895</v>
      </c>
      <c r="B55" s="47" t="n">
        <v>0</v>
      </c>
      <c r="C55" s="71" t="n">
        <v>0</v>
      </c>
      <c r="D55" s="49" t="n">
        <f aca="false">Partners!Q55*(1-IF(AND(OR(oil_compact=0,$A55&lt;compact_year),OR($A55=1931,$A55=1932)),gulf_glut_gdp,0))</f>
        <v>0</v>
      </c>
      <c r="E55" s="49" t="n">
        <f aca="false">IF(AND(gulf_on=1,$A55&gt;=gulf_year),1,0)</f>
        <v>0</v>
      </c>
      <c r="F55" s="47" t="n">
        <v>0</v>
      </c>
      <c r="G55" s="47" t="n">
        <v>0</v>
      </c>
      <c r="H55" s="62" t="n">
        <v>0</v>
      </c>
      <c r="I55" s="62" t="n">
        <v>0</v>
      </c>
      <c r="J55" s="62" t="n">
        <v>0</v>
      </c>
      <c r="K55" s="62" t="n">
        <v>0</v>
      </c>
      <c r="L55" s="55" t="n">
        <v>0</v>
      </c>
      <c r="M55" s="55" t="n">
        <v>0</v>
      </c>
      <c r="N55" s="55" t="n">
        <v>0</v>
      </c>
      <c r="O55" s="55" t="n">
        <v>0</v>
      </c>
      <c r="P55" s="71" t="n">
        <v>0</v>
      </c>
      <c r="Q55" s="71" t="n">
        <v>0</v>
      </c>
      <c r="R55" s="71" t="n">
        <v>0</v>
      </c>
      <c r="S55" s="71" t="n">
        <v>0</v>
      </c>
      <c r="T55" s="66" t="n">
        <f aca="false">J55-IF(AND(OR(oil_compact=0,$A55&lt;compact_year),$A55&gt;=1931,$A55&lt;=1933),gulf_wage_dip,0)</f>
        <v>0</v>
      </c>
      <c r="U55" s="49" t="n">
        <f aca="false">IF($A55&lt;1900,0,IF(F55&lt;=G55,1,0))</f>
        <v>0</v>
      </c>
      <c r="V55" s="49" t="n">
        <f aca="false">IF($A55&lt;1900,0,IF(H55&gt;=I55,1,0))</f>
        <v>0</v>
      </c>
      <c r="W55" s="49" t="n">
        <f aca="false">IF($A55&lt;1900,0,IF(T55&gt;=K55,1,0))</f>
        <v>0</v>
      </c>
      <c r="X55" s="49" t="n">
        <f aca="false">IF($A55&lt;1900,0,IF(L55&lt;=M55,1,0))</f>
        <v>0</v>
      </c>
      <c r="Y55" s="49" t="n">
        <f aca="false">IF($A55&lt;1900,0,IF(N55&lt;=O55,1,0))</f>
        <v>0</v>
      </c>
      <c r="Z55" s="49" t="n">
        <f aca="false">IF($A55&lt;1900,0,IF(P55&lt;=Q55,1,0))</f>
        <v>0</v>
      </c>
      <c r="AA55" s="49" t="n">
        <f aca="false">IF($A55&lt;1900,0,IF(R55&gt;=S55,1,0))</f>
        <v>0</v>
      </c>
      <c r="AB55" s="49" t="n">
        <f aca="false">IF(SUM(U55:Y55)=5,1,0)</f>
        <v>0</v>
      </c>
      <c r="AC55" s="49" t="n">
        <f aca="false">IF(Z55+AA55=2,1,0)</f>
        <v>0</v>
      </c>
      <c r="AD55" s="49" t="n">
        <f aca="false">IF(AND(AB55=1,AC55=1),1,0)</f>
        <v>0</v>
      </c>
      <c r="AE55" s="49" t="n">
        <f aca="false">IF(AD55=1,AE54+1,0)</f>
        <v>0</v>
      </c>
      <c r="AF55" s="49" t="n">
        <f aca="false">IF(AE54&gt;=gulf_years_req,1,0)</f>
        <v>0</v>
      </c>
    </row>
    <row r="56" customFormat="false" ht="14.25" hidden="false" customHeight="true" outlineLevel="0" collapsed="false">
      <c r="A56" s="61" t="n">
        <v>1896</v>
      </c>
      <c r="B56" s="47" t="n">
        <v>0</v>
      </c>
      <c r="C56" s="71" t="n">
        <v>0</v>
      </c>
      <c r="D56" s="49" t="n">
        <f aca="false">Partners!Q56*(1-IF(AND(OR(oil_compact=0,$A56&lt;compact_year),OR($A56=1931,$A56=1932)),gulf_glut_gdp,0))</f>
        <v>0</v>
      </c>
      <c r="E56" s="49" t="n">
        <f aca="false">IF(AND(gulf_on=1,$A56&gt;=gulf_year),1,0)</f>
        <v>0</v>
      </c>
      <c r="F56" s="47" t="n">
        <v>0</v>
      </c>
      <c r="G56" s="47" t="n">
        <v>0</v>
      </c>
      <c r="H56" s="62" t="n">
        <v>0</v>
      </c>
      <c r="I56" s="62" t="n">
        <v>0</v>
      </c>
      <c r="J56" s="62" t="n">
        <v>0</v>
      </c>
      <c r="K56" s="62" t="n">
        <v>0</v>
      </c>
      <c r="L56" s="55" t="n">
        <v>0</v>
      </c>
      <c r="M56" s="55" t="n">
        <v>0</v>
      </c>
      <c r="N56" s="55" t="n">
        <v>0</v>
      </c>
      <c r="O56" s="55" t="n">
        <v>0</v>
      </c>
      <c r="P56" s="71" t="n">
        <v>0</v>
      </c>
      <c r="Q56" s="71" t="n">
        <v>0</v>
      </c>
      <c r="R56" s="71" t="n">
        <v>0</v>
      </c>
      <c r="S56" s="71" t="n">
        <v>0</v>
      </c>
      <c r="T56" s="66" t="n">
        <f aca="false">J56-IF(AND(OR(oil_compact=0,$A56&lt;compact_year),$A56&gt;=1931,$A56&lt;=1933),gulf_wage_dip,0)</f>
        <v>0</v>
      </c>
      <c r="U56" s="49" t="n">
        <f aca="false">IF($A56&lt;1900,0,IF(F56&lt;=G56,1,0))</f>
        <v>0</v>
      </c>
      <c r="V56" s="49" t="n">
        <f aca="false">IF($A56&lt;1900,0,IF(H56&gt;=I56,1,0))</f>
        <v>0</v>
      </c>
      <c r="W56" s="49" t="n">
        <f aca="false">IF($A56&lt;1900,0,IF(T56&gt;=K56,1,0))</f>
        <v>0</v>
      </c>
      <c r="X56" s="49" t="n">
        <f aca="false">IF($A56&lt;1900,0,IF(L56&lt;=M56,1,0))</f>
        <v>0</v>
      </c>
      <c r="Y56" s="49" t="n">
        <f aca="false">IF($A56&lt;1900,0,IF(N56&lt;=O56,1,0))</f>
        <v>0</v>
      </c>
      <c r="Z56" s="49" t="n">
        <f aca="false">IF($A56&lt;1900,0,IF(P56&lt;=Q56,1,0))</f>
        <v>0</v>
      </c>
      <c r="AA56" s="49" t="n">
        <f aca="false">IF($A56&lt;1900,0,IF(R56&gt;=S56,1,0))</f>
        <v>0</v>
      </c>
      <c r="AB56" s="49" t="n">
        <f aca="false">IF(SUM(U56:Y56)=5,1,0)</f>
        <v>0</v>
      </c>
      <c r="AC56" s="49" t="n">
        <f aca="false">IF(Z56+AA56=2,1,0)</f>
        <v>0</v>
      </c>
      <c r="AD56" s="49" t="n">
        <f aca="false">IF(AND(AB56=1,AC56=1),1,0)</f>
        <v>0</v>
      </c>
      <c r="AE56" s="49" t="n">
        <f aca="false">IF(AD56=1,AE55+1,0)</f>
        <v>0</v>
      </c>
      <c r="AF56" s="49" t="n">
        <f aca="false">IF(AE55&gt;=gulf_years_req,1,0)</f>
        <v>0</v>
      </c>
    </row>
    <row r="57" customFormat="false" ht="14.25" hidden="false" customHeight="true" outlineLevel="0" collapsed="false">
      <c r="A57" s="61" t="n">
        <v>1897</v>
      </c>
      <c r="B57" s="47" t="n">
        <v>0</v>
      </c>
      <c r="C57" s="71" t="n">
        <v>0</v>
      </c>
      <c r="D57" s="49" t="n">
        <f aca="false">Partners!Q57*(1-IF(AND(OR(oil_compact=0,$A57&lt;compact_year),OR($A57=1931,$A57=1932)),gulf_glut_gdp,0))</f>
        <v>0</v>
      </c>
      <c r="E57" s="49" t="n">
        <f aca="false">IF(AND(gulf_on=1,$A57&gt;=gulf_year),1,0)</f>
        <v>0</v>
      </c>
      <c r="F57" s="47" t="n">
        <v>0</v>
      </c>
      <c r="G57" s="47" t="n">
        <v>0</v>
      </c>
      <c r="H57" s="62" t="n">
        <v>0</v>
      </c>
      <c r="I57" s="62" t="n">
        <v>0</v>
      </c>
      <c r="J57" s="62" t="n">
        <v>0</v>
      </c>
      <c r="K57" s="62" t="n">
        <v>0</v>
      </c>
      <c r="L57" s="55" t="n">
        <v>0</v>
      </c>
      <c r="M57" s="55" t="n">
        <v>0</v>
      </c>
      <c r="N57" s="55" t="n">
        <v>0</v>
      </c>
      <c r="O57" s="55" t="n">
        <v>0</v>
      </c>
      <c r="P57" s="71" t="n">
        <v>0</v>
      </c>
      <c r="Q57" s="71" t="n">
        <v>0</v>
      </c>
      <c r="R57" s="71" t="n">
        <v>0</v>
      </c>
      <c r="S57" s="71" t="n">
        <v>0</v>
      </c>
      <c r="T57" s="66" t="n">
        <f aca="false">J57-IF(AND(OR(oil_compact=0,$A57&lt;compact_year),$A57&gt;=1931,$A57&lt;=1933),gulf_wage_dip,0)</f>
        <v>0</v>
      </c>
      <c r="U57" s="49" t="n">
        <f aca="false">IF($A57&lt;1900,0,IF(F57&lt;=G57,1,0))</f>
        <v>0</v>
      </c>
      <c r="V57" s="49" t="n">
        <f aca="false">IF($A57&lt;1900,0,IF(H57&gt;=I57,1,0))</f>
        <v>0</v>
      </c>
      <c r="W57" s="49" t="n">
        <f aca="false">IF($A57&lt;1900,0,IF(T57&gt;=K57,1,0))</f>
        <v>0</v>
      </c>
      <c r="X57" s="49" t="n">
        <f aca="false">IF($A57&lt;1900,0,IF(L57&lt;=M57,1,0))</f>
        <v>0</v>
      </c>
      <c r="Y57" s="49" t="n">
        <f aca="false">IF($A57&lt;1900,0,IF(N57&lt;=O57,1,0))</f>
        <v>0</v>
      </c>
      <c r="Z57" s="49" t="n">
        <f aca="false">IF($A57&lt;1900,0,IF(P57&lt;=Q57,1,0))</f>
        <v>0</v>
      </c>
      <c r="AA57" s="49" t="n">
        <f aca="false">IF($A57&lt;1900,0,IF(R57&gt;=S57,1,0))</f>
        <v>0</v>
      </c>
      <c r="AB57" s="49" t="n">
        <f aca="false">IF(SUM(U57:Y57)=5,1,0)</f>
        <v>0</v>
      </c>
      <c r="AC57" s="49" t="n">
        <f aca="false">IF(Z57+AA57=2,1,0)</f>
        <v>0</v>
      </c>
      <c r="AD57" s="49" t="n">
        <f aca="false">IF(AND(AB57=1,AC57=1),1,0)</f>
        <v>0</v>
      </c>
      <c r="AE57" s="49" t="n">
        <f aca="false">IF(AD57=1,AE56+1,0)</f>
        <v>0</v>
      </c>
      <c r="AF57" s="49" t="n">
        <f aca="false">IF(AE56&gt;=gulf_years_req,1,0)</f>
        <v>0</v>
      </c>
    </row>
    <row r="58" customFormat="false" ht="14.25" hidden="false" customHeight="true" outlineLevel="0" collapsed="false">
      <c r="A58" s="61" t="n">
        <v>1898</v>
      </c>
      <c r="B58" s="47" t="n">
        <v>0</v>
      </c>
      <c r="C58" s="71" t="n">
        <v>0</v>
      </c>
      <c r="D58" s="49" t="n">
        <f aca="false">Partners!Q58*(1-IF(AND(OR(oil_compact=0,$A58&lt;compact_year),OR($A58=1931,$A58=1932)),gulf_glut_gdp,0))</f>
        <v>0</v>
      </c>
      <c r="E58" s="49" t="n">
        <f aca="false">IF(AND(gulf_on=1,$A58&gt;=gulf_year),1,0)</f>
        <v>0</v>
      </c>
      <c r="F58" s="47" t="n">
        <v>0</v>
      </c>
      <c r="G58" s="47" t="n">
        <v>0</v>
      </c>
      <c r="H58" s="62" t="n">
        <v>0</v>
      </c>
      <c r="I58" s="62" t="n">
        <v>0</v>
      </c>
      <c r="J58" s="62" t="n">
        <v>0</v>
      </c>
      <c r="K58" s="62" t="n">
        <v>0</v>
      </c>
      <c r="L58" s="55" t="n">
        <v>0</v>
      </c>
      <c r="M58" s="55" t="n">
        <v>0</v>
      </c>
      <c r="N58" s="55" t="n">
        <v>0</v>
      </c>
      <c r="O58" s="55" t="n">
        <v>0</v>
      </c>
      <c r="P58" s="71" t="n">
        <v>0</v>
      </c>
      <c r="Q58" s="71" t="n">
        <v>0</v>
      </c>
      <c r="R58" s="71" t="n">
        <v>0</v>
      </c>
      <c r="S58" s="71" t="n">
        <v>0</v>
      </c>
      <c r="T58" s="66" t="n">
        <f aca="false">J58-IF(AND(OR(oil_compact=0,$A58&lt;compact_year),$A58&gt;=1931,$A58&lt;=1933),gulf_wage_dip,0)</f>
        <v>0</v>
      </c>
      <c r="U58" s="49" t="n">
        <f aca="false">IF($A58&lt;1900,0,IF(F58&lt;=G58,1,0))</f>
        <v>0</v>
      </c>
      <c r="V58" s="49" t="n">
        <f aca="false">IF($A58&lt;1900,0,IF(H58&gt;=I58,1,0))</f>
        <v>0</v>
      </c>
      <c r="W58" s="49" t="n">
        <f aca="false">IF($A58&lt;1900,0,IF(T58&gt;=K58,1,0))</f>
        <v>0</v>
      </c>
      <c r="X58" s="49" t="n">
        <f aca="false">IF($A58&lt;1900,0,IF(L58&lt;=M58,1,0))</f>
        <v>0</v>
      </c>
      <c r="Y58" s="49" t="n">
        <f aca="false">IF($A58&lt;1900,0,IF(N58&lt;=O58,1,0))</f>
        <v>0</v>
      </c>
      <c r="Z58" s="49" t="n">
        <f aca="false">IF($A58&lt;1900,0,IF(P58&lt;=Q58,1,0))</f>
        <v>0</v>
      </c>
      <c r="AA58" s="49" t="n">
        <f aca="false">IF($A58&lt;1900,0,IF(R58&gt;=S58,1,0))</f>
        <v>0</v>
      </c>
      <c r="AB58" s="49" t="n">
        <f aca="false">IF(SUM(U58:Y58)=5,1,0)</f>
        <v>0</v>
      </c>
      <c r="AC58" s="49" t="n">
        <f aca="false">IF(Z58+AA58=2,1,0)</f>
        <v>0</v>
      </c>
      <c r="AD58" s="49" t="n">
        <f aca="false">IF(AND(AB58=1,AC58=1),1,0)</f>
        <v>0</v>
      </c>
      <c r="AE58" s="49" t="n">
        <f aca="false">IF(AD58=1,AE57+1,0)</f>
        <v>0</v>
      </c>
      <c r="AF58" s="49" t="n">
        <f aca="false">IF(AE57&gt;=gulf_years_req,1,0)</f>
        <v>0</v>
      </c>
    </row>
    <row r="59" customFormat="false" ht="14.25" hidden="false" customHeight="true" outlineLevel="0" collapsed="false">
      <c r="A59" s="61" t="n">
        <v>1899</v>
      </c>
      <c r="B59" s="47" t="n">
        <v>0</v>
      </c>
      <c r="C59" s="71" t="n">
        <v>0</v>
      </c>
      <c r="D59" s="49" t="n">
        <f aca="false">Partners!Q59*(1-IF(AND(OR(oil_compact=0,$A59&lt;compact_year),OR($A59=1931,$A59=1932)),gulf_glut_gdp,0))</f>
        <v>0</v>
      </c>
      <c r="E59" s="49" t="n">
        <f aca="false">IF(AND(gulf_on=1,$A59&gt;=gulf_year),1,0)</f>
        <v>0</v>
      </c>
      <c r="F59" s="47" t="n">
        <v>0</v>
      </c>
      <c r="G59" s="47" t="n">
        <v>0</v>
      </c>
      <c r="H59" s="62" t="n">
        <v>0</v>
      </c>
      <c r="I59" s="62" t="n">
        <v>0</v>
      </c>
      <c r="J59" s="62" t="n">
        <v>0</v>
      </c>
      <c r="K59" s="62" t="n">
        <v>0</v>
      </c>
      <c r="L59" s="55" t="n">
        <v>0</v>
      </c>
      <c r="M59" s="55" t="n">
        <v>0</v>
      </c>
      <c r="N59" s="55" t="n">
        <v>0</v>
      </c>
      <c r="O59" s="55" t="n">
        <v>0</v>
      </c>
      <c r="P59" s="71" t="n">
        <v>0</v>
      </c>
      <c r="Q59" s="71" t="n">
        <v>0</v>
      </c>
      <c r="R59" s="71" t="n">
        <v>0</v>
      </c>
      <c r="S59" s="71" t="n">
        <v>0</v>
      </c>
      <c r="T59" s="66" t="n">
        <f aca="false">J59-IF(AND(OR(oil_compact=0,$A59&lt;compact_year),$A59&gt;=1931,$A59&lt;=1933),gulf_wage_dip,0)</f>
        <v>0</v>
      </c>
      <c r="U59" s="49" t="n">
        <f aca="false">IF($A59&lt;1900,0,IF(F59&lt;=G59,1,0))</f>
        <v>0</v>
      </c>
      <c r="V59" s="49" t="n">
        <f aca="false">IF($A59&lt;1900,0,IF(H59&gt;=I59,1,0))</f>
        <v>0</v>
      </c>
      <c r="W59" s="49" t="n">
        <f aca="false">IF($A59&lt;1900,0,IF(T59&gt;=K59,1,0))</f>
        <v>0</v>
      </c>
      <c r="X59" s="49" t="n">
        <f aca="false">IF($A59&lt;1900,0,IF(L59&lt;=M59,1,0))</f>
        <v>0</v>
      </c>
      <c r="Y59" s="49" t="n">
        <f aca="false">IF($A59&lt;1900,0,IF(N59&lt;=O59,1,0))</f>
        <v>0</v>
      </c>
      <c r="Z59" s="49" t="n">
        <f aca="false">IF($A59&lt;1900,0,IF(P59&lt;=Q59,1,0))</f>
        <v>0</v>
      </c>
      <c r="AA59" s="49" t="n">
        <f aca="false">IF($A59&lt;1900,0,IF(R59&gt;=S59,1,0))</f>
        <v>0</v>
      </c>
      <c r="AB59" s="49" t="n">
        <f aca="false">IF(SUM(U59:Y59)=5,1,0)</f>
        <v>0</v>
      </c>
      <c r="AC59" s="49" t="n">
        <f aca="false">IF(Z59+AA59=2,1,0)</f>
        <v>0</v>
      </c>
      <c r="AD59" s="49" t="n">
        <f aca="false">IF(AND(AB59=1,AC59=1),1,0)</f>
        <v>0</v>
      </c>
      <c r="AE59" s="49" t="n">
        <f aca="false">IF(AD59=1,AE58+1,0)</f>
        <v>0</v>
      </c>
      <c r="AF59" s="49" t="n">
        <f aca="false">IF(AE58&gt;=gulf_years_req,1,0)</f>
        <v>0</v>
      </c>
    </row>
    <row r="60" customFormat="false" ht="14.25" hidden="false" customHeight="true" outlineLevel="0" collapsed="false">
      <c r="A60" s="61" t="n">
        <v>1900</v>
      </c>
      <c r="B60" s="47" t="n">
        <v>6100000</v>
      </c>
      <c r="C60" s="71" t="n">
        <v>0.58</v>
      </c>
      <c r="D60" s="49" t="n">
        <f aca="false">Partners!Q60*(1-IF(AND(OR(oil_compact=0,$A60&lt;compact_year),OR($A60=1931,$A60=1932)),gulf_glut_gdp,0))</f>
        <v>870.348</v>
      </c>
      <c r="E60" s="49" t="n">
        <f aca="false">IF(AND(gulf_on=1,$A60&gt;=gulf_year),1,0)</f>
        <v>0</v>
      </c>
      <c r="F60" s="47" t="n">
        <v>175</v>
      </c>
      <c r="G60" s="47" t="n">
        <v>150</v>
      </c>
      <c r="H60" s="62" t="n">
        <v>0.78</v>
      </c>
      <c r="I60" s="62" t="n">
        <v>0.8</v>
      </c>
      <c r="J60" s="62" t="n">
        <v>0.7</v>
      </c>
      <c r="K60" s="62" t="n">
        <v>1</v>
      </c>
      <c r="L60" s="55" t="n">
        <v>26</v>
      </c>
      <c r="M60" s="55" t="n">
        <v>18</v>
      </c>
      <c r="N60" s="55" t="n">
        <v>55</v>
      </c>
      <c r="O60" s="55" t="n">
        <v>40</v>
      </c>
      <c r="P60" s="71" t="n">
        <v>1.9</v>
      </c>
      <c r="Q60" s="71" t="n">
        <v>1.05</v>
      </c>
      <c r="R60" s="71" t="n">
        <v>0.45</v>
      </c>
      <c r="S60" s="71" t="n">
        <v>0.95</v>
      </c>
      <c r="T60" s="66" t="n">
        <f aca="false">J60-IF(AND(OR(oil_compact=0,$A60&lt;compact_year),$A60&gt;=1931,$A60&lt;=1933),gulf_wage_dip,0)</f>
        <v>0.7</v>
      </c>
      <c r="U60" s="49" t="n">
        <f aca="false">IF($A60&lt;1900,0,IF(F60&lt;=G60,1,0))</f>
        <v>0</v>
      </c>
      <c r="V60" s="49" t="n">
        <f aca="false">IF($A60&lt;1900,0,IF(H60&gt;=I60,1,0))</f>
        <v>0</v>
      </c>
      <c r="W60" s="49" t="n">
        <f aca="false">IF($A60&lt;1900,0,IF(T60&gt;=K60,1,0))</f>
        <v>0</v>
      </c>
      <c r="X60" s="49" t="n">
        <f aca="false">IF($A60&lt;1900,0,IF(L60&lt;=M60,1,0))</f>
        <v>0</v>
      </c>
      <c r="Y60" s="49" t="n">
        <f aca="false">IF($A60&lt;1900,0,IF(N60&lt;=O60,1,0))</f>
        <v>0</v>
      </c>
      <c r="Z60" s="49" t="n">
        <f aca="false">IF($A60&lt;1900,0,IF(P60&lt;=Q60,1,0))</f>
        <v>0</v>
      </c>
      <c r="AA60" s="49" t="n">
        <f aca="false">IF($A60&lt;1900,0,IF(R60&gt;=S60,1,0))</f>
        <v>0</v>
      </c>
      <c r="AB60" s="49" t="n">
        <f aca="false">IF(SUM(U60:Y60)=5,1,0)</f>
        <v>0</v>
      </c>
      <c r="AC60" s="49" t="n">
        <f aca="false">IF(Z60+AA60=2,1,0)</f>
        <v>0</v>
      </c>
      <c r="AD60" s="49" t="n">
        <f aca="false">IF(AND(AB60=1,AC60=1),1,0)</f>
        <v>0</v>
      </c>
      <c r="AE60" s="49" t="n">
        <f aca="false">IF(AD60=1,AE59+1,0)</f>
        <v>0</v>
      </c>
      <c r="AF60" s="49" t="n">
        <f aca="false">IF(AE59&gt;=gulf_years_req,1,0)</f>
        <v>0</v>
      </c>
    </row>
    <row r="61" customFormat="false" ht="14.25" hidden="false" customHeight="true" outlineLevel="0" collapsed="false">
      <c r="A61" s="61" t="n">
        <v>1901</v>
      </c>
      <c r="B61" s="47" t="n">
        <v>6290000</v>
      </c>
      <c r="C61" s="71" t="n">
        <v>0.583</v>
      </c>
      <c r="D61" s="49" t="n">
        <f aca="false">Partners!Q61*(1-IF(AND(OR(oil_compact=0,$A61&lt;compact_year),OR($A61=1931,$A61=1932)),gulf_glut_gdp,0))</f>
        <v>941.364193425161</v>
      </c>
      <c r="E61" s="49" t="n">
        <f aca="false">IF(AND(gulf_on=1,$A61&gt;=gulf_year),1,0)</f>
        <v>0</v>
      </c>
      <c r="F61" s="47" t="n">
        <v>175</v>
      </c>
      <c r="G61" s="47" t="n">
        <v>147.6</v>
      </c>
      <c r="H61" s="62" t="n">
        <v>0.786</v>
      </c>
      <c r="I61" s="62" t="n">
        <v>0.805</v>
      </c>
      <c r="J61" s="62" t="n">
        <v>0.712</v>
      </c>
      <c r="K61" s="62" t="n">
        <v>1</v>
      </c>
      <c r="L61" s="55" t="n">
        <v>25.6</v>
      </c>
      <c r="M61" s="55" t="n">
        <v>17.6</v>
      </c>
      <c r="N61" s="55" t="n">
        <v>52.4</v>
      </c>
      <c r="O61" s="55" t="n">
        <v>38.6</v>
      </c>
      <c r="P61" s="71" t="n">
        <v>1.896</v>
      </c>
      <c r="Q61" s="71" t="n">
        <v>1.05</v>
      </c>
      <c r="R61" s="71" t="n">
        <v>0.456</v>
      </c>
      <c r="S61" s="71" t="n">
        <v>0.95</v>
      </c>
      <c r="T61" s="66" t="n">
        <f aca="false">J61-IF(AND(OR(oil_compact=0,$A61&lt;compact_year),$A61&gt;=1931,$A61&lt;=1933),gulf_wage_dip,0)</f>
        <v>0.712</v>
      </c>
      <c r="U61" s="49" t="n">
        <f aca="false">IF($A61&lt;1900,0,IF(F61&lt;=G61,1,0))</f>
        <v>0</v>
      </c>
      <c r="V61" s="49" t="n">
        <f aca="false">IF($A61&lt;1900,0,IF(H61&gt;=I61,1,0))</f>
        <v>0</v>
      </c>
      <c r="W61" s="49" t="n">
        <f aca="false">IF($A61&lt;1900,0,IF(T61&gt;=K61,1,0))</f>
        <v>0</v>
      </c>
      <c r="X61" s="49" t="n">
        <f aca="false">IF($A61&lt;1900,0,IF(L61&lt;=M61,1,0))</f>
        <v>0</v>
      </c>
      <c r="Y61" s="49" t="n">
        <f aca="false">IF($A61&lt;1900,0,IF(N61&lt;=O61,1,0))</f>
        <v>0</v>
      </c>
      <c r="Z61" s="49" t="n">
        <f aca="false">IF($A61&lt;1900,0,IF(P61&lt;=Q61,1,0))</f>
        <v>0</v>
      </c>
      <c r="AA61" s="49" t="n">
        <f aca="false">IF($A61&lt;1900,0,IF(R61&gt;=S61,1,0))</f>
        <v>0</v>
      </c>
      <c r="AB61" s="49" t="n">
        <f aca="false">IF(SUM(U61:Y61)=5,1,0)</f>
        <v>0</v>
      </c>
      <c r="AC61" s="49" t="n">
        <f aca="false">IF(Z61+AA61=2,1,0)</f>
        <v>0</v>
      </c>
      <c r="AD61" s="49" t="n">
        <f aca="false">IF(AND(AB61=1,AC61=1),1,0)</f>
        <v>0</v>
      </c>
      <c r="AE61" s="49" t="n">
        <f aca="false">IF(AD61=1,AE60+1,0)</f>
        <v>0</v>
      </c>
      <c r="AF61" s="49" t="n">
        <f aca="false">IF(AE60&gt;=gulf_years_req,1,0)</f>
        <v>0</v>
      </c>
    </row>
    <row r="62" customFormat="false" ht="14.25" hidden="false" customHeight="true" outlineLevel="0" collapsed="false">
      <c r="A62" s="61" t="n">
        <v>1902</v>
      </c>
      <c r="B62" s="47" t="n">
        <v>6480000</v>
      </c>
      <c r="C62" s="71" t="n">
        <v>0.586</v>
      </c>
      <c r="D62" s="49" t="n">
        <f aca="false">Partners!Q62*(1-IF(AND(OR(oil_compact=0,$A62&lt;compact_year),OR($A62=1931,$A62=1932)),gulf_glut_gdp,0))</f>
        <v>1016.05169920188</v>
      </c>
      <c r="E62" s="49" t="n">
        <f aca="false">IF(AND(gulf_on=1,$A62&gt;=gulf_year),1,0)</f>
        <v>0</v>
      </c>
      <c r="F62" s="47" t="n">
        <v>175</v>
      </c>
      <c r="G62" s="47" t="n">
        <v>145.2</v>
      </c>
      <c r="H62" s="62" t="n">
        <v>0.792</v>
      </c>
      <c r="I62" s="62" t="n">
        <v>0.81</v>
      </c>
      <c r="J62" s="62" t="n">
        <v>0.724</v>
      </c>
      <c r="K62" s="62" t="n">
        <v>1</v>
      </c>
      <c r="L62" s="55" t="n">
        <v>25.2</v>
      </c>
      <c r="M62" s="55" t="n">
        <v>17.2</v>
      </c>
      <c r="N62" s="55" t="n">
        <v>49.8</v>
      </c>
      <c r="O62" s="55" t="n">
        <v>37.2</v>
      </c>
      <c r="P62" s="71" t="n">
        <v>1.892</v>
      </c>
      <c r="Q62" s="71" t="n">
        <v>1.05</v>
      </c>
      <c r="R62" s="71" t="n">
        <v>0.462</v>
      </c>
      <c r="S62" s="71" t="n">
        <v>0.95</v>
      </c>
      <c r="T62" s="66" t="n">
        <f aca="false">J62-IF(AND(OR(oil_compact=0,$A62&lt;compact_year),$A62&gt;=1931,$A62&lt;=1933),gulf_wage_dip,0)</f>
        <v>0.724</v>
      </c>
      <c r="U62" s="49" t="n">
        <f aca="false">IF($A62&lt;1900,0,IF(F62&lt;=G62,1,0))</f>
        <v>0</v>
      </c>
      <c r="V62" s="49" t="n">
        <f aca="false">IF($A62&lt;1900,0,IF(H62&gt;=I62,1,0))</f>
        <v>0</v>
      </c>
      <c r="W62" s="49" t="n">
        <f aca="false">IF($A62&lt;1900,0,IF(T62&gt;=K62,1,0))</f>
        <v>0</v>
      </c>
      <c r="X62" s="49" t="n">
        <f aca="false">IF($A62&lt;1900,0,IF(L62&lt;=M62,1,0))</f>
        <v>0</v>
      </c>
      <c r="Y62" s="49" t="n">
        <f aca="false">IF($A62&lt;1900,0,IF(N62&lt;=O62,1,0))</f>
        <v>0</v>
      </c>
      <c r="Z62" s="49" t="n">
        <f aca="false">IF($A62&lt;1900,0,IF(P62&lt;=Q62,1,0))</f>
        <v>0</v>
      </c>
      <c r="AA62" s="49" t="n">
        <f aca="false">IF($A62&lt;1900,0,IF(R62&gt;=S62,1,0))</f>
        <v>0</v>
      </c>
      <c r="AB62" s="49" t="n">
        <f aca="false">IF(SUM(U62:Y62)=5,1,0)</f>
        <v>0</v>
      </c>
      <c r="AC62" s="49" t="n">
        <f aca="false">IF(Z62+AA62=2,1,0)</f>
        <v>0</v>
      </c>
      <c r="AD62" s="49" t="n">
        <f aca="false">IF(AND(AB62=1,AC62=1),1,0)</f>
        <v>0</v>
      </c>
      <c r="AE62" s="49" t="n">
        <f aca="false">IF(AD62=1,AE61+1,0)</f>
        <v>0</v>
      </c>
      <c r="AF62" s="49" t="n">
        <f aca="false">IF(AE61&gt;=gulf_years_req,1,0)</f>
        <v>0</v>
      </c>
    </row>
    <row r="63" customFormat="false" ht="14.25" hidden="false" customHeight="true" outlineLevel="0" collapsed="false">
      <c r="A63" s="61" t="n">
        <v>1903</v>
      </c>
      <c r="B63" s="47" t="n">
        <v>6670000</v>
      </c>
      <c r="C63" s="71" t="n">
        <v>0.589</v>
      </c>
      <c r="D63" s="49" t="n">
        <f aca="false">Partners!Q63*(1-IF(AND(OR(oil_compact=0,$A63&lt;compact_year),OR($A63=1931,$A63=1932)),gulf_glut_gdp,0))</f>
        <v>1090.53310122715</v>
      </c>
      <c r="E63" s="49" t="n">
        <f aca="false">IF(AND(gulf_on=1,$A63&gt;=gulf_year),1,0)</f>
        <v>0</v>
      </c>
      <c r="F63" s="47" t="n">
        <v>175</v>
      </c>
      <c r="G63" s="47" t="n">
        <v>142.8</v>
      </c>
      <c r="H63" s="62" t="n">
        <v>0.798</v>
      </c>
      <c r="I63" s="62" t="n">
        <v>0.815</v>
      </c>
      <c r="J63" s="62" t="n">
        <v>0.736</v>
      </c>
      <c r="K63" s="62" t="n">
        <v>1</v>
      </c>
      <c r="L63" s="55" t="n">
        <v>24.8</v>
      </c>
      <c r="M63" s="55" t="n">
        <v>16.8</v>
      </c>
      <c r="N63" s="55" t="n">
        <v>47.2</v>
      </c>
      <c r="O63" s="55" t="n">
        <v>35.8</v>
      </c>
      <c r="P63" s="71" t="n">
        <v>1.888</v>
      </c>
      <c r="Q63" s="71" t="n">
        <v>1.05</v>
      </c>
      <c r="R63" s="71" t="n">
        <v>0.468</v>
      </c>
      <c r="S63" s="71" t="n">
        <v>0.95</v>
      </c>
      <c r="T63" s="66" t="n">
        <f aca="false">J63-IF(AND(OR(oil_compact=0,$A63&lt;compact_year),$A63&gt;=1931,$A63&lt;=1933),gulf_wage_dip,0)</f>
        <v>0.736</v>
      </c>
      <c r="U63" s="49" t="n">
        <f aca="false">IF($A63&lt;1900,0,IF(F63&lt;=G63,1,0))</f>
        <v>0</v>
      </c>
      <c r="V63" s="49" t="n">
        <f aca="false">IF($A63&lt;1900,0,IF(H63&gt;=I63,1,0))</f>
        <v>0</v>
      </c>
      <c r="W63" s="49" t="n">
        <f aca="false">IF($A63&lt;1900,0,IF(T63&gt;=K63,1,0))</f>
        <v>0</v>
      </c>
      <c r="X63" s="49" t="n">
        <f aca="false">IF($A63&lt;1900,0,IF(L63&lt;=M63,1,0))</f>
        <v>0</v>
      </c>
      <c r="Y63" s="49" t="n">
        <f aca="false">IF($A63&lt;1900,0,IF(N63&lt;=O63,1,0))</f>
        <v>0</v>
      </c>
      <c r="Z63" s="49" t="n">
        <f aca="false">IF($A63&lt;1900,0,IF(P63&lt;=Q63,1,0))</f>
        <v>0</v>
      </c>
      <c r="AA63" s="49" t="n">
        <f aca="false">IF($A63&lt;1900,0,IF(R63&gt;=S63,1,0))</f>
        <v>0</v>
      </c>
      <c r="AB63" s="49" t="n">
        <f aca="false">IF(SUM(U63:Y63)=5,1,0)</f>
        <v>0</v>
      </c>
      <c r="AC63" s="49" t="n">
        <f aca="false">IF(Z63+AA63=2,1,0)</f>
        <v>0</v>
      </c>
      <c r="AD63" s="49" t="n">
        <f aca="false">IF(AND(AB63=1,AC63=1),1,0)</f>
        <v>0</v>
      </c>
      <c r="AE63" s="49" t="n">
        <f aca="false">IF(AD63=1,AE62+1,0)</f>
        <v>0</v>
      </c>
      <c r="AF63" s="49" t="n">
        <f aca="false">IF(AE62&gt;=gulf_years_req,1,0)</f>
        <v>0</v>
      </c>
    </row>
    <row r="64" customFormat="false" ht="14.25" hidden="false" customHeight="true" outlineLevel="0" collapsed="false">
      <c r="A64" s="61" t="n">
        <v>1904</v>
      </c>
      <c r="B64" s="47" t="n">
        <v>6860000</v>
      </c>
      <c r="C64" s="71" t="n">
        <v>0.592</v>
      </c>
      <c r="D64" s="49" t="n">
        <f aca="false">Partners!Q64*(1-IF(AND(OR(oil_compact=0,$A64&lt;compact_year),OR($A64=1931,$A64=1932)),gulf_glut_gdp,0))</f>
        <v>1172.79678216869</v>
      </c>
      <c r="E64" s="49" t="n">
        <f aca="false">IF(AND(gulf_on=1,$A64&gt;=gulf_year),1,0)</f>
        <v>0</v>
      </c>
      <c r="F64" s="47" t="n">
        <v>182.5</v>
      </c>
      <c r="G64" s="47" t="n">
        <v>140.4</v>
      </c>
      <c r="H64" s="62" t="n">
        <v>0.804</v>
      </c>
      <c r="I64" s="62" t="n">
        <v>0.82</v>
      </c>
      <c r="J64" s="62" t="n">
        <v>0.748</v>
      </c>
      <c r="K64" s="62" t="n">
        <v>1</v>
      </c>
      <c r="L64" s="55" t="n">
        <v>24.4</v>
      </c>
      <c r="M64" s="55" t="n">
        <v>16.4</v>
      </c>
      <c r="N64" s="55" t="n">
        <v>44.6</v>
      </c>
      <c r="O64" s="55" t="n">
        <v>34.4</v>
      </c>
      <c r="P64" s="71" t="n">
        <v>1.884</v>
      </c>
      <c r="Q64" s="71" t="n">
        <v>1.05</v>
      </c>
      <c r="R64" s="71" t="n">
        <v>0.474</v>
      </c>
      <c r="S64" s="71" t="n">
        <v>0.95</v>
      </c>
      <c r="T64" s="66" t="n">
        <f aca="false">J64-IF(AND(OR(oil_compact=0,$A64&lt;compact_year),$A64&gt;=1931,$A64&lt;=1933),gulf_wage_dip,0)</f>
        <v>0.748</v>
      </c>
      <c r="U64" s="49" t="n">
        <f aca="false">IF($A64&lt;1900,0,IF(F64&lt;=G64,1,0))</f>
        <v>0</v>
      </c>
      <c r="V64" s="49" t="n">
        <f aca="false">IF($A64&lt;1900,0,IF(H64&gt;=I64,1,0))</f>
        <v>0</v>
      </c>
      <c r="W64" s="49" t="n">
        <f aca="false">IF($A64&lt;1900,0,IF(T64&gt;=K64,1,0))</f>
        <v>0</v>
      </c>
      <c r="X64" s="49" t="n">
        <f aca="false">IF($A64&lt;1900,0,IF(L64&lt;=M64,1,0))</f>
        <v>0</v>
      </c>
      <c r="Y64" s="49" t="n">
        <f aca="false">IF($A64&lt;1900,0,IF(N64&lt;=O64,1,0))</f>
        <v>0</v>
      </c>
      <c r="Z64" s="49" t="n">
        <f aca="false">IF($A64&lt;1900,0,IF(P64&lt;=Q64,1,0))</f>
        <v>0</v>
      </c>
      <c r="AA64" s="49" t="n">
        <f aca="false">IF($A64&lt;1900,0,IF(R64&gt;=S64,1,0))</f>
        <v>0</v>
      </c>
      <c r="AB64" s="49" t="n">
        <f aca="false">IF(SUM(U64:Y64)=5,1,0)</f>
        <v>0</v>
      </c>
      <c r="AC64" s="49" t="n">
        <f aca="false">IF(Z64+AA64=2,1,0)</f>
        <v>0</v>
      </c>
      <c r="AD64" s="49" t="n">
        <f aca="false">IF(AND(AB64=1,AC64=1),1,0)</f>
        <v>0</v>
      </c>
      <c r="AE64" s="49" t="n">
        <f aca="false">IF(AD64=1,AE63+1,0)</f>
        <v>0</v>
      </c>
      <c r="AF64" s="49" t="n">
        <f aca="false">IF(AE63&gt;=gulf_years_req,1,0)</f>
        <v>0</v>
      </c>
    </row>
    <row r="65" customFormat="false" ht="14.25" hidden="false" customHeight="true" outlineLevel="0" collapsed="false">
      <c r="A65" s="61" t="n">
        <v>1905</v>
      </c>
      <c r="B65" s="47" t="n">
        <v>7050000</v>
      </c>
      <c r="C65" s="71" t="n">
        <v>0.595</v>
      </c>
      <c r="D65" s="49" t="n">
        <f aca="false">Partners!Q65*(1-IF(AND(OR(oil_compact=0,$A65&lt;compact_year),OR($A65=1931,$A65=1932)),gulf_glut_gdp,0))</f>
        <v>1259.114443428</v>
      </c>
      <c r="E65" s="49" t="n">
        <f aca="false">IF(AND(gulf_on=1,$A65&gt;=gulf_year),1,0)</f>
        <v>0</v>
      </c>
      <c r="F65" s="47" t="n">
        <v>190</v>
      </c>
      <c r="G65" s="47" t="n">
        <v>138</v>
      </c>
      <c r="H65" s="62" t="n">
        <v>0.81</v>
      </c>
      <c r="I65" s="62" t="n">
        <v>0.825</v>
      </c>
      <c r="J65" s="62" t="n">
        <v>0.76</v>
      </c>
      <c r="K65" s="62" t="n">
        <v>1</v>
      </c>
      <c r="L65" s="55" t="n">
        <v>24</v>
      </c>
      <c r="M65" s="55" t="n">
        <v>16</v>
      </c>
      <c r="N65" s="55" t="n">
        <v>42</v>
      </c>
      <c r="O65" s="55" t="n">
        <v>33</v>
      </c>
      <c r="P65" s="71" t="n">
        <v>1.88</v>
      </c>
      <c r="Q65" s="71" t="n">
        <v>1.05</v>
      </c>
      <c r="R65" s="71" t="n">
        <v>0.48</v>
      </c>
      <c r="S65" s="71" t="n">
        <v>0.95</v>
      </c>
      <c r="T65" s="66" t="n">
        <f aca="false">J65-IF(AND(OR(oil_compact=0,$A65&lt;compact_year),$A65&gt;=1931,$A65&lt;=1933),gulf_wage_dip,0)</f>
        <v>0.76</v>
      </c>
      <c r="U65" s="49" t="n">
        <f aca="false">IF($A65&lt;1900,0,IF(F65&lt;=G65,1,0))</f>
        <v>0</v>
      </c>
      <c r="V65" s="49" t="n">
        <f aca="false">IF($A65&lt;1900,0,IF(H65&gt;=I65,1,0))</f>
        <v>0</v>
      </c>
      <c r="W65" s="49" t="n">
        <f aca="false">IF($A65&lt;1900,0,IF(T65&gt;=K65,1,0))</f>
        <v>0</v>
      </c>
      <c r="X65" s="49" t="n">
        <f aca="false">IF($A65&lt;1900,0,IF(L65&lt;=M65,1,0))</f>
        <v>0</v>
      </c>
      <c r="Y65" s="49" t="n">
        <f aca="false">IF($A65&lt;1900,0,IF(N65&lt;=O65,1,0))</f>
        <v>0</v>
      </c>
      <c r="Z65" s="49" t="n">
        <f aca="false">IF($A65&lt;1900,0,IF(P65&lt;=Q65,1,0))</f>
        <v>0</v>
      </c>
      <c r="AA65" s="49" t="n">
        <f aca="false">IF($A65&lt;1900,0,IF(R65&gt;=S65,1,0))</f>
        <v>0</v>
      </c>
      <c r="AB65" s="49" t="n">
        <f aca="false">IF(SUM(U65:Y65)=5,1,0)</f>
        <v>0</v>
      </c>
      <c r="AC65" s="49" t="n">
        <f aca="false">IF(Z65+AA65=2,1,0)</f>
        <v>0</v>
      </c>
      <c r="AD65" s="49" t="n">
        <f aca="false">IF(AND(AB65=1,AC65=1),1,0)</f>
        <v>0</v>
      </c>
      <c r="AE65" s="49" t="n">
        <f aca="false">IF(AD65=1,AE64+1,0)</f>
        <v>0</v>
      </c>
      <c r="AF65" s="49" t="n">
        <f aca="false">IF(AE64&gt;=gulf_years_req,1,0)</f>
        <v>0</v>
      </c>
    </row>
    <row r="66" customFormat="false" ht="14.25" hidden="false" customHeight="true" outlineLevel="0" collapsed="false">
      <c r="A66" s="61" t="n">
        <v>1906</v>
      </c>
      <c r="B66" s="47" t="n">
        <v>7240000</v>
      </c>
      <c r="C66" s="71" t="n">
        <v>0.598</v>
      </c>
      <c r="D66" s="49" t="n">
        <f aca="false">Partners!Q66*(1-IF(AND(OR(oil_compact=0,$A66&lt;compact_year),OR($A66=1931,$A66=1932)),gulf_glut_gdp,0))</f>
        <v>1376.67152779267</v>
      </c>
      <c r="E66" s="49" t="n">
        <f aca="false">IF(AND(gulf_on=1,$A66&gt;=gulf_year),1,0)</f>
        <v>0</v>
      </c>
      <c r="F66" s="47" t="n">
        <v>184</v>
      </c>
      <c r="G66" s="47" t="n">
        <v>135.4</v>
      </c>
      <c r="H66" s="62" t="n">
        <v>0.818</v>
      </c>
      <c r="I66" s="62" t="n">
        <v>0.83</v>
      </c>
      <c r="J66" s="62" t="n">
        <v>0.772</v>
      </c>
      <c r="K66" s="62" t="n">
        <v>1</v>
      </c>
      <c r="L66" s="55" t="n">
        <v>23.4</v>
      </c>
      <c r="M66" s="55" t="n">
        <v>15.6</v>
      </c>
      <c r="N66" s="55" t="n">
        <v>39.2</v>
      </c>
      <c r="O66" s="55" t="n">
        <v>31.4</v>
      </c>
      <c r="P66" s="71" t="n">
        <v>1.854</v>
      </c>
      <c r="Q66" s="71" t="n">
        <v>1.05</v>
      </c>
      <c r="R66" s="71" t="n">
        <v>0.494</v>
      </c>
      <c r="S66" s="71" t="n">
        <v>0.95</v>
      </c>
      <c r="T66" s="66" t="n">
        <f aca="false">J66-IF(AND(OR(oil_compact=0,$A66&lt;compact_year),$A66&gt;=1931,$A66&lt;=1933),gulf_wage_dip,0)</f>
        <v>0.772</v>
      </c>
      <c r="U66" s="49" t="n">
        <f aca="false">IF($A66&lt;1900,0,IF(F66&lt;=G66,1,0))</f>
        <v>0</v>
      </c>
      <c r="V66" s="49" t="n">
        <f aca="false">IF($A66&lt;1900,0,IF(H66&gt;=I66,1,0))</f>
        <v>0</v>
      </c>
      <c r="W66" s="49" t="n">
        <f aca="false">IF($A66&lt;1900,0,IF(T66&gt;=K66,1,0))</f>
        <v>0</v>
      </c>
      <c r="X66" s="49" t="n">
        <f aca="false">IF($A66&lt;1900,0,IF(L66&lt;=M66,1,0))</f>
        <v>0</v>
      </c>
      <c r="Y66" s="49" t="n">
        <f aca="false">IF($A66&lt;1900,0,IF(N66&lt;=O66,1,0))</f>
        <v>0</v>
      </c>
      <c r="Z66" s="49" t="n">
        <f aca="false">IF($A66&lt;1900,0,IF(P66&lt;=Q66,1,0))</f>
        <v>0</v>
      </c>
      <c r="AA66" s="49" t="n">
        <f aca="false">IF($A66&lt;1900,0,IF(R66&gt;=S66,1,0))</f>
        <v>0</v>
      </c>
      <c r="AB66" s="49" t="n">
        <f aca="false">IF(SUM(U66:Y66)=5,1,0)</f>
        <v>0</v>
      </c>
      <c r="AC66" s="49" t="n">
        <f aca="false">IF(Z66+AA66=2,1,0)</f>
        <v>0</v>
      </c>
      <c r="AD66" s="49" t="n">
        <f aca="false">IF(AND(AB66=1,AC66=1),1,0)</f>
        <v>0</v>
      </c>
      <c r="AE66" s="49" t="n">
        <f aca="false">IF(AD66=1,AE65+1,0)</f>
        <v>0</v>
      </c>
      <c r="AF66" s="49" t="n">
        <f aca="false">IF(AE65&gt;=gulf_years_req,1,0)</f>
        <v>0</v>
      </c>
    </row>
    <row r="67" customFormat="false" ht="14.25" hidden="false" customHeight="true" outlineLevel="0" collapsed="false">
      <c r="A67" s="61" t="n">
        <v>1907</v>
      </c>
      <c r="B67" s="47" t="n">
        <v>7430000</v>
      </c>
      <c r="C67" s="71" t="n">
        <v>0.602</v>
      </c>
      <c r="D67" s="49" t="n">
        <f aca="false">Partners!Q67*(1-IF(AND(OR(oil_compact=0,$A67&lt;compact_year),OR($A67=1931,$A67=1932)),gulf_glut_gdp,0))</f>
        <v>1498.39655235624</v>
      </c>
      <c r="E67" s="49" t="n">
        <f aca="false">IF(AND(gulf_on=1,$A67&gt;=gulf_year),1,0)</f>
        <v>0</v>
      </c>
      <c r="F67" s="47" t="n">
        <v>178</v>
      </c>
      <c r="G67" s="47" t="n">
        <v>132.8</v>
      </c>
      <c r="H67" s="62" t="n">
        <v>0.826</v>
      </c>
      <c r="I67" s="62" t="n">
        <v>0.835</v>
      </c>
      <c r="J67" s="62" t="n">
        <v>0.784</v>
      </c>
      <c r="K67" s="62" t="n">
        <v>1</v>
      </c>
      <c r="L67" s="55" t="n">
        <v>22.8</v>
      </c>
      <c r="M67" s="55" t="n">
        <v>15.2</v>
      </c>
      <c r="N67" s="55" t="n">
        <v>36.4</v>
      </c>
      <c r="O67" s="55" t="n">
        <v>29.8</v>
      </c>
      <c r="P67" s="71" t="n">
        <v>1.828</v>
      </c>
      <c r="Q67" s="71" t="n">
        <v>1.05</v>
      </c>
      <c r="R67" s="71" t="n">
        <v>0.508</v>
      </c>
      <c r="S67" s="71" t="n">
        <v>0.95</v>
      </c>
      <c r="T67" s="66" t="n">
        <f aca="false">J67-IF(AND(OR(oil_compact=0,$A67&lt;compact_year),$A67&gt;=1931,$A67&lt;=1933),gulf_wage_dip,0)</f>
        <v>0.784</v>
      </c>
      <c r="U67" s="49" t="n">
        <f aca="false">IF($A67&lt;1900,0,IF(F67&lt;=G67,1,0))</f>
        <v>0</v>
      </c>
      <c r="V67" s="49" t="n">
        <f aca="false">IF($A67&lt;1900,0,IF(H67&gt;=I67,1,0))</f>
        <v>0</v>
      </c>
      <c r="W67" s="49" t="n">
        <f aca="false">IF($A67&lt;1900,0,IF(T67&gt;=K67,1,0))</f>
        <v>0</v>
      </c>
      <c r="X67" s="49" t="n">
        <f aca="false">IF($A67&lt;1900,0,IF(L67&lt;=M67,1,0))</f>
        <v>0</v>
      </c>
      <c r="Y67" s="49" t="n">
        <f aca="false">IF($A67&lt;1900,0,IF(N67&lt;=O67,1,0))</f>
        <v>0</v>
      </c>
      <c r="Z67" s="49" t="n">
        <f aca="false">IF($A67&lt;1900,0,IF(P67&lt;=Q67,1,0))</f>
        <v>0</v>
      </c>
      <c r="AA67" s="49" t="n">
        <f aca="false">IF($A67&lt;1900,0,IF(R67&gt;=S67,1,0))</f>
        <v>0</v>
      </c>
      <c r="AB67" s="49" t="n">
        <f aca="false">IF(SUM(U67:Y67)=5,1,0)</f>
        <v>0</v>
      </c>
      <c r="AC67" s="49" t="n">
        <f aca="false">IF(Z67+AA67=2,1,0)</f>
        <v>0</v>
      </c>
      <c r="AD67" s="49" t="n">
        <f aca="false">IF(AND(AB67=1,AC67=1),1,0)</f>
        <v>0</v>
      </c>
      <c r="AE67" s="49" t="n">
        <f aca="false">IF(AD67=1,AE66+1,0)</f>
        <v>0</v>
      </c>
      <c r="AF67" s="49" t="n">
        <f aca="false">IF(AE66&gt;=gulf_years_req,1,0)</f>
        <v>0</v>
      </c>
    </row>
    <row r="68" customFormat="false" ht="14.25" hidden="false" customHeight="true" outlineLevel="0" collapsed="false">
      <c r="A68" s="61" t="n">
        <v>1908</v>
      </c>
      <c r="B68" s="47" t="n">
        <v>7620000</v>
      </c>
      <c r="C68" s="71" t="n">
        <v>0.605</v>
      </c>
      <c r="D68" s="49" t="n">
        <f aca="false">Partners!Q68*(1-IF(AND(OR(oil_compact=0,$A68&lt;compact_year),OR($A68=1931,$A68=1932)),gulf_glut_gdp,0))</f>
        <v>1628.78233720484</v>
      </c>
      <c r="E68" s="49" t="n">
        <f aca="false">IF(AND(gulf_on=1,$A68&gt;=gulf_year),1,0)</f>
        <v>0</v>
      </c>
      <c r="F68" s="47" t="n">
        <v>172</v>
      </c>
      <c r="G68" s="47" t="n">
        <v>130.2</v>
      </c>
      <c r="H68" s="62" t="n">
        <v>0.834</v>
      </c>
      <c r="I68" s="62" t="n">
        <v>0.84</v>
      </c>
      <c r="J68" s="62" t="n">
        <v>0.796</v>
      </c>
      <c r="K68" s="62" t="n">
        <v>1</v>
      </c>
      <c r="L68" s="55" t="n">
        <v>22.2</v>
      </c>
      <c r="M68" s="55" t="n">
        <v>14.8</v>
      </c>
      <c r="N68" s="55" t="n">
        <v>33.6</v>
      </c>
      <c r="O68" s="55" t="n">
        <v>28.2</v>
      </c>
      <c r="P68" s="71" t="n">
        <v>1.802</v>
      </c>
      <c r="Q68" s="71" t="n">
        <v>1.05</v>
      </c>
      <c r="R68" s="71" t="n">
        <v>0.522</v>
      </c>
      <c r="S68" s="71" t="n">
        <v>0.95</v>
      </c>
      <c r="T68" s="66" t="n">
        <f aca="false">J68-IF(AND(OR(oil_compact=0,$A68&lt;compact_year),$A68&gt;=1931,$A68&lt;=1933),gulf_wage_dip,0)</f>
        <v>0.796</v>
      </c>
      <c r="U68" s="49" t="n">
        <f aca="false">IF($A68&lt;1900,0,IF(F68&lt;=G68,1,0))</f>
        <v>0</v>
      </c>
      <c r="V68" s="49" t="n">
        <f aca="false">IF($A68&lt;1900,0,IF(H68&gt;=I68,1,0))</f>
        <v>0</v>
      </c>
      <c r="W68" s="49" t="n">
        <f aca="false">IF($A68&lt;1900,0,IF(T68&gt;=K68,1,0))</f>
        <v>0</v>
      </c>
      <c r="X68" s="49" t="n">
        <f aca="false">IF($A68&lt;1900,0,IF(L68&lt;=M68,1,0))</f>
        <v>0</v>
      </c>
      <c r="Y68" s="49" t="n">
        <f aca="false">IF($A68&lt;1900,0,IF(N68&lt;=O68,1,0))</f>
        <v>0</v>
      </c>
      <c r="Z68" s="49" t="n">
        <f aca="false">IF($A68&lt;1900,0,IF(P68&lt;=Q68,1,0))</f>
        <v>0</v>
      </c>
      <c r="AA68" s="49" t="n">
        <f aca="false">IF($A68&lt;1900,0,IF(R68&gt;=S68,1,0))</f>
        <v>0</v>
      </c>
      <c r="AB68" s="49" t="n">
        <f aca="false">IF(SUM(U68:Y68)=5,1,0)</f>
        <v>0</v>
      </c>
      <c r="AC68" s="49" t="n">
        <f aca="false">IF(Z68+AA68=2,1,0)</f>
        <v>0</v>
      </c>
      <c r="AD68" s="49" t="n">
        <f aca="false">IF(AND(AB68=1,AC68=1),1,0)</f>
        <v>0</v>
      </c>
      <c r="AE68" s="49" t="n">
        <f aca="false">IF(AD68=1,AE67+1,0)</f>
        <v>0</v>
      </c>
      <c r="AF68" s="49" t="n">
        <f aca="false">IF(AE67&gt;=gulf_years_req,1,0)</f>
        <v>0</v>
      </c>
    </row>
    <row r="69" customFormat="false" ht="14.25" hidden="false" customHeight="true" outlineLevel="0" collapsed="false">
      <c r="A69" s="61" t="n">
        <v>1909</v>
      </c>
      <c r="B69" s="47" t="n">
        <v>7810000</v>
      </c>
      <c r="C69" s="71" t="n">
        <v>0.608</v>
      </c>
      <c r="D69" s="49" t="n">
        <f aca="false">Partners!Q69*(1-IF(AND(OR(oil_compact=0,$A69&lt;compact_year),OR($A69=1931,$A69=1932)),gulf_glut_gdp,0))</f>
        <v>1760.50929663936</v>
      </c>
      <c r="E69" s="49" t="n">
        <f aca="false">IF(AND(gulf_on=1,$A69&gt;=gulf_year),1,0)</f>
        <v>0</v>
      </c>
      <c r="F69" s="47" t="n">
        <v>166</v>
      </c>
      <c r="G69" s="47" t="n">
        <v>127.6</v>
      </c>
      <c r="H69" s="62" t="n">
        <v>0.842</v>
      </c>
      <c r="I69" s="62" t="n">
        <v>0.845</v>
      </c>
      <c r="J69" s="62" t="n">
        <v>0.808</v>
      </c>
      <c r="K69" s="62" t="n">
        <v>1</v>
      </c>
      <c r="L69" s="55" t="n">
        <v>21.6</v>
      </c>
      <c r="M69" s="55" t="n">
        <v>14.4</v>
      </c>
      <c r="N69" s="55" t="n">
        <v>30.8</v>
      </c>
      <c r="O69" s="55" t="n">
        <v>26.6</v>
      </c>
      <c r="P69" s="71" t="n">
        <v>1.776</v>
      </c>
      <c r="Q69" s="71" t="n">
        <v>1.05</v>
      </c>
      <c r="R69" s="71" t="n">
        <v>0.536</v>
      </c>
      <c r="S69" s="71" t="n">
        <v>0.95</v>
      </c>
      <c r="T69" s="66" t="n">
        <f aca="false">J69-IF(AND(OR(oil_compact=0,$A69&lt;compact_year),$A69&gt;=1931,$A69&lt;=1933),gulf_wage_dip,0)</f>
        <v>0.808</v>
      </c>
      <c r="U69" s="49" t="n">
        <f aca="false">IF($A69&lt;1900,0,IF(F69&lt;=G69,1,0))</f>
        <v>0</v>
      </c>
      <c r="V69" s="49" t="n">
        <f aca="false">IF($A69&lt;1900,0,IF(H69&gt;=I69,1,0))</f>
        <v>0</v>
      </c>
      <c r="W69" s="49" t="n">
        <f aca="false">IF($A69&lt;1900,0,IF(T69&gt;=K69,1,0))</f>
        <v>0</v>
      </c>
      <c r="X69" s="49" t="n">
        <f aca="false">IF($A69&lt;1900,0,IF(L69&lt;=M69,1,0))</f>
        <v>0</v>
      </c>
      <c r="Y69" s="49" t="n">
        <f aca="false">IF($A69&lt;1900,0,IF(N69&lt;=O69,1,0))</f>
        <v>0</v>
      </c>
      <c r="Z69" s="49" t="n">
        <f aca="false">IF($A69&lt;1900,0,IF(P69&lt;=Q69,1,0))</f>
        <v>0</v>
      </c>
      <c r="AA69" s="49" t="n">
        <f aca="false">IF($A69&lt;1900,0,IF(R69&gt;=S69,1,0))</f>
        <v>0</v>
      </c>
      <c r="AB69" s="49" t="n">
        <f aca="false">IF(SUM(U69:Y69)=5,1,0)</f>
        <v>0</v>
      </c>
      <c r="AC69" s="49" t="n">
        <f aca="false">IF(Z69+AA69=2,1,0)</f>
        <v>0</v>
      </c>
      <c r="AD69" s="49" t="n">
        <f aca="false">IF(AND(AB69=1,AC69=1),1,0)</f>
        <v>0</v>
      </c>
      <c r="AE69" s="49" t="n">
        <f aca="false">IF(AD69=1,AE68+1,0)</f>
        <v>0</v>
      </c>
      <c r="AF69" s="49" t="n">
        <f aca="false">IF(AE68&gt;=gulf_years_req,1,0)</f>
        <v>0</v>
      </c>
    </row>
    <row r="70" customFormat="false" ht="14.25" hidden="false" customHeight="true" outlineLevel="0" collapsed="false">
      <c r="A70" s="61" t="n">
        <v>1910</v>
      </c>
      <c r="B70" s="47" t="n">
        <v>8000000</v>
      </c>
      <c r="C70" s="71" t="n">
        <v>0.611</v>
      </c>
      <c r="D70" s="49" t="n">
        <f aca="false">Partners!Q70*(1-IF(AND(OR(oil_compact=0,$A70&lt;compact_year),OR($A70=1931,$A70=1932)),gulf_glut_gdp,0))</f>
        <v>1904.63543414375</v>
      </c>
      <c r="E70" s="49" t="n">
        <f aca="false">IF(AND(gulf_on=1,$A70&gt;=gulf_year),1,0)</f>
        <v>0</v>
      </c>
      <c r="F70" s="47" t="n">
        <v>160</v>
      </c>
      <c r="G70" s="47" t="n">
        <v>125</v>
      </c>
      <c r="H70" s="62" t="n">
        <v>0.85</v>
      </c>
      <c r="I70" s="62" t="n">
        <v>0.85</v>
      </c>
      <c r="J70" s="62" t="n">
        <v>0.82</v>
      </c>
      <c r="K70" s="62" t="n">
        <v>1</v>
      </c>
      <c r="L70" s="55" t="n">
        <v>21</v>
      </c>
      <c r="M70" s="55" t="n">
        <v>14</v>
      </c>
      <c r="N70" s="55" t="n">
        <v>28</v>
      </c>
      <c r="O70" s="55" t="n">
        <v>25</v>
      </c>
      <c r="P70" s="71" t="n">
        <v>1.75</v>
      </c>
      <c r="Q70" s="71" t="n">
        <v>1.05</v>
      </c>
      <c r="R70" s="71" t="n">
        <v>0.55</v>
      </c>
      <c r="S70" s="71" t="n">
        <v>0.95</v>
      </c>
      <c r="T70" s="66" t="n">
        <f aca="false">J70-IF(AND(OR(oil_compact=0,$A70&lt;compact_year),$A70&gt;=1931,$A70&lt;=1933),gulf_wage_dip,0)</f>
        <v>0.82</v>
      </c>
      <c r="U70" s="49" t="n">
        <f aca="false">IF($A70&lt;1900,0,IF(F70&lt;=G70,1,0))</f>
        <v>0</v>
      </c>
      <c r="V70" s="49" t="n">
        <f aca="false">IF($A70&lt;1900,0,IF(H70&gt;=I70,1,0))</f>
        <v>1</v>
      </c>
      <c r="W70" s="49" t="n">
        <f aca="false">IF($A70&lt;1900,0,IF(T70&gt;=K70,1,0))</f>
        <v>0</v>
      </c>
      <c r="X70" s="49" t="n">
        <f aca="false">IF($A70&lt;1900,0,IF(L70&lt;=M70,1,0))</f>
        <v>0</v>
      </c>
      <c r="Y70" s="49" t="n">
        <f aca="false">IF($A70&lt;1900,0,IF(N70&lt;=O70,1,0))</f>
        <v>0</v>
      </c>
      <c r="Z70" s="49" t="n">
        <f aca="false">IF($A70&lt;1900,0,IF(P70&lt;=Q70,1,0))</f>
        <v>0</v>
      </c>
      <c r="AA70" s="49" t="n">
        <f aca="false">IF($A70&lt;1900,0,IF(R70&gt;=S70,1,0))</f>
        <v>0</v>
      </c>
      <c r="AB70" s="49" t="n">
        <f aca="false">IF(SUM(U70:Y70)=5,1,0)</f>
        <v>0</v>
      </c>
      <c r="AC70" s="49" t="n">
        <f aca="false">IF(Z70+AA70=2,1,0)</f>
        <v>0</v>
      </c>
      <c r="AD70" s="49" t="n">
        <f aca="false">IF(AND(AB70=1,AC70=1),1,0)</f>
        <v>0</v>
      </c>
      <c r="AE70" s="49" t="n">
        <f aca="false">IF(AD70=1,AE69+1,0)</f>
        <v>0</v>
      </c>
      <c r="AF70" s="49" t="n">
        <f aca="false">IF(AE69&gt;=gulf_years_req,1,0)</f>
        <v>0</v>
      </c>
    </row>
    <row r="71" customFormat="false" ht="14.25" hidden="false" customHeight="true" outlineLevel="0" collapsed="false">
      <c r="A71" s="61" t="n">
        <v>1911</v>
      </c>
      <c r="B71" s="47" t="n">
        <v>8140000</v>
      </c>
      <c r="C71" s="71" t="n">
        <v>0.614</v>
      </c>
      <c r="D71" s="49" t="n">
        <f aca="false">Partners!Q71*(1-IF(AND(OR(oil_compact=0,$A71&lt;compact_year),OR($A71=1931,$A71=1932)),gulf_glut_gdp,0))</f>
        <v>2032.66487098034</v>
      </c>
      <c r="E71" s="49" t="n">
        <f aca="false">IF(AND(gulf_on=1,$A71&gt;=gulf_year),1,0)</f>
        <v>0</v>
      </c>
      <c r="F71" s="47" t="n">
        <v>153.6</v>
      </c>
      <c r="G71" s="47" t="n">
        <v>122.4</v>
      </c>
      <c r="H71" s="62" t="n">
        <v>0.857</v>
      </c>
      <c r="I71" s="62" t="n">
        <v>0.854</v>
      </c>
      <c r="J71" s="62" t="n">
        <v>0.836</v>
      </c>
      <c r="K71" s="62" t="n">
        <v>1</v>
      </c>
      <c r="L71" s="55" t="n">
        <v>20.3</v>
      </c>
      <c r="M71" s="55" t="n">
        <v>13.7</v>
      </c>
      <c r="N71" s="55" t="n">
        <v>25.8</v>
      </c>
      <c r="O71" s="55" t="n">
        <v>23.6</v>
      </c>
      <c r="P71" s="71" t="n">
        <v>1.716</v>
      </c>
      <c r="Q71" s="71" t="n">
        <v>1.05</v>
      </c>
      <c r="R71" s="71" t="n">
        <v>0.562</v>
      </c>
      <c r="S71" s="71" t="n">
        <v>0.95</v>
      </c>
      <c r="T71" s="66" t="n">
        <f aca="false">J71-IF(AND(OR(oil_compact=0,$A71&lt;compact_year),$A71&gt;=1931,$A71&lt;=1933),gulf_wage_dip,0)</f>
        <v>0.836</v>
      </c>
      <c r="U71" s="49" t="n">
        <f aca="false">IF($A71&lt;1900,0,IF(F71&lt;=G71,1,0))</f>
        <v>0</v>
      </c>
      <c r="V71" s="49" t="n">
        <f aca="false">IF($A71&lt;1900,0,IF(H71&gt;=I71,1,0))</f>
        <v>1</v>
      </c>
      <c r="W71" s="49" t="n">
        <f aca="false">IF($A71&lt;1900,0,IF(T71&gt;=K71,1,0))</f>
        <v>0</v>
      </c>
      <c r="X71" s="49" t="n">
        <f aca="false">IF($A71&lt;1900,0,IF(L71&lt;=M71,1,0))</f>
        <v>0</v>
      </c>
      <c r="Y71" s="49" t="n">
        <f aca="false">IF($A71&lt;1900,0,IF(N71&lt;=O71,1,0))</f>
        <v>0</v>
      </c>
      <c r="Z71" s="49" t="n">
        <f aca="false">IF($A71&lt;1900,0,IF(P71&lt;=Q71,1,0))</f>
        <v>0</v>
      </c>
      <c r="AA71" s="49" t="n">
        <f aca="false">IF($A71&lt;1900,0,IF(R71&gt;=S71,1,0))</f>
        <v>0</v>
      </c>
      <c r="AB71" s="49" t="n">
        <f aca="false">IF(SUM(U71:Y71)=5,1,0)</f>
        <v>0</v>
      </c>
      <c r="AC71" s="49" t="n">
        <f aca="false">IF(Z71+AA71=2,1,0)</f>
        <v>0</v>
      </c>
      <c r="AD71" s="49" t="n">
        <f aca="false">IF(AND(AB71=1,AC71=1),1,0)</f>
        <v>0</v>
      </c>
      <c r="AE71" s="49" t="n">
        <f aca="false">IF(AD71=1,AE70+1,0)</f>
        <v>0</v>
      </c>
      <c r="AF71" s="49" t="n">
        <f aca="false">IF(AE70&gt;=gulf_years_req,1,0)</f>
        <v>0</v>
      </c>
    </row>
    <row r="72" customFormat="false" ht="14.25" hidden="false" customHeight="true" outlineLevel="0" collapsed="false">
      <c r="A72" s="61" t="n">
        <v>1912</v>
      </c>
      <c r="B72" s="47" t="n">
        <v>8280000</v>
      </c>
      <c r="C72" s="71" t="n">
        <v>0.617</v>
      </c>
      <c r="D72" s="49" t="n">
        <f aca="false">Partners!Q72*(1-IF(AND(OR(oil_compact=0,$A72&lt;compact_year),OR($A72=1931,$A72=1932)),gulf_glut_gdp,0))</f>
        <v>2171.78218635966</v>
      </c>
      <c r="E72" s="49" t="n">
        <f aca="false">IF(AND(gulf_on=1,$A72&gt;=gulf_year),1,0)</f>
        <v>0</v>
      </c>
      <c r="F72" s="47" t="n">
        <v>147.2</v>
      </c>
      <c r="G72" s="47" t="n">
        <v>119.8</v>
      </c>
      <c r="H72" s="62" t="n">
        <v>0.864</v>
      </c>
      <c r="I72" s="62" t="n">
        <v>0.858</v>
      </c>
      <c r="J72" s="62" t="n">
        <v>0.852</v>
      </c>
      <c r="K72" s="62" t="n">
        <v>1</v>
      </c>
      <c r="L72" s="55" t="n">
        <v>19.6</v>
      </c>
      <c r="M72" s="55" t="n">
        <v>13.4</v>
      </c>
      <c r="N72" s="55" t="n">
        <v>23.6</v>
      </c>
      <c r="O72" s="55" t="n">
        <v>22.2</v>
      </c>
      <c r="P72" s="71" t="n">
        <v>1.682</v>
      </c>
      <c r="Q72" s="71" t="n">
        <v>1.05</v>
      </c>
      <c r="R72" s="71" t="n">
        <v>0.574</v>
      </c>
      <c r="S72" s="71" t="n">
        <v>0.95</v>
      </c>
      <c r="T72" s="66" t="n">
        <f aca="false">J72-IF(AND(OR(oil_compact=0,$A72&lt;compact_year),$A72&gt;=1931,$A72&lt;=1933),gulf_wage_dip,0)</f>
        <v>0.852</v>
      </c>
      <c r="U72" s="49" t="n">
        <f aca="false">IF($A72&lt;1900,0,IF(F72&lt;=G72,1,0))</f>
        <v>0</v>
      </c>
      <c r="V72" s="49" t="n">
        <f aca="false">IF($A72&lt;1900,0,IF(H72&gt;=I72,1,0))</f>
        <v>1</v>
      </c>
      <c r="W72" s="49" t="n">
        <f aca="false">IF($A72&lt;1900,0,IF(T72&gt;=K72,1,0))</f>
        <v>0</v>
      </c>
      <c r="X72" s="49" t="n">
        <f aca="false">IF($A72&lt;1900,0,IF(L72&lt;=M72,1,0))</f>
        <v>0</v>
      </c>
      <c r="Y72" s="49" t="n">
        <f aca="false">IF($A72&lt;1900,0,IF(N72&lt;=O72,1,0))</f>
        <v>0</v>
      </c>
      <c r="Z72" s="49" t="n">
        <f aca="false">IF($A72&lt;1900,0,IF(P72&lt;=Q72,1,0))</f>
        <v>0</v>
      </c>
      <c r="AA72" s="49" t="n">
        <f aca="false">IF($A72&lt;1900,0,IF(R72&gt;=S72,1,0))</f>
        <v>0</v>
      </c>
      <c r="AB72" s="49" t="n">
        <f aca="false">IF(SUM(U72:Y72)=5,1,0)</f>
        <v>0</v>
      </c>
      <c r="AC72" s="49" t="n">
        <f aca="false">IF(Z72+AA72=2,1,0)</f>
        <v>0</v>
      </c>
      <c r="AD72" s="49" t="n">
        <f aca="false">IF(AND(AB72=1,AC72=1),1,0)</f>
        <v>0</v>
      </c>
      <c r="AE72" s="49" t="n">
        <f aca="false">IF(AD72=1,AE71+1,0)</f>
        <v>0</v>
      </c>
      <c r="AF72" s="49" t="n">
        <f aca="false">IF(AE71&gt;=gulf_years_req,1,0)</f>
        <v>0</v>
      </c>
    </row>
    <row r="73" customFormat="false" ht="14.25" hidden="false" customHeight="true" outlineLevel="0" collapsed="false">
      <c r="A73" s="61" t="n">
        <v>1913</v>
      </c>
      <c r="B73" s="47" t="n">
        <v>8420000</v>
      </c>
      <c r="C73" s="71" t="n">
        <v>0.62</v>
      </c>
      <c r="D73" s="49" t="n">
        <f aca="false">Partners!Q73*(1-IF(AND(OR(oil_compact=0,$A73&lt;compact_year),OR($A73=1931,$A73=1932)),gulf_glut_gdp,0))</f>
        <v>2311.1984342086</v>
      </c>
      <c r="E73" s="49" t="n">
        <f aca="false">IF(AND(gulf_on=1,$A73&gt;=gulf_year),1,0)</f>
        <v>0</v>
      </c>
      <c r="F73" s="47" t="n">
        <v>140.8</v>
      </c>
      <c r="G73" s="47" t="n">
        <v>117.2</v>
      </c>
      <c r="H73" s="62" t="n">
        <v>0.871</v>
      </c>
      <c r="I73" s="62" t="n">
        <v>0.862</v>
      </c>
      <c r="J73" s="62" t="n">
        <v>0.868</v>
      </c>
      <c r="K73" s="62" t="n">
        <v>1</v>
      </c>
      <c r="L73" s="55" t="n">
        <v>18.9</v>
      </c>
      <c r="M73" s="55" t="n">
        <v>13.1</v>
      </c>
      <c r="N73" s="55" t="n">
        <v>21.4</v>
      </c>
      <c r="O73" s="55" t="n">
        <v>20.8</v>
      </c>
      <c r="P73" s="71" t="n">
        <v>1.648</v>
      </c>
      <c r="Q73" s="71" t="n">
        <v>1.05</v>
      </c>
      <c r="R73" s="71" t="n">
        <v>0.586</v>
      </c>
      <c r="S73" s="71" t="n">
        <v>0.95</v>
      </c>
      <c r="T73" s="66" t="n">
        <f aca="false">J73-IF(AND(OR(oil_compact=0,$A73&lt;compact_year),$A73&gt;=1931,$A73&lt;=1933),gulf_wage_dip,0)</f>
        <v>0.868</v>
      </c>
      <c r="U73" s="49" t="n">
        <f aca="false">IF($A73&lt;1900,0,IF(F73&lt;=G73,1,0))</f>
        <v>0</v>
      </c>
      <c r="V73" s="49" t="n">
        <f aca="false">IF($A73&lt;1900,0,IF(H73&gt;=I73,1,0))</f>
        <v>1</v>
      </c>
      <c r="W73" s="49" t="n">
        <f aca="false">IF($A73&lt;1900,0,IF(T73&gt;=K73,1,0))</f>
        <v>0</v>
      </c>
      <c r="X73" s="49" t="n">
        <f aca="false">IF($A73&lt;1900,0,IF(L73&lt;=M73,1,0))</f>
        <v>0</v>
      </c>
      <c r="Y73" s="49" t="n">
        <f aca="false">IF($A73&lt;1900,0,IF(N73&lt;=O73,1,0))</f>
        <v>0</v>
      </c>
      <c r="Z73" s="49" t="n">
        <f aca="false">IF($A73&lt;1900,0,IF(P73&lt;=Q73,1,0))</f>
        <v>0</v>
      </c>
      <c r="AA73" s="49" t="n">
        <f aca="false">IF($A73&lt;1900,0,IF(R73&gt;=S73,1,0))</f>
        <v>0</v>
      </c>
      <c r="AB73" s="49" t="n">
        <f aca="false">IF(SUM(U73:Y73)=5,1,0)</f>
        <v>0</v>
      </c>
      <c r="AC73" s="49" t="n">
        <f aca="false">IF(Z73+AA73=2,1,0)</f>
        <v>0</v>
      </c>
      <c r="AD73" s="49" t="n">
        <f aca="false">IF(AND(AB73=1,AC73=1),1,0)</f>
        <v>0</v>
      </c>
      <c r="AE73" s="49" t="n">
        <f aca="false">IF(AD73=1,AE72+1,0)</f>
        <v>0</v>
      </c>
      <c r="AF73" s="49" t="n">
        <f aca="false">IF(AE72&gt;=gulf_years_req,1,0)</f>
        <v>0</v>
      </c>
    </row>
    <row r="74" customFormat="false" ht="14.25" hidden="false" customHeight="true" outlineLevel="0" collapsed="false">
      <c r="A74" s="64" t="n">
        <v>1914</v>
      </c>
      <c r="B74" s="47" t="n">
        <v>8560000</v>
      </c>
      <c r="C74" s="71" t="n">
        <v>0.629</v>
      </c>
      <c r="D74" s="49" t="n">
        <f aca="false">Partners!Q74*(1-IF(AND(OR(oil_compact=0,$A74&lt;compact_year),OR($A74=1931,$A74=1932)),gulf_glut_gdp,0))</f>
        <v>2265.61951984574</v>
      </c>
      <c r="E74" s="49" t="n">
        <f aca="false">IF(AND(gulf_on=1,$A74&gt;=gulf_year),1,0)</f>
        <v>0</v>
      </c>
      <c r="F74" s="47" t="n">
        <v>134.4</v>
      </c>
      <c r="G74" s="47" t="n">
        <v>114.6</v>
      </c>
      <c r="H74" s="62" t="n">
        <v>0.878</v>
      </c>
      <c r="I74" s="62" t="n">
        <v>0.866</v>
      </c>
      <c r="J74" s="62" t="n">
        <v>0.884</v>
      </c>
      <c r="K74" s="62" t="n">
        <v>1</v>
      </c>
      <c r="L74" s="55" t="n">
        <v>18.2</v>
      </c>
      <c r="M74" s="55" t="n">
        <v>12.8</v>
      </c>
      <c r="N74" s="55" t="n">
        <v>19.2</v>
      </c>
      <c r="O74" s="55" t="n">
        <v>19.4</v>
      </c>
      <c r="P74" s="71" t="n">
        <v>1.614</v>
      </c>
      <c r="Q74" s="71" t="n">
        <v>1.05</v>
      </c>
      <c r="R74" s="71" t="n">
        <v>0.598</v>
      </c>
      <c r="S74" s="71" t="n">
        <v>0.95</v>
      </c>
      <c r="T74" s="66" t="n">
        <f aca="false">J74-IF(AND(OR(oil_compact=0,$A74&lt;compact_year),$A74&gt;=1931,$A74&lt;=1933),gulf_wage_dip,0)</f>
        <v>0.884</v>
      </c>
      <c r="U74" s="49" t="n">
        <f aca="false">IF($A74&lt;1900,0,IF(F74&lt;=G74,1,0))</f>
        <v>0</v>
      </c>
      <c r="V74" s="49" t="n">
        <f aca="false">IF($A74&lt;1900,0,IF(H74&gt;=I74,1,0))</f>
        <v>1</v>
      </c>
      <c r="W74" s="49" t="n">
        <f aca="false">IF($A74&lt;1900,0,IF(T74&gt;=K74,1,0))</f>
        <v>0</v>
      </c>
      <c r="X74" s="49" t="n">
        <f aca="false">IF($A74&lt;1900,0,IF(L74&lt;=M74,1,0))</f>
        <v>0</v>
      </c>
      <c r="Y74" s="49" t="n">
        <f aca="false">IF($A74&lt;1900,0,IF(N74&lt;=O74,1,0))</f>
        <v>1</v>
      </c>
      <c r="Z74" s="49" t="n">
        <f aca="false">IF($A74&lt;1900,0,IF(P74&lt;=Q74,1,0))</f>
        <v>0</v>
      </c>
      <c r="AA74" s="49" t="n">
        <f aca="false">IF($A74&lt;1900,0,IF(R74&gt;=S74,1,0))</f>
        <v>0</v>
      </c>
      <c r="AB74" s="49" t="n">
        <f aca="false">IF(SUM(U74:Y74)=5,1,0)</f>
        <v>0</v>
      </c>
      <c r="AC74" s="49" t="n">
        <f aca="false">IF(Z74+AA74=2,1,0)</f>
        <v>0</v>
      </c>
      <c r="AD74" s="49" t="n">
        <f aca="false">IF(AND(AB74=1,AC74=1),1,0)</f>
        <v>0</v>
      </c>
      <c r="AE74" s="49" t="n">
        <f aca="false">IF(AD74=1,AE73+1,0)</f>
        <v>0</v>
      </c>
      <c r="AF74" s="49" t="n">
        <f aca="false">IF(AE73&gt;=gulf_years_req,1,0)</f>
        <v>0</v>
      </c>
    </row>
    <row r="75" customFormat="false" ht="14.25" hidden="false" customHeight="true" outlineLevel="0" collapsed="false">
      <c r="A75" s="64" t="n">
        <v>1915</v>
      </c>
      <c r="B75" s="47" t="n">
        <v>8700000</v>
      </c>
      <c r="C75" s="71" t="n">
        <v>0.637</v>
      </c>
      <c r="D75" s="49" t="n">
        <f aca="false">Partners!Q75*(1-IF(AND(OR(oil_compact=0,$A75&lt;compact_year),OR($A75=1931,$A75=1932)),gulf_glut_gdp,0))</f>
        <v>2660.97269664528</v>
      </c>
      <c r="E75" s="49" t="n">
        <f aca="false">IF(AND(gulf_on=1,$A75&gt;=gulf_year),1,0)</f>
        <v>0</v>
      </c>
      <c r="F75" s="47" t="n">
        <v>128</v>
      </c>
      <c r="G75" s="47" t="n">
        <v>112</v>
      </c>
      <c r="H75" s="62" t="n">
        <v>0.885</v>
      </c>
      <c r="I75" s="62" t="n">
        <v>0.87</v>
      </c>
      <c r="J75" s="62" t="n">
        <v>0.9</v>
      </c>
      <c r="K75" s="62" t="n">
        <v>1</v>
      </c>
      <c r="L75" s="55" t="n">
        <v>17.5</v>
      </c>
      <c r="M75" s="55" t="n">
        <v>12.5</v>
      </c>
      <c r="N75" s="55" t="n">
        <v>17</v>
      </c>
      <c r="O75" s="55" t="n">
        <v>18</v>
      </c>
      <c r="P75" s="71" t="n">
        <v>1.58</v>
      </c>
      <c r="Q75" s="71" t="n">
        <v>1.05</v>
      </c>
      <c r="R75" s="71" t="n">
        <v>0.61</v>
      </c>
      <c r="S75" s="71" t="n">
        <v>0.95</v>
      </c>
      <c r="T75" s="66" t="n">
        <f aca="false">J75-IF(AND(OR(oil_compact=0,$A75&lt;compact_year),$A75&gt;=1931,$A75&lt;=1933),gulf_wage_dip,0)</f>
        <v>0.9</v>
      </c>
      <c r="U75" s="49" t="n">
        <f aca="false">IF($A75&lt;1900,0,IF(F75&lt;=G75,1,0))</f>
        <v>0</v>
      </c>
      <c r="V75" s="49" t="n">
        <f aca="false">IF($A75&lt;1900,0,IF(H75&gt;=I75,1,0))</f>
        <v>1</v>
      </c>
      <c r="W75" s="49" t="n">
        <f aca="false">IF($A75&lt;1900,0,IF(T75&gt;=K75,1,0))</f>
        <v>0</v>
      </c>
      <c r="X75" s="49" t="n">
        <f aca="false">IF($A75&lt;1900,0,IF(L75&lt;=M75,1,0))</f>
        <v>0</v>
      </c>
      <c r="Y75" s="49" t="n">
        <f aca="false">IF($A75&lt;1900,0,IF(N75&lt;=O75,1,0))</f>
        <v>1</v>
      </c>
      <c r="Z75" s="49" t="n">
        <f aca="false">IF($A75&lt;1900,0,IF(P75&lt;=Q75,1,0))</f>
        <v>0</v>
      </c>
      <c r="AA75" s="49" t="n">
        <f aca="false">IF($A75&lt;1900,0,IF(R75&gt;=S75,1,0))</f>
        <v>0</v>
      </c>
      <c r="AB75" s="49" t="n">
        <f aca="false">IF(SUM(U75:Y75)=5,1,0)</f>
        <v>0</v>
      </c>
      <c r="AC75" s="49" t="n">
        <f aca="false">IF(Z75+AA75=2,1,0)</f>
        <v>0</v>
      </c>
      <c r="AD75" s="49" t="n">
        <f aca="false">IF(AND(AB75=1,AC75=1),1,0)</f>
        <v>0</v>
      </c>
      <c r="AE75" s="49" t="n">
        <f aca="false">IF(AD75=1,AE74+1,0)</f>
        <v>0</v>
      </c>
      <c r="AF75" s="49" t="n">
        <f aca="false">IF(AE74&gt;=gulf_years_req,1,0)</f>
        <v>0</v>
      </c>
    </row>
    <row r="76" customFormat="false" ht="14.25" hidden="false" customHeight="true" outlineLevel="0" collapsed="false">
      <c r="A76" s="64" t="n">
        <v>1916</v>
      </c>
      <c r="B76" s="47" t="n">
        <v>8840000</v>
      </c>
      <c r="C76" s="71" t="n">
        <v>0.646</v>
      </c>
      <c r="D76" s="49" t="n">
        <f aca="false">Partners!Q76*(1-IF(AND(OR(oil_compact=0,$A76&lt;compact_year),OR($A76=1931,$A76=1932)),gulf_glut_gdp,0))</f>
        <v>3085.57131016529</v>
      </c>
      <c r="E76" s="49" t="n">
        <f aca="false">IF(AND(gulf_on=1,$A76&gt;=gulf_year),1,0)</f>
        <v>0</v>
      </c>
      <c r="F76" s="47" t="n">
        <v>123.2</v>
      </c>
      <c r="G76" s="47" t="n">
        <v>109.6</v>
      </c>
      <c r="H76" s="62" t="n">
        <v>0.89</v>
      </c>
      <c r="I76" s="62" t="n">
        <v>0.874</v>
      </c>
      <c r="J76" s="62" t="n">
        <v>0.918</v>
      </c>
      <c r="K76" s="62" t="n">
        <v>1</v>
      </c>
      <c r="L76" s="55" t="n">
        <v>16.7</v>
      </c>
      <c r="M76" s="55" t="n">
        <v>12.2</v>
      </c>
      <c r="N76" s="55" t="n">
        <v>15.6</v>
      </c>
      <c r="O76" s="55" t="n">
        <v>16.8</v>
      </c>
      <c r="P76" s="71" t="n">
        <v>1.554</v>
      </c>
      <c r="Q76" s="71" t="n">
        <v>1.05</v>
      </c>
      <c r="R76" s="71" t="n">
        <v>0.622</v>
      </c>
      <c r="S76" s="71" t="n">
        <v>0.95</v>
      </c>
      <c r="T76" s="66" t="n">
        <f aca="false">J76-IF(AND(OR(oil_compact=0,$A76&lt;compact_year),$A76&gt;=1931,$A76&lt;=1933),gulf_wage_dip,0)</f>
        <v>0.918</v>
      </c>
      <c r="U76" s="49" t="n">
        <f aca="false">IF($A76&lt;1900,0,IF(F76&lt;=G76,1,0))</f>
        <v>0</v>
      </c>
      <c r="V76" s="49" t="n">
        <f aca="false">IF($A76&lt;1900,0,IF(H76&gt;=I76,1,0))</f>
        <v>1</v>
      </c>
      <c r="W76" s="49" t="n">
        <f aca="false">IF($A76&lt;1900,0,IF(T76&gt;=K76,1,0))</f>
        <v>0</v>
      </c>
      <c r="X76" s="49" t="n">
        <f aca="false">IF($A76&lt;1900,0,IF(L76&lt;=M76,1,0))</f>
        <v>0</v>
      </c>
      <c r="Y76" s="49" t="n">
        <f aca="false">IF($A76&lt;1900,0,IF(N76&lt;=O76,1,0))</f>
        <v>1</v>
      </c>
      <c r="Z76" s="49" t="n">
        <f aca="false">IF($A76&lt;1900,0,IF(P76&lt;=Q76,1,0))</f>
        <v>0</v>
      </c>
      <c r="AA76" s="49" t="n">
        <f aca="false">IF($A76&lt;1900,0,IF(R76&gt;=S76,1,0))</f>
        <v>0</v>
      </c>
      <c r="AB76" s="49" t="n">
        <f aca="false">IF(SUM(U76:Y76)=5,1,0)</f>
        <v>0</v>
      </c>
      <c r="AC76" s="49" t="n">
        <f aca="false">IF(Z76+AA76=2,1,0)</f>
        <v>0</v>
      </c>
      <c r="AD76" s="49" t="n">
        <f aca="false">IF(AND(AB76=1,AC76=1),1,0)</f>
        <v>0</v>
      </c>
      <c r="AE76" s="49" t="n">
        <f aca="false">IF(AD76=1,AE75+1,0)</f>
        <v>0</v>
      </c>
      <c r="AF76" s="49" t="n">
        <f aca="false">IF(AE75&gt;=gulf_years_req,1,0)</f>
        <v>0</v>
      </c>
    </row>
    <row r="77" customFormat="false" ht="14.25" hidden="false" customHeight="true" outlineLevel="0" collapsed="false">
      <c r="A77" s="64" t="n">
        <v>1917</v>
      </c>
      <c r="B77" s="47" t="n">
        <v>8980000</v>
      </c>
      <c r="C77" s="71" t="n">
        <v>0.654</v>
      </c>
      <c r="D77" s="49" t="n">
        <f aca="false">Partners!Q77*(1-IF(AND(OR(oil_compact=0,$A77&lt;compact_year),OR($A77=1931,$A77=1932)),gulf_glut_gdp,0))</f>
        <v>3866.05832406505</v>
      </c>
      <c r="E77" s="49" t="n">
        <f aca="false">IF(AND(gulf_on=1,$A77&gt;=gulf_year),1,0)</f>
        <v>0</v>
      </c>
      <c r="F77" s="47" t="n">
        <v>118.4</v>
      </c>
      <c r="G77" s="47" t="n">
        <v>107.2</v>
      </c>
      <c r="H77" s="62" t="n">
        <v>0.895</v>
      </c>
      <c r="I77" s="62" t="n">
        <v>0.878</v>
      </c>
      <c r="J77" s="62" t="n">
        <v>0.936</v>
      </c>
      <c r="K77" s="62" t="n">
        <v>1</v>
      </c>
      <c r="L77" s="55" t="n">
        <v>15.9</v>
      </c>
      <c r="M77" s="55" t="n">
        <v>11.9</v>
      </c>
      <c r="N77" s="55" t="n">
        <v>14.2</v>
      </c>
      <c r="O77" s="55" t="n">
        <v>15.6</v>
      </c>
      <c r="P77" s="71" t="n">
        <v>1.528</v>
      </c>
      <c r="Q77" s="71" t="n">
        <v>1.05</v>
      </c>
      <c r="R77" s="71" t="n">
        <v>0.634</v>
      </c>
      <c r="S77" s="71" t="n">
        <v>0.95</v>
      </c>
      <c r="T77" s="66" t="n">
        <f aca="false">J77-IF(AND(OR(oil_compact=0,$A77&lt;compact_year),$A77&gt;=1931,$A77&lt;=1933),gulf_wage_dip,0)</f>
        <v>0.936</v>
      </c>
      <c r="U77" s="49" t="n">
        <f aca="false">IF($A77&lt;1900,0,IF(F77&lt;=G77,1,0))</f>
        <v>0</v>
      </c>
      <c r="V77" s="49" t="n">
        <f aca="false">IF($A77&lt;1900,0,IF(H77&gt;=I77,1,0))</f>
        <v>1</v>
      </c>
      <c r="W77" s="49" t="n">
        <f aca="false">IF($A77&lt;1900,0,IF(T77&gt;=K77,1,0))</f>
        <v>0</v>
      </c>
      <c r="X77" s="49" t="n">
        <f aca="false">IF($A77&lt;1900,0,IF(L77&lt;=M77,1,0))</f>
        <v>0</v>
      </c>
      <c r="Y77" s="49" t="n">
        <f aca="false">IF($A77&lt;1900,0,IF(N77&lt;=O77,1,0))</f>
        <v>1</v>
      </c>
      <c r="Z77" s="49" t="n">
        <f aca="false">IF($A77&lt;1900,0,IF(P77&lt;=Q77,1,0))</f>
        <v>0</v>
      </c>
      <c r="AA77" s="49" t="n">
        <f aca="false">IF($A77&lt;1900,0,IF(R77&gt;=S77,1,0))</f>
        <v>0</v>
      </c>
      <c r="AB77" s="49" t="n">
        <f aca="false">IF(SUM(U77:Y77)=5,1,0)</f>
        <v>0</v>
      </c>
      <c r="AC77" s="49" t="n">
        <f aca="false">IF(Z77+AA77=2,1,0)</f>
        <v>0</v>
      </c>
      <c r="AD77" s="49" t="n">
        <f aca="false">IF(AND(AB77=1,AC77=1),1,0)</f>
        <v>0</v>
      </c>
      <c r="AE77" s="49" t="n">
        <f aca="false">IF(AD77=1,AE76+1,0)</f>
        <v>0</v>
      </c>
      <c r="AF77" s="49" t="n">
        <f aca="false">IF(AE76&gt;=gulf_years_req,1,0)</f>
        <v>0</v>
      </c>
    </row>
    <row r="78" customFormat="false" ht="14.25" hidden="false" customHeight="true" outlineLevel="0" collapsed="false">
      <c r="A78" s="64" t="n">
        <v>1918</v>
      </c>
      <c r="B78" s="47" t="n">
        <v>9120000</v>
      </c>
      <c r="C78" s="71" t="n">
        <v>0.663</v>
      </c>
      <c r="D78" s="49" t="n">
        <f aca="false">Partners!Q78*(1-IF(AND(OR(oil_compact=0,$A78&lt;compact_year),OR($A78=1931,$A78=1932)),gulf_glut_gdp,0))</f>
        <v>5107.06937796335</v>
      </c>
      <c r="E78" s="49" t="n">
        <f aca="false">IF(AND(gulf_on=1,$A78&gt;=gulf_year),1,0)</f>
        <v>0</v>
      </c>
      <c r="F78" s="47" t="n">
        <v>113.6</v>
      </c>
      <c r="G78" s="47" t="n">
        <v>104.8</v>
      </c>
      <c r="H78" s="62" t="n">
        <v>0.9</v>
      </c>
      <c r="I78" s="62" t="n">
        <v>0.882</v>
      </c>
      <c r="J78" s="62" t="n">
        <v>0.954</v>
      </c>
      <c r="K78" s="62" t="n">
        <v>1</v>
      </c>
      <c r="L78" s="55" t="n">
        <v>15.1</v>
      </c>
      <c r="M78" s="55" t="n">
        <v>11.6</v>
      </c>
      <c r="N78" s="55" t="n">
        <v>12.8</v>
      </c>
      <c r="O78" s="55" t="n">
        <v>14.4</v>
      </c>
      <c r="P78" s="71" t="n">
        <v>1.502</v>
      </c>
      <c r="Q78" s="71" t="n">
        <v>1.05</v>
      </c>
      <c r="R78" s="71" t="n">
        <v>0.646</v>
      </c>
      <c r="S78" s="71" t="n">
        <v>0.95</v>
      </c>
      <c r="T78" s="66" t="n">
        <f aca="false">J78-IF(AND(OR(oil_compact=0,$A78&lt;compact_year),$A78&gt;=1931,$A78&lt;=1933),gulf_wage_dip,0)</f>
        <v>0.954</v>
      </c>
      <c r="U78" s="49" t="n">
        <f aca="false">IF($A78&lt;1900,0,IF(F78&lt;=G78,1,0))</f>
        <v>0</v>
      </c>
      <c r="V78" s="49" t="n">
        <f aca="false">IF($A78&lt;1900,0,IF(H78&gt;=I78,1,0))</f>
        <v>1</v>
      </c>
      <c r="W78" s="49" t="n">
        <f aca="false">IF($A78&lt;1900,0,IF(T78&gt;=K78,1,0))</f>
        <v>0</v>
      </c>
      <c r="X78" s="49" t="n">
        <f aca="false">IF($A78&lt;1900,0,IF(L78&lt;=M78,1,0))</f>
        <v>0</v>
      </c>
      <c r="Y78" s="49" t="n">
        <f aca="false">IF($A78&lt;1900,0,IF(N78&lt;=O78,1,0))</f>
        <v>1</v>
      </c>
      <c r="Z78" s="49" t="n">
        <f aca="false">IF($A78&lt;1900,0,IF(P78&lt;=Q78,1,0))</f>
        <v>0</v>
      </c>
      <c r="AA78" s="49" t="n">
        <f aca="false">IF($A78&lt;1900,0,IF(R78&gt;=S78,1,0))</f>
        <v>0</v>
      </c>
      <c r="AB78" s="49" t="n">
        <f aca="false">IF(SUM(U78:Y78)=5,1,0)</f>
        <v>0</v>
      </c>
      <c r="AC78" s="49" t="n">
        <f aca="false">IF(Z78+AA78=2,1,0)</f>
        <v>0</v>
      </c>
      <c r="AD78" s="49" t="n">
        <f aca="false">IF(AND(AB78=1,AC78=1),1,0)</f>
        <v>0</v>
      </c>
      <c r="AE78" s="49" t="n">
        <f aca="false">IF(AD78=1,AE77+1,0)</f>
        <v>0</v>
      </c>
      <c r="AF78" s="49" t="n">
        <f aca="false">IF(AE77&gt;=gulf_years_req,1,0)</f>
        <v>0</v>
      </c>
    </row>
    <row r="79" customFormat="false" ht="14.25" hidden="false" customHeight="true" outlineLevel="0" collapsed="false">
      <c r="A79" s="64" t="n">
        <v>1919</v>
      </c>
      <c r="B79" s="47" t="n">
        <v>9260000</v>
      </c>
      <c r="C79" s="71" t="n">
        <v>0.671</v>
      </c>
      <c r="D79" s="49" t="n">
        <f aca="false">Partners!Q79*(1-IF(AND(OR(oil_compact=0,$A79&lt;compact_year),OR($A79=1931,$A79=1932)),gulf_glut_gdp,0))</f>
        <v>5733.44405038345</v>
      </c>
      <c r="E79" s="49" t="n">
        <f aca="false">IF(AND(gulf_on=1,$A79&gt;=gulf_year),1,0)</f>
        <v>0</v>
      </c>
      <c r="F79" s="47" t="n">
        <v>108.8</v>
      </c>
      <c r="G79" s="47" t="n">
        <v>102.4</v>
      </c>
      <c r="H79" s="62" t="n">
        <v>0.905</v>
      </c>
      <c r="I79" s="62" t="n">
        <v>0.886</v>
      </c>
      <c r="J79" s="62" t="n">
        <v>0.972</v>
      </c>
      <c r="K79" s="62" t="n">
        <v>1</v>
      </c>
      <c r="L79" s="55" t="n">
        <v>14.3</v>
      </c>
      <c r="M79" s="55" t="n">
        <v>11.3</v>
      </c>
      <c r="N79" s="55" t="n">
        <v>11.4</v>
      </c>
      <c r="O79" s="55" t="n">
        <v>13.2</v>
      </c>
      <c r="P79" s="71" t="n">
        <v>1.476</v>
      </c>
      <c r="Q79" s="71" t="n">
        <v>1.05</v>
      </c>
      <c r="R79" s="71" t="n">
        <v>0.658</v>
      </c>
      <c r="S79" s="71" t="n">
        <v>0.95</v>
      </c>
      <c r="T79" s="66" t="n">
        <f aca="false">J79-IF(AND(OR(oil_compact=0,$A79&lt;compact_year),$A79&gt;=1931,$A79&lt;=1933),gulf_wage_dip,0)</f>
        <v>0.972</v>
      </c>
      <c r="U79" s="49" t="n">
        <f aca="false">IF($A79&lt;1900,0,IF(F79&lt;=G79,1,0))</f>
        <v>0</v>
      </c>
      <c r="V79" s="49" t="n">
        <f aca="false">IF($A79&lt;1900,0,IF(H79&gt;=I79,1,0))</f>
        <v>1</v>
      </c>
      <c r="W79" s="49" t="n">
        <f aca="false">IF($A79&lt;1900,0,IF(T79&gt;=K79,1,0))</f>
        <v>0</v>
      </c>
      <c r="X79" s="49" t="n">
        <f aca="false">IF($A79&lt;1900,0,IF(L79&lt;=M79,1,0))</f>
        <v>0</v>
      </c>
      <c r="Y79" s="49" t="n">
        <f aca="false">IF($A79&lt;1900,0,IF(N79&lt;=O79,1,0))</f>
        <v>1</v>
      </c>
      <c r="Z79" s="49" t="n">
        <f aca="false">IF($A79&lt;1900,0,IF(P79&lt;=Q79,1,0))</f>
        <v>0</v>
      </c>
      <c r="AA79" s="49" t="n">
        <f aca="false">IF($A79&lt;1900,0,IF(R79&gt;=S79,1,0))</f>
        <v>0</v>
      </c>
      <c r="AB79" s="49" t="n">
        <f aca="false">IF(SUM(U79:Y79)=5,1,0)</f>
        <v>0</v>
      </c>
      <c r="AC79" s="49" t="n">
        <f aca="false">IF(Z79+AA79=2,1,0)</f>
        <v>0</v>
      </c>
      <c r="AD79" s="49" t="n">
        <f aca="false">IF(AND(AB79=1,AC79=1),1,0)</f>
        <v>0</v>
      </c>
      <c r="AE79" s="49" t="n">
        <f aca="false">IF(AD79=1,AE78+1,0)</f>
        <v>0</v>
      </c>
      <c r="AF79" s="49" t="n">
        <f aca="false">IF(AE78&gt;=gulf_years_req,1,0)</f>
        <v>0</v>
      </c>
    </row>
    <row r="80" customFormat="false" ht="14.25" hidden="false" customHeight="true" outlineLevel="0" collapsed="false">
      <c r="A80" s="64" t="n">
        <v>1920</v>
      </c>
      <c r="B80" s="47" t="n">
        <v>9400000</v>
      </c>
      <c r="C80" s="71" t="n">
        <v>0.68</v>
      </c>
      <c r="D80" s="49" t="n">
        <f aca="false">Partners!Q80*(1-IF(AND(OR(oil_compact=0,$A80&lt;compact_year),OR($A80=1931,$A80=1932)),gulf_glut_gdp,0))</f>
        <v>6391.33361348498</v>
      </c>
      <c r="E80" s="49" t="n">
        <f aca="false">IF(AND(gulf_on=1,$A80&gt;=gulf_year),1,0)</f>
        <v>0</v>
      </c>
      <c r="F80" s="47" t="n">
        <v>104</v>
      </c>
      <c r="G80" s="47" t="n">
        <v>100</v>
      </c>
      <c r="H80" s="62" t="n">
        <v>0.91</v>
      </c>
      <c r="I80" s="62" t="n">
        <v>0.89</v>
      </c>
      <c r="J80" s="62" t="n">
        <v>0.99</v>
      </c>
      <c r="K80" s="62" t="n">
        <v>1</v>
      </c>
      <c r="L80" s="55" t="n">
        <v>13.5</v>
      </c>
      <c r="M80" s="55" t="n">
        <v>11</v>
      </c>
      <c r="N80" s="55" t="n">
        <v>10</v>
      </c>
      <c r="O80" s="55" t="n">
        <v>12</v>
      </c>
      <c r="P80" s="71" t="n">
        <v>1.45</v>
      </c>
      <c r="Q80" s="71" t="n">
        <v>1.05</v>
      </c>
      <c r="R80" s="71" t="n">
        <v>0.67</v>
      </c>
      <c r="S80" s="71" t="n">
        <v>0.95</v>
      </c>
      <c r="T80" s="66" t="n">
        <f aca="false">J80-IF(AND(OR(oil_compact=0,$A80&lt;compact_year),$A80&gt;=1931,$A80&lt;=1933),gulf_wage_dip,0)</f>
        <v>0.99</v>
      </c>
      <c r="U80" s="49" t="n">
        <f aca="false">IF($A80&lt;1900,0,IF(F80&lt;=G80,1,0))</f>
        <v>0</v>
      </c>
      <c r="V80" s="49" t="n">
        <f aca="false">IF($A80&lt;1900,0,IF(H80&gt;=I80,1,0))</f>
        <v>1</v>
      </c>
      <c r="W80" s="49" t="n">
        <f aca="false">IF($A80&lt;1900,0,IF(T80&gt;=K80,1,0))</f>
        <v>0</v>
      </c>
      <c r="X80" s="49" t="n">
        <f aca="false">IF($A80&lt;1900,0,IF(L80&lt;=M80,1,0))</f>
        <v>0</v>
      </c>
      <c r="Y80" s="49" t="n">
        <f aca="false">IF($A80&lt;1900,0,IF(N80&lt;=O80,1,0))</f>
        <v>1</v>
      </c>
      <c r="Z80" s="49" t="n">
        <f aca="false">IF($A80&lt;1900,0,IF(P80&lt;=Q80,1,0))</f>
        <v>0</v>
      </c>
      <c r="AA80" s="49" t="n">
        <f aca="false">IF($A80&lt;1900,0,IF(R80&gt;=S80,1,0))</f>
        <v>0</v>
      </c>
      <c r="AB80" s="49" t="n">
        <f aca="false">IF(SUM(U80:Y80)=5,1,0)</f>
        <v>0</v>
      </c>
      <c r="AC80" s="49" t="n">
        <f aca="false">IF(Z80+AA80=2,1,0)</f>
        <v>0</v>
      </c>
      <c r="AD80" s="49" t="n">
        <f aca="false">IF(AND(AB80=1,AC80=1),1,0)</f>
        <v>0</v>
      </c>
      <c r="AE80" s="49" t="n">
        <f aca="false">IF(AD80=1,AE79+1,0)</f>
        <v>0</v>
      </c>
      <c r="AF80" s="49" t="n">
        <f aca="false">IF(AE79&gt;=gulf_years_req,1,0)</f>
        <v>0</v>
      </c>
    </row>
    <row r="81" customFormat="false" ht="14.25" hidden="false" customHeight="true" outlineLevel="0" collapsed="false">
      <c r="A81" s="64" t="n">
        <v>1921</v>
      </c>
      <c r="B81" s="47" t="n">
        <v>9560000</v>
      </c>
      <c r="C81" s="71" t="n">
        <v>0.677</v>
      </c>
      <c r="D81" s="49" t="n">
        <f aca="false">Partners!Q81*(1-IF(AND(OR(oil_compact=0,$A81&lt;compact_year),OR($A81=1931,$A81=1932)),gulf_glut_gdp,0))</f>
        <v>4886.65075483651</v>
      </c>
      <c r="E81" s="49" t="n">
        <f aca="false">IF(AND(gulf_on=1,$A81&gt;=gulf_year),1,0)</f>
        <v>0</v>
      </c>
      <c r="F81" s="47" t="n">
        <v>100.4</v>
      </c>
      <c r="G81" s="47" t="n">
        <v>97.6</v>
      </c>
      <c r="H81" s="62" t="n">
        <v>0.915</v>
      </c>
      <c r="I81" s="62" t="n">
        <v>0.894</v>
      </c>
      <c r="J81" s="62" t="n">
        <v>1</v>
      </c>
      <c r="K81" s="62" t="n">
        <v>1</v>
      </c>
      <c r="L81" s="55" t="n">
        <v>12.76</v>
      </c>
      <c r="M81" s="55" t="n">
        <v>10.8</v>
      </c>
      <c r="N81" s="55" t="n">
        <v>9.3</v>
      </c>
      <c r="O81" s="55" t="n">
        <v>11.2</v>
      </c>
      <c r="P81" s="71" t="n">
        <v>1.428</v>
      </c>
      <c r="Q81" s="71" t="n">
        <v>1.05</v>
      </c>
      <c r="R81" s="71" t="n">
        <v>0.682</v>
      </c>
      <c r="S81" s="71" t="n">
        <v>0.95</v>
      </c>
      <c r="T81" s="66" t="n">
        <f aca="false">J81-IF(AND(OR(oil_compact=0,$A81&lt;compact_year),$A81&gt;=1931,$A81&lt;=1933),gulf_wage_dip,0)</f>
        <v>1</v>
      </c>
      <c r="U81" s="49" t="n">
        <f aca="false">IF($A81&lt;1900,0,IF(F81&lt;=G81,1,0))</f>
        <v>0</v>
      </c>
      <c r="V81" s="49" t="n">
        <f aca="false">IF($A81&lt;1900,0,IF(H81&gt;=I81,1,0))</f>
        <v>1</v>
      </c>
      <c r="W81" s="49" t="n">
        <f aca="false">IF($A81&lt;1900,0,IF(T81&gt;=K81,1,0))</f>
        <v>1</v>
      </c>
      <c r="X81" s="49" t="n">
        <f aca="false">IF($A81&lt;1900,0,IF(L81&lt;=M81,1,0))</f>
        <v>0</v>
      </c>
      <c r="Y81" s="49" t="n">
        <f aca="false">IF($A81&lt;1900,0,IF(N81&lt;=O81,1,0))</f>
        <v>1</v>
      </c>
      <c r="Z81" s="49" t="n">
        <f aca="false">IF($A81&lt;1900,0,IF(P81&lt;=Q81,1,0))</f>
        <v>0</v>
      </c>
      <c r="AA81" s="49" t="n">
        <f aca="false">IF($A81&lt;1900,0,IF(R81&gt;=S81,1,0))</f>
        <v>0</v>
      </c>
      <c r="AB81" s="49" t="n">
        <f aca="false">IF(SUM(U81:Y81)=5,1,0)</f>
        <v>0</v>
      </c>
      <c r="AC81" s="49" t="n">
        <f aca="false">IF(Z81+AA81=2,1,0)</f>
        <v>0</v>
      </c>
      <c r="AD81" s="49" t="n">
        <f aca="false">IF(AND(AB81=1,AC81=1),1,0)</f>
        <v>0</v>
      </c>
      <c r="AE81" s="49" t="n">
        <f aca="false">IF(AD81=1,AE80+1,0)</f>
        <v>0</v>
      </c>
      <c r="AF81" s="49" t="n">
        <f aca="false">IF(AE80&gt;=gulf_years_req,1,0)</f>
        <v>0</v>
      </c>
    </row>
    <row r="82" customFormat="false" ht="14.25" hidden="false" customHeight="true" outlineLevel="0" collapsed="false">
      <c r="A82" s="64" t="n">
        <v>1922</v>
      </c>
      <c r="B82" s="47" t="n">
        <v>9710000</v>
      </c>
      <c r="C82" s="71" t="n">
        <v>0.673</v>
      </c>
      <c r="D82" s="49" t="n">
        <f aca="false">Partners!Q82*(1-IF(AND(OR(oil_compact=0,$A82&lt;compact_year),OR($A82=1931,$A82=1932)),gulf_glut_gdp,0))</f>
        <v>5256.2086055471</v>
      </c>
      <c r="E82" s="49" t="n">
        <f aca="false">IF(AND(gulf_on=1,$A82&gt;=gulf_year),1,0)</f>
        <v>0</v>
      </c>
      <c r="F82" s="47" t="n">
        <v>96.8</v>
      </c>
      <c r="G82" s="47" t="n">
        <v>95.2</v>
      </c>
      <c r="H82" s="62" t="n">
        <v>0.92</v>
      </c>
      <c r="I82" s="62" t="n">
        <v>0.898</v>
      </c>
      <c r="J82" s="62" t="n">
        <v>1.01</v>
      </c>
      <c r="K82" s="62" t="n">
        <v>1</v>
      </c>
      <c r="L82" s="55" t="n">
        <v>12.02</v>
      </c>
      <c r="M82" s="55" t="n">
        <v>10.6</v>
      </c>
      <c r="N82" s="55" t="n">
        <v>8.6</v>
      </c>
      <c r="O82" s="55" t="n">
        <v>10.4</v>
      </c>
      <c r="P82" s="71" t="n">
        <v>1.406</v>
      </c>
      <c r="Q82" s="71" t="n">
        <v>1.05</v>
      </c>
      <c r="R82" s="71" t="n">
        <v>0.694</v>
      </c>
      <c r="S82" s="71" t="n">
        <v>0.95</v>
      </c>
      <c r="T82" s="66" t="n">
        <f aca="false">J82-IF(AND(OR(oil_compact=0,$A82&lt;compact_year),$A82&gt;=1931,$A82&lt;=1933),gulf_wage_dip,0)</f>
        <v>1.01</v>
      </c>
      <c r="U82" s="49" t="n">
        <f aca="false">IF($A82&lt;1900,0,IF(F82&lt;=G82,1,0))</f>
        <v>0</v>
      </c>
      <c r="V82" s="49" t="n">
        <f aca="false">IF($A82&lt;1900,0,IF(H82&gt;=I82,1,0))</f>
        <v>1</v>
      </c>
      <c r="W82" s="49" t="n">
        <f aca="false">IF($A82&lt;1900,0,IF(T82&gt;=K82,1,0))</f>
        <v>1</v>
      </c>
      <c r="X82" s="49" t="n">
        <f aca="false">IF($A82&lt;1900,0,IF(L82&lt;=M82,1,0))</f>
        <v>0</v>
      </c>
      <c r="Y82" s="49" t="n">
        <f aca="false">IF($A82&lt;1900,0,IF(N82&lt;=O82,1,0))</f>
        <v>1</v>
      </c>
      <c r="Z82" s="49" t="n">
        <f aca="false">IF($A82&lt;1900,0,IF(P82&lt;=Q82,1,0))</f>
        <v>0</v>
      </c>
      <c r="AA82" s="49" t="n">
        <f aca="false">IF($A82&lt;1900,0,IF(R82&gt;=S82,1,0))</f>
        <v>0</v>
      </c>
      <c r="AB82" s="49" t="n">
        <f aca="false">IF(SUM(U82:Y82)=5,1,0)</f>
        <v>0</v>
      </c>
      <c r="AC82" s="49" t="n">
        <f aca="false">IF(Z82+AA82=2,1,0)</f>
        <v>0</v>
      </c>
      <c r="AD82" s="49" t="n">
        <f aca="false">IF(AND(AB82=1,AC82=1),1,0)</f>
        <v>0</v>
      </c>
      <c r="AE82" s="49" t="n">
        <f aca="false">IF(AD82=1,AE81+1,0)</f>
        <v>0</v>
      </c>
      <c r="AF82" s="49" t="n">
        <f aca="false">IF(AE81&gt;=gulf_years_req,1,0)</f>
        <v>0</v>
      </c>
    </row>
    <row r="83" customFormat="false" ht="14.25" hidden="false" customHeight="true" outlineLevel="0" collapsed="false">
      <c r="A83" s="61" t="n">
        <v>1923</v>
      </c>
      <c r="B83" s="47" t="n">
        <v>9870000</v>
      </c>
      <c r="C83" s="71" t="n">
        <v>0.67</v>
      </c>
      <c r="D83" s="49" t="n">
        <f aca="false">Partners!Q83*(1-IF(AND(OR(oil_compact=0,$A83&lt;compact_year),OR($A83=1931,$A83=1932)),gulf_glut_gdp,0))</f>
        <v>6074.59669316342</v>
      </c>
      <c r="E83" s="49" t="n">
        <f aca="false">IF(AND(gulf_on=1,$A83&gt;=gulf_year),1,0)</f>
        <v>0</v>
      </c>
      <c r="F83" s="47" t="n">
        <v>93.2</v>
      </c>
      <c r="G83" s="47" t="n">
        <v>92.8</v>
      </c>
      <c r="H83" s="62" t="n">
        <v>0.925</v>
      </c>
      <c r="I83" s="62" t="n">
        <v>0.902</v>
      </c>
      <c r="J83" s="62" t="n">
        <v>1.02</v>
      </c>
      <c r="K83" s="62" t="n">
        <v>1</v>
      </c>
      <c r="L83" s="55" t="n">
        <v>11.28</v>
      </c>
      <c r="M83" s="55" t="n">
        <v>10.4</v>
      </c>
      <c r="N83" s="55" t="n">
        <v>7.9</v>
      </c>
      <c r="O83" s="55" t="n">
        <v>9.6</v>
      </c>
      <c r="P83" s="71" t="n">
        <v>1.384</v>
      </c>
      <c r="Q83" s="71" t="n">
        <v>1.05</v>
      </c>
      <c r="R83" s="71" t="n">
        <v>0.706</v>
      </c>
      <c r="S83" s="71" t="n">
        <v>0.95</v>
      </c>
      <c r="T83" s="66" t="n">
        <f aca="false">J83-IF(AND(OR(oil_compact=0,$A83&lt;compact_year),$A83&gt;=1931,$A83&lt;=1933),gulf_wage_dip,0)</f>
        <v>1.02</v>
      </c>
      <c r="U83" s="49" t="n">
        <f aca="false">IF($A83&lt;1900,0,IF(F83&lt;=G83,1,0))</f>
        <v>0</v>
      </c>
      <c r="V83" s="49" t="n">
        <f aca="false">IF($A83&lt;1900,0,IF(H83&gt;=I83,1,0))</f>
        <v>1</v>
      </c>
      <c r="W83" s="49" t="n">
        <f aca="false">IF($A83&lt;1900,0,IF(T83&gt;=K83,1,0))</f>
        <v>1</v>
      </c>
      <c r="X83" s="49" t="n">
        <f aca="false">IF($A83&lt;1900,0,IF(L83&lt;=M83,1,0))</f>
        <v>0</v>
      </c>
      <c r="Y83" s="49" t="n">
        <f aca="false">IF($A83&lt;1900,0,IF(N83&lt;=O83,1,0))</f>
        <v>1</v>
      </c>
      <c r="Z83" s="49" t="n">
        <f aca="false">IF($A83&lt;1900,0,IF(P83&lt;=Q83,1,0))</f>
        <v>0</v>
      </c>
      <c r="AA83" s="49" t="n">
        <f aca="false">IF($A83&lt;1900,0,IF(R83&gt;=S83,1,0))</f>
        <v>0</v>
      </c>
      <c r="AB83" s="49" t="n">
        <f aca="false">IF(SUM(U83:Y83)=5,1,0)</f>
        <v>0</v>
      </c>
      <c r="AC83" s="49" t="n">
        <f aca="false">IF(Z83+AA83=2,1,0)</f>
        <v>0</v>
      </c>
      <c r="AD83" s="49" t="n">
        <f aca="false">IF(AND(AB83=1,AC83=1),1,0)</f>
        <v>0</v>
      </c>
      <c r="AE83" s="49" t="n">
        <f aca="false">IF(AD83=1,AE82+1,0)</f>
        <v>0</v>
      </c>
      <c r="AF83" s="49" t="n">
        <f aca="false">IF(AE82&gt;=gulf_years_req,1,0)</f>
        <v>0</v>
      </c>
    </row>
    <row r="84" customFormat="false" ht="14.25" hidden="false" customHeight="true" outlineLevel="0" collapsed="false">
      <c r="A84" s="61" t="n">
        <v>1924</v>
      </c>
      <c r="B84" s="47" t="n">
        <v>10020000</v>
      </c>
      <c r="C84" s="71" t="n">
        <v>0.667</v>
      </c>
      <c r="D84" s="49" t="n">
        <f aca="false">Partners!Q84*(1-IF(AND(OR(oil_compact=0,$A84&lt;compact_year),OR($A84=1931,$A84=1932)),gulf_glut_gdp,0))</f>
        <v>6110.0264457337</v>
      </c>
      <c r="E84" s="49" t="n">
        <f aca="false">IF(AND(gulf_on=1,$A84&gt;=gulf_year),1,0)</f>
        <v>0</v>
      </c>
      <c r="F84" s="47" t="n">
        <v>89.6</v>
      </c>
      <c r="G84" s="47" t="n">
        <v>90.4</v>
      </c>
      <c r="H84" s="62" t="n">
        <v>0.93</v>
      </c>
      <c r="I84" s="62" t="n">
        <v>0.906</v>
      </c>
      <c r="J84" s="62" t="n">
        <v>1.03</v>
      </c>
      <c r="K84" s="62" t="n">
        <v>1</v>
      </c>
      <c r="L84" s="55" t="n">
        <v>10.54</v>
      </c>
      <c r="M84" s="55" t="n">
        <v>10.2</v>
      </c>
      <c r="N84" s="55" t="n">
        <v>7.2</v>
      </c>
      <c r="O84" s="55" t="n">
        <v>8.8</v>
      </c>
      <c r="P84" s="71" t="n">
        <v>1.362</v>
      </c>
      <c r="Q84" s="71" t="n">
        <v>1.05</v>
      </c>
      <c r="R84" s="71" t="n">
        <v>0.718</v>
      </c>
      <c r="S84" s="71" t="n">
        <v>0.95</v>
      </c>
      <c r="T84" s="66" t="n">
        <f aca="false">J84-IF(AND(OR(oil_compact=0,$A84&lt;compact_year),$A84&gt;=1931,$A84&lt;=1933),gulf_wage_dip,0)</f>
        <v>1.03</v>
      </c>
      <c r="U84" s="49" t="n">
        <f aca="false">IF($A84&lt;1900,0,IF(F84&lt;=G84,1,0))</f>
        <v>1</v>
      </c>
      <c r="V84" s="49" t="n">
        <f aca="false">IF($A84&lt;1900,0,IF(H84&gt;=I84,1,0))</f>
        <v>1</v>
      </c>
      <c r="W84" s="49" t="n">
        <f aca="false">IF($A84&lt;1900,0,IF(T84&gt;=K84,1,0))</f>
        <v>1</v>
      </c>
      <c r="X84" s="49" t="n">
        <f aca="false">IF($A84&lt;1900,0,IF(L84&lt;=M84,1,0))</f>
        <v>0</v>
      </c>
      <c r="Y84" s="49" t="n">
        <f aca="false">IF($A84&lt;1900,0,IF(N84&lt;=O84,1,0))</f>
        <v>1</v>
      </c>
      <c r="Z84" s="49" t="n">
        <f aca="false">IF($A84&lt;1900,0,IF(P84&lt;=Q84,1,0))</f>
        <v>0</v>
      </c>
      <c r="AA84" s="49" t="n">
        <f aca="false">IF($A84&lt;1900,0,IF(R84&gt;=S84,1,0))</f>
        <v>0</v>
      </c>
      <c r="AB84" s="49" t="n">
        <f aca="false">IF(SUM(U84:Y84)=5,1,0)</f>
        <v>0</v>
      </c>
      <c r="AC84" s="49" t="n">
        <f aca="false">IF(Z84+AA84=2,1,0)</f>
        <v>0</v>
      </c>
      <c r="AD84" s="49" t="n">
        <f aca="false">IF(AND(AB84=1,AC84=1),1,0)</f>
        <v>0</v>
      </c>
      <c r="AE84" s="49" t="n">
        <f aca="false">IF(AD84=1,AE83+1,0)</f>
        <v>0</v>
      </c>
      <c r="AF84" s="49" t="n">
        <f aca="false">IF(AE83&gt;=gulf_years_req,1,0)</f>
        <v>0</v>
      </c>
    </row>
    <row r="85" customFormat="false" ht="14.25" hidden="false" customHeight="true" outlineLevel="0" collapsed="false">
      <c r="A85" s="61" t="n">
        <v>1925</v>
      </c>
      <c r="B85" s="47" t="n">
        <v>10180000</v>
      </c>
      <c r="C85" s="71" t="n">
        <v>0.663</v>
      </c>
      <c r="D85" s="49" t="n">
        <f aca="false">Partners!Q85*(1-IF(AND(OR(oil_compact=0,$A85&lt;compact_year),OR($A85=1931,$A85=1932)),gulf_glut_gdp,0))</f>
        <v>6445.48981346992</v>
      </c>
      <c r="E85" s="49" t="n">
        <f aca="false">IF(AND(gulf_on=1,$A85&gt;=gulf_year),1,0)</f>
        <v>0</v>
      </c>
      <c r="F85" s="47" t="n">
        <v>86</v>
      </c>
      <c r="G85" s="47" t="n">
        <v>88</v>
      </c>
      <c r="H85" s="62" t="n">
        <v>0.935</v>
      </c>
      <c r="I85" s="62" t="n">
        <v>0.91</v>
      </c>
      <c r="J85" s="62" t="n">
        <v>1.04</v>
      </c>
      <c r="K85" s="62" t="n">
        <v>1</v>
      </c>
      <c r="L85" s="55" t="n">
        <v>9.8</v>
      </c>
      <c r="M85" s="55" t="n">
        <v>10</v>
      </c>
      <c r="N85" s="55" t="n">
        <v>6.5</v>
      </c>
      <c r="O85" s="55" t="n">
        <v>8</v>
      </c>
      <c r="P85" s="71" t="n">
        <v>1.34</v>
      </c>
      <c r="Q85" s="71" t="n">
        <v>1.05</v>
      </c>
      <c r="R85" s="71" t="n">
        <v>0.73</v>
      </c>
      <c r="S85" s="71" t="n">
        <v>0.95</v>
      </c>
      <c r="T85" s="66" t="n">
        <f aca="false">J85-IF(AND(OR(oil_compact=0,$A85&lt;compact_year),$A85&gt;=1931,$A85&lt;=1933),gulf_wage_dip,0)</f>
        <v>1.04</v>
      </c>
      <c r="U85" s="49" t="n">
        <f aca="false">IF($A85&lt;1900,0,IF(F85&lt;=G85,1,0))</f>
        <v>1</v>
      </c>
      <c r="V85" s="49" t="n">
        <f aca="false">IF($A85&lt;1900,0,IF(H85&gt;=I85,1,0))</f>
        <v>1</v>
      </c>
      <c r="W85" s="49" t="n">
        <f aca="false">IF($A85&lt;1900,0,IF(T85&gt;=K85,1,0))</f>
        <v>1</v>
      </c>
      <c r="X85" s="49" t="n">
        <f aca="false">IF($A85&lt;1900,0,IF(L85&lt;=M85,1,0))</f>
        <v>1</v>
      </c>
      <c r="Y85" s="49" t="n">
        <f aca="false">IF($A85&lt;1900,0,IF(N85&lt;=O85,1,0))</f>
        <v>1</v>
      </c>
      <c r="Z85" s="49" t="n">
        <f aca="false">IF($A85&lt;1900,0,IF(P85&lt;=Q85,1,0))</f>
        <v>0</v>
      </c>
      <c r="AA85" s="49" t="n">
        <f aca="false">IF($A85&lt;1900,0,IF(R85&gt;=S85,1,0))</f>
        <v>0</v>
      </c>
      <c r="AB85" s="49" t="n">
        <f aca="false">IF(SUM(U85:Y85)=5,1,0)</f>
        <v>1</v>
      </c>
      <c r="AC85" s="49" t="n">
        <f aca="false">IF(Z85+AA85=2,1,0)</f>
        <v>0</v>
      </c>
      <c r="AD85" s="49" t="n">
        <f aca="false">IF(AND(AB85=1,AC85=1),1,0)</f>
        <v>0</v>
      </c>
      <c r="AE85" s="49" t="n">
        <f aca="false">IF(AD85=1,AE84+1,0)</f>
        <v>0</v>
      </c>
      <c r="AF85" s="49" t="n">
        <f aca="false">IF(AE84&gt;=gulf_years_req,1,0)</f>
        <v>0</v>
      </c>
    </row>
    <row r="86" customFormat="false" ht="14.25" hidden="false" customHeight="true" outlineLevel="0" collapsed="false">
      <c r="A86" s="61" t="n">
        <v>1926</v>
      </c>
      <c r="B86" s="47" t="n">
        <v>10330000</v>
      </c>
      <c r="C86" s="71" t="n">
        <v>0.66</v>
      </c>
      <c r="D86" s="49" t="n">
        <f aca="false">Partners!Q86*(1-IF(AND(OR(oil_compact=0,$A86&lt;compact_year),OR($A86=1931,$A86=1932)),gulf_glut_gdp,0))</f>
        <v>6844.31586104712</v>
      </c>
      <c r="E86" s="49" t="n">
        <f aca="false">IF(AND(gulf_on=1,$A86&gt;=gulf_year),1,0)</f>
        <v>0</v>
      </c>
      <c r="F86" s="47" t="n">
        <v>82.6667</v>
      </c>
      <c r="G86" s="47" t="n">
        <v>86</v>
      </c>
      <c r="H86" s="62" t="n">
        <v>0.94</v>
      </c>
      <c r="I86" s="62" t="n">
        <v>0.9133</v>
      </c>
      <c r="J86" s="62" t="n">
        <v>1.05</v>
      </c>
      <c r="K86" s="62" t="n">
        <v>1</v>
      </c>
      <c r="L86" s="55" t="n">
        <v>9.5</v>
      </c>
      <c r="M86" s="55" t="n">
        <v>9.8333</v>
      </c>
      <c r="N86" s="55" t="n">
        <v>6.1667</v>
      </c>
      <c r="O86" s="55" t="n">
        <v>7.5</v>
      </c>
      <c r="P86" s="71" t="n">
        <v>1.32</v>
      </c>
      <c r="Q86" s="71" t="n">
        <v>1.05</v>
      </c>
      <c r="R86" s="71" t="n">
        <v>0.7433</v>
      </c>
      <c r="S86" s="71" t="n">
        <v>0.95</v>
      </c>
      <c r="T86" s="66" t="n">
        <f aca="false">J86-IF(AND(OR(oil_compact=0,$A86&lt;compact_year),$A86&gt;=1931,$A86&lt;=1933),gulf_wage_dip,0)</f>
        <v>1.05</v>
      </c>
      <c r="U86" s="49" t="n">
        <f aca="false">IF($A86&lt;1900,0,IF(F86&lt;=G86,1,0))</f>
        <v>1</v>
      </c>
      <c r="V86" s="49" t="n">
        <f aca="false">IF($A86&lt;1900,0,IF(H86&gt;=I86,1,0))</f>
        <v>1</v>
      </c>
      <c r="W86" s="49" t="n">
        <f aca="false">IF($A86&lt;1900,0,IF(T86&gt;=K86,1,0))</f>
        <v>1</v>
      </c>
      <c r="X86" s="49" t="n">
        <f aca="false">IF($A86&lt;1900,0,IF(L86&lt;=M86,1,0))</f>
        <v>1</v>
      </c>
      <c r="Y86" s="49" t="n">
        <f aca="false">IF($A86&lt;1900,0,IF(N86&lt;=O86,1,0))</f>
        <v>1</v>
      </c>
      <c r="Z86" s="49" t="n">
        <f aca="false">IF($A86&lt;1900,0,IF(P86&lt;=Q86,1,0))</f>
        <v>0</v>
      </c>
      <c r="AA86" s="49" t="n">
        <f aca="false">IF($A86&lt;1900,0,IF(R86&gt;=S86,1,0))</f>
        <v>0</v>
      </c>
      <c r="AB86" s="49" t="n">
        <f aca="false">IF(SUM(U86:Y86)=5,1,0)</f>
        <v>1</v>
      </c>
      <c r="AC86" s="49" t="n">
        <f aca="false">IF(Z86+AA86=2,1,0)</f>
        <v>0</v>
      </c>
      <c r="AD86" s="49" t="n">
        <f aca="false">IF(AND(AB86=1,AC86=1),1,0)</f>
        <v>0</v>
      </c>
      <c r="AE86" s="49" t="n">
        <f aca="false">IF(AD86=1,AE85+1,0)</f>
        <v>0</v>
      </c>
      <c r="AF86" s="49" t="n">
        <f aca="false">IF(AE85&gt;=gulf_years_req,1,0)</f>
        <v>0</v>
      </c>
    </row>
    <row r="87" customFormat="false" ht="14.25" hidden="false" customHeight="true" outlineLevel="0" collapsed="false">
      <c r="A87" s="61" t="n">
        <v>1927</v>
      </c>
      <c r="B87" s="47" t="n">
        <v>10490000</v>
      </c>
      <c r="C87" s="71" t="n">
        <v>0.657</v>
      </c>
      <c r="D87" s="49" t="n">
        <f aca="false">Partners!Q87*(1-IF(AND(OR(oil_compact=0,$A87&lt;compact_year),OR($A87=1931,$A87=1932)),gulf_glut_gdp,0))</f>
        <v>6851.40955606956</v>
      </c>
      <c r="E87" s="49" t="n">
        <f aca="false">IF(AND(gulf_on=1,$A87&gt;=gulf_year),1,0)</f>
        <v>0</v>
      </c>
      <c r="F87" s="47" t="n">
        <v>79.3333</v>
      </c>
      <c r="G87" s="47" t="n">
        <v>84</v>
      </c>
      <c r="H87" s="62" t="n">
        <v>0.945</v>
      </c>
      <c r="I87" s="62" t="n">
        <v>0.9167</v>
      </c>
      <c r="J87" s="62" t="n">
        <v>1.06</v>
      </c>
      <c r="K87" s="62" t="n">
        <v>1</v>
      </c>
      <c r="L87" s="55" t="n">
        <v>9.2</v>
      </c>
      <c r="M87" s="55" t="n">
        <v>9.6667</v>
      </c>
      <c r="N87" s="55" t="n">
        <v>5.8333</v>
      </c>
      <c r="O87" s="55" t="n">
        <v>7</v>
      </c>
      <c r="P87" s="71" t="n">
        <v>1.3</v>
      </c>
      <c r="Q87" s="71" t="n">
        <v>1.05</v>
      </c>
      <c r="R87" s="71" t="n">
        <v>0.7567</v>
      </c>
      <c r="S87" s="71" t="n">
        <v>0.95</v>
      </c>
      <c r="T87" s="66" t="n">
        <f aca="false">J87-IF(AND(OR(oil_compact=0,$A87&lt;compact_year),$A87&gt;=1931,$A87&lt;=1933),gulf_wage_dip,0)</f>
        <v>1.06</v>
      </c>
      <c r="U87" s="49" t="n">
        <f aca="false">IF($A87&lt;1900,0,IF(F87&lt;=G87,1,0))</f>
        <v>1</v>
      </c>
      <c r="V87" s="49" t="n">
        <f aca="false">IF($A87&lt;1900,0,IF(H87&gt;=I87,1,0))</f>
        <v>1</v>
      </c>
      <c r="W87" s="49" t="n">
        <f aca="false">IF($A87&lt;1900,0,IF(T87&gt;=K87,1,0))</f>
        <v>1</v>
      </c>
      <c r="X87" s="49" t="n">
        <f aca="false">IF($A87&lt;1900,0,IF(L87&lt;=M87,1,0))</f>
        <v>1</v>
      </c>
      <c r="Y87" s="49" t="n">
        <f aca="false">IF($A87&lt;1900,0,IF(N87&lt;=O87,1,0))</f>
        <v>1</v>
      </c>
      <c r="Z87" s="49" t="n">
        <f aca="false">IF($A87&lt;1900,0,IF(P87&lt;=Q87,1,0))</f>
        <v>0</v>
      </c>
      <c r="AA87" s="49" t="n">
        <f aca="false">IF($A87&lt;1900,0,IF(R87&gt;=S87,1,0))</f>
        <v>0</v>
      </c>
      <c r="AB87" s="49" t="n">
        <f aca="false">IF(SUM(U87:Y87)=5,1,0)</f>
        <v>1</v>
      </c>
      <c r="AC87" s="49" t="n">
        <f aca="false">IF(Z87+AA87=2,1,0)</f>
        <v>0</v>
      </c>
      <c r="AD87" s="49" t="n">
        <f aca="false">IF(AND(AB87=1,AC87=1),1,0)</f>
        <v>0</v>
      </c>
      <c r="AE87" s="49" t="n">
        <f aca="false">IF(AD87=1,AE86+1,0)</f>
        <v>0</v>
      </c>
      <c r="AF87" s="49" t="n">
        <f aca="false">IF(AE86&gt;=gulf_years_req,1,0)</f>
        <v>0</v>
      </c>
    </row>
    <row r="88" customFormat="false" ht="14.25" hidden="false" customHeight="true" outlineLevel="0" collapsed="false">
      <c r="A88" s="61" t="n">
        <v>1928</v>
      </c>
      <c r="B88" s="47" t="n">
        <v>10640000</v>
      </c>
      <c r="C88" s="71" t="n">
        <v>0.653</v>
      </c>
      <c r="D88" s="49" t="n">
        <f aca="false">Partners!Q88*(1-IF(AND(OR(oil_compact=0,$A88&lt;compact_year),OR($A88=1931,$A88=1932)),gulf_glut_gdp,0))</f>
        <v>7055.64547858492</v>
      </c>
      <c r="E88" s="49" t="n">
        <f aca="false">IF(AND(gulf_on=1,$A88&gt;=gulf_year),1,0)</f>
        <v>0</v>
      </c>
      <c r="F88" s="47" t="n">
        <v>76</v>
      </c>
      <c r="G88" s="47" t="n">
        <v>82</v>
      </c>
      <c r="H88" s="62" t="n">
        <v>0.95</v>
      </c>
      <c r="I88" s="62" t="n">
        <v>0.92</v>
      </c>
      <c r="J88" s="62" t="n">
        <v>1.07</v>
      </c>
      <c r="K88" s="62" t="n">
        <v>1</v>
      </c>
      <c r="L88" s="55" t="n">
        <v>8.9</v>
      </c>
      <c r="M88" s="55" t="n">
        <v>9.5</v>
      </c>
      <c r="N88" s="55" t="n">
        <v>5.5</v>
      </c>
      <c r="O88" s="55" t="n">
        <v>6.5</v>
      </c>
      <c r="P88" s="71" t="n">
        <v>1.28</v>
      </c>
      <c r="Q88" s="71" t="n">
        <v>1.05</v>
      </c>
      <c r="R88" s="71" t="n">
        <v>0.77</v>
      </c>
      <c r="S88" s="71" t="n">
        <v>0.95</v>
      </c>
      <c r="T88" s="66" t="n">
        <f aca="false">J88-IF(AND(OR(oil_compact=0,$A88&lt;compact_year),$A88&gt;=1931,$A88&lt;=1933),gulf_wage_dip,0)</f>
        <v>1.07</v>
      </c>
      <c r="U88" s="49" t="n">
        <f aca="false">IF($A88&lt;1900,0,IF(F88&lt;=G88,1,0))</f>
        <v>1</v>
      </c>
      <c r="V88" s="49" t="n">
        <f aca="false">IF($A88&lt;1900,0,IF(H88&gt;=I88,1,0))</f>
        <v>1</v>
      </c>
      <c r="W88" s="49" t="n">
        <f aca="false">IF($A88&lt;1900,0,IF(T88&gt;=K88,1,0))</f>
        <v>1</v>
      </c>
      <c r="X88" s="49" t="n">
        <f aca="false">IF($A88&lt;1900,0,IF(L88&lt;=M88,1,0))</f>
        <v>1</v>
      </c>
      <c r="Y88" s="49" t="n">
        <f aca="false">IF($A88&lt;1900,0,IF(N88&lt;=O88,1,0))</f>
        <v>1</v>
      </c>
      <c r="Z88" s="49" t="n">
        <f aca="false">IF($A88&lt;1900,0,IF(P88&lt;=Q88,1,0))</f>
        <v>0</v>
      </c>
      <c r="AA88" s="49" t="n">
        <f aca="false">IF($A88&lt;1900,0,IF(R88&gt;=S88,1,0))</f>
        <v>0</v>
      </c>
      <c r="AB88" s="49" t="n">
        <f aca="false">IF(SUM(U88:Y88)=5,1,0)</f>
        <v>1</v>
      </c>
      <c r="AC88" s="49" t="n">
        <f aca="false">IF(Z88+AA88=2,1,0)</f>
        <v>0</v>
      </c>
      <c r="AD88" s="49" t="n">
        <f aca="false">IF(AND(AB88=1,AC88=1),1,0)</f>
        <v>0</v>
      </c>
      <c r="AE88" s="49" t="n">
        <f aca="false">IF(AD88=1,AE87+1,0)</f>
        <v>0</v>
      </c>
      <c r="AF88" s="49" t="n">
        <f aca="false">IF(AE87&gt;=gulf_years_req,1,0)</f>
        <v>0</v>
      </c>
    </row>
    <row r="89" customFormat="false" ht="14.25" hidden="false" customHeight="true" outlineLevel="0" collapsed="false">
      <c r="A89" s="61" t="n">
        <v>1929</v>
      </c>
      <c r="B89" s="47" t="n">
        <v>10800000</v>
      </c>
      <c r="C89" s="71" t="n">
        <v>0.65</v>
      </c>
      <c r="D89" s="49" t="n">
        <f aca="false">Partners!Q89*(1-IF(AND(OR(oil_compact=0,$A89&lt;compact_year),OR($A89=1931,$A89=1932)),gulf_glut_gdp,0))</f>
        <v>7583.45031425448</v>
      </c>
      <c r="E89" s="49" t="n">
        <f aca="false">IF(AND(gulf_on=1,$A89&gt;=gulf_year),1,0)</f>
        <v>0</v>
      </c>
      <c r="F89" s="47" t="n">
        <v>74.5</v>
      </c>
      <c r="G89" s="47" t="n">
        <v>81</v>
      </c>
      <c r="H89" s="62" t="n">
        <v>0.9525</v>
      </c>
      <c r="I89" s="62" t="n">
        <v>0.9225</v>
      </c>
      <c r="J89" s="62" t="n">
        <v>1.0725</v>
      </c>
      <c r="K89" s="62" t="n">
        <v>1</v>
      </c>
      <c r="L89" s="55" t="n">
        <v>8.8</v>
      </c>
      <c r="M89" s="55" t="n">
        <v>9.425</v>
      </c>
      <c r="N89" s="55" t="n">
        <v>5.25</v>
      </c>
      <c r="O89" s="55" t="n">
        <v>6.25</v>
      </c>
      <c r="P89" s="71" t="n">
        <v>1.265</v>
      </c>
      <c r="Q89" s="71" t="n">
        <v>1.05</v>
      </c>
      <c r="R89" s="71" t="n">
        <v>0.7775</v>
      </c>
      <c r="S89" s="71" t="n">
        <v>0.95</v>
      </c>
      <c r="T89" s="66" t="n">
        <f aca="false">J89-IF(AND(OR(oil_compact=0,$A89&lt;compact_year),$A89&gt;=1931,$A89&lt;=1933),gulf_wage_dip,0)</f>
        <v>1.0725</v>
      </c>
      <c r="U89" s="49" t="n">
        <f aca="false">IF($A89&lt;1900,0,IF(F89&lt;=G89,1,0))</f>
        <v>1</v>
      </c>
      <c r="V89" s="49" t="n">
        <f aca="false">IF($A89&lt;1900,0,IF(H89&gt;=I89,1,0))</f>
        <v>1</v>
      </c>
      <c r="W89" s="49" t="n">
        <f aca="false">IF($A89&lt;1900,0,IF(T89&gt;=K89,1,0))</f>
        <v>1</v>
      </c>
      <c r="X89" s="49" t="n">
        <f aca="false">IF($A89&lt;1900,0,IF(L89&lt;=M89,1,0))</f>
        <v>1</v>
      </c>
      <c r="Y89" s="49" t="n">
        <f aca="false">IF($A89&lt;1900,0,IF(N89&lt;=O89,1,0))</f>
        <v>1</v>
      </c>
      <c r="Z89" s="49" t="n">
        <f aca="false">IF($A89&lt;1900,0,IF(P89&lt;=Q89,1,0))</f>
        <v>0</v>
      </c>
      <c r="AA89" s="49" t="n">
        <f aca="false">IF($A89&lt;1900,0,IF(R89&gt;=S89,1,0))</f>
        <v>0</v>
      </c>
      <c r="AB89" s="49" t="n">
        <f aca="false">IF(SUM(U89:Y89)=5,1,0)</f>
        <v>1</v>
      </c>
      <c r="AC89" s="49" t="n">
        <f aca="false">IF(Z89+AA89=2,1,0)</f>
        <v>0</v>
      </c>
      <c r="AD89" s="49" t="n">
        <f aca="false">IF(AND(AB89=1,AC89=1),1,0)</f>
        <v>0</v>
      </c>
      <c r="AE89" s="49" t="n">
        <f aca="false">IF(AD89=1,AE88+1,0)</f>
        <v>0</v>
      </c>
      <c r="AF89" s="49" t="n">
        <f aca="false">IF(AE88&gt;=gulf_years_req,1,0)</f>
        <v>0</v>
      </c>
    </row>
    <row r="90" customFormat="false" ht="14.25" hidden="false" customHeight="true" outlineLevel="0" collapsed="false">
      <c r="A90" s="61" t="n">
        <v>1930</v>
      </c>
      <c r="B90" s="47" t="n">
        <v>10930000</v>
      </c>
      <c r="C90" s="71" t="n">
        <v>0.64</v>
      </c>
      <c r="D90" s="49" t="n">
        <f aca="false">Partners!Q90*(1-IF(AND(OR(oil_compact=0,$A90&lt;compact_year),OR($A90=1931,$A90=1932)),gulf_glut_gdp,0))</f>
        <v>6639.5138478065</v>
      </c>
      <c r="E90" s="49" t="n">
        <f aca="false">IF(AND(gulf_on=1,$A90&gt;=gulf_year),1,0)</f>
        <v>0</v>
      </c>
      <c r="F90" s="47" t="n">
        <v>73</v>
      </c>
      <c r="G90" s="47" t="n">
        <v>80</v>
      </c>
      <c r="H90" s="62" t="n">
        <v>0.955</v>
      </c>
      <c r="I90" s="62" t="n">
        <v>0.925</v>
      </c>
      <c r="J90" s="62" t="n">
        <v>1.075</v>
      </c>
      <c r="K90" s="62" t="n">
        <v>1</v>
      </c>
      <c r="L90" s="55" t="n">
        <v>8.7</v>
      </c>
      <c r="M90" s="55" t="n">
        <v>9.35</v>
      </c>
      <c r="N90" s="55" t="n">
        <v>5</v>
      </c>
      <c r="O90" s="55" t="n">
        <v>6</v>
      </c>
      <c r="P90" s="71" t="n">
        <v>1.25</v>
      </c>
      <c r="Q90" s="71" t="n">
        <v>1.05</v>
      </c>
      <c r="R90" s="71" t="n">
        <v>0.785</v>
      </c>
      <c r="S90" s="71" t="n">
        <v>0.95</v>
      </c>
      <c r="T90" s="66" t="n">
        <f aca="false">J90-IF(AND(OR(oil_compact=0,$A90&lt;compact_year),$A90&gt;=1931,$A90&lt;=1933),gulf_wage_dip,0)</f>
        <v>1.075</v>
      </c>
      <c r="U90" s="49" t="n">
        <f aca="false">IF($A90&lt;1900,0,IF(F90&lt;=G90,1,0))</f>
        <v>1</v>
      </c>
      <c r="V90" s="49" t="n">
        <f aca="false">IF($A90&lt;1900,0,IF(H90&gt;=I90,1,0))</f>
        <v>1</v>
      </c>
      <c r="W90" s="49" t="n">
        <f aca="false">IF($A90&lt;1900,0,IF(T90&gt;=K90,1,0))</f>
        <v>1</v>
      </c>
      <c r="X90" s="49" t="n">
        <f aca="false">IF($A90&lt;1900,0,IF(L90&lt;=M90,1,0))</f>
        <v>1</v>
      </c>
      <c r="Y90" s="49" t="n">
        <f aca="false">IF($A90&lt;1900,0,IF(N90&lt;=O90,1,0))</f>
        <v>1</v>
      </c>
      <c r="Z90" s="49" t="n">
        <f aca="false">IF($A90&lt;1900,0,IF(P90&lt;=Q90,1,0))</f>
        <v>0</v>
      </c>
      <c r="AA90" s="49" t="n">
        <f aca="false">IF($A90&lt;1900,0,IF(R90&gt;=S90,1,0))</f>
        <v>0</v>
      </c>
      <c r="AB90" s="49" t="n">
        <f aca="false">IF(SUM(U90:Y90)=5,1,0)</f>
        <v>1</v>
      </c>
      <c r="AC90" s="49" t="n">
        <f aca="false">IF(Z90+AA90=2,1,0)</f>
        <v>0</v>
      </c>
      <c r="AD90" s="49" t="n">
        <f aca="false">IF(AND(AB90=1,AC90=1),1,0)</f>
        <v>0</v>
      </c>
      <c r="AE90" s="49" t="n">
        <f aca="false">IF(AD90=1,AE89+1,0)</f>
        <v>0</v>
      </c>
      <c r="AF90" s="49" t="n">
        <f aca="false">IF(AE89&gt;=gulf_years_req,1,0)</f>
        <v>0</v>
      </c>
    </row>
    <row r="91" customFormat="false" ht="14.25" hidden="false" customHeight="true" outlineLevel="0" collapsed="false">
      <c r="A91" s="61" t="n">
        <v>1931</v>
      </c>
      <c r="B91" s="47" t="n">
        <v>11070000</v>
      </c>
      <c r="C91" s="71" t="n">
        <v>0.63</v>
      </c>
      <c r="D91" s="49" t="n">
        <f aca="false">Partners!Q91*(1-IF(AND(OR(oil_compact=0,$A91&lt;compact_year),OR($A91=1931,$A91=1932)),gulf_glut_gdp,0))</f>
        <v>5295.91088696335</v>
      </c>
      <c r="E91" s="49" t="n">
        <f aca="false">IF(AND(gulf_on=1,$A91&gt;=gulf_year),1,0)</f>
        <v>0</v>
      </c>
      <c r="F91" s="47" t="n">
        <v>71.5</v>
      </c>
      <c r="G91" s="47" t="n">
        <v>79</v>
      </c>
      <c r="H91" s="62" t="n">
        <v>0.9575</v>
      </c>
      <c r="I91" s="62" t="n">
        <v>0.9275</v>
      </c>
      <c r="J91" s="62" t="n">
        <v>1.0775</v>
      </c>
      <c r="K91" s="62" t="n">
        <v>1</v>
      </c>
      <c r="L91" s="55" t="n">
        <v>8.6</v>
      </c>
      <c r="M91" s="55" t="n">
        <v>9.275</v>
      </c>
      <c r="N91" s="55" t="n">
        <v>4.75</v>
      </c>
      <c r="O91" s="55" t="n">
        <v>5.75</v>
      </c>
      <c r="P91" s="71" t="n">
        <v>1.235</v>
      </c>
      <c r="Q91" s="71" t="n">
        <v>1.05</v>
      </c>
      <c r="R91" s="71" t="n">
        <v>0.7925</v>
      </c>
      <c r="S91" s="71" t="n">
        <v>0.95</v>
      </c>
      <c r="T91" s="66" t="n">
        <f aca="false">J91-IF(AND(OR(oil_compact=0,$A91&lt;compact_year),$A91&gt;=1931,$A91&lt;=1933),gulf_wage_dip,0)</f>
        <v>0.9875</v>
      </c>
      <c r="U91" s="49" t="n">
        <f aca="false">IF($A91&lt;1900,0,IF(F91&lt;=G91,1,0))</f>
        <v>1</v>
      </c>
      <c r="V91" s="49" t="n">
        <f aca="false">IF($A91&lt;1900,0,IF(H91&gt;=I91,1,0))</f>
        <v>1</v>
      </c>
      <c r="W91" s="49" t="n">
        <f aca="false">IF($A91&lt;1900,0,IF(T91&gt;=K91,1,0))</f>
        <v>0</v>
      </c>
      <c r="X91" s="49" t="n">
        <f aca="false">IF($A91&lt;1900,0,IF(L91&lt;=M91,1,0))</f>
        <v>1</v>
      </c>
      <c r="Y91" s="49" t="n">
        <f aca="false">IF($A91&lt;1900,0,IF(N91&lt;=O91,1,0))</f>
        <v>1</v>
      </c>
      <c r="Z91" s="49" t="n">
        <f aca="false">IF($A91&lt;1900,0,IF(P91&lt;=Q91,1,0))</f>
        <v>0</v>
      </c>
      <c r="AA91" s="49" t="n">
        <f aca="false">IF($A91&lt;1900,0,IF(R91&gt;=S91,1,0))</f>
        <v>0</v>
      </c>
      <c r="AB91" s="49" t="n">
        <f aca="false">IF(SUM(U91:Y91)=5,1,0)</f>
        <v>0</v>
      </c>
      <c r="AC91" s="49" t="n">
        <f aca="false">IF(Z91+AA91=2,1,0)</f>
        <v>0</v>
      </c>
      <c r="AD91" s="49" t="n">
        <f aca="false">IF(AND(AB91=1,AC91=1),1,0)</f>
        <v>0</v>
      </c>
      <c r="AE91" s="49" t="n">
        <f aca="false">IF(AD91=1,AE90+1,0)</f>
        <v>0</v>
      </c>
      <c r="AF91" s="49" t="n">
        <f aca="false">IF(AE90&gt;=gulf_years_req,1,0)</f>
        <v>0</v>
      </c>
    </row>
    <row r="92" customFormat="false" ht="14.25" hidden="false" customHeight="true" outlineLevel="0" collapsed="false">
      <c r="A92" s="61" t="n">
        <v>1932</v>
      </c>
      <c r="B92" s="47" t="n">
        <v>11200000</v>
      </c>
      <c r="C92" s="71" t="n">
        <v>0.62</v>
      </c>
      <c r="D92" s="49" t="n">
        <f aca="false">Partners!Q92*(1-IF(AND(OR(oil_compact=0,$A92&lt;compact_year),OR($A92=1931,$A92=1932)),gulf_glut_gdp,0))</f>
        <v>4276.82662517421</v>
      </c>
      <c r="E92" s="49" t="n">
        <f aca="false">IF(AND(gulf_on=1,$A92&gt;=gulf_year),1,0)</f>
        <v>0</v>
      </c>
      <c r="F92" s="47" t="n">
        <v>70</v>
      </c>
      <c r="G92" s="47" t="n">
        <v>78</v>
      </c>
      <c r="H92" s="62" t="n">
        <v>0.96</v>
      </c>
      <c r="I92" s="62" t="n">
        <v>0.93</v>
      </c>
      <c r="J92" s="62" t="n">
        <v>1.08</v>
      </c>
      <c r="K92" s="62" t="n">
        <v>1</v>
      </c>
      <c r="L92" s="55" t="n">
        <v>8.5</v>
      </c>
      <c r="M92" s="55" t="n">
        <v>9.2</v>
      </c>
      <c r="N92" s="55" t="n">
        <v>4.5</v>
      </c>
      <c r="O92" s="55" t="n">
        <v>5.5</v>
      </c>
      <c r="P92" s="71" t="n">
        <v>1.22</v>
      </c>
      <c r="Q92" s="71" t="n">
        <v>1.05</v>
      </c>
      <c r="R92" s="71" t="n">
        <v>0.8</v>
      </c>
      <c r="S92" s="71" t="n">
        <v>0.95</v>
      </c>
      <c r="T92" s="66" t="n">
        <f aca="false">J92-IF(AND(OR(oil_compact=0,$A92&lt;compact_year),$A92&gt;=1931,$A92&lt;=1933),gulf_wage_dip,0)</f>
        <v>1.08</v>
      </c>
      <c r="U92" s="49" t="n">
        <f aca="false">IF($A92&lt;1900,0,IF(F92&lt;=G92,1,0))</f>
        <v>1</v>
      </c>
      <c r="V92" s="49" t="n">
        <f aca="false">IF($A92&lt;1900,0,IF(H92&gt;=I92,1,0))</f>
        <v>1</v>
      </c>
      <c r="W92" s="49" t="n">
        <f aca="false">IF($A92&lt;1900,0,IF(T92&gt;=K92,1,0))</f>
        <v>1</v>
      </c>
      <c r="X92" s="49" t="n">
        <f aca="false">IF($A92&lt;1900,0,IF(L92&lt;=M92,1,0))</f>
        <v>1</v>
      </c>
      <c r="Y92" s="49" t="n">
        <f aca="false">IF($A92&lt;1900,0,IF(N92&lt;=O92,1,0))</f>
        <v>1</v>
      </c>
      <c r="Z92" s="49" t="n">
        <f aca="false">IF($A92&lt;1900,0,IF(P92&lt;=Q92,1,0))</f>
        <v>0</v>
      </c>
      <c r="AA92" s="49" t="n">
        <f aca="false">IF($A92&lt;1900,0,IF(R92&gt;=S92,1,0))</f>
        <v>0</v>
      </c>
      <c r="AB92" s="49" t="n">
        <f aca="false">IF(SUM(U92:Y92)=5,1,0)</f>
        <v>1</v>
      </c>
      <c r="AC92" s="49" t="n">
        <f aca="false">IF(Z92+AA92=2,1,0)</f>
        <v>0</v>
      </c>
      <c r="AD92" s="49" t="n">
        <f aca="false">IF(AND(AB92=1,AC92=1),1,0)</f>
        <v>0</v>
      </c>
      <c r="AE92" s="49" t="n">
        <f aca="false">IF(AD92=1,AE91+1,0)</f>
        <v>0</v>
      </c>
      <c r="AF92" s="49" t="n">
        <f aca="false">IF(AE91&gt;=gulf_years_req,1,0)</f>
        <v>0</v>
      </c>
    </row>
  </sheetData>
  <mergeCells count="3">
    <mergeCell ref="B4:E4"/>
    <mergeCell ref="F4:T4"/>
    <mergeCell ref="U4:A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8.88671875" defaultRowHeight="14.2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7" min="3" style="1" width="11"/>
    <col collapsed="false" customWidth="true" hidden="false" outlineLevel="0" max="8" min="8" style="1" width="95"/>
  </cols>
  <sheetData>
    <row r="1" customFormat="false" ht="18" hidden="false" customHeight="true" outlineLevel="0" collapsed="false">
      <c r="A1" s="19" t="s">
        <v>2143</v>
      </c>
    </row>
    <row r="2" customFormat="false" ht="14.25" hidden="false" customHeight="true" outlineLevel="0" collapsed="false">
      <c r="A2" s="3" t="s">
        <v>2144</v>
      </c>
    </row>
    <row r="3" customFormat="false" ht="14.25" hidden="false" customHeight="true" outlineLevel="0" collapsed="false">
      <c r="A3" s="20" t="s">
        <v>2145</v>
      </c>
    </row>
    <row r="5" customFormat="false" ht="14.25" hidden="false" customHeight="true" outlineLevel="0" collapsed="false">
      <c r="B5" s="6" t="s">
        <v>2146</v>
      </c>
      <c r="C5" s="100" t="n">
        <v>1870</v>
      </c>
      <c r="D5" s="100" t="n">
        <v>1900</v>
      </c>
      <c r="E5" s="100" t="n">
        <v>1913</v>
      </c>
      <c r="F5" s="100" t="n">
        <v>1929</v>
      </c>
      <c r="G5" s="100" t="n">
        <v>1932</v>
      </c>
      <c r="H5" s="6" t="s">
        <v>2147</v>
      </c>
    </row>
    <row r="6" customFormat="false" ht="14.25" hidden="false" customHeight="true" outlineLevel="0" collapsed="false">
      <c r="B6" s="4" t="s">
        <v>2148</v>
      </c>
      <c r="C6" s="17" t="n">
        <f aca="false">INDEX(Economy!$O$6:$O$92,MATCH(C$5,Economy!$A$6:$A$92,0))/1000</f>
        <v>0.776183377974681</v>
      </c>
      <c r="D6" s="17" t="n">
        <f aca="false">INDEX(Economy!$O$6:$O$92,MATCH(D$5,Economy!$A$6:$A$92,0))/1000</f>
        <v>5.49635259516047</v>
      </c>
      <c r="E6" s="17" t="n">
        <f aca="false">INDEX(Economy!$O$6:$O$92,MATCH(E$5,Economy!$A$6:$A$92,0))/1000</f>
        <v>17.7848315903381</v>
      </c>
      <c r="F6" s="17" t="n">
        <f aca="false">INDEX(Economy!$O$6:$O$92,MATCH(F$5,Economy!$A$6:$A$92,0))/1000</f>
        <v>69.4723418191507</v>
      </c>
      <c r="G6" s="17" t="n">
        <f aca="false">INDEX(Economy!$O$6:$O$92,MATCH(G$5,Economy!$A$6:$A$92,0))/1000</f>
        <v>54.8461190116299</v>
      </c>
      <c r="H6" s="57" t="s">
        <v>2149</v>
      </c>
    </row>
    <row r="7" customFormat="false" ht="14.25" hidden="false" customHeight="true" outlineLevel="0" collapsed="false">
      <c r="B7" s="10" t="s">
        <v>41</v>
      </c>
      <c r="C7" s="17" t="n">
        <f aca="false">INDEX(Japan!$D$6:$D$92,MATCH(C$5,Japan!$A$6:$A$92,0))/1000</f>
        <v>0.473075114478388</v>
      </c>
      <c r="D7" s="17" t="n">
        <f aca="false">INDEX(Japan!$D$6:$D$92,MATCH(D$5,Japan!$A$6:$A$92,0))/1000</f>
        <v>1.86485978157681</v>
      </c>
      <c r="E7" s="17" t="n">
        <f aca="false">INDEX(Japan!$D$6:$D$92,MATCH(E$5,Japan!$A$6:$A$92,0))/1000</f>
        <v>4.91793062390534</v>
      </c>
      <c r="F7" s="17" t="n">
        <f aca="false">INDEX(Japan!$D$6:$D$92,MATCH(F$5,Japan!$A$6:$A$92,0))/1000</f>
        <v>20.9860659903679</v>
      </c>
      <c r="G7" s="17" t="n">
        <f aca="false">INDEX(Japan!$D$6:$D$92,MATCH(G$5,Japan!$A$6:$A$92,0))/1000</f>
        <v>17.6549262071279</v>
      </c>
      <c r="H7" s="57" t="s">
        <v>2150</v>
      </c>
    </row>
    <row r="8" customFormat="false" ht="14.25" hidden="false" customHeight="true" outlineLevel="0" collapsed="false">
      <c r="B8" s="4" t="s">
        <v>2151</v>
      </c>
      <c r="C8" s="101" t="n">
        <f aca="false">C6+C7</f>
        <v>1.24925849245307</v>
      </c>
      <c r="D8" s="101" t="n">
        <f aca="false">D6+D7</f>
        <v>7.36121237673728</v>
      </c>
      <c r="E8" s="101" t="n">
        <f aca="false">E6+E7</f>
        <v>22.7027622142434</v>
      </c>
      <c r="F8" s="101" t="n">
        <f aca="false">F6+F7</f>
        <v>90.4584078095186</v>
      </c>
      <c r="G8" s="101" t="n">
        <f aca="false">G6+G7</f>
        <v>72.5010452187578</v>
      </c>
      <c r="H8" s="57"/>
    </row>
    <row r="9" customFormat="false" ht="14.25" hidden="false" customHeight="true" outlineLevel="0" collapsed="false">
      <c r="B9" s="10" t="s">
        <v>2026</v>
      </c>
      <c r="C9" s="17" t="n">
        <f aca="false">INDEX(Partners!$Y$6:$Y$92,MATCH(C$5,Partners!$A$6:$A$92,0))/1000</f>
        <v>0</v>
      </c>
      <c r="D9" s="17" t="n">
        <f aca="false">INDEX(Partners!$Y$6:$Y$92,MATCH(D$5,Partners!$A$6:$A$92,0))/1000</f>
        <v>0.331874537656321</v>
      </c>
      <c r="E9" s="17" t="n">
        <f aca="false">INDEX(Partners!$Y$6:$Y$92,MATCH(E$5,Partners!$A$6:$A$92,0))/1000</f>
        <v>0.682586012193716</v>
      </c>
      <c r="F9" s="17" t="n">
        <f aca="false">INDEX(Partners!$Y$6:$Y$92,MATCH(F$5,Partners!$A$6:$A$92,0))/1000</f>
        <v>2.70765183816987</v>
      </c>
      <c r="G9" s="17" t="n">
        <f aca="false">INDEX(Partners!$Y$6:$Y$92,MATCH(G$5,Partners!$A$6:$A$92,0))/1000</f>
        <v>2.1044826684897</v>
      </c>
      <c r="H9" s="57" t="s">
        <v>2152</v>
      </c>
    </row>
    <row r="10" customFormat="false" ht="14.25" hidden="false" customHeight="true" outlineLevel="0" collapsed="false">
      <c r="B10" s="10" t="s">
        <v>2153</v>
      </c>
      <c r="C10" s="17" t="n">
        <f aca="false">IF(INDEX(Gulf!$E$6:$E$92,MATCH(C$5,Gulf!$A$6:$A$92,0))=1,0,INDEX(Gulf!$D$6:$D$92,MATCH(C$5,Gulf!$A$6:$A$92,0))/1000)</f>
        <v>0</v>
      </c>
      <c r="D10" s="17" t="n">
        <f aca="false">IF(INDEX(Gulf!$E$6:$E$92,MATCH(D$5,Gulf!$A$6:$A$92,0))=1,0,INDEX(Gulf!$D$6:$D$92,MATCH(D$5,Gulf!$A$6:$A$92,0))/1000)</f>
        <v>0.870348</v>
      </c>
      <c r="E10" s="17" t="n">
        <f aca="false">IF(INDEX(Gulf!$E$6:$E$92,MATCH(E$5,Gulf!$A$6:$A$92,0))=1,0,INDEX(Gulf!$D$6:$D$92,MATCH(E$5,Gulf!$A$6:$A$92,0))/1000)</f>
        <v>2.3111984342086</v>
      </c>
      <c r="F10" s="17" t="n">
        <f aca="false">IF(INDEX(Gulf!$E$6:$E$92,MATCH(F$5,Gulf!$A$6:$A$92,0))=1,0,INDEX(Gulf!$D$6:$D$92,MATCH(F$5,Gulf!$A$6:$A$92,0))/1000)</f>
        <v>7.58345031425448</v>
      </c>
      <c r="G10" s="17" t="n">
        <f aca="false">IF(INDEX(Gulf!$E$6:$E$92,MATCH(G$5,Gulf!$A$6:$A$92,0))=1,0,INDEX(Gulf!$D$6:$D$92,MATCH(G$5,Gulf!$A$6:$A$92,0))/1000)</f>
        <v>4.27682662517421</v>
      </c>
      <c r="H10" s="57" t="s">
        <v>2154</v>
      </c>
    </row>
    <row r="11" customFormat="false" ht="14.25" hidden="false" customHeight="true" outlineLevel="0" collapsed="false">
      <c r="B11" s="10" t="s">
        <v>2155</v>
      </c>
      <c r="C11" s="17" t="n">
        <f aca="false">INDEX(Partners!$AG$6:$AG$92,MATCH(C$5,Partners!$A$6:$A$92,0))/1000</f>
        <v>0</v>
      </c>
      <c r="D11" s="17" t="n">
        <f aca="false">INDEX(Partners!$AG$6:$AG$92,MATCH(D$5,Partners!$A$6:$A$92,0))/1000</f>
        <v>0</v>
      </c>
      <c r="E11" s="17" t="n">
        <f aca="false">INDEX(Partners!$AG$6:$AG$92,MATCH(E$5,Partners!$A$6:$A$92,0))/1000</f>
        <v>0</v>
      </c>
      <c r="F11" s="17" t="n">
        <f aca="false">INDEX(Partners!$AG$6:$AG$92,MATCH(F$5,Partners!$A$6:$A$92,0))/1000</f>
        <v>1.68500618618162</v>
      </c>
      <c r="G11" s="17" t="n">
        <f aca="false">INDEX(Partners!$AG$6:$AG$92,MATCH(G$5,Partners!$A$6:$A$92,0))/1000</f>
        <v>1.41701492534155</v>
      </c>
      <c r="H11" s="57" t="s">
        <v>2152</v>
      </c>
    </row>
    <row r="12" customFormat="false" ht="14.25" hidden="false" customHeight="true" outlineLevel="0" collapsed="false">
      <c r="B12" s="4" t="s">
        <v>52</v>
      </c>
      <c r="C12" s="101" t="n">
        <f aca="false">C8+C9+C10+C11</f>
        <v>1.24925849245307</v>
      </c>
      <c r="D12" s="101" t="n">
        <f aca="false">D8+D9+D10+D11</f>
        <v>8.5634349143936</v>
      </c>
      <c r="E12" s="101" t="n">
        <f aca="false">E8+E9+E10+E11</f>
        <v>25.6965466606457</v>
      </c>
      <c r="F12" s="101" t="n">
        <f aca="false">F8+F9+F10+F11</f>
        <v>102.434516148125</v>
      </c>
      <c r="G12" s="101" t="n">
        <f aca="false">G8+G9+G10+G11</f>
        <v>80.2993694377632</v>
      </c>
      <c r="H12" s="57" t="s">
        <v>2156</v>
      </c>
    </row>
    <row r="13" customFormat="false" ht="14.25" hidden="false" customHeight="true" outlineLevel="0" collapsed="false">
      <c r="B13" s="4" t="s">
        <v>2157</v>
      </c>
      <c r="C13" s="17" t="n">
        <f aca="false">INDEX(Labour!$BK$6:$BK$92,MATCH(C$5,Labour!$A$6:$A$92,0))/1000</f>
        <v>5.5140802660288</v>
      </c>
      <c r="D13" s="17" t="n">
        <f aca="false">INDEX(Labour!$BK$6:$BK$92,MATCH(D$5,Labour!$A$6:$A$92,0))/1000</f>
        <v>14.2292391004879</v>
      </c>
      <c r="E13" s="17" t="n">
        <f aca="false">INDEX(Labour!$BK$6:$BK$92,MATCH(E$5,Labour!$A$6:$A$92,0))/1000</f>
        <v>26.7225906189969</v>
      </c>
      <c r="F13" s="17" t="n">
        <f aca="false">INDEX(Labour!$BK$6:$BK$92,MATCH(F$5,Labour!$A$6:$A$92,0))/1000</f>
        <v>63.2821349038486</v>
      </c>
      <c r="G13" s="17" t="n">
        <f aca="false">INDEX(Labour!$BK$6:$BK$92,MATCH(G$5,Labour!$A$6:$A$92,0))/1000</f>
        <v>32.4601394643285</v>
      </c>
      <c r="H13" s="57" t="s">
        <v>2158</v>
      </c>
    </row>
    <row r="14" customFormat="false" ht="14.25" hidden="false" customHeight="true" outlineLevel="0" collapsed="false">
      <c r="B14" s="10" t="s">
        <v>741</v>
      </c>
      <c r="C14" s="102" t="n">
        <f aca="false">C$41*(C$45+C$46+IF(C$5&lt;1900,C$44,0))*C$52</f>
        <v>0.792</v>
      </c>
      <c r="D14" s="102" t="n">
        <f aca="false">D$41*(D$45+D$46+IF(D$5&lt;1900,D$44,0))*D$52</f>
        <v>0.6732</v>
      </c>
      <c r="E14" s="102" t="n">
        <f aca="false">E$41*(E$45+E$46+IF(E$5&lt;1900,E$44,0))*E$52</f>
        <v>1.47798</v>
      </c>
      <c r="F14" s="102" t="n">
        <f aca="false">F$41*(F$45+F$46+IF(F$5&lt;1900,F$44,0))*F$52</f>
        <v>3.7656</v>
      </c>
      <c r="G14" s="102" t="n">
        <f aca="false">G$41*(G$45+G$46+IF(G$5&lt;1900,G$44,0))*G$52</f>
        <v>2.0349</v>
      </c>
      <c r="H14" s="57" t="s">
        <v>2159</v>
      </c>
    </row>
    <row r="15" customFormat="false" ht="14.25" hidden="false" customHeight="true" outlineLevel="0" collapsed="false">
      <c r="B15" s="4" t="s">
        <v>54</v>
      </c>
      <c r="C15" s="101" t="n">
        <f aca="false">C$53</f>
        <v>4.9</v>
      </c>
      <c r="D15" s="101" t="n">
        <f aca="false">D$53</f>
        <v>9.4</v>
      </c>
      <c r="E15" s="101" t="n">
        <f aca="false">E$53</f>
        <v>12.2</v>
      </c>
      <c r="F15" s="101" t="n">
        <f aca="false">F$53</f>
        <v>22.9</v>
      </c>
      <c r="G15" s="101" t="n">
        <f aca="false">G$53</f>
        <v>15.3</v>
      </c>
      <c r="H15" s="57"/>
    </row>
    <row r="16" customFormat="false" ht="14.25" hidden="false" customHeight="true" outlineLevel="0" collapsed="false">
      <c r="B16" s="10" t="s">
        <v>55</v>
      </c>
      <c r="C16" s="102" t="n">
        <f aca="false">C$54</f>
        <v>3.3</v>
      </c>
      <c r="D16" s="102" t="n">
        <f aca="false">D$54</f>
        <v>7.9</v>
      </c>
      <c r="E16" s="102" t="n">
        <f aca="false">E$54</f>
        <v>12.4</v>
      </c>
      <c r="F16" s="102" t="n">
        <f aca="false">F$54</f>
        <v>23.3</v>
      </c>
      <c r="G16" s="102" t="n">
        <f aca="false">G$54</f>
        <v>15.2</v>
      </c>
      <c r="H16" s="57"/>
    </row>
    <row r="17" customFormat="false" ht="14.25" hidden="false" customHeight="true" outlineLevel="0" collapsed="false">
      <c r="B17" s="10" t="s">
        <v>856</v>
      </c>
      <c r="C17" s="102" t="n">
        <f aca="false">C$55</f>
        <v>4.2</v>
      </c>
      <c r="D17" s="102" t="n">
        <f aca="false">D$55</f>
        <v>6.4</v>
      </c>
      <c r="E17" s="102" t="n">
        <f aca="false">E$55</f>
        <v>10</v>
      </c>
      <c r="F17" s="102" t="n">
        <f aca="false">F$55</f>
        <v>16.7</v>
      </c>
      <c r="G17" s="102" t="n">
        <f aca="false">G$55</f>
        <v>14.2</v>
      </c>
      <c r="H17" s="57"/>
    </row>
    <row r="18" customFormat="false" ht="14.25" hidden="false" customHeight="true" outlineLevel="0" collapsed="false">
      <c r="B18" s="10" t="s">
        <v>2160</v>
      </c>
      <c r="C18" s="102" t="n">
        <f aca="false">C$56</f>
        <v>5</v>
      </c>
      <c r="D18" s="102" t="n">
        <f aca="false">D$56</f>
        <v>8</v>
      </c>
      <c r="E18" s="102" t="n">
        <f aca="false">E$56</f>
        <v>10.3</v>
      </c>
      <c r="F18" s="102" t="n">
        <f aca="false">F$56</f>
        <v>8</v>
      </c>
      <c r="G18" s="102" t="n">
        <f aca="false">G$56</f>
        <v>7</v>
      </c>
      <c r="H18" s="57"/>
    </row>
    <row r="19" customFormat="false" ht="14.25" hidden="false" customHeight="true" outlineLevel="0" collapsed="false">
      <c r="B19" s="10" t="s">
        <v>786</v>
      </c>
      <c r="C19" s="17" t="n">
        <f aca="false">INDEX(Partners!$AO$6:$AO$92,MATCH(C$5,Partners!$A$6:$A$92,0))/1000</f>
        <v>3.56411936316658</v>
      </c>
      <c r="D19" s="17" t="n">
        <f aca="false">INDEX(Partners!$AO$6:$AO$92,MATCH(D$5,Partners!$A$6:$A$92,0))/1000</f>
        <v>4.73833786307951</v>
      </c>
      <c r="E19" s="17" t="n">
        <f aca="false">INDEX(Partners!$AO$6:$AO$92,MATCH(E$5,Partners!$A$6:$A$92,0))/1000</f>
        <v>6.65322854075489</v>
      </c>
      <c r="F19" s="17" t="n">
        <f aca="false">INDEX(Partners!$AO$6:$AO$92,MATCH(F$5,Partners!$A$6:$A$92,0))/1000</f>
        <v>13.0974553691351</v>
      </c>
      <c r="G19" s="17" t="n">
        <f aca="false">INDEX(Partners!$AO$6:$AO$92,MATCH(G$5,Partners!$A$6:$A$92,0))/1000</f>
        <v>11.9813706109663</v>
      </c>
      <c r="H19" s="57" t="s">
        <v>2161</v>
      </c>
    </row>
    <row r="20" customFormat="false" ht="14.25" hidden="false" customHeight="true" outlineLevel="0" collapsed="false">
      <c r="B20" s="10" t="s">
        <v>830</v>
      </c>
      <c r="C20" s="17" t="n">
        <f aca="false">INDEX(Partners!$AW$6:$AW$92,MATCH(C$5,Partners!$A$6:$A$92,0))/1000</f>
        <v>0.15</v>
      </c>
      <c r="D20" s="17" t="n">
        <f aca="false">INDEX(Partners!$AW$6:$AW$92,MATCH(D$5,Partners!$A$6:$A$92,0))/1000</f>
        <v>0.303093848591602</v>
      </c>
      <c r="E20" s="17" t="n">
        <f aca="false">INDEX(Partners!$AW$6:$AW$92,MATCH(E$5,Partners!$A$6:$A$92,0))/1000</f>
        <v>0.591828941393446</v>
      </c>
      <c r="F20" s="17" t="n">
        <f aca="false">INDEX(Partners!$AW$6:$AW$92,MATCH(F$5,Partners!$A$6:$A$92,0))/1000</f>
        <v>1.96826417662704</v>
      </c>
      <c r="G20" s="17" t="n">
        <f aca="false">INDEX(Partners!$AW$6:$AW$92,MATCH(G$5,Partners!$A$6:$A$92,0))/1000</f>
        <v>1.66109870916992</v>
      </c>
      <c r="H20" s="57" t="s">
        <v>2162</v>
      </c>
    </row>
    <row r="21" customFormat="false" ht="14.25" hidden="false" customHeight="true" outlineLevel="0" collapsed="false">
      <c r="B21" s="10" t="s">
        <v>2028</v>
      </c>
      <c r="C21" s="17" t="n">
        <f aca="false">INDEX(Partners!$BE$6:$BE$92,MATCH(C$5,Partners!$A$6:$A$92,0))/1000</f>
        <v>0.9</v>
      </c>
      <c r="D21" s="17" t="n">
        <f aca="false">INDEX(Partners!$BE$6:$BE$92,MATCH(D$5,Partners!$A$6:$A$92,0))/1000</f>
        <v>2.09020250414489</v>
      </c>
      <c r="E21" s="17" t="n">
        <f aca="false">INDEX(Partners!$BE$6:$BE$92,MATCH(E$5,Partners!$A$6:$A$92,0))/1000</f>
        <v>3.30030453211694</v>
      </c>
      <c r="F21" s="17" t="n">
        <f aca="false">INDEX(Partners!$BE$6:$BE$92,MATCH(F$5,Partners!$A$6:$A$92,0))/1000</f>
        <v>7.39137187638579</v>
      </c>
      <c r="G21" s="17" t="n">
        <f aca="false">INDEX(Partners!$BE$6:$BE$92,MATCH(G$5,Partners!$A$6:$A$92,0))/1000</f>
        <v>4.42910290432392</v>
      </c>
      <c r="H21" s="57"/>
    </row>
    <row r="22" customFormat="false" ht="14.25" hidden="false" customHeight="true" outlineLevel="0" collapsed="false">
      <c r="B22" s="10" t="s">
        <v>2029</v>
      </c>
      <c r="C22" s="17" t="n">
        <f aca="false">INDEX(Partners!$BM$6:$BM$92,MATCH(C$5,Partners!$A$6:$A$92,0))/1000</f>
        <v>1</v>
      </c>
      <c r="D22" s="17" t="n">
        <f aca="false">INDEX(Partners!$BM$6:$BM$92,MATCH(D$5,Partners!$A$6:$A$92,0))/1000</f>
        <v>2.33629792934788</v>
      </c>
      <c r="E22" s="17" t="n">
        <f aca="false">INDEX(Partners!$BM$6:$BM$92,MATCH(E$5,Partners!$A$6:$A$92,0))/1000</f>
        <v>4.18866577652312</v>
      </c>
      <c r="F22" s="17" t="n">
        <f aca="false">INDEX(Partners!$BM$6:$BM$92,MATCH(F$5,Partners!$A$6:$A$92,0))/1000</f>
        <v>9.03781506349526</v>
      </c>
      <c r="G22" s="17" t="n">
        <f aca="false">INDEX(Partners!$BM$6:$BM$92,MATCH(G$5,Partners!$A$6:$A$92,0))/1000</f>
        <v>5.31496141046767</v>
      </c>
      <c r="H22" s="57"/>
    </row>
    <row r="23" customFormat="false" ht="14.25" hidden="false" customHeight="true" outlineLevel="0" collapsed="false">
      <c r="B23" s="10" t="s">
        <v>2030</v>
      </c>
      <c r="C23" s="17" t="n">
        <f aca="false">INDEX(Partners!$BU$6:$BU$92,MATCH(C$5,Partners!$A$6:$A$92,0))/1000</f>
        <v>0.5</v>
      </c>
      <c r="D23" s="17" t="n">
        <f aca="false">INDEX(Partners!$BU$6:$BU$92,MATCH(D$5,Partners!$A$6:$A$92,0))/1000</f>
        <v>0.8</v>
      </c>
      <c r="E23" s="17" t="n">
        <f aca="false">INDEX(Partners!$BU$6:$BU$92,MATCH(E$5,Partners!$A$6:$A$92,0))/1000</f>
        <v>1.11820377434966</v>
      </c>
      <c r="F23" s="17" t="n">
        <f aca="false">INDEX(Partners!$BU$6:$BU$92,MATCH(F$5,Partners!$A$6:$A$92,0))/1000</f>
        <v>1.96470937965685</v>
      </c>
      <c r="G23" s="17" t="n">
        <f aca="false">INDEX(Partners!$BU$6:$BU$92,MATCH(G$5,Partners!$A$6:$A$92,0))/1000</f>
        <v>1.56007347458693</v>
      </c>
      <c r="H23" s="57"/>
    </row>
    <row r="25" customFormat="false" ht="14.25" hidden="false" customHeight="true" outlineLevel="0" collapsed="false">
      <c r="B25" s="6" t="s">
        <v>1498</v>
      </c>
      <c r="C25" s="100" t="n">
        <v>1870</v>
      </c>
      <c r="D25" s="100" t="n">
        <v>1900</v>
      </c>
      <c r="E25" s="100" t="n">
        <v>1913</v>
      </c>
      <c r="F25" s="100" t="n">
        <v>1929</v>
      </c>
      <c r="G25" s="100" t="n">
        <v>1932</v>
      </c>
      <c r="H25" s="6" t="s">
        <v>2147</v>
      </c>
    </row>
    <row r="26" customFormat="false" ht="14.25" hidden="false" customHeight="true" outlineLevel="0" collapsed="false">
      <c r="B26" s="10" t="s">
        <v>2163</v>
      </c>
      <c r="C26" s="103" t="n">
        <f aca="false">C6/C15</f>
        <v>0.158404771015241</v>
      </c>
      <c r="D26" s="103" t="n">
        <f aca="false">D6/D15</f>
        <v>0.584718361187284</v>
      </c>
      <c r="E26" s="103" t="n">
        <f aca="false">E6/E15</f>
        <v>1.45777308117525</v>
      </c>
      <c r="F26" s="103" t="n">
        <f aca="false">F6/F15</f>
        <v>3.03372671699348</v>
      </c>
      <c r="G26" s="103" t="n">
        <f aca="false">G6/G15</f>
        <v>3.58471366089084</v>
      </c>
      <c r="H26" s="57"/>
    </row>
    <row r="27" customFormat="false" ht="14.25" hidden="false" customHeight="true" outlineLevel="0" collapsed="false">
      <c r="B27" s="4" t="s">
        <v>1784</v>
      </c>
      <c r="C27" s="34" t="n">
        <f aca="false">C8/C15</f>
        <v>0.254950712745524</v>
      </c>
      <c r="D27" s="34" t="n">
        <f aca="false">D8/D15</f>
        <v>0.783107699652902</v>
      </c>
      <c r="E27" s="34" t="n">
        <f aca="false">E8/E15</f>
        <v>1.86088214870848</v>
      </c>
      <c r="F27" s="34" t="n">
        <f aca="false">F8/F15</f>
        <v>3.95014881264273</v>
      </c>
      <c r="G27" s="34" t="n">
        <f aca="false">G8/G15</f>
        <v>4.73863040645476</v>
      </c>
      <c r="H27" s="57"/>
    </row>
    <row r="28" customFormat="false" ht="14.25" hidden="false" customHeight="true" outlineLevel="0" collapsed="false">
      <c r="B28" s="10" t="s">
        <v>2164</v>
      </c>
      <c r="C28" s="103" t="n">
        <f aca="false">C6/C13</f>
        <v>0.140763888178524</v>
      </c>
      <c r="D28" s="103" t="n">
        <f aca="false">D6/D13</f>
        <v>0.386271715328194</v>
      </c>
      <c r="E28" s="103" t="n">
        <f aca="false">E6/E13</f>
        <v>0.665535458141358</v>
      </c>
      <c r="F28" s="103" t="n">
        <f aca="false">F6/F13</f>
        <v>1.09781918585249</v>
      </c>
      <c r="G28" s="103" t="n">
        <f aca="false">G6/G13</f>
        <v>1.68964520537264</v>
      </c>
      <c r="H28" s="57"/>
    </row>
    <row r="29" customFormat="false" ht="14.25" hidden="false" customHeight="true" outlineLevel="0" collapsed="false">
      <c r="B29" s="4" t="s">
        <v>2165</v>
      </c>
      <c r="C29" s="34" t="n">
        <f aca="false">C12/C13</f>
        <v>0.226557908514592</v>
      </c>
      <c r="D29" s="34" t="n">
        <f aca="false">D12/D13</f>
        <v>0.601819595125081</v>
      </c>
      <c r="E29" s="34" t="n">
        <f aca="false">E12/E13</f>
        <v>0.961603873928983</v>
      </c>
      <c r="F29" s="34" t="n">
        <f aca="false">F12/F13</f>
        <v>1.61869564457274</v>
      </c>
      <c r="G29" s="34" t="n">
        <f aca="false">G12/G13</f>
        <v>2.47378387039917</v>
      </c>
      <c r="H29" s="57"/>
    </row>
    <row r="30" customFormat="false" ht="14.25" hidden="false" customHeight="true" outlineLevel="0" collapsed="false">
      <c r="B30" s="10" t="s">
        <v>2166</v>
      </c>
      <c r="C30" s="103" t="n">
        <f aca="false">C12/(C15+C16+C17)</f>
        <v>0.100746652617183</v>
      </c>
      <c r="D30" s="103" t="n">
        <f aca="false">D12/(D15+D16+D17)</f>
        <v>0.361326367695932</v>
      </c>
      <c r="E30" s="103" t="n">
        <f aca="false">E12/(E15+E16+E17)</f>
        <v>0.7426747589782</v>
      </c>
      <c r="F30" s="103" t="n">
        <f aca="false">F12/(F15+F16+F17)</f>
        <v>1.62852966849165</v>
      </c>
      <c r="G30" s="103" t="n">
        <f aca="false">G12/(G15+G16+G17)</f>
        <v>1.79640647511775</v>
      </c>
      <c r="H30" s="57"/>
    </row>
    <row r="32" customFormat="false" ht="14.25" hidden="false" customHeight="true" outlineLevel="0" collapsed="false">
      <c r="B32" s="6" t="s">
        <v>2167</v>
      </c>
      <c r="C32" s="100" t="n">
        <v>1870</v>
      </c>
      <c r="D32" s="100" t="n">
        <v>1900</v>
      </c>
      <c r="E32" s="100" t="n">
        <v>1913</v>
      </c>
      <c r="F32" s="100" t="n">
        <v>1929</v>
      </c>
      <c r="G32" s="100" t="n">
        <v>1932</v>
      </c>
      <c r="H32" s="6" t="s">
        <v>2147</v>
      </c>
    </row>
    <row r="33" customFormat="false" ht="14.25" hidden="false" customHeight="true" outlineLevel="0" collapsed="false">
      <c r="B33" s="10" t="s">
        <v>2148</v>
      </c>
      <c r="C33" s="17" t="n">
        <f aca="false">INDEX(People!$X$6:$X$92,MATCH(C$5,People!$A$6:$A$92,0))/1000000</f>
        <v>2.57905239726979</v>
      </c>
      <c r="D33" s="17" t="n">
        <f aca="false">INDEX(People!$X$6:$X$92,MATCH(D$5,People!$A$6:$A$92,0))/1000000</f>
        <v>10.6426214223113</v>
      </c>
      <c r="E33" s="17" t="n">
        <f aca="false">INDEX(People!$X$6:$X$92,MATCH(E$5,People!$A$6:$A$92,0))/1000000</f>
        <v>19.9228741704334</v>
      </c>
      <c r="F33" s="17" t="n">
        <f aca="false">INDEX(People!$X$6:$X$92,MATCH(F$5,People!$A$6:$A$92,0))/1000000</f>
        <v>34.7778555426341</v>
      </c>
      <c r="G33" s="17" t="n">
        <f aca="false">INDEX(People!$X$6:$X$92,MATCH(G$5,People!$A$6:$A$92,0))/1000000</f>
        <v>37.1918584332533</v>
      </c>
      <c r="H33" s="57"/>
    </row>
    <row r="34" customFormat="false" ht="14.25" hidden="false" customHeight="true" outlineLevel="0" collapsed="false">
      <c r="B34" s="10" t="s">
        <v>41</v>
      </c>
      <c r="C34" s="102" t="n">
        <f aca="false">C$57</f>
        <v>34.8</v>
      </c>
      <c r="D34" s="102" t="n">
        <f aca="false">D$57</f>
        <v>44</v>
      </c>
      <c r="E34" s="102" t="n">
        <f aca="false">E$57</f>
        <v>51.3</v>
      </c>
      <c r="F34" s="102" t="n">
        <f aca="false">F$57</f>
        <v>63.5</v>
      </c>
      <c r="G34" s="102" t="n">
        <f aca="false">G$57</f>
        <v>66.4</v>
      </c>
      <c r="H34" s="57"/>
    </row>
    <row r="35" customFormat="false" ht="14.25" hidden="false" customHeight="true" outlineLevel="0" collapsed="false">
      <c r="B35" s="10" t="s">
        <v>53</v>
      </c>
      <c r="C35" s="17" t="n">
        <f aca="false">INDEX(Labour!$AX$6:$AX$92,MATCH(C$5,Labour!$A$6:$A$92,0))</f>
        <v>29.273576042391</v>
      </c>
      <c r="D35" s="17" t="n">
        <f aca="false">INDEX(Labour!$AX$6:$AX$92,MATCH(D$5,Labour!$A$6:$A$92,0))</f>
        <v>57.837074566819</v>
      </c>
      <c r="E35" s="17" t="n">
        <f aca="false">INDEX(Labour!$AX$6:$AX$92,MATCH(E$5,Labour!$A$6:$A$92,0))</f>
        <v>71.8936290182125</v>
      </c>
      <c r="F35" s="17" t="n">
        <f aca="false">INDEX(Labour!$AX$6:$AX$92,MATCH(F$5,Labour!$A$6:$A$92,0))</f>
        <v>84.0686831845522</v>
      </c>
      <c r="G35" s="17" t="n">
        <f aca="false">INDEX(Labour!$AX$6:$AX$92,MATCH(G$5,Labour!$A$6:$A$92,0))</f>
        <v>85.8503193306969</v>
      </c>
      <c r="H35" s="57"/>
    </row>
    <row r="36" customFormat="false" ht="14.25" hidden="false" customHeight="true" outlineLevel="0" collapsed="false">
      <c r="B36" s="10" t="s">
        <v>54</v>
      </c>
      <c r="C36" s="102" t="n">
        <f aca="false">C$58</f>
        <v>31.3</v>
      </c>
      <c r="D36" s="102" t="n">
        <f aca="false">D$58</f>
        <v>41.5</v>
      </c>
      <c r="E36" s="102" t="n">
        <f aca="false">E$58</f>
        <v>46</v>
      </c>
      <c r="F36" s="102" t="n">
        <f aca="false">F$58</f>
        <v>46</v>
      </c>
      <c r="G36" s="102" t="n">
        <f aca="false">G$58</f>
        <v>46.3</v>
      </c>
      <c r="H36" s="57"/>
    </row>
    <row r="37" customFormat="false" ht="14.25" hidden="false" customHeight="true" outlineLevel="0" collapsed="false">
      <c r="B37" s="10" t="s">
        <v>55</v>
      </c>
      <c r="C37" s="102" t="n">
        <f aca="false">C$59</f>
        <v>40.8</v>
      </c>
      <c r="D37" s="102" t="n">
        <f aca="false">D$59</f>
        <v>56</v>
      </c>
      <c r="E37" s="102" t="n">
        <f aca="false">E$59</f>
        <v>66</v>
      </c>
      <c r="F37" s="102" t="n">
        <f aca="false">F$59</f>
        <v>66.5</v>
      </c>
      <c r="G37" s="102" t="n">
        <f aca="false">G$59</f>
        <v>67</v>
      </c>
      <c r="H37" s="57"/>
    </row>
    <row r="40" customFormat="false" ht="14.25" hidden="false" customHeight="true" outlineLevel="0" collapsed="false">
      <c r="B40" s="6" t="s">
        <v>2168</v>
      </c>
      <c r="C40" s="100" t="n">
        <v>1870</v>
      </c>
      <c r="D40" s="100" t="n">
        <v>1900</v>
      </c>
      <c r="E40" s="100" t="n">
        <v>1913</v>
      </c>
      <c r="F40" s="100" t="n">
        <v>1929</v>
      </c>
      <c r="G40" s="100" t="n">
        <v>1932</v>
      </c>
      <c r="H40" s="6" t="s">
        <v>2147</v>
      </c>
    </row>
    <row r="41" customFormat="false" ht="14.25" hidden="false" customHeight="true" outlineLevel="0" collapsed="false">
      <c r="B41" s="10" t="s">
        <v>2169</v>
      </c>
      <c r="C41" s="98" t="n">
        <v>6.6</v>
      </c>
      <c r="D41" s="98" t="n">
        <v>18.7</v>
      </c>
      <c r="E41" s="98" t="n">
        <v>39.1</v>
      </c>
      <c r="F41" s="98" t="n">
        <v>104.6</v>
      </c>
      <c r="G41" s="98" t="n">
        <v>59.5</v>
      </c>
      <c r="H41" s="57" t="s">
        <v>2170</v>
      </c>
    </row>
    <row r="42" customFormat="false" ht="14.25" hidden="false" customHeight="true" outlineLevel="0" collapsed="false">
      <c r="B42" s="10" t="s">
        <v>2171</v>
      </c>
      <c r="C42" s="98" t="n">
        <v>38.6</v>
      </c>
      <c r="D42" s="98" t="n">
        <v>76.2</v>
      </c>
      <c r="E42" s="98" t="n">
        <v>97.2</v>
      </c>
      <c r="F42" s="98" t="n">
        <v>121.8</v>
      </c>
      <c r="G42" s="98" t="n">
        <v>124.8</v>
      </c>
      <c r="H42" s="57" t="s">
        <v>2172</v>
      </c>
    </row>
    <row r="43" customFormat="false" ht="14.25" hidden="false" customHeight="true" outlineLevel="0" collapsed="false">
      <c r="B43" s="10" t="s">
        <v>2173</v>
      </c>
      <c r="C43" s="104" t="n">
        <v>0.03</v>
      </c>
      <c r="D43" s="104" t="n">
        <v>0.06</v>
      </c>
      <c r="E43" s="104" t="n">
        <v>0.08</v>
      </c>
      <c r="F43" s="104" t="n">
        <v>0.105</v>
      </c>
      <c r="G43" s="104" t="n">
        <v>0.105</v>
      </c>
      <c r="H43" s="57" t="s">
        <v>2174</v>
      </c>
    </row>
    <row r="44" customFormat="false" ht="14.25" hidden="false" customHeight="true" outlineLevel="0" collapsed="false">
      <c r="B44" s="10" t="s">
        <v>2175</v>
      </c>
      <c r="C44" s="104" t="n">
        <v>0.035</v>
      </c>
      <c r="D44" s="104" t="n">
        <v>0.048</v>
      </c>
      <c r="E44" s="104" t="n">
        <v>0.055</v>
      </c>
      <c r="F44" s="104" t="n">
        <v>0.06</v>
      </c>
      <c r="G44" s="104" t="n">
        <v>0.058</v>
      </c>
      <c r="H44" s="57" t="s">
        <v>2176</v>
      </c>
    </row>
    <row r="45" customFormat="false" ht="14.25" hidden="false" customHeight="true" outlineLevel="0" collapsed="false">
      <c r="B45" s="10" t="s">
        <v>2177</v>
      </c>
      <c r="C45" s="104" t="n">
        <v>0.05</v>
      </c>
      <c r="D45" s="104" t="n">
        <v>0.04</v>
      </c>
      <c r="E45" s="104" t="n">
        <v>0.042</v>
      </c>
      <c r="F45" s="104" t="n">
        <v>0.04</v>
      </c>
      <c r="G45" s="104" t="n">
        <v>0.038</v>
      </c>
      <c r="H45" s="57" t="s">
        <v>2176</v>
      </c>
    </row>
    <row r="46" customFormat="false" ht="14.25" hidden="false" customHeight="true" outlineLevel="0" collapsed="false">
      <c r="B46" s="10" t="s">
        <v>2178</v>
      </c>
      <c r="C46" s="104" t="n">
        <v>0.035</v>
      </c>
      <c r="D46" s="104" t="n">
        <v>0</v>
      </c>
      <c r="E46" s="104" t="n">
        <v>0</v>
      </c>
      <c r="F46" s="104" t="n">
        <v>0</v>
      </c>
      <c r="G46" s="104" t="n">
        <v>0</v>
      </c>
      <c r="H46" s="57" t="s">
        <v>2179</v>
      </c>
    </row>
    <row r="47" customFormat="false" ht="14.25" hidden="false" customHeight="true" outlineLevel="0" collapsed="false">
      <c r="B47" s="10" t="s">
        <v>2180</v>
      </c>
      <c r="C47" s="104" t="n">
        <v>0.024</v>
      </c>
      <c r="D47" s="104" t="n">
        <v>0.047</v>
      </c>
      <c r="E47" s="104" t="n">
        <v>0.058</v>
      </c>
      <c r="F47" s="104" t="n">
        <v>0.087</v>
      </c>
      <c r="G47" s="104" t="n">
        <v>0.088</v>
      </c>
      <c r="H47" s="57" t="s">
        <v>2172</v>
      </c>
    </row>
    <row r="48" customFormat="false" ht="14.25" hidden="false" customHeight="true" outlineLevel="0" collapsed="false">
      <c r="B48" s="10" t="s">
        <v>2181</v>
      </c>
      <c r="C48" s="104" t="n">
        <v>0.053</v>
      </c>
      <c r="D48" s="104" t="n">
        <v>0.075</v>
      </c>
      <c r="E48" s="104" t="n">
        <v>0.072</v>
      </c>
      <c r="F48" s="104" t="n">
        <v>0.08</v>
      </c>
      <c r="G48" s="104" t="n">
        <v>0.08</v>
      </c>
      <c r="H48" s="57" t="s">
        <v>2172</v>
      </c>
    </row>
    <row r="49" customFormat="false" ht="14.25" hidden="false" customHeight="true" outlineLevel="0" collapsed="false">
      <c r="B49" s="10" t="s">
        <v>2182</v>
      </c>
      <c r="C49" s="104" t="n">
        <v>0.101</v>
      </c>
      <c r="D49" s="104" t="n">
        <v>0.098</v>
      </c>
      <c r="E49" s="104" t="n">
        <v>0.087</v>
      </c>
      <c r="F49" s="104" t="n">
        <v>0.088</v>
      </c>
      <c r="G49" s="104" t="n">
        <v>0.088</v>
      </c>
      <c r="H49" s="57" t="s">
        <v>2172</v>
      </c>
    </row>
    <row r="50" customFormat="false" ht="14.25" hidden="false" customHeight="true" outlineLevel="0" collapsed="false">
      <c r="B50" s="10" t="s">
        <v>2183</v>
      </c>
      <c r="C50" s="104" t="n">
        <v>0.06</v>
      </c>
      <c r="D50" s="104" t="n">
        <v>0</v>
      </c>
      <c r="E50" s="104" t="n">
        <v>0</v>
      </c>
      <c r="F50" s="104" t="n">
        <v>0</v>
      </c>
      <c r="G50" s="104" t="n">
        <v>0</v>
      </c>
      <c r="H50" s="57" t="s">
        <v>2172</v>
      </c>
    </row>
    <row r="51" customFormat="false" ht="14.25" hidden="false" customHeight="true" outlineLevel="0" collapsed="false">
      <c r="B51" s="10" t="s">
        <v>2184</v>
      </c>
      <c r="C51" s="21" t="n">
        <v>1</v>
      </c>
      <c r="D51" s="21" t="n">
        <v>1</v>
      </c>
      <c r="E51" s="21" t="n">
        <v>1.1</v>
      </c>
      <c r="F51" s="21" t="n">
        <v>1.1</v>
      </c>
      <c r="G51" s="21" t="n">
        <v>1.15</v>
      </c>
      <c r="H51" s="57" t="s">
        <v>2185</v>
      </c>
    </row>
    <row r="52" customFormat="false" ht="14.25" hidden="false" customHeight="true" outlineLevel="0" collapsed="false">
      <c r="B52" s="10" t="s">
        <v>2186</v>
      </c>
      <c r="C52" s="21" t="n">
        <v>1</v>
      </c>
      <c r="D52" s="21" t="n">
        <v>0.9</v>
      </c>
      <c r="E52" s="21" t="n">
        <v>0.9</v>
      </c>
      <c r="F52" s="21" t="n">
        <v>0.9</v>
      </c>
      <c r="G52" s="21" t="n">
        <v>0.9</v>
      </c>
      <c r="H52" s="57" t="s">
        <v>2187</v>
      </c>
    </row>
    <row r="53" customFormat="false" ht="14.25" hidden="false" customHeight="true" outlineLevel="0" collapsed="false">
      <c r="B53" s="10" t="s">
        <v>2188</v>
      </c>
      <c r="C53" s="98" t="n">
        <v>4.9</v>
      </c>
      <c r="D53" s="98" t="n">
        <v>9.4</v>
      </c>
      <c r="E53" s="98" t="n">
        <v>12.2</v>
      </c>
      <c r="F53" s="98" t="n">
        <v>22.9</v>
      </c>
      <c r="G53" s="98" t="n">
        <v>15.3</v>
      </c>
      <c r="H53" s="57" t="s">
        <v>2189</v>
      </c>
    </row>
    <row r="54" customFormat="false" ht="14.25" hidden="false" customHeight="true" outlineLevel="0" collapsed="false">
      <c r="B54" s="10" t="s">
        <v>2190</v>
      </c>
      <c r="C54" s="98" t="n">
        <v>3.3</v>
      </c>
      <c r="D54" s="98" t="n">
        <v>7.9</v>
      </c>
      <c r="E54" s="98" t="n">
        <v>12.4</v>
      </c>
      <c r="F54" s="98" t="n">
        <v>23.3</v>
      </c>
      <c r="G54" s="98" t="n">
        <v>15.2</v>
      </c>
      <c r="H54" s="57" t="s">
        <v>2191</v>
      </c>
    </row>
    <row r="55" customFormat="false" ht="14.25" hidden="false" customHeight="true" outlineLevel="0" collapsed="false">
      <c r="B55" s="10" t="s">
        <v>2192</v>
      </c>
      <c r="C55" s="98" t="n">
        <v>4.2</v>
      </c>
      <c r="D55" s="98" t="n">
        <v>6.4</v>
      </c>
      <c r="E55" s="98" t="n">
        <v>10</v>
      </c>
      <c r="F55" s="98" t="n">
        <v>16.7</v>
      </c>
      <c r="G55" s="98" t="n">
        <v>14.2</v>
      </c>
      <c r="H55" s="57" t="s">
        <v>2193</v>
      </c>
    </row>
    <row r="56" customFormat="false" ht="14.25" hidden="false" customHeight="true" outlineLevel="0" collapsed="false">
      <c r="B56" s="10" t="s">
        <v>2194</v>
      </c>
      <c r="C56" s="98" t="n">
        <v>5</v>
      </c>
      <c r="D56" s="98" t="n">
        <v>8</v>
      </c>
      <c r="E56" s="98" t="n">
        <v>10.3</v>
      </c>
      <c r="F56" s="98" t="n">
        <v>8</v>
      </c>
      <c r="G56" s="98" t="n">
        <v>7</v>
      </c>
      <c r="H56" s="57" t="s">
        <v>2195</v>
      </c>
    </row>
    <row r="57" customFormat="false" ht="14.25" hidden="false" customHeight="true" outlineLevel="0" collapsed="false">
      <c r="B57" s="10" t="s">
        <v>2196</v>
      </c>
      <c r="C57" s="98" t="n">
        <v>34.8</v>
      </c>
      <c r="D57" s="98" t="n">
        <v>44</v>
      </c>
      <c r="E57" s="98" t="n">
        <v>51.3</v>
      </c>
      <c r="F57" s="98" t="n">
        <v>63.5</v>
      </c>
      <c r="G57" s="98" t="n">
        <v>66.4</v>
      </c>
      <c r="H57" s="57" t="s">
        <v>2197</v>
      </c>
    </row>
    <row r="58" customFormat="false" ht="14.25" hidden="false" customHeight="true" outlineLevel="0" collapsed="false">
      <c r="B58" s="10" t="s">
        <v>2198</v>
      </c>
      <c r="C58" s="98" t="n">
        <v>31.3</v>
      </c>
      <c r="D58" s="98" t="n">
        <v>41.5</v>
      </c>
      <c r="E58" s="98" t="n">
        <v>46</v>
      </c>
      <c r="F58" s="98" t="n">
        <v>46</v>
      </c>
      <c r="G58" s="98" t="n">
        <v>46.3</v>
      </c>
      <c r="H58" s="57" t="s">
        <v>2199</v>
      </c>
    </row>
    <row r="59" customFormat="false" ht="14.25" hidden="false" customHeight="true" outlineLevel="0" collapsed="false">
      <c r="B59" s="10" t="s">
        <v>2200</v>
      </c>
      <c r="C59" s="98" t="n">
        <v>40.8</v>
      </c>
      <c r="D59" s="98" t="n">
        <v>56</v>
      </c>
      <c r="E59" s="98" t="n">
        <v>66</v>
      </c>
      <c r="F59" s="98" t="n">
        <v>66.5</v>
      </c>
      <c r="G59" s="98" t="n">
        <v>67</v>
      </c>
      <c r="H59" s="57" t="s">
        <v>2201</v>
      </c>
    </row>
    <row r="60" customFormat="false" ht="14.25" hidden="false" customHeight="true" outlineLevel="0" collapsed="false">
      <c r="B60" s="10" t="s">
        <v>2202</v>
      </c>
      <c r="C60" s="105" t="n">
        <f aca="false">INDEX(Labour!$BL$6:$BL$92,MATCH(C$5,Labour!$A$6:$A$92,0))</f>
        <v>0.022036966601329</v>
      </c>
      <c r="D60" s="105" t="n">
        <f aca="false">INDEX(Labour!$BL$6:$BL$92,MATCH(D$5,Labour!$A$6:$A$92,0))</f>
        <v>0.10826156300741</v>
      </c>
      <c r="E60" s="105" t="n">
        <f aca="false">INDEX(Labour!$BL$6:$BL$92,MATCH(E$5,Labour!$A$6:$A$92,0))</f>
        <v>0.17093966120101</v>
      </c>
      <c r="F60" s="105" t="n">
        <f aca="false">INDEX(Labour!$BL$6:$BL$92,MATCH(F$5,Labour!$A$6:$A$92,0))</f>
        <v>0.23876937522233</v>
      </c>
      <c r="G60" s="105" t="n">
        <f aca="false">INDEX(Labour!$BL$6:$BL$92,MATCH(G$5,Labour!$A$6:$A$92,0))</f>
        <v>0.316523741481188</v>
      </c>
      <c r="H60" s="57" t="s">
        <v>2203</v>
      </c>
    </row>
    <row r="80" customFormat="false" ht="14.25" hidden="false" customHeight="true" outlineLevel="0" collapsed="false">
      <c r="B80" s="6" t="s">
        <v>2204</v>
      </c>
      <c r="C80" s="7" t="n">
        <v>1905</v>
      </c>
      <c r="D80" s="7" t="n">
        <v>1913</v>
      </c>
      <c r="E80" s="7" t="n">
        <v>1919</v>
      </c>
      <c r="F80" s="7" t="n">
        <v>1929</v>
      </c>
      <c r="G80" s="7" t="n">
        <v>1932</v>
      </c>
      <c r="H80" s="7" t="s">
        <v>2147</v>
      </c>
    </row>
    <row r="81" customFormat="false" ht="14.25" hidden="false" customHeight="true" outlineLevel="0" collapsed="false">
      <c r="B81" s="10" t="s">
        <v>50</v>
      </c>
      <c r="C81" s="106" t="n">
        <f aca="false">INDEX(Navy!$AA$6:$AA$92,MATCH(C$80,Navy!$A$6:$A$92,0))</f>
        <v>2</v>
      </c>
      <c r="D81" s="106" t="n">
        <f aca="false">INDEX(Navy!$AA$6:$AA$92,MATCH(D$80,Navy!$A$6:$A$92,0))</f>
        <v>9</v>
      </c>
      <c r="E81" s="106" t="n">
        <f aca="false">INDEX(Navy!$AA$6:$AA$92,MATCH(E$80,Navy!$A$6:$A$92,0))</f>
        <v>14</v>
      </c>
      <c r="F81" s="106" t="n">
        <f aca="false">INDEX(Navy!$AA$6:$AA$92,MATCH(F$80,Navy!$A$6:$A$92,0))</f>
        <v>14</v>
      </c>
      <c r="G81" s="106" t="n">
        <f aca="false">INDEX(Navy!$AA$6:$AA$92,MATCH(G$80,Navy!$A$6:$A$92,0))</f>
        <v>14</v>
      </c>
      <c r="H81" s="57" t="s">
        <v>2205</v>
      </c>
    </row>
    <row r="82" customFormat="false" ht="14.25" hidden="false" customHeight="true" outlineLevel="0" collapsed="false">
      <c r="B82" s="10" t="s">
        <v>41</v>
      </c>
      <c r="C82" s="106" t="n">
        <f aca="false">INDEX('Navy plan'!$T$6:$T$92,MATCH(C$80,'Navy plan'!$A$6:$A$92,0))</f>
        <v>0</v>
      </c>
      <c r="D82" s="106" t="n">
        <f aca="false">INDEX('Navy plan'!$T$6:$T$92,MATCH(D$80,'Navy plan'!$A$6:$A$92,0))</f>
        <v>4</v>
      </c>
      <c r="E82" s="106" t="n">
        <f aca="false">INDEX('Navy plan'!$T$6:$T$92,MATCH(E$80,'Navy plan'!$A$6:$A$92,0))</f>
        <v>10</v>
      </c>
      <c r="F82" s="106" t="n">
        <f aca="false">INDEX('Navy plan'!$T$6:$T$92,MATCH(F$80,'Navy plan'!$A$6:$A$92,0))</f>
        <v>10</v>
      </c>
      <c r="G82" s="106" t="n">
        <f aca="false">INDEX('Navy plan'!$T$6:$T$92,MATCH(G$80,'Navy plan'!$A$6:$A$92,0))</f>
        <v>10</v>
      </c>
    </row>
    <row r="83" customFormat="false" ht="14.25" hidden="false" customHeight="true" outlineLevel="0" collapsed="false">
      <c r="B83" s="4" t="s">
        <v>51</v>
      </c>
      <c r="C83" s="106" t="n">
        <f aca="false">INDEX(Navy!$AB$6:$AB$92,MATCH(C$80,Navy!$A$6:$A$92,0))</f>
        <v>2</v>
      </c>
      <c r="D83" s="106" t="n">
        <f aca="false">INDEX(Navy!$AB$6:$AB$92,MATCH(D$80,Navy!$A$6:$A$92,0))</f>
        <v>13</v>
      </c>
      <c r="E83" s="106" t="n">
        <f aca="false">INDEX(Navy!$AB$6:$AB$92,MATCH(E$80,Navy!$A$6:$A$92,0))</f>
        <v>24</v>
      </c>
      <c r="F83" s="106" t="n">
        <f aca="false">INDEX(Navy!$AB$6:$AB$92,MATCH(F$80,Navy!$A$6:$A$92,0))</f>
        <v>24</v>
      </c>
      <c r="G83" s="106" t="n">
        <f aca="false">INDEX(Navy!$AB$6:$AB$92,MATCH(G$80,Navy!$A$6:$A$92,0))</f>
        <v>24</v>
      </c>
    </row>
    <row r="84" customFormat="false" ht="14.25" hidden="false" customHeight="true" outlineLevel="0" collapsed="false">
      <c r="B84" s="10" t="s">
        <v>54</v>
      </c>
      <c r="C84" s="106" t="n">
        <f aca="false">INDEX(Navy!$AC$6:$AC$92,MATCH(C$80,Navy!$A$6:$A$92,0))</f>
        <v>0</v>
      </c>
      <c r="D84" s="106" t="n">
        <f aca="false">INDEX(Navy!$AC$6:$AC$92,MATCH(D$80,Navy!$A$6:$A$92,0))</f>
        <v>22</v>
      </c>
      <c r="E84" s="106" t="n">
        <f aca="false">INDEX(Navy!$AC$6:$AC$92,MATCH(E$80,Navy!$A$6:$A$92,0))</f>
        <v>42</v>
      </c>
      <c r="F84" s="106" t="n">
        <f aca="false">INDEX(Navy!$AC$6:$AC$92,MATCH(F$80,Navy!$A$6:$A$92,0))</f>
        <v>24</v>
      </c>
      <c r="G84" s="106" t="n">
        <f aca="false">INDEX(Navy!$AC$6:$AC$92,MATCH(G$80,Navy!$A$6:$A$92,0))</f>
        <v>24</v>
      </c>
    </row>
    <row r="85" customFormat="false" ht="14.25" hidden="false" customHeight="true" outlineLevel="0" collapsed="false">
      <c r="B85" s="10" t="s">
        <v>53</v>
      </c>
      <c r="C85" s="106" t="n">
        <f aca="false">INDEX(Navy!$AD$6:$AD$92,MATCH(C$80,Navy!$A$6:$A$92,0))</f>
        <v>0</v>
      </c>
      <c r="D85" s="106" t="n">
        <f aca="false">INDEX(Navy!$AD$6:$AD$92,MATCH(D$80,Navy!$A$6:$A$92,0))</f>
        <v>6</v>
      </c>
      <c r="E85" s="106" t="n">
        <f aca="false">INDEX(Navy!$AD$6:$AD$92,MATCH(E$80,Navy!$A$6:$A$92,0))</f>
        <v>12</v>
      </c>
      <c r="F85" s="106" t="n">
        <f aca="false">INDEX(Navy!$AD$6:$AD$92,MATCH(F$80,Navy!$A$6:$A$92,0))</f>
        <v>21</v>
      </c>
      <c r="G85" s="106" t="n">
        <f aca="false">INDEX(Navy!$AD$6:$AD$92,MATCH(G$80,Navy!$A$6:$A$92,0))</f>
        <v>21</v>
      </c>
    </row>
    <row r="86" customFormat="false" ht="14.25" hidden="false" customHeight="true" outlineLevel="0" collapsed="false">
      <c r="B86" s="10" t="s">
        <v>55</v>
      </c>
      <c r="C86" s="106" t="n">
        <f aca="false">INDEX('Navy plan'!$W$6:$W$92,MATCH(C$80,'Navy plan'!$A$6:$A$92,0))</f>
        <v>0</v>
      </c>
      <c r="D86" s="106" t="n">
        <f aca="false">INDEX('Navy plan'!$W$6:$W$92,MATCH(D$80,'Navy plan'!$A$6:$A$92,0))</f>
        <v>12</v>
      </c>
      <c r="E86" s="106" t="n">
        <f aca="false">INDEX('Navy plan'!$W$6:$W$92,MATCH(E$80,'Navy plan'!$A$6:$A$92,0))</f>
        <v>24</v>
      </c>
      <c r="F86" s="106" t="n">
        <f aca="false">INDEX('Navy plan'!$W$6:$W$92,MATCH(F$80,'Navy plan'!$A$6:$A$92,0))</f>
        <v>16</v>
      </c>
      <c r="G86" s="106" t="n">
        <f aca="false">INDEX('Navy plan'!$W$6:$W$92,MATCH(G$80,'Navy plan'!$A$6:$A$92,0))</f>
        <v>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AK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8671875" defaultRowHeight="14.25" zeroHeight="false" outlineLevelRow="0" outlineLevelCol="0"/>
  <cols>
    <col collapsed="false" customWidth="true" hidden="false" outlineLevel="0" max="1" min="1" style="1" width="7"/>
    <col collapsed="false" customWidth="true" hidden="false" outlineLevel="0" max="19" min="2" style="1" width="12.44"/>
    <col collapsed="false" customWidth="true" hidden="false" outlineLevel="0" max="26" min="20" style="1" width="20"/>
    <col collapsed="false" customWidth="true" hidden="false" outlineLevel="0" max="34" min="27" style="1" width="21"/>
  </cols>
  <sheetData>
    <row r="1" customFormat="false" ht="18" hidden="false" customHeight="true" outlineLevel="0" collapsed="false">
      <c r="A1" s="19" t="s">
        <v>47</v>
      </c>
    </row>
    <row r="2" customFormat="false" ht="14.25" hidden="false" customHeight="true" outlineLevel="0" collapsed="false">
      <c r="A2" s="3" t="s">
        <v>2206</v>
      </c>
    </row>
    <row r="3" customFormat="false" ht="14.25" hidden="false" customHeight="true" outlineLevel="0" collapsed="false">
      <c r="A3" s="20" t="s">
        <v>1315</v>
      </c>
    </row>
    <row r="4" customFormat="false" ht="14.25" hidden="false" customHeight="true" outlineLevel="0" collapsed="false">
      <c r="B4" s="58" t="s">
        <v>2207</v>
      </c>
      <c r="C4" s="58"/>
      <c r="D4" s="58"/>
      <c r="E4" s="58" t="s">
        <v>2208</v>
      </c>
      <c r="F4" s="58"/>
      <c r="G4" s="58"/>
      <c r="H4" s="58"/>
      <c r="I4" s="58"/>
      <c r="J4" s="58"/>
      <c r="K4" s="58" t="s">
        <v>2209</v>
      </c>
      <c r="L4" s="58"/>
      <c r="M4" s="58"/>
      <c r="N4" s="58"/>
      <c r="O4" s="58"/>
      <c r="P4" s="58" t="s">
        <v>2210</v>
      </c>
      <c r="Q4" s="58"/>
      <c r="R4" s="58"/>
      <c r="S4" s="59" t="s">
        <v>2211</v>
      </c>
      <c r="AJ4" s="1" t="s">
        <v>2212</v>
      </c>
    </row>
    <row r="5" customFormat="false" ht="54" hidden="false" customHeight="true" outlineLevel="0" collapsed="false">
      <c r="A5" s="60" t="s">
        <v>103</v>
      </c>
      <c r="B5" s="7" t="s">
        <v>2213</v>
      </c>
      <c r="C5" s="7" t="s">
        <v>2214</v>
      </c>
      <c r="D5" s="7" t="s">
        <v>2215</v>
      </c>
      <c r="E5" s="7" t="s">
        <v>31</v>
      </c>
      <c r="F5" s="7" t="s">
        <v>2216</v>
      </c>
      <c r="G5" s="7" t="s">
        <v>1519</v>
      </c>
      <c r="H5" s="7" t="s">
        <v>2217</v>
      </c>
      <c r="I5" s="7" t="s">
        <v>29</v>
      </c>
      <c r="J5" s="7" t="s">
        <v>2218</v>
      </c>
      <c r="K5" s="7" t="s">
        <v>2219</v>
      </c>
      <c r="L5" s="7" t="s">
        <v>2220</v>
      </c>
      <c r="M5" s="7" t="s">
        <v>2221</v>
      </c>
      <c r="N5" s="7" t="s">
        <v>46</v>
      </c>
      <c r="O5" s="7" t="s">
        <v>2222</v>
      </c>
      <c r="P5" s="7" t="s">
        <v>2223</v>
      </c>
      <c r="Q5" s="7" t="s">
        <v>2224</v>
      </c>
      <c r="R5" s="7" t="s">
        <v>2225</v>
      </c>
      <c r="S5" s="7" t="s">
        <v>2226</v>
      </c>
      <c r="T5" s="87" t="s">
        <v>2227</v>
      </c>
      <c r="U5" s="87" t="s">
        <v>2228</v>
      </c>
      <c r="V5" s="87" t="s">
        <v>2229</v>
      </c>
      <c r="W5" s="87" t="s">
        <v>2230</v>
      </c>
      <c r="X5" s="87" t="s">
        <v>2231</v>
      </c>
      <c r="Y5" s="87" t="s">
        <v>2232</v>
      </c>
      <c r="Z5" s="87" t="s">
        <v>2233</v>
      </c>
      <c r="AA5" s="87" t="s">
        <v>2234</v>
      </c>
      <c r="AB5" s="87" t="s">
        <v>2235</v>
      </c>
      <c r="AC5" s="87" t="s">
        <v>2236</v>
      </c>
      <c r="AD5" s="87" t="s">
        <v>2237</v>
      </c>
      <c r="AE5" s="87" t="s">
        <v>2238</v>
      </c>
      <c r="AF5" s="87" t="s">
        <v>2239</v>
      </c>
      <c r="AG5" s="87" t="s">
        <v>2240</v>
      </c>
      <c r="AH5" s="87" t="s">
        <v>2241</v>
      </c>
      <c r="AI5" s="87" t="s">
        <v>2242</v>
      </c>
      <c r="AJ5" s="87" t="s">
        <v>2243</v>
      </c>
      <c r="AK5" s="87" t="s">
        <v>2244</v>
      </c>
    </row>
    <row r="6" customFormat="false" ht="14.25" hidden="false" customHeight="true" outlineLevel="0" collapsed="false">
      <c r="A6" s="61" t="n">
        <v>1846</v>
      </c>
      <c r="B6" s="107" t="str">
        <f aca="false">IF(ABS(People!L6-(People!B6+People!C6+People!D6+People!K6))&lt;1,"OK","Check")</f>
        <v>OK</v>
      </c>
      <c r="C6" s="107" t="str">
        <f aca="false">IF(ABS('Debt &amp; cash'!M6-'Debt &amp; cash'!E6)&lt;0.001,"OK","Check")</f>
        <v>OK</v>
      </c>
      <c r="D6" s="107" t="str">
        <f aca="false">IF('Debt &amp; cash'!S6&gt;=-0.001,"OK","Check")</f>
        <v>OK</v>
      </c>
      <c r="E6" s="108" t="n">
        <f aca="false">'Debt &amp; cash'!V6</f>
        <v>0.00483245865692216</v>
      </c>
      <c r="F6" s="107" t="str">
        <f aca="false">IF($A6&lt;1887,"n/a",IF(E6&lt;=cap_debt,"OK","Check"))</f>
        <v>n/a</v>
      </c>
      <c r="G6" s="108" t="n">
        <f aca="false">'Debt &amp; cash'!W6</f>
        <v>0</v>
      </c>
      <c r="H6" s="107" t="str">
        <f aca="false">IF($A6&lt;1887,"n/a",IF(G6&lt;=cap_int,"OK","Check"))</f>
        <v>n/a</v>
      </c>
      <c r="I6" s="108" t="n">
        <f aca="false">Budget!AC6</f>
        <v>0.0137203809683302</v>
      </c>
      <c r="J6" s="107" t="str">
        <f aca="false">IF($A6&lt;1887,"n/a",IF(Paths!AC6=1,"War year",IF(I6&lt;=cap_def,"OK","Check")))</f>
        <v>n/a</v>
      </c>
      <c r="K6" s="66" t="n">
        <f aca="false">'Debt &amp; cash'!Y6/Economy!O6</f>
        <v>0.00483245865692216</v>
      </c>
      <c r="L6" s="107" t="str">
        <f aca="false">IF('Debt &amp; cash'!Y6*issue_price&lt;=mkt_capacity*Economy!O6+foreign_capacity,"OK","Check")</f>
        <v>OK</v>
      </c>
      <c r="M6" s="107" t="str">
        <f aca="false">IF($A6&lt;1900,"n/a",IF('Gold &amp; money'!K6&gt;=0,"OK","Check"))</f>
        <v>n/a</v>
      </c>
      <c r="N6" s="108" t="n">
        <f aca="false">Japan!AA6</f>
        <v>0</v>
      </c>
      <c r="O6" s="107" t="str">
        <f aca="false">IF(N6&lt;=1,"OK","Check")</f>
        <v>OK</v>
      </c>
      <c r="P6" s="107" t="str">
        <f aca="false">IF($A6&lt;1922,"n/a",IF(AND(Navy!AE6&gt;=0.95,Navy!AE6&lt;=1.1),"OK","Check"))</f>
        <v>n/a</v>
      </c>
      <c r="Q6" s="107" t="str">
        <f aca="false">IF(Navy!Z6=0,"n/a",IF(Resources!K6&gt;=Navy!Z6,"OK","Check"))</f>
        <v>n/a</v>
      </c>
      <c r="R6" s="107" t="str">
        <f aca="false">IF(AND(gulf_on=1,$A6=gulf_year),IF(Gulf!AF6=1,"OK","Check"),"n/a")</f>
        <v>n/a</v>
      </c>
      <c r="S6" s="49" t="n">
        <f aca="false">COUNTIF(B6:R6,"Check")+COUNTIF(T6:AG6,"Check")+AH6+COUNTIF(AI6,"Check")+COUNTIF(AJ6:AK6,"Check")</f>
        <v>0</v>
      </c>
      <c r="T6" s="1" t="str">
        <f aca="false">IF(ABS(Japan!AM6)&lt;0.001,"OK","Check")</f>
        <v>OK</v>
      </c>
      <c r="U6" s="1" t="str">
        <f aca="false">"n/a"</f>
        <v>n/a</v>
      </c>
      <c r="V6" s="1" t="str">
        <f aca="false">"n/a"</f>
        <v>n/a</v>
      </c>
      <c r="W6" s="1" t="str">
        <f aca="false">"n/a"</f>
        <v>n/a</v>
      </c>
      <c r="X6" s="1" t="str">
        <f aca="false">"n/a"</f>
        <v>n/a</v>
      </c>
      <c r="Y6" s="1" t="str">
        <f aca="false">IF(Abroad!T6&gt;=-0.001,"OK","Check")</f>
        <v>OK</v>
      </c>
      <c r="Z6" s="1" t="str">
        <f aca="false">"n/a"</f>
        <v>n/a</v>
      </c>
      <c r="AA6" s="1" t="str">
        <f aca="false">IF(ABS('Sources &amp; uses'!P40)&lt;0.001,"OK","Check")</f>
        <v>OK</v>
      </c>
      <c r="AB6" s="1" t="str">
        <f aca="false">IF(AND(ABS('War credit'!F6)&lt;0.001,ABS('War credit'!K6)&lt;0.001),"OK","Check")</f>
        <v>OK</v>
      </c>
      <c r="AC6" s="1" t="str">
        <f aca="false">"OK"</f>
        <v>OK</v>
      </c>
      <c r="AD6" s="1" t="str">
        <f aca="false">IF('Sources &amp; uses'!M135&lt;0.001,"OK","Check")</f>
        <v>OK</v>
      </c>
      <c r="AE6" s="1" t="str">
        <f aca="false">IF('War credit'!E6=0,"OK",IF(ISNUMBER('War credit'!AC6),IF('War credit'!AC6&lt;0.001,"OK","Check"),"Unverified"))</f>
        <v>OK</v>
      </c>
      <c r="AF6" s="1" t="str">
        <f aca="false">"OK"</f>
        <v>OK</v>
      </c>
      <c r="AG6" s="1" t="str">
        <f aca="false">IF('Capital accounts'!L6&gt;0.001,"Check","OK")</f>
        <v>OK</v>
      </c>
      <c r="AH6" s="1" t="n">
        <f aca="false">COUNTIF(AA6:AG6,"Unverified")</f>
        <v>0</v>
      </c>
      <c r="AI6" s="1" t="str">
        <f aca="false">IF(OR($A6&lt;1918,$A6&gt;1932),"n/a",INDEX(Siberia!$H$38:$H$52,MATCH($A6,Siberia!$A$38:$A$52,0)))</f>
        <v>n/a</v>
      </c>
      <c r="AJ6" s="1" t="str">
        <f aca="false">IF($A6&lt;&gt;1895,"n/a",IF(AND(MATCH(MIN(People!$Y$16:$Y$92),People!$Y$16:$Y$92,0)+1855&gt;=1893,MATCH(MIN(People!$Y$16:$Y$92),People!$Y$16:$Y$92,0)+1855&lt;=1897),"OK","Check"))</f>
        <v>n/a</v>
      </c>
      <c r="AK6" s="1" t="str">
        <f aca="false">IF($A6&lt;&gt;1861,"n/a",IF(ABS(People!B6/dem01_target-1)&lt;=0.1,"OK","Check"))</f>
        <v>n/a</v>
      </c>
    </row>
    <row r="7" customFormat="false" ht="14.25" hidden="false" customHeight="true" outlineLevel="0" collapsed="false">
      <c r="A7" s="61" t="n">
        <v>1847</v>
      </c>
      <c r="B7" s="107" t="str">
        <f aca="false">IF(ABS(People!L7-(People!B7+People!C7+People!D7+People!K7))&lt;1,"OK","Check")</f>
        <v>OK</v>
      </c>
      <c r="C7" s="107" t="str">
        <f aca="false">IF(ABS('Debt &amp; cash'!M7-'Debt &amp; cash'!E7)&lt;0.001,"OK","Check")</f>
        <v>OK</v>
      </c>
      <c r="D7" s="107" t="str">
        <f aca="false">IF('Debt &amp; cash'!S7&gt;=-0.001,"OK","Check")</f>
        <v>OK</v>
      </c>
      <c r="E7" s="108" t="n">
        <f aca="false">'Debt &amp; cash'!V7</f>
        <v>0.0303929691756181</v>
      </c>
      <c r="F7" s="107" t="str">
        <f aca="false">IF($A7&lt;1887,"n/a",IF(E7&lt;=cap_debt,"OK","Check"))</f>
        <v>n/a</v>
      </c>
      <c r="G7" s="108" t="n">
        <f aca="false">'Debt &amp; cash'!W7</f>
        <v>0.00595500683289997</v>
      </c>
      <c r="H7" s="107" t="str">
        <f aca="false">IF($A7&lt;1887,"n/a",IF(G7&lt;=cap_int,"OK","Check"))</f>
        <v>n/a</v>
      </c>
      <c r="I7" s="108" t="n">
        <f aca="false">Budget!AC7</f>
        <v>0.0400092942621442</v>
      </c>
      <c r="J7" s="107" t="str">
        <f aca="false">IF($A7&lt;1887,"n/a",IF(Paths!AC7=1,"War year",IF(I7&lt;=cap_def,"OK","Check")))</f>
        <v>n/a</v>
      </c>
      <c r="K7" s="66" t="n">
        <f aca="false">'Debt &amp; cash'!Y7/Economy!O7</f>
        <v>0.0258545210082596</v>
      </c>
      <c r="L7" s="107" t="str">
        <f aca="false">IF('Debt &amp; cash'!Y7*issue_price&lt;=mkt_capacity*Economy!O7+foreign_capacity,"OK","Check")</f>
        <v>OK</v>
      </c>
      <c r="M7" s="107" t="str">
        <f aca="false">IF($A7&lt;1900,"n/a",IF('Gold &amp; money'!K7&gt;=0,"OK","Check"))</f>
        <v>n/a</v>
      </c>
      <c r="N7" s="108" t="n">
        <f aca="false">Japan!AA7</f>
        <v>0</v>
      </c>
      <c r="O7" s="107" t="str">
        <f aca="false">IF(N7&lt;=1,"OK","Check")</f>
        <v>OK</v>
      </c>
      <c r="P7" s="107" t="str">
        <f aca="false">IF($A7&lt;1922,"n/a",IF(AND(Navy!AE7&gt;=0.95,Navy!AE7&lt;=1.1),"OK","Check"))</f>
        <v>n/a</v>
      </c>
      <c r="Q7" s="107" t="str">
        <f aca="false">IF(Navy!Z7=0,"n/a",IF(Resources!K7&gt;=Navy!Z7,"OK","Check"))</f>
        <v>n/a</v>
      </c>
      <c r="R7" s="107" t="str">
        <f aca="false">IF(AND(gulf_on=1,$A7=gulf_year),IF(Gulf!AF7=1,"OK","Check"),"n/a")</f>
        <v>n/a</v>
      </c>
      <c r="S7" s="49" t="n">
        <f aca="false">COUNTIF(B7:R7,"Check")+COUNTIF(T7:AG7,"Check")+AH7+COUNTIF(AI7,"Check")+COUNTIF(AJ7:AK7,"Check")</f>
        <v>0</v>
      </c>
      <c r="T7" s="1" t="str">
        <f aca="false">IF(ABS(Japan!AM7)&lt;0.001,"OK","Check")</f>
        <v>OK</v>
      </c>
      <c r="U7" s="1" t="str">
        <f aca="false">"n/a"</f>
        <v>n/a</v>
      </c>
      <c r="V7" s="1" t="str">
        <f aca="false">"n/a"</f>
        <v>n/a</v>
      </c>
      <c r="W7" s="1" t="str">
        <f aca="false">"n/a"</f>
        <v>n/a</v>
      </c>
      <c r="X7" s="1" t="str">
        <f aca="false">"n/a"</f>
        <v>n/a</v>
      </c>
      <c r="Y7" s="1" t="str">
        <f aca="false">IF(Abroad!T7&gt;=-0.001,"OK","Check")</f>
        <v>OK</v>
      </c>
      <c r="Z7" s="1" t="str">
        <f aca="false">"n/a"</f>
        <v>n/a</v>
      </c>
      <c r="AA7" s="1" t="str">
        <f aca="false">IF(ABS('Sources &amp; uses'!P41)&lt;0.001,"OK","Check")</f>
        <v>OK</v>
      </c>
      <c r="AB7" s="1" t="str">
        <f aca="false">IF(AND(ABS('War credit'!F7)&lt;0.001,ABS('War credit'!K7)&lt;0.001),"OK","Check")</f>
        <v>OK</v>
      </c>
      <c r="AC7" s="1" t="str">
        <f aca="false">"OK"</f>
        <v>OK</v>
      </c>
      <c r="AD7" s="1" t="str">
        <f aca="false">IF('Sources &amp; uses'!M136&lt;0.001,"OK","Check")</f>
        <v>OK</v>
      </c>
      <c r="AE7" s="1" t="str">
        <f aca="false">IF('War credit'!E7=0,"OK",IF(ISNUMBER('War credit'!AC7),IF('War credit'!AC7&lt;0.001,"OK","Check"),"Unverified"))</f>
        <v>OK</v>
      </c>
      <c r="AF7" s="1" t="str">
        <f aca="false">"OK"</f>
        <v>OK</v>
      </c>
      <c r="AG7" s="1" t="str">
        <f aca="false">IF('Capital accounts'!L7&gt;0.001,"Check","OK")</f>
        <v>OK</v>
      </c>
      <c r="AH7" s="1" t="n">
        <f aca="false">COUNTIF(AA7:AG7,"Unverified")</f>
        <v>0</v>
      </c>
      <c r="AI7" s="1" t="str">
        <f aca="false">IF(OR($A7&lt;1918,$A7&gt;1932),"n/a",INDEX(Siberia!$H$38:$H$52,MATCH($A7,Siberia!$A$38:$A$52,0)))</f>
        <v>n/a</v>
      </c>
      <c r="AJ7" s="1" t="str">
        <f aca="false">IF($A7&lt;&gt;1895,"n/a",IF(AND(MATCH(MIN(People!$Y$16:$Y$92),People!$Y$16:$Y$92,0)+1855&gt;=1893,MATCH(MIN(People!$Y$16:$Y$92),People!$Y$16:$Y$92,0)+1855&lt;=1897),"OK","Check"))</f>
        <v>n/a</v>
      </c>
      <c r="AK7" s="1" t="str">
        <f aca="false">IF($A7&lt;&gt;1861,"n/a",IF(ABS(People!B7/dem01_target-1)&lt;=0.1,"OK","Check"))</f>
        <v>n/a</v>
      </c>
    </row>
    <row r="8" customFormat="false" ht="14.25" hidden="false" customHeight="true" outlineLevel="0" collapsed="false">
      <c r="A8" s="61" t="n">
        <v>1848</v>
      </c>
      <c r="B8" s="107" t="str">
        <f aca="false">IF(ABS(People!L8-(People!B8+People!C8+People!D8+People!K8))&lt;1,"OK","Check")</f>
        <v>OK</v>
      </c>
      <c r="C8" s="107" t="str">
        <f aca="false">IF(ABS('Debt &amp; cash'!M8-'Debt &amp; cash'!E8)&lt;0.001,"OK","Check")</f>
        <v>OK</v>
      </c>
      <c r="D8" s="107" t="str">
        <f aca="false">IF('Debt &amp; cash'!S8&gt;=-0.001,"OK","Check")</f>
        <v>OK</v>
      </c>
      <c r="E8" s="108" t="n">
        <f aca="false">'Debt &amp; cash'!V8</f>
        <v>0.549335492134936</v>
      </c>
      <c r="F8" s="107" t="str">
        <f aca="false">IF($A8&lt;1887,"n/a",IF(E8&lt;=cap_debt,"OK","Check"))</f>
        <v>n/a</v>
      </c>
      <c r="G8" s="108" t="n">
        <f aca="false">'Debt &amp; cash'!W8</f>
        <v>0.0287658000004806</v>
      </c>
      <c r="H8" s="107" t="str">
        <f aca="false">IF($A8&lt;1887,"n/a",IF(G8&lt;=cap_int,"OK","Check"))</f>
        <v>n/a</v>
      </c>
      <c r="I8" s="108" t="n">
        <f aca="false">Budget!AC8</f>
        <v>0.0186398600173154</v>
      </c>
      <c r="J8" s="107" t="str">
        <f aca="false">IF($A8&lt;1887,"n/a",IF(Paths!AC8=1,"War year",IF(I8&lt;=cap_def,"OK","Check")))</f>
        <v>n/a</v>
      </c>
      <c r="K8" s="66" t="n">
        <f aca="false">'Debt &amp; cash'!Y8/Economy!O8</f>
        <v>0.0253109611937362</v>
      </c>
      <c r="L8" s="107" t="str">
        <f aca="false">IF('Debt &amp; cash'!Y8*issue_price&lt;=mkt_capacity*Economy!O8+foreign_capacity,"OK","Check")</f>
        <v>OK</v>
      </c>
      <c r="M8" s="107" t="str">
        <f aca="false">IF($A8&lt;1900,"n/a",IF('Gold &amp; money'!K8&gt;=0,"OK","Check"))</f>
        <v>n/a</v>
      </c>
      <c r="N8" s="108" t="n">
        <f aca="false">Japan!AA8</f>
        <v>0</v>
      </c>
      <c r="O8" s="107" t="str">
        <f aca="false">IF(N8&lt;=1,"OK","Check")</f>
        <v>OK</v>
      </c>
      <c r="P8" s="107" t="str">
        <f aca="false">IF($A8&lt;1922,"n/a",IF(AND(Navy!AE8&gt;=0.95,Navy!AE8&lt;=1.1),"OK","Check"))</f>
        <v>n/a</v>
      </c>
      <c r="Q8" s="107" t="str">
        <f aca="false">IF(Navy!Z8=0,"n/a",IF(Resources!K8&gt;=Navy!Z8,"OK","Check"))</f>
        <v>n/a</v>
      </c>
      <c r="R8" s="107" t="str">
        <f aca="false">IF(AND(gulf_on=1,$A8=gulf_year),IF(Gulf!AF8=1,"OK","Check"),"n/a")</f>
        <v>n/a</v>
      </c>
      <c r="S8" s="49" t="n">
        <f aca="false">COUNTIF(B8:R8,"Check")+COUNTIF(T8:AG8,"Check")+AH8+COUNTIF(AI8,"Check")+COUNTIF(AJ8:AK8,"Check")</f>
        <v>0</v>
      </c>
      <c r="T8" s="1" t="str">
        <f aca="false">IF(ABS(Japan!AM8)&lt;0.001,"OK","Check")</f>
        <v>OK</v>
      </c>
      <c r="U8" s="1" t="str">
        <f aca="false">"n/a"</f>
        <v>n/a</v>
      </c>
      <c r="V8" s="1" t="str">
        <f aca="false">"n/a"</f>
        <v>n/a</v>
      </c>
      <c r="W8" s="1" t="str">
        <f aca="false">"n/a"</f>
        <v>n/a</v>
      </c>
      <c r="X8" s="1" t="str">
        <f aca="false">"n/a"</f>
        <v>n/a</v>
      </c>
      <c r="Y8" s="1" t="str">
        <f aca="false">IF(Abroad!T8&gt;=-0.001,"OK","Check")</f>
        <v>OK</v>
      </c>
      <c r="Z8" s="1" t="str">
        <f aca="false">"n/a"</f>
        <v>n/a</v>
      </c>
      <c r="AA8" s="1" t="str">
        <f aca="false">IF(ABS('Sources &amp; uses'!P42)&lt;0.001,"OK","Check")</f>
        <v>OK</v>
      </c>
      <c r="AB8" s="1" t="str">
        <f aca="false">IF(AND(ABS('War credit'!F8)&lt;0.001,ABS('War credit'!K8)&lt;0.001),"OK","Check")</f>
        <v>OK</v>
      </c>
      <c r="AC8" s="1" t="str">
        <f aca="false">"OK"</f>
        <v>OK</v>
      </c>
      <c r="AD8" s="1" t="str">
        <f aca="false">IF('Sources &amp; uses'!M137&lt;0.001,"OK","Check")</f>
        <v>OK</v>
      </c>
      <c r="AE8" s="1" t="str">
        <f aca="false">IF('War credit'!E8=0,"OK",IF(ISNUMBER('War credit'!AC8),IF('War credit'!AC8&lt;0.001,"OK","Check"),"Unverified"))</f>
        <v>OK</v>
      </c>
      <c r="AF8" s="1" t="str">
        <f aca="false">"OK"</f>
        <v>OK</v>
      </c>
      <c r="AG8" s="1" t="str">
        <f aca="false">IF('Capital accounts'!L8&gt;0.001,"Check","OK")</f>
        <v>OK</v>
      </c>
      <c r="AH8" s="1" t="n">
        <f aca="false">COUNTIF(AA8:AG8,"Unverified")</f>
        <v>0</v>
      </c>
      <c r="AI8" s="1" t="str">
        <f aca="false">IF(OR($A8&lt;1918,$A8&gt;1932),"n/a",INDEX(Siberia!$H$38:$H$52,MATCH($A8,Siberia!$A$38:$A$52,0)))</f>
        <v>n/a</v>
      </c>
      <c r="AJ8" s="1" t="str">
        <f aca="false">IF($A8&lt;&gt;1895,"n/a",IF(AND(MATCH(MIN(People!$Y$16:$Y$92),People!$Y$16:$Y$92,0)+1855&gt;=1893,MATCH(MIN(People!$Y$16:$Y$92),People!$Y$16:$Y$92,0)+1855&lt;=1897),"OK","Check"))</f>
        <v>n/a</v>
      </c>
      <c r="AK8" s="1" t="str">
        <f aca="false">IF($A8&lt;&gt;1861,"n/a",IF(ABS(People!B8/dem01_target-1)&lt;=0.1,"OK","Check"))</f>
        <v>n/a</v>
      </c>
    </row>
    <row r="9" customFormat="false" ht="14.25" hidden="false" customHeight="true" outlineLevel="0" collapsed="false">
      <c r="A9" s="61" t="n">
        <v>1849</v>
      </c>
      <c r="B9" s="107" t="str">
        <f aca="false">IF(ABS(People!L9-(People!B9+People!C9+People!D9+People!K9))&lt;1,"OK","Check")</f>
        <v>OK</v>
      </c>
      <c r="C9" s="107" t="str">
        <f aca="false">IF(ABS('Debt &amp; cash'!M9-'Debt &amp; cash'!E9)&lt;0.001,"OK","Check")</f>
        <v>OK</v>
      </c>
      <c r="D9" s="107" t="str">
        <f aca="false">IF('Debt &amp; cash'!S9&gt;=-0.001,"OK","Check")</f>
        <v>OK</v>
      </c>
      <c r="E9" s="108" t="n">
        <f aca="false">'Debt &amp; cash'!V9</f>
        <v>0.226886445855055</v>
      </c>
      <c r="F9" s="107" t="str">
        <f aca="false">IF($A9&lt;1887,"n/a",IF(E9&lt;=cap_debt,"OK","Check"))</f>
        <v>n/a</v>
      </c>
      <c r="G9" s="108" t="n">
        <f aca="false">'Debt &amp; cash'!W9</f>
        <v>0.143595152353713</v>
      </c>
      <c r="H9" s="107" t="str">
        <f aca="false">IF($A9&lt;1887,"n/a",IF(G9&lt;=cap_int,"OK","Check"))</f>
        <v>n/a</v>
      </c>
      <c r="I9" s="108" t="n">
        <f aca="false">Budget!AC9</f>
        <v>0.0139303510915202</v>
      </c>
      <c r="J9" s="107" t="str">
        <f aca="false">IF($A9&lt;1887,"n/a",IF(Paths!AC9=1,"War year",IF(I9&lt;=cap_def,"OK","Check")))</f>
        <v>n/a</v>
      </c>
      <c r="K9" s="66" t="n">
        <f aca="false">'Debt &amp; cash'!Y9/Economy!O9</f>
        <v>0.0187670998054765</v>
      </c>
      <c r="L9" s="107" t="str">
        <f aca="false">IF('Debt &amp; cash'!Y9*issue_price&lt;=mkt_capacity*Economy!O9+foreign_capacity,"OK","Check")</f>
        <v>OK</v>
      </c>
      <c r="M9" s="107" t="str">
        <f aca="false">IF($A9&lt;1900,"n/a",IF('Gold &amp; money'!K9&gt;=0,"OK","Check"))</f>
        <v>n/a</v>
      </c>
      <c r="N9" s="108" t="n">
        <f aca="false">Japan!AA9</f>
        <v>0</v>
      </c>
      <c r="O9" s="107" t="str">
        <f aca="false">IF(N9&lt;=1,"OK","Check")</f>
        <v>OK</v>
      </c>
      <c r="P9" s="107" t="str">
        <f aca="false">IF($A9&lt;1922,"n/a",IF(AND(Navy!AE9&gt;=0.95,Navy!AE9&lt;=1.1),"OK","Check"))</f>
        <v>n/a</v>
      </c>
      <c r="Q9" s="107" t="str">
        <f aca="false">IF(Navy!Z9=0,"n/a",IF(Resources!K9&gt;=Navy!Z9,"OK","Check"))</f>
        <v>n/a</v>
      </c>
      <c r="R9" s="107" t="str">
        <f aca="false">IF(AND(gulf_on=1,$A9=gulf_year),IF(Gulf!AF9=1,"OK","Check"),"n/a")</f>
        <v>n/a</v>
      </c>
      <c r="S9" s="49" t="n">
        <f aca="false">COUNTIF(B9:R9,"Check")+COUNTIF(T9:AG9,"Check")+AH9+COUNTIF(AI9,"Check")+COUNTIF(AJ9:AK9,"Check")</f>
        <v>0</v>
      </c>
      <c r="T9" s="1" t="str">
        <f aca="false">IF(ABS(Japan!AM9)&lt;0.001,"OK","Check")</f>
        <v>OK</v>
      </c>
      <c r="U9" s="1" t="str">
        <f aca="false">"n/a"</f>
        <v>n/a</v>
      </c>
      <c r="V9" s="1" t="str">
        <f aca="false">"n/a"</f>
        <v>n/a</v>
      </c>
      <c r="W9" s="1" t="str">
        <f aca="false">"n/a"</f>
        <v>n/a</v>
      </c>
      <c r="X9" s="1" t="str">
        <f aca="false">"n/a"</f>
        <v>n/a</v>
      </c>
      <c r="Y9" s="1" t="str">
        <f aca="false">IF(Abroad!T9&gt;=-0.001,"OK","Check")</f>
        <v>OK</v>
      </c>
      <c r="Z9" s="1" t="str">
        <f aca="false">"n/a"</f>
        <v>n/a</v>
      </c>
      <c r="AA9" s="1" t="str">
        <f aca="false">IF(ABS('Sources &amp; uses'!P43)&lt;0.001,"OK","Check")</f>
        <v>OK</v>
      </c>
      <c r="AB9" s="1" t="str">
        <f aca="false">IF(AND(ABS('War credit'!F9)&lt;0.001,ABS('War credit'!K9)&lt;0.001),"OK","Check")</f>
        <v>OK</v>
      </c>
      <c r="AC9" s="1" t="str">
        <f aca="false">"OK"</f>
        <v>OK</v>
      </c>
      <c r="AD9" s="1" t="str">
        <f aca="false">IF('Sources &amp; uses'!M138&lt;0.001,"OK","Check")</f>
        <v>OK</v>
      </c>
      <c r="AE9" s="1" t="str">
        <f aca="false">IF('War credit'!E9=0,"OK",IF(ISNUMBER('War credit'!AC9),IF('War credit'!AC9&lt;0.001,"OK","Check"),"Unverified"))</f>
        <v>OK</v>
      </c>
      <c r="AF9" s="1" t="str">
        <f aca="false">"OK"</f>
        <v>OK</v>
      </c>
      <c r="AG9" s="1" t="str">
        <f aca="false">IF('Capital accounts'!L9&gt;0.001,"Check","OK")</f>
        <v>OK</v>
      </c>
      <c r="AH9" s="1" t="n">
        <f aca="false">COUNTIF(AA9:AG9,"Unverified")</f>
        <v>0</v>
      </c>
      <c r="AI9" s="1" t="str">
        <f aca="false">IF(OR($A9&lt;1918,$A9&gt;1932),"n/a",INDEX(Siberia!$H$38:$H$52,MATCH($A9,Siberia!$A$38:$A$52,0)))</f>
        <v>n/a</v>
      </c>
      <c r="AJ9" s="1" t="str">
        <f aca="false">IF($A9&lt;&gt;1895,"n/a",IF(AND(MATCH(MIN(People!$Y$16:$Y$92),People!$Y$16:$Y$92,0)+1855&gt;=1893,MATCH(MIN(People!$Y$16:$Y$92),People!$Y$16:$Y$92,0)+1855&lt;=1897),"OK","Check"))</f>
        <v>n/a</v>
      </c>
      <c r="AK9" s="1" t="str">
        <f aca="false">IF($A9&lt;&gt;1861,"n/a",IF(ABS(People!B9/dem01_target-1)&lt;=0.1,"OK","Check"))</f>
        <v>n/a</v>
      </c>
    </row>
    <row r="10" customFormat="false" ht="14.25" hidden="false" customHeight="true" outlineLevel="0" collapsed="false">
      <c r="A10" s="61" t="n">
        <v>1850</v>
      </c>
      <c r="B10" s="107" t="str">
        <f aca="false">IF(ABS(People!L10-(People!B10+People!C10+People!D10+People!K10))&lt;1,"OK","Check")</f>
        <v>OK</v>
      </c>
      <c r="C10" s="107" t="str">
        <f aca="false">IF(ABS('Debt &amp; cash'!M10-'Debt &amp; cash'!E10)&lt;0.001,"OK","Check")</f>
        <v>OK</v>
      </c>
      <c r="D10" s="107" t="str">
        <f aca="false">IF('Debt &amp; cash'!S10&gt;=-0.001,"OK","Check")</f>
        <v>OK</v>
      </c>
      <c r="E10" s="108" t="n">
        <f aca="false">'Debt &amp; cash'!V10</f>
        <v>0.190234665920777</v>
      </c>
      <c r="F10" s="107" t="str">
        <f aca="false">IF($A10&lt;1887,"n/a",IF(E10&lt;=cap_debt,"OK","Check"))</f>
        <v>n/a</v>
      </c>
      <c r="G10" s="108" t="n">
        <f aca="false">'Debt &amp; cash'!W10</f>
        <v>0.133676393922611</v>
      </c>
      <c r="H10" s="107" t="str">
        <f aca="false">IF($A10&lt;1887,"n/a",IF(G10&lt;=cap_int,"OK","Check"))</f>
        <v>n/a</v>
      </c>
      <c r="I10" s="108" t="n">
        <f aca="false">Budget!AC10</f>
        <v>0.0136485715827629</v>
      </c>
      <c r="J10" s="107" t="str">
        <f aca="false">IF($A10&lt;1887,"n/a",IF(Paths!AC10=1,"War year",IF(I10&lt;=cap_def,"OK","Check")))</f>
        <v>n/a</v>
      </c>
      <c r="K10" s="66" t="n">
        <f aca="false">'Debt &amp; cash'!Y10/Economy!O10</f>
        <v>0.00391041609540801</v>
      </c>
      <c r="L10" s="107" t="str">
        <f aca="false">IF('Debt &amp; cash'!Y10*issue_price&lt;=mkt_capacity*Economy!O10+foreign_capacity,"OK","Check")</f>
        <v>OK</v>
      </c>
      <c r="M10" s="107" t="str">
        <f aca="false">IF($A10&lt;1900,"n/a",IF('Gold &amp; money'!K10&gt;=0,"OK","Check"))</f>
        <v>n/a</v>
      </c>
      <c r="N10" s="108" t="n">
        <f aca="false">Japan!AA10</f>
        <v>0</v>
      </c>
      <c r="O10" s="107" t="str">
        <f aca="false">IF(N10&lt;=1,"OK","Check")</f>
        <v>OK</v>
      </c>
      <c r="P10" s="107" t="str">
        <f aca="false">IF($A10&lt;1922,"n/a",IF(AND(Navy!AE10&gt;=0.95,Navy!AE10&lt;=1.1),"OK","Check"))</f>
        <v>n/a</v>
      </c>
      <c r="Q10" s="107" t="str">
        <f aca="false">IF(Navy!Z10=0,"n/a",IF(Resources!K10&gt;=Navy!Z10,"OK","Check"))</f>
        <v>n/a</v>
      </c>
      <c r="R10" s="107" t="str">
        <f aca="false">IF(AND(gulf_on=1,$A10=gulf_year),IF(Gulf!AF10=1,"OK","Check"),"n/a")</f>
        <v>n/a</v>
      </c>
      <c r="S10" s="49" t="n">
        <f aca="false">COUNTIF(B10:R10,"Check")+COUNTIF(T10:AG10,"Check")+AH10+COUNTIF(AI10,"Check")+COUNTIF(AJ10:AK10,"Check")</f>
        <v>0</v>
      </c>
      <c r="T10" s="1" t="str">
        <f aca="false">IF(ABS(Japan!AM10)&lt;0.001,"OK","Check")</f>
        <v>OK</v>
      </c>
      <c r="U10" s="1" t="str">
        <f aca="false">"n/a"</f>
        <v>n/a</v>
      </c>
      <c r="V10" s="1" t="str">
        <f aca="false">"n/a"</f>
        <v>n/a</v>
      </c>
      <c r="W10" s="1" t="str">
        <f aca="false">"n/a"</f>
        <v>n/a</v>
      </c>
      <c r="X10" s="1" t="str">
        <f aca="false">"n/a"</f>
        <v>n/a</v>
      </c>
      <c r="Y10" s="1" t="str">
        <f aca="false">IF(Abroad!T10&gt;=-0.001,"OK","Check")</f>
        <v>OK</v>
      </c>
      <c r="Z10" s="1" t="str">
        <f aca="false">"n/a"</f>
        <v>n/a</v>
      </c>
      <c r="AA10" s="1" t="str">
        <f aca="false">IF(ABS('Sources &amp; uses'!P44)&lt;0.001,"OK","Check")</f>
        <v>OK</v>
      </c>
      <c r="AB10" s="1" t="str">
        <f aca="false">IF(AND(ABS('War credit'!F10)&lt;0.001,ABS('War credit'!K10)&lt;0.001),"OK","Check")</f>
        <v>OK</v>
      </c>
      <c r="AC10" s="1" t="str">
        <f aca="false">"OK"</f>
        <v>OK</v>
      </c>
      <c r="AD10" s="1" t="str">
        <f aca="false">IF('Sources &amp; uses'!M139&lt;0.001,"OK","Check")</f>
        <v>OK</v>
      </c>
      <c r="AE10" s="1" t="str">
        <f aca="false">IF('War credit'!E10=0,"OK",IF(ISNUMBER('War credit'!AC10),IF('War credit'!AC10&lt;0.001,"OK","Check"),"Unverified"))</f>
        <v>OK</v>
      </c>
      <c r="AF10" s="1" t="str">
        <f aca="false">"OK"</f>
        <v>OK</v>
      </c>
      <c r="AG10" s="1" t="str">
        <f aca="false">IF('Capital accounts'!L10&gt;0.001,"Check","OK")</f>
        <v>OK</v>
      </c>
      <c r="AH10" s="1" t="n">
        <f aca="false">COUNTIF(AA10:AG10,"Unverified")</f>
        <v>0</v>
      </c>
      <c r="AI10" s="1" t="str">
        <f aca="false">IF(OR($A10&lt;1918,$A10&gt;1932),"n/a",INDEX(Siberia!$H$38:$H$52,MATCH($A10,Siberia!$A$38:$A$52,0)))</f>
        <v>n/a</v>
      </c>
      <c r="AJ10" s="1" t="str">
        <f aca="false">IF($A10&lt;&gt;1895,"n/a",IF(AND(MATCH(MIN(People!$Y$16:$Y$92),People!$Y$16:$Y$92,0)+1855&gt;=1893,MATCH(MIN(People!$Y$16:$Y$92),People!$Y$16:$Y$92,0)+1855&lt;=1897),"OK","Check"))</f>
        <v>n/a</v>
      </c>
      <c r="AK10" s="1" t="str">
        <f aca="false">IF($A10&lt;&gt;1861,"n/a",IF(ABS(People!B10/dem01_target-1)&lt;=0.1,"OK","Check"))</f>
        <v>n/a</v>
      </c>
    </row>
    <row r="11" customFormat="false" ht="14.25" hidden="false" customHeight="true" outlineLevel="0" collapsed="false">
      <c r="A11" s="61" t="n">
        <v>1851</v>
      </c>
      <c r="B11" s="107" t="str">
        <f aca="false">IF(ABS(People!L11-(People!B11+People!C11+People!D11+People!K11))&lt;1,"OK","Check")</f>
        <v>OK</v>
      </c>
      <c r="C11" s="107" t="str">
        <f aca="false">IF(ABS('Debt &amp; cash'!M11-'Debt &amp; cash'!E11)&lt;0.001,"OK","Check")</f>
        <v>OK</v>
      </c>
      <c r="D11" s="107" t="str">
        <f aca="false">IF('Debt &amp; cash'!S11&gt;=-0.001,"OK","Check")</f>
        <v>OK</v>
      </c>
      <c r="E11" s="108" t="n">
        <f aca="false">'Debt &amp; cash'!V11</f>
        <v>0.132073407958157</v>
      </c>
      <c r="F11" s="107" t="str">
        <f aca="false">IF($A11&lt;1887,"n/a",IF(E11&lt;=cap_debt,"OK","Check"))</f>
        <v>n/a</v>
      </c>
      <c r="G11" s="108" t="n">
        <f aca="false">'Debt &amp; cash'!W11</f>
        <v>0.0989651466761055</v>
      </c>
      <c r="H11" s="107" t="str">
        <f aca="false">IF($A11&lt;1887,"n/a",IF(G11&lt;=cap_int,"OK","Check"))</f>
        <v>n/a</v>
      </c>
      <c r="I11" s="108" t="n">
        <f aca="false">Budget!AC11</f>
        <v>0.0151008290667688</v>
      </c>
      <c r="J11" s="107" t="str">
        <f aca="false">IF($A11&lt;1887,"n/a",IF(Paths!AC11=1,"War year",IF(I11&lt;=cap_def,"OK","Check")))</f>
        <v>n/a</v>
      </c>
      <c r="K11" s="66" t="n">
        <f aca="false">'Debt &amp; cash'!Y11/Economy!O11</f>
        <v>0</v>
      </c>
      <c r="L11" s="107" t="str">
        <f aca="false">IF('Debt &amp; cash'!Y11*issue_price&lt;=mkt_capacity*Economy!O11+foreign_capacity,"OK","Check")</f>
        <v>OK</v>
      </c>
      <c r="M11" s="107" t="str">
        <f aca="false">IF($A11&lt;1900,"n/a",IF('Gold &amp; money'!K11&gt;=0,"OK","Check"))</f>
        <v>n/a</v>
      </c>
      <c r="N11" s="108" t="n">
        <f aca="false">Japan!AA11</f>
        <v>0</v>
      </c>
      <c r="O11" s="107" t="str">
        <f aca="false">IF(N11&lt;=1,"OK","Check")</f>
        <v>OK</v>
      </c>
      <c r="P11" s="107" t="str">
        <f aca="false">IF($A11&lt;1922,"n/a",IF(AND(Navy!AE11&gt;=0.95,Navy!AE11&lt;=1.1),"OK","Check"))</f>
        <v>n/a</v>
      </c>
      <c r="Q11" s="107" t="str">
        <f aca="false">IF(Navy!Z11=0,"n/a",IF(Resources!K11&gt;=Navy!Z11,"OK","Check"))</f>
        <v>n/a</v>
      </c>
      <c r="R11" s="107" t="str">
        <f aca="false">IF(AND(gulf_on=1,$A11=gulf_year),IF(Gulf!AF11=1,"OK","Check"),"n/a")</f>
        <v>n/a</v>
      </c>
      <c r="S11" s="49" t="n">
        <f aca="false">COUNTIF(B11:R11,"Check")+COUNTIF(T11:AG11,"Check")+AH11+COUNTIF(AI11,"Check")+COUNTIF(AJ11:AK11,"Check")</f>
        <v>0</v>
      </c>
      <c r="T11" s="1" t="str">
        <f aca="false">IF(ABS(Japan!AM11)&lt;0.001,"OK","Check")</f>
        <v>OK</v>
      </c>
      <c r="U11" s="1" t="str">
        <f aca="false">"n/a"</f>
        <v>n/a</v>
      </c>
      <c r="V11" s="1" t="str">
        <f aca="false">"n/a"</f>
        <v>n/a</v>
      </c>
      <c r="W11" s="1" t="str">
        <f aca="false">"n/a"</f>
        <v>n/a</v>
      </c>
      <c r="X11" s="1" t="str">
        <f aca="false">"n/a"</f>
        <v>n/a</v>
      </c>
      <c r="Y11" s="1" t="str">
        <f aca="false">IF(Abroad!T11&gt;=-0.001,"OK","Check")</f>
        <v>OK</v>
      </c>
      <c r="Z11" s="1" t="str">
        <f aca="false">"n/a"</f>
        <v>n/a</v>
      </c>
      <c r="AA11" s="1" t="str">
        <f aca="false">IF(ABS('Sources &amp; uses'!P45)&lt;0.001,"OK","Check")</f>
        <v>OK</v>
      </c>
      <c r="AB11" s="1" t="str">
        <f aca="false">IF(AND(ABS('War credit'!F11)&lt;0.001,ABS('War credit'!K11)&lt;0.001),"OK","Check")</f>
        <v>OK</v>
      </c>
      <c r="AC11" s="1" t="str">
        <f aca="false">"OK"</f>
        <v>OK</v>
      </c>
      <c r="AD11" s="1" t="str">
        <f aca="false">IF('Sources &amp; uses'!M140&lt;0.001,"OK","Check")</f>
        <v>OK</v>
      </c>
      <c r="AE11" s="1" t="str">
        <f aca="false">IF('War credit'!E11=0,"OK",IF(ISNUMBER('War credit'!AC11),IF('War credit'!AC11&lt;0.001,"OK","Check"),"Unverified"))</f>
        <v>OK</v>
      </c>
      <c r="AF11" s="1" t="str">
        <f aca="false">"OK"</f>
        <v>OK</v>
      </c>
      <c r="AG11" s="1" t="str">
        <f aca="false">IF('Capital accounts'!L11&gt;0.001,"Check","OK")</f>
        <v>OK</v>
      </c>
      <c r="AH11" s="1" t="n">
        <f aca="false">COUNTIF(AA11:AG11,"Unverified")</f>
        <v>0</v>
      </c>
      <c r="AI11" s="1" t="str">
        <f aca="false">IF(OR($A11&lt;1918,$A11&gt;1932),"n/a",INDEX(Siberia!$H$38:$H$52,MATCH($A11,Siberia!$A$38:$A$52,0)))</f>
        <v>n/a</v>
      </c>
      <c r="AJ11" s="1" t="str">
        <f aca="false">IF($A11&lt;&gt;1895,"n/a",IF(AND(MATCH(MIN(People!$Y$16:$Y$92),People!$Y$16:$Y$92,0)+1855&gt;=1893,MATCH(MIN(People!$Y$16:$Y$92),People!$Y$16:$Y$92,0)+1855&lt;=1897),"OK","Check"))</f>
        <v>n/a</v>
      </c>
      <c r="AK11" s="1" t="str">
        <f aca="false">IF($A11&lt;&gt;1861,"n/a",IF(ABS(People!B11/dem01_target-1)&lt;=0.1,"OK","Check"))</f>
        <v>n/a</v>
      </c>
    </row>
    <row r="12" customFormat="false" ht="14.25" hidden="false" customHeight="true" outlineLevel="0" collapsed="false">
      <c r="A12" s="61" t="n">
        <v>1852</v>
      </c>
      <c r="B12" s="107" t="str">
        <f aca="false">IF(ABS(People!L12-(People!B12+People!C12+People!D12+People!K12))&lt;1,"OK","Check")</f>
        <v>OK</v>
      </c>
      <c r="C12" s="107" t="str">
        <f aca="false">IF(ABS('Debt &amp; cash'!M12-'Debt &amp; cash'!E12)&lt;0.001,"OK","Check")</f>
        <v>OK</v>
      </c>
      <c r="D12" s="107" t="str">
        <f aca="false">IF('Debt &amp; cash'!S12&gt;=-0.001,"OK","Check")</f>
        <v>OK</v>
      </c>
      <c r="E12" s="108" t="n">
        <f aca="false">'Debt &amp; cash'!V12</f>
        <v>0.110342491701101</v>
      </c>
      <c r="F12" s="107" t="str">
        <f aca="false">IF($A12&lt;1887,"n/a",IF(E12&lt;=cap_debt,"OK","Check"))</f>
        <v>n/a</v>
      </c>
      <c r="G12" s="108" t="n">
        <f aca="false">'Debt &amp; cash'!W12</f>
        <v>0.0700813243575735</v>
      </c>
      <c r="H12" s="107" t="str">
        <f aca="false">IF($A12&lt;1887,"n/a",IF(G12&lt;=cap_int,"OK","Check"))</f>
        <v>n/a</v>
      </c>
      <c r="I12" s="108" t="n">
        <f aca="false">Budget!AC12</f>
        <v>0.0188711553474999</v>
      </c>
      <c r="J12" s="107" t="str">
        <f aca="false">IF($A12&lt;1887,"n/a",IF(Paths!AC12=1,"War year",IF(I12&lt;=cap_def,"OK","Check")))</f>
        <v>n/a</v>
      </c>
      <c r="K12" s="66" t="n">
        <f aca="false">'Debt &amp; cash'!Y12/Economy!O12</f>
        <v>0.000416720002408633</v>
      </c>
      <c r="L12" s="107" t="str">
        <f aca="false">IF('Debt &amp; cash'!Y12*issue_price&lt;=mkt_capacity*Economy!O12+foreign_capacity,"OK","Check")</f>
        <v>OK</v>
      </c>
      <c r="M12" s="107" t="str">
        <f aca="false">IF($A12&lt;1900,"n/a",IF('Gold &amp; money'!K12&gt;=0,"OK","Check"))</f>
        <v>n/a</v>
      </c>
      <c r="N12" s="108" t="n">
        <f aca="false">Japan!AA12</f>
        <v>0</v>
      </c>
      <c r="O12" s="107" t="str">
        <f aca="false">IF(N12&lt;=1,"OK","Check")</f>
        <v>OK</v>
      </c>
      <c r="P12" s="107" t="str">
        <f aca="false">IF($A12&lt;1922,"n/a",IF(AND(Navy!AE12&gt;=0.95,Navy!AE12&lt;=1.1),"OK","Check"))</f>
        <v>n/a</v>
      </c>
      <c r="Q12" s="107" t="str">
        <f aca="false">IF(Navy!Z12=0,"n/a",IF(Resources!K12&gt;=Navy!Z12,"OK","Check"))</f>
        <v>n/a</v>
      </c>
      <c r="R12" s="107" t="str">
        <f aca="false">IF(AND(gulf_on=1,$A12=gulf_year),IF(Gulf!AF12=1,"OK","Check"),"n/a")</f>
        <v>n/a</v>
      </c>
      <c r="S12" s="49" t="n">
        <f aca="false">COUNTIF(B12:R12,"Check")+COUNTIF(T12:AG12,"Check")+AH12+COUNTIF(AI12,"Check")+COUNTIF(AJ12:AK12,"Check")</f>
        <v>0</v>
      </c>
      <c r="T12" s="1" t="str">
        <f aca="false">IF(ABS(Japan!AM12)&lt;0.001,"OK","Check")</f>
        <v>OK</v>
      </c>
      <c r="U12" s="1" t="str">
        <f aca="false">"n/a"</f>
        <v>n/a</v>
      </c>
      <c r="V12" s="1" t="str">
        <f aca="false">"n/a"</f>
        <v>n/a</v>
      </c>
      <c r="W12" s="1" t="str">
        <f aca="false">"n/a"</f>
        <v>n/a</v>
      </c>
      <c r="X12" s="1" t="str">
        <f aca="false">"n/a"</f>
        <v>n/a</v>
      </c>
      <c r="Y12" s="1" t="str">
        <f aca="false">IF(Abroad!T12&gt;=-0.001,"OK","Check")</f>
        <v>OK</v>
      </c>
      <c r="Z12" s="1" t="str">
        <f aca="false">"n/a"</f>
        <v>n/a</v>
      </c>
      <c r="AA12" s="1" t="str">
        <f aca="false">IF(ABS('Sources &amp; uses'!P46)&lt;0.001,"OK","Check")</f>
        <v>OK</v>
      </c>
      <c r="AB12" s="1" t="str">
        <f aca="false">IF(AND(ABS('War credit'!F12)&lt;0.001,ABS('War credit'!K12)&lt;0.001),"OK","Check")</f>
        <v>OK</v>
      </c>
      <c r="AC12" s="1" t="str">
        <f aca="false">"OK"</f>
        <v>OK</v>
      </c>
      <c r="AD12" s="1" t="str">
        <f aca="false">IF('Sources &amp; uses'!M141&lt;0.001,"OK","Check")</f>
        <v>OK</v>
      </c>
      <c r="AE12" s="1" t="str">
        <f aca="false">IF('War credit'!E12=0,"OK",IF(ISNUMBER('War credit'!AC12),IF('War credit'!AC12&lt;0.001,"OK","Check"),"Unverified"))</f>
        <v>OK</v>
      </c>
      <c r="AF12" s="1" t="str">
        <f aca="false">"OK"</f>
        <v>OK</v>
      </c>
      <c r="AG12" s="1" t="str">
        <f aca="false">IF('Capital accounts'!L12&gt;0.001,"Check","OK")</f>
        <v>OK</v>
      </c>
      <c r="AH12" s="1" t="n">
        <f aca="false">COUNTIF(AA12:AG12,"Unverified")</f>
        <v>0</v>
      </c>
      <c r="AI12" s="1" t="str">
        <f aca="false">IF(OR($A12&lt;1918,$A12&gt;1932),"n/a",INDEX(Siberia!$H$38:$H$52,MATCH($A12,Siberia!$A$38:$A$52,0)))</f>
        <v>n/a</v>
      </c>
      <c r="AJ12" s="1" t="str">
        <f aca="false">IF($A12&lt;&gt;1895,"n/a",IF(AND(MATCH(MIN(People!$Y$16:$Y$92),People!$Y$16:$Y$92,0)+1855&gt;=1893,MATCH(MIN(People!$Y$16:$Y$92),People!$Y$16:$Y$92,0)+1855&lt;=1897),"OK","Check"))</f>
        <v>n/a</v>
      </c>
      <c r="AK12" s="1" t="str">
        <f aca="false">IF($A12&lt;&gt;1861,"n/a",IF(ABS(People!B12/dem01_target-1)&lt;=0.1,"OK","Check"))</f>
        <v>n/a</v>
      </c>
    </row>
    <row r="13" customFormat="false" ht="14.25" hidden="false" customHeight="true" outlineLevel="0" collapsed="false">
      <c r="A13" s="61" t="n">
        <v>1853</v>
      </c>
      <c r="B13" s="107" t="str">
        <f aca="false">IF(ABS(People!L13-(People!B13+People!C13+People!D13+People!K13))&lt;1,"OK","Check")</f>
        <v>OK</v>
      </c>
      <c r="C13" s="107" t="str">
        <f aca="false">IF(ABS('Debt &amp; cash'!M13-'Debt &amp; cash'!E13)&lt;0.001,"OK","Check")</f>
        <v>OK</v>
      </c>
      <c r="D13" s="107" t="str">
        <f aca="false">IF('Debt &amp; cash'!S13&gt;=-0.001,"OK","Check")</f>
        <v>OK</v>
      </c>
      <c r="E13" s="108" t="n">
        <f aca="false">'Debt &amp; cash'!V13</f>
        <v>0.091236058335526</v>
      </c>
      <c r="F13" s="107" t="str">
        <f aca="false">IF($A13&lt;1887,"n/a",IF(E13&lt;=cap_debt,"OK","Check"))</f>
        <v>n/a</v>
      </c>
      <c r="G13" s="108" t="n">
        <f aca="false">'Debt &amp; cash'!W13</f>
        <v>0.0647198900261295</v>
      </c>
      <c r="H13" s="107" t="str">
        <f aca="false">IF($A13&lt;1887,"n/a",IF(G13&lt;=cap_int,"OK","Check"))</f>
        <v>n/a</v>
      </c>
      <c r="I13" s="108" t="n">
        <f aca="false">Budget!AC13</f>
        <v>0.0211762056385067</v>
      </c>
      <c r="J13" s="107" t="str">
        <f aca="false">IF($A13&lt;1887,"n/a",IF(Paths!AC13=1,"War year",IF(I13&lt;=cap_def,"OK","Check")))</f>
        <v>n/a</v>
      </c>
      <c r="K13" s="66" t="n">
        <f aca="false">'Debt &amp; cash'!Y13/Economy!O13</f>
        <v>0</v>
      </c>
      <c r="L13" s="107" t="str">
        <f aca="false">IF('Debt &amp; cash'!Y13*issue_price&lt;=mkt_capacity*Economy!O13+foreign_capacity,"OK","Check")</f>
        <v>OK</v>
      </c>
      <c r="M13" s="107" t="str">
        <f aca="false">IF($A13&lt;1900,"n/a",IF('Gold &amp; money'!K13&gt;=0,"OK","Check"))</f>
        <v>n/a</v>
      </c>
      <c r="N13" s="108" t="n">
        <f aca="false">Japan!AA13</f>
        <v>0</v>
      </c>
      <c r="O13" s="107" t="str">
        <f aca="false">IF(N13&lt;=1,"OK","Check")</f>
        <v>OK</v>
      </c>
      <c r="P13" s="107" t="str">
        <f aca="false">IF($A13&lt;1922,"n/a",IF(AND(Navy!AE13&gt;=0.95,Navy!AE13&lt;=1.1),"OK","Check"))</f>
        <v>n/a</v>
      </c>
      <c r="Q13" s="107" t="str">
        <f aca="false">IF(Navy!Z13=0,"n/a",IF(Resources!K13&gt;=Navy!Z13,"OK","Check"))</f>
        <v>n/a</v>
      </c>
      <c r="R13" s="107" t="str">
        <f aca="false">IF(AND(gulf_on=1,$A13=gulf_year),IF(Gulf!AF13=1,"OK","Check"),"n/a")</f>
        <v>n/a</v>
      </c>
      <c r="S13" s="49" t="n">
        <f aca="false">COUNTIF(B13:R13,"Check")+COUNTIF(T13:AG13,"Check")+AH13+COUNTIF(AI13,"Check")+COUNTIF(AJ13:AK13,"Check")</f>
        <v>0</v>
      </c>
      <c r="T13" s="1" t="str">
        <f aca="false">IF(ABS(Japan!AM13)&lt;0.001,"OK","Check")</f>
        <v>OK</v>
      </c>
      <c r="U13" s="1" t="str">
        <f aca="false">"n/a"</f>
        <v>n/a</v>
      </c>
      <c r="V13" s="1" t="str">
        <f aca="false">"n/a"</f>
        <v>n/a</v>
      </c>
      <c r="W13" s="1" t="str">
        <f aca="false">"n/a"</f>
        <v>n/a</v>
      </c>
      <c r="X13" s="1" t="str">
        <f aca="false">"n/a"</f>
        <v>n/a</v>
      </c>
      <c r="Y13" s="1" t="str">
        <f aca="false">IF(Abroad!T13&gt;=-0.001,"OK","Check")</f>
        <v>OK</v>
      </c>
      <c r="Z13" s="1" t="str">
        <f aca="false">"n/a"</f>
        <v>n/a</v>
      </c>
      <c r="AA13" s="1" t="str">
        <f aca="false">IF(ABS('Sources &amp; uses'!P47)&lt;0.001,"OK","Check")</f>
        <v>OK</v>
      </c>
      <c r="AB13" s="1" t="str">
        <f aca="false">IF(AND(ABS('War credit'!F13)&lt;0.001,ABS('War credit'!K13)&lt;0.001),"OK","Check")</f>
        <v>OK</v>
      </c>
      <c r="AC13" s="1" t="str">
        <f aca="false">"OK"</f>
        <v>OK</v>
      </c>
      <c r="AD13" s="1" t="str">
        <f aca="false">IF('Sources &amp; uses'!M142&lt;0.001,"OK","Check")</f>
        <v>OK</v>
      </c>
      <c r="AE13" s="1" t="str">
        <f aca="false">IF('War credit'!E13=0,"OK",IF(ISNUMBER('War credit'!AC13),IF('War credit'!AC13&lt;0.001,"OK","Check"),"Unverified"))</f>
        <v>OK</v>
      </c>
      <c r="AF13" s="1" t="str">
        <f aca="false">"OK"</f>
        <v>OK</v>
      </c>
      <c r="AG13" s="1" t="str">
        <f aca="false">IF('Capital accounts'!L13&gt;0.001,"Check","OK")</f>
        <v>OK</v>
      </c>
      <c r="AH13" s="1" t="n">
        <f aca="false">COUNTIF(AA13:AG13,"Unverified")</f>
        <v>0</v>
      </c>
      <c r="AI13" s="1" t="str">
        <f aca="false">IF(OR($A13&lt;1918,$A13&gt;1932),"n/a",INDEX(Siberia!$H$38:$H$52,MATCH($A13,Siberia!$A$38:$A$52,0)))</f>
        <v>n/a</v>
      </c>
      <c r="AJ13" s="1" t="str">
        <f aca="false">IF($A13&lt;&gt;1895,"n/a",IF(AND(MATCH(MIN(People!$Y$16:$Y$92),People!$Y$16:$Y$92,0)+1855&gt;=1893,MATCH(MIN(People!$Y$16:$Y$92),People!$Y$16:$Y$92,0)+1855&lt;=1897),"OK","Check"))</f>
        <v>n/a</v>
      </c>
      <c r="AK13" s="1" t="str">
        <f aca="false">IF($A13&lt;&gt;1861,"n/a",IF(ABS(People!B13/dem01_target-1)&lt;=0.1,"OK","Check"))</f>
        <v>n/a</v>
      </c>
    </row>
    <row r="14" customFormat="false" ht="14.25" hidden="false" customHeight="true" outlineLevel="0" collapsed="false">
      <c r="A14" s="61" t="n">
        <v>1854</v>
      </c>
      <c r="B14" s="107" t="str">
        <f aca="false">IF(ABS(People!L14-(People!B14+People!C14+People!D14+People!K14))&lt;1,"OK","Check")</f>
        <v>OK</v>
      </c>
      <c r="C14" s="107" t="str">
        <f aca="false">IF(ABS('Debt &amp; cash'!M14-'Debt &amp; cash'!E14)&lt;0.001,"OK","Check")</f>
        <v>OK</v>
      </c>
      <c r="D14" s="107" t="str">
        <f aca="false">IF('Debt &amp; cash'!S14&gt;=-0.001,"OK","Check")</f>
        <v>OK</v>
      </c>
      <c r="E14" s="108" t="n">
        <f aca="false">'Debt &amp; cash'!V14</f>
        <v>0.07003101773281</v>
      </c>
      <c r="F14" s="107" t="str">
        <f aca="false">IF($A14&lt;1887,"n/a",IF(E14&lt;=cap_debt,"OK","Check"))</f>
        <v>n/a</v>
      </c>
      <c r="G14" s="108" t="n">
        <f aca="false">'Debt &amp; cash'!W14</f>
        <v>0.0521209865844299</v>
      </c>
      <c r="H14" s="107" t="str">
        <f aca="false">IF($A14&lt;1887,"n/a",IF(G14&lt;=cap_int,"OK","Check"))</f>
        <v>n/a</v>
      </c>
      <c r="I14" s="108" t="n">
        <f aca="false">Budget!AC14</f>
        <v>0.0223919220699636</v>
      </c>
      <c r="J14" s="107" t="str">
        <f aca="false">IF($A14&lt;1887,"n/a",IF(Paths!AC14=1,"War year",IF(I14&lt;=cap_def,"OK","Check")))</f>
        <v>n/a</v>
      </c>
      <c r="K14" s="66" t="n">
        <f aca="false">'Debt &amp; cash'!Y14/Economy!O14</f>
        <v>0</v>
      </c>
      <c r="L14" s="107" t="str">
        <f aca="false">IF('Debt &amp; cash'!Y14*issue_price&lt;=mkt_capacity*Economy!O14+foreign_capacity,"OK","Check")</f>
        <v>OK</v>
      </c>
      <c r="M14" s="107" t="str">
        <f aca="false">IF($A14&lt;1900,"n/a",IF('Gold &amp; money'!K14&gt;=0,"OK","Check"))</f>
        <v>n/a</v>
      </c>
      <c r="N14" s="108" t="n">
        <f aca="false">Japan!AA14</f>
        <v>0</v>
      </c>
      <c r="O14" s="107" t="str">
        <f aca="false">IF(N14&lt;=1,"OK","Check")</f>
        <v>OK</v>
      </c>
      <c r="P14" s="107" t="str">
        <f aca="false">IF($A14&lt;1922,"n/a",IF(AND(Navy!AE14&gt;=0.95,Navy!AE14&lt;=1.1),"OK","Check"))</f>
        <v>n/a</v>
      </c>
      <c r="Q14" s="107" t="str">
        <f aca="false">IF(Navy!Z14=0,"n/a",IF(Resources!K14&gt;=Navy!Z14,"OK","Check"))</f>
        <v>n/a</v>
      </c>
      <c r="R14" s="107" t="str">
        <f aca="false">IF(AND(gulf_on=1,$A14=gulf_year),IF(Gulf!AF14=1,"OK","Check"),"n/a")</f>
        <v>n/a</v>
      </c>
      <c r="S14" s="49" t="n">
        <f aca="false">COUNTIF(B14:R14,"Check")+COUNTIF(T14:AG14,"Check")+AH14+COUNTIF(AI14,"Check")+COUNTIF(AJ14:AK14,"Check")</f>
        <v>0</v>
      </c>
      <c r="T14" s="1" t="str">
        <f aca="false">IF(ABS(Japan!AM14)&lt;0.001,"OK","Check")</f>
        <v>OK</v>
      </c>
      <c r="U14" s="1" t="str">
        <f aca="false">"n/a"</f>
        <v>n/a</v>
      </c>
      <c r="V14" s="1" t="str">
        <f aca="false">"n/a"</f>
        <v>n/a</v>
      </c>
      <c r="W14" s="1" t="str">
        <f aca="false">"n/a"</f>
        <v>n/a</v>
      </c>
      <c r="X14" s="1" t="str">
        <f aca="false">"n/a"</f>
        <v>n/a</v>
      </c>
      <c r="Y14" s="1" t="str">
        <f aca="false">IF(Abroad!T14&gt;=-0.001,"OK","Check")</f>
        <v>OK</v>
      </c>
      <c r="Z14" s="1" t="str">
        <f aca="false">"n/a"</f>
        <v>n/a</v>
      </c>
      <c r="AA14" s="1" t="str">
        <f aca="false">IF(ABS('Sources &amp; uses'!P48)&lt;0.001,"OK","Check")</f>
        <v>OK</v>
      </c>
      <c r="AB14" s="1" t="str">
        <f aca="false">IF(AND(ABS('War credit'!F14)&lt;0.001,ABS('War credit'!K14)&lt;0.001),"OK","Check")</f>
        <v>OK</v>
      </c>
      <c r="AC14" s="1" t="str">
        <f aca="false">"OK"</f>
        <v>OK</v>
      </c>
      <c r="AD14" s="1" t="str">
        <f aca="false">IF('Sources &amp; uses'!M143&lt;0.001,"OK","Check")</f>
        <v>OK</v>
      </c>
      <c r="AE14" s="1" t="str">
        <f aca="false">IF('War credit'!E14=0,"OK",IF(ISNUMBER('War credit'!AC14),IF('War credit'!AC14&lt;0.001,"OK","Check"),"Unverified"))</f>
        <v>OK</v>
      </c>
      <c r="AF14" s="1" t="str">
        <f aca="false">"OK"</f>
        <v>OK</v>
      </c>
      <c r="AG14" s="1" t="str">
        <f aca="false">IF('Capital accounts'!L14&gt;0.001,"Check","OK")</f>
        <v>OK</v>
      </c>
      <c r="AH14" s="1" t="n">
        <f aca="false">COUNTIF(AA14:AG14,"Unverified")</f>
        <v>0</v>
      </c>
      <c r="AI14" s="1" t="str">
        <f aca="false">IF(OR($A14&lt;1918,$A14&gt;1932),"n/a",INDEX(Siberia!$H$38:$H$52,MATCH($A14,Siberia!$A$38:$A$52,0)))</f>
        <v>n/a</v>
      </c>
      <c r="AJ14" s="1" t="str">
        <f aca="false">IF($A14&lt;&gt;1895,"n/a",IF(AND(MATCH(MIN(People!$Y$16:$Y$92),People!$Y$16:$Y$92,0)+1855&gt;=1893,MATCH(MIN(People!$Y$16:$Y$92),People!$Y$16:$Y$92,0)+1855&lt;=1897),"OK","Check"))</f>
        <v>n/a</v>
      </c>
      <c r="AK14" s="1" t="str">
        <f aca="false">IF($A14&lt;&gt;1861,"n/a",IF(ABS(People!B14/dem01_target-1)&lt;=0.1,"OK","Check"))</f>
        <v>n/a</v>
      </c>
    </row>
    <row r="15" customFormat="false" ht="14.25" hidden="false" customHeight="true" outlineLevel="0" collapsed="false">
      <c r="A15" s="61" t="n">
        <v>1855</v>
      </c>
      <c r="B15" s="107" t="str">
        <f aca="false">IF(ABS(People!L15-(People!B15+People!C15+People!D15+People!K15))&lt;1,"OK","Check")</f>
        <v>OK</v>
      </c>
      <c r="C15" s="107" t="str">
        <f aca="false">IF(ABS('Debt &amp; cash'!M15-'Debt &amp; cash'!E15)&lt;0.001,"OK","Check")</f>
        <v>OK</v>
      </c>
      <c r="D15" s="107" t="str">
        <f aca="false">IF('Debt &amp; cash'!S15&gt;=-0.001,"OK","Check")</f>
        <v>OK</v>
      </c>
      <c r="E15" s="108" t="n">
        <f aca="false">'Debt &amp; cash'!V15</f>
        <v>0.0525933621431929</v>
      </c>
      <c r="F15" s="107" t="str">
        <f aca="false">IF($A15&lt;1887,"n/a",IF(E15&lt;=cap_debt,"OK","Check"))</f>
        <v>n/a</v>
      </c>
      <c r="G15" s="108" t="n">
        <f aca="false">'Debt &amp; cash'!W15</f>
        <v>0.0405236247851538</v>
      </c>
      <c r="H15" s="107" t="str">
        <f aca="false">IF($A15&lt;1887,"n/a",IF(G15&lt;=cap_int,"OK","Check"))</f>
        <v>n/a</v>
      </c>
      <c r="I15" s="108" t="n">
        <f aca="false">Budget!AC15</f>
        <v>0.0240581957950365</v>
      </c>
      <c r="J15" s="107" t="str">
        <f aca="false">IF($A15&lt;1887,"n/a",IF(Paths!AC15=1,"War year",IF(I15&lt;=cap_def,"OK","Check")))</f>
        <v>n/a</v>
      </c>
      <c r="K15" s="66" t="n">
        <f aca="false">'Debt &amp; cash'!Y15/Economy!O15</f>
        <v>0</v>
      </c>
      <c r="L15" s="107" t="str">
        <f aca="false">IF('Debt &amp; cash'!Y15*issue_price&lt;=mkt_capacity*Economy!O15+foreign_capacity,"OK","Check")</f>
        <v>OK</v>
      </c>
      <c r="M15" s="107" t="str">
        <f aca="false">IF($A15&lt;1900,"n/a",IF('Gold &amp; money'!K15&gt;=0,"OK","Check"))</f>
        <v>n/a</v>
      </c>
      <c r="N15" s="108" t="n">
        <f aca="false">Japan!AA15</f>
        <v>0</v>
      </c>
      <c r="O15" s="107" t="str">
        <f aca="false">IF(N15&lt;=1,"OK","Check")</f>
        <v>OK</v>
      </c>
      <c r="P15" s="107" t="str">
        <f aca="false">IF($A15&lt;1922,"n/a",IF(AND(Navy!AE15&gt;=0.95,Navy!AE15&lt;=1.1),"OK","Check"))</f>
        <v>n/a</v>
      </c>
      <c r="Q15" s="107" t="str">
        <f aca="false">IF(Navy!Z15=0,"n/a",IF(Resources!K15&gt;=Navy!Z15,"OK","Check"))</f>
        <v>n/a</v>
      </c>
      <c r="R15" s="107" t="str">
        <f aca="false">IF(AND(gulf_on=1,$A15=gulf_year),IF(Gulf!AF15=1,"OK","Check"),"n/a")</f>
        <v>n/a</v>
      </c>
      <c r="S15" s="49" t="n">
        <f aca="false">COUNTIF(B15:R15,"Check")+COUNTIF(T15:AG15,"Check")+AH15+COUNTIF(AI15,"Check")+COUNTIF(AJ15:AK15,"Check")</f>
        <v>0</v>
      </c>
      <c r="T15" s="1" t="str">
        <f aca="false">IF(ABS(Japan!AM15)&lt;0.001,"OK","Check")</f>
        <v>OK</v>
      </c>
      <c r="U15" s="1" t="str">
        <f aca="false">"n/a"</f>
        <v>n/a</v>
      </c>
      <c r="V15" s="1" t="str">
        <f aca="false">"n/a"</f>
        <v>n/a</v>
      </c>
      <c r="W15" s="1" t="str">
        <f aca="false">"n/a"</f>
        <v>n/a</v>
      </c>
      <c r="X15" s="1" t="str">
        <f aca="false">"n/a"</f>
        <v>n/a</v>
      </c>
      <c r="Y15" s="1" t="str">
        <f aca="false">IF(Abroad!T15&gt;=-0.001,"OK","Check")</f>
        <v>OK</v>
      </c>
      <c r="Z15" s="1" t="str">
        <f aca="false">"n/a"</f>
        <v>n/a</v>
      </c>
      <c r="AA15" s="1" t="str">
        <f aca="false">IF(ABS('Sources &amp; uses'!P49)&lt;0.001,"OK","Check")</f>
        <v>OK</v>
      </c>
      <c r="AB15" s="1" t="str">
        <f aca="false">IF(AND(ABS('War credit'!F15)&lt;0.001,ABS('War credit'!K15)&lt;0.001),"OK","Check")</f>
        <v>OK</v>
      </c>
      <c r="AC15" s="1" t="str">
        <f aca="false">"OK"</f>
        <v>OK</v>
      </c>
      <c r="AD15" s="1" t="str">
        <f aca="false">IF('Sources &amp; uses'!M144&lt;0.001,"OK","Check")</f>
        <v>OK</v>
      </c>
      <c r="AE15" s="1" t="str">
        <f aca="false">IF('War credit'!E15=0,"OK",IF(ISNUMBER('War credit'!AC15),IF('War credit'!AC15&lt;0.001,"OK","Check"),"Unverified"))</f>
        <v>OK</v>
      </c>
      <c r="AF15" s="1" t="str">
        <f aca="false">"OK"</f>
        <v>OK</v>
      </c>
      <c r="AG15" s="1" t="str">
        <f aca="false">IF('Capital accounts'!L15&gt;0.001,"Check","OK")</f>
        <v>OK</v>
      </c>
      <c r="AH15" s="1" t="n">
        <f aca="false">COUNTIF(AA15:AG15,"Unverified")</f>
        <v>0</v>
      </c>
      <c r="AI15" s="1" t="str">
        <f aca="false">IF(OR($A15&lt;1918,$A15&gt;1932),"n/a",INDEX(Siberia!$H$38:$H$52,MATCH($A15,Siberia!$A$38:$A$52,0)))</f>
        <v>n/a</v>
      </c>
      <c r="AJ15" s="1" t="str">
        <f aca="false">IF($A15&lt;&gt;1895,"n/a",IF(AND(MATCH(MIN(People!$Y$16:$Y$92),People!$Y$16:$Y$92,0)+1855&gt;=1893,MATCH(MIN(People!$Y$16:$Y$92),People!$Y$16:$Y$92,0)+1855&lt;=1897),"OK","Check"))</f>
        <v>n/a</v>
      </c>
      <c r="AK15" s="1" t="str">
        <f aca="false">IF($A15&lt;&gt;1861,"n/a",IF(ABS(People!B15/dem01_target-1)&lt;=0.1,"OK","Check"))</f>
        <v>n/a</v>
      </c>
    </row>
    <row r="16" customFormat="false" ht="14.25" hidden="false" customHeight="true" outlineLevel="0" collapsed="false">
      <c r="A16" s="61" t="n">
        <v>1856</v>
      </c>
      <c r="B16" s="107" t="str">
        <f aca="false">IF(ABS(People!L16-(People!B16+People!C16+People!D16+People!K16))&lt;1,"OK","Check")</f>
        <v>OK</v>
      </c>
      <c r="C16" s="107" t="str">
        <f aca="false">IF(ABS('Debt &amp; cash'!M16-'Debt &amp; cash'!E16)&lt;0.001,"OK","Check")</f>
        <v>OK</v>
      </c>
      <c r="D16" s="107" t="str">
        <f aca="false">IF('Debt &amp; cash'!S16&gt;=-0.001,"OK","Check")</f>
        <v>OK</v>
      </c>
      <c r="E16" s="108" t="n">
        <f aca="false">'Debt &amp; cash'!V16</f>
        <v>0.0346177682234395</v>
      </c>
      <c r="F16" s="107" t="str">
        <f aca="false">IF($A16&lt;1887,"n/a",IF(E16&lt;=cap_debt,"OK","Check"))</f>
        <v>n/a</v>
      </c>
      <c r="G16" s="108" t="n">
        <f aca="false">'Debt &amp; cash'!W16</f>
        <v>0.0278773256052258</v>
      </c>
      <c r="H16" s="107" t="str">
        <f aca="false">IF($A16&lt;1887,"n/a",IF(G16&lt;=cap_int,"OK","Check"))</f>
        <v>n/a</v>
      </c>
      <c r="I16" s="108" t="n">
        <f aca="false">Budget!AC16</f>
        <v>0.0247857693059716</v>
      </c>
      <c r="J16" s="107" t="str">
        <f aca="false">IF($A16&lt;1887,"n/a",IF(Paths!AC16=1,"War year",IF(I16&lt;=cap_def,"OK","Check")))</f>
        <v>n/a</v>
      </c>
      <c r="K16" s="66" t="n">
        <f aca="false">'Debt &amp; cash'!Y16/Economy!O16</f>
        <v>0</v>
      </c>
      <c r="L16" s="107" t="str">
        <f aca="false">IF('Debt &amp; cash'!Y16*issue_price&lt;=mkt_capacity*Economy!O16+foreign_capacity,"OK","Check")</f>
        <v>OK</v>
      </c>
      <c r="M16" s="107" t="str">
        <f aca="false">IF($A16&lt;1900,"n/a",IF('Gold &amp; money'!K16&gt;=0,"OK","Check"))</f>
        <v>n/a</v>
      </c>
      <c r="N16" s="108" t="n">
        <f aca="false">Japan!AA16</f>
        <v>0</v>
      </c>
      <c r="O16" s="107" t="str">
        <f aca="false">IF(N16&lt;=1,"OK","Check")</f>
        <v>OK</v>
      </c>
      <c r="P16" s="107" t="str">
        <f aca="false">IF($A16&lt;1922,"n/a",IF(AND(Navy!AE16&gt;=0.95,Navy!AE16&lt;=1.1),"OK","Check"))</f>
        <v>n/a</v>
      </c>
      <c r="Q16" s="107" t="str">
        <f aca="false">IF(Navy!Z16=0,"n/a",IF(Resources!K16&gt;=Navy!Z16,"OK","Check"))</f>
        <v>n/a</v>
      </c>
      <c r="R16" s="107" t="str">
        <f aca="false">IF(AND(gulf_on=1,$A16=gulf_year),IF(Gulf!AF16=1,"OK","Check"),"n/a")</f>
        <v>n/a</v>
      </c>
      <c r="S16" s="49" t="n">
        <f aca="false">COUNTIF(B16:R16,"Check")+COUNTIF(T16:AG16,"Check")+AH16+COUNTIF(AI16,"Check")+COUNTIF(AJ16:AK16,"Check")</f>
        <v>0</v>
      </c>
      <c r="T16" s="1" t="str">
        <f aca="false">IF(ABS(Japan!AM16)&lt;0.001,"OK","Check")</f>
        <v>OK</v>
      </c>
      <c r="U16" s="1" t="str">
        <f aca="false">"n/a"</f>
        <v>n/a</v>
      </c>
      <c r="V16" s="1" t="str">
        <f aca="false">"n/a"</f>
        <v>n/a</v>
      </c>
      <c r="W16" s="1" t="str">
        <f aca="false">"n/a"</f>
        <v>n/a</v>
      </c>
      <c r="X16" s="1" t="str">
        <f aca="false">"n/a"</f>
        <v>n/a</v>
      </c>
      <c r="Y16" s="1" t="str">
        <f aca="false">IF(Abroad!T16&gt;=-0.001,"OK","Check")</f>
        <v>OK</v>
      </c>
      <c r="Z16" s="1" t="str">
        <f aca="false">"n/a"</f>
        <v>n/a</v>
      </c>
      <c r="AA16" s="1" t="str">
        <f aca="false">IF(ABS('Sources &amp; uses'!P50)&lt;0.001,"OK","Check")</f>
        <v>OK</v>
      </c>
      <c r="AB16" s="1" t="str">
        <f aca="false">IF(AND(ABS('War credit'!F16)&lt;0.001,ABS('War credit'!K16)&lt;0.001),"OK","Check")</f>
        <v>OK</v>
      </c>
      <c r="AC16" s="1" t="str">
        <f aca="false">"OK"</f>
        <v>OK</v>
      </c>
      <c r="AD16" s="1" t="str">
        <f aca="false">IF('Sources &amp; uses'!M145&lt;0.001,"OK","Check")</f>
        <v>OK</v>
      </c>
      <c r="AE16" s="1" t="str">
        <f aca="false">IF('War credit'!E16=0,"OK",IF(ISNUMBER('War credit'!AC16),IF('War credit'!AC16&lt;0.001,"OK","Check"),"Unverified"))</f>
        <v>OK</v>
      </c>
      <c r="AF16" s="1" t="str">
        <f aca="false">"OK"</f>
        <v>OK</v>
      </c>
      <c r="AG16" s="1" t="str">
        <f aca="false">IF('Capital accounts'!L16&gt;0.001,"Check","OK")</f>
        <v>OK</v>
      </c>
      <c r="AH16" s="1" t="n">
        <f aca="false">COUNTIF(AA16:AG16,"Unverified")</f>
        <v>0</v>
      </c>
      <c r="AI16" s="1" t="str">
        <f aca="false">IF(OR($A16&lt;1918,$A16&gt;1932),"n/a",INDEX(Siberia!$H$38:$H$52,MATCH($A16,Siberia!$A$38:$A$52,0)))</f>
        <v>n/a</v>
      </c>
      <c r="AJ16" s="1" t="str">
        <f aca="false">IF($A16&lt;&gt;1895,"n/a",IF(AND(MATCH(MIN(People!$Y$16:$Y$92),People!$Y$16:$Y$92,0)+1855&gt;=1893,MATCH(MIN(People!$Y$16:$Y$92),People!$Y$16:$Y$92,0)+1855&lt;=1897),"OK","Check"))</f>
        <v>n/a</v>
      </c>
      <c r="AK16" s="1" t="str">
        <f aca="false">IF($A16&lt;&gt;1861,"n/a",IF(ABS(People!B16/dem01_target-1)&lt;=0.1,"OK","Check"))</f>
        <v>n/a</v>
      </c>
    </row>
    <row r="17" customFormat="false" ht="14.25" hidden="false" customHeight="true" outlineLevel="0" collapsed="false">
      <c r="A17" s="61" t="n">
        <v>1857</v>
      </c>
      <c r="B17" s="107" t="str">
        <f aca="false">IF(ABS(People!L17-(People!B17+People!C17+People!D17+People!K17))&lt;1,"OK","Check")</f>
        <v>OK</v>
      </c>
      <c r="C17" s="107" t="str">
        <f aca="false">IF(ABS('Debt &amp; cash'!M17-'Debt &amp; cash'!E17)&lt;0.001,"OK","Check")</f>
        <v>OK</v>
      </c>
      <c r="D17" s="107" t="str">
        <f aca="false">IF('Debt &amp; cash'!S17&gt;=-0.001,"OK","Check")</f>
        <v>OK</v>
      </c>
      <c r="E17" s="108" t="n">
        <f aca="false">'Debt &amp; cash'!V17</f>
        <v>0.0238703176012588</v>
      </c>
      <c r="F17" s="107" t="str">
        <f aca="false">IF($A17&lt;1887,"n/a",IF(E17&lt;=cap_debt,"OK","Check"))</f>
        <v>n/a</v>
      </c>
      <c r="G17" s="108" t="n">
        <f aca="false">'Debt &amp; cash'!W17</f>
        <v>0.0197883599535099</v>
      </c>
      <c r="H17" s="107" t="str">
        <f aca="false">IF($A17&lt;1887,"n/a",IF(G17&lt;=cap_int,"OK","Check"))</f>
        <v>n/a</v>
      </c>
      <c r="I17" s="108" t="n">
        <f aca="false">Budget!AC17</f>
        <v>0.0306094651646594</v>
      </c>
      <c r="J17" s="107" t="str">
        <f aca="false">IF($A17&lt;1887,"n/a",IF(Paths!AC17=1,"War year",IF(I17&lt;=cap_def,"OK","Check")))</f>
        <v>n/a</v>
      </c>
      <c r="K17" s="66" t="n">
        <f aca="false">'Debt &amp; cash'!Y17/Economy!O17</f>
        <v>0</v>
      </c>
      <c r="L17" s="107" t="str">
        <f aca="false">IF('Debt &amp; cash'!Y17*issue_price&lt;=mkt_capacity*Economy!O17+foreign_capacity,"OK","Check")</f>
        <v>OK</v>
      </c>
      <c r="M17" s="107" t="str">
        <f aca="false">IF($A17&lt;1900,"n/a",IF('Gold &amp; money'!K17&gt;=0,"OK","Check"))</f>
        <v>n/a</v>
      </c>
      <c r="N17" s="108" t="n">
        <f aca="false">Japan!AA17</f>
        <v>0</v>
      </c>
      <c r="O17" s="107" t="str">
        <f aca="false">IF(N17&lt;=1,"OK","Check")</f>
        <v>OK</v>
      </c>
      <c r="P17" s="107" t="str">
        <f aca="false">IF($A17&lt;1922,"n/a",IF(AND(Navy!AE17&gt;=0.95,Navy!AE17&lt;=1.1),"OK","Check"))</f>
        <v>n/a</v>
      </c>
      <c r="Q17" s="107" t="str">
        <f aca="false">IF(Navy!Z17=0,"n/a",IF(Resources!K17&gt;=Navy!Z17,"OK","Check"))</f>
        <v>n/a</v>
      </c>
      <c r="R17" s="107" t="str">
        <f aca="false">IF(AND(gulf_on=1,$A17=gulf_year),IF(Gulf!AF17=1,"OK","Check"),"n/a")</f>
        <v>n/a</v>
      </c>
      <c r="S17" s="49" t="n">
        <f aca="false">COUNTIF(B17:R17,"Check")+COUNTIF(T17:AG17,"Check")+AH17+COUNTIF(AI17,"Check")+COUNTIF(AJ17:AK17,"Check")</f>
        <v>0</v>
      </c>
      <c r="T17" s="1" t="str">
        <f aca="false">IF(ABS(Japan!AM17)&lt;0.001,"OK","Check")</f>
        <v>OK</v>
      </c>
      <c r="U17" s="1" t="str">
        <f aca="false">"n/a"</f>
        <v>n/a</v>
      </c>
      <c r="V17" s="1" t="str">
        <f aca="false">"n/a"</f>
        <v>n/a</v>
      </c>
      <c r="W17" s="1" t="str">
        <f aca="false">"n/a"</f>
        <v>n/a</v>
      </c>
      <c r="X17" s="1" t="str">
        <f aca="false">"n/a"</f>
        <v>n/a</v>
      </c>
      <c r="Y17" s="1" t="str">
        <f aca="false">IF(Abroad!T17&gt;=-0.001,"OK","Check")</f>
        <v>OK</v>
      </c>
      <c r="Z17" s="1" t="str">
        <f aca="false">"n/a"</f>
        <v>n/a</v>
      </c>
      <c r="AA17" s="1" t="str">
        <f aca="false">IF(ABS('Sources &amp; uses'!P51)&lt;0.001,"OK","Check")</f>
        <v>OK</v>
      </c>
      <c r="AB17" s="1" t="str">
        <f aca="false">IF(AND(ABS('War credit'!F17)&lt;0.001,ABS('War credit'!K17)&lt;0.001),"OK","Check")</f>
        <v>OK</v>
      </c>
      <c r="AC17" s="1" t="str">
        <f aca="false">"OK"</f>
        <v>OK</v>
      </c>
      <c r="AD17" s="1" t="str">
        <f aca="false">IF('Sources &amp; uses'!M146&lt;0.001,"OK","Check")</f>
        <v>OK</v>
      </c>
      <c r="AE17" s="1" t="str">
        <f aca="false">IF('War credit'!E17=0,"OK",IF(ISNUMBER('War credit'!AC17),IF('War credit'!AC17&lt;0.001,"OK","Check"),"Unverified"))</f>
        <v>OK</v>
      </c>
      <c r="AF17" s="1" t="str">
        <f aca="false">"OK"</f>
        <v>OK</v>
      </c>
      <c r="AG17" s="1" t="str">
        <f aca="false">IF('Capital accounts'!L17&gt;0.001,"Check","OK")</f>
        <v>OK</v>
      </c>
      <c r="AH17" s="1" t="n">
        <f aca="false">COUNTIF(AA17:AG17,"Unverified")</f>
        <v>0</v>
      </c>
      <c r="AI17" s="1" t="str">
        <f aca="false">IF(OR($A17&lt;1918,$A17&gt;1932),"n/a",INDEX(Siberia!$H$38:$H$52,MATCH($A17,Siberia!$A$38:$A$52,0)))</f>
        <v>n/a</v>
      </c>
      <c r="AJ17" s="1" t="str">
        <f aca="false">IF($A17&lt;&gt;1895,"n/a",IF(AND(MATCH(MIN(People!$Y$16:$Y$92),People!$Y$16:$Y$92,0)+1855&gt;=1893,MATCH(MIN(People!$Y$16:$Y$92),People!$Y$16:$Y$92,0)+1855&lt;=1897),"OK","Check"))</f>
        <v>n/a</v>
      </c>
      <c r="AK17" s="1" t="str">
        <f aca="false">IF($A17&lt;&gt;1861,"n/a",IF(ABS(People!B17/dem01_target-1)&lt;=0.1,"OK","Check"))</f>
        <v>n/a</v>
      </c>
    </row>
    <row r="18" customFormat="false" ht="14.25" hidden="false" customHeight="true" outlineLevel="0" collapsed="false">
      <c r="A18" s="61" t="n">
        <v>1858</v>
      </c>
      <c r="B18" s="107" t="str">
        <f aca="false">IF(ABS(People!L18-(People!B18+People!C18+People!D18+People!K18))&lt;1,"OK","Check")</f>
        <v>OK</v>
      </c>
      <c r="C18" s="107" t="str">
        <f aca="false">IF(ABS('Debt &amp; cash'!M18-'Debt &amp; cash'!E18)&lt;0.001,"OK","Check")</f>
        <v>OK</v>
      </c>
      <c r="D18" s="107" t="str">
        <f aca="false">IF('Debt &amp; cash'!S18&gt;=-0.001,"OK","Check")</f>
        <v>OK</v>
      </c>
      <c r="E18" s="108" t="n">
        <f aca="false">'Debt &amp; cash'!V18</f>
        <v>0.0139958459484856</v>
      </c>
      <c r="F18" s="107" t="str">
        <f aca="false">IF($A18&lt;1887,"n/a",IF(E18&lt;=cap_debt,"OK","Check"))</f>
        <v>n/a</v>
      </c>
      <c r="G18" s="108" t="n">
        <f aca="false">'Debt &amp; cash'!W18</f>
        <v>0.0130246532032193</v>
      </c>
      <c r="H18" s="107" t="str">
        <f aca="false">IF($A18&lt;1887,"n/a",IF(G18&lt;=cap_int,"OK","Check"))</f>
        <v>n/a</v>
      </c>
      <c r="I18" s="108" t="n">
        <f aca="false">Budget!AC18</f>
        <v>0.0324130249540627</v>
      </c>
      <c r="J18" s="107" t="str">
        <f aca="false">IF($A18&lt;1887,"n/a",IF(Paths!AC18=1,"War year",IF(I18&lt;=cap_def,"OK","Check")))</f>
        <v>n/a</v>
      </c>
      <c r="K18" s="66" t="n">
        <f aca="false">'Debt &amp; cash'!Y18/Economy!O18</f>
        <v>0</v>
      </c>
      <c r="L18" s="107" t="str">
        <f aca="false">IF('Debt &amp; cash'!Y18*issue_price&lt;=mkt_capacity*Economy!O18+foreign_capacity,"OK","Check")</f>
        <v>OK</v>
      </c>
      <c r="M18" s="107" t="str">
        <f aca="false">IF($A18&lt;1900,"n/a",IF('Gold &amp; money'!K18&gt;=0,"OK","Check"))</f>
        <v>n/a</v>
      </c>
      <c r="N18" s="108" t="n">
        <f aca="false">Japan!AA18</f>
        <v>0</v>
      </c>
      <c r="O18" s="107" t="str">
        <f aca="false">IF(N18&lt;=1,"OK","Check")</f>
        <v>OK</v>
      </c>
      <c r="P18" s="107" t="str">
        <f aca="false">IF($A18&lt;1922,"n/a",IF(AND(Navy!AE18&gt;=0.95,Navy!AE18&lt;=1.1),"OK","Check"))</f>
        <v>n/a</v>
      </c>
      <c r="Q18" s="107" t="str">
        <f aca="false">IF(Navy!Z18=0,"n/a",IF(Resources!K18&gt;=Navy!Z18,"OK","Check"))</f>
        <v>n/a</v>
      </c>
      <c r="R18" s="107" t="str">
        <f aca="false">IF(AND(gulf_on=1,$A18=gulf_year),IF(Gulf!AF18=1,"OK","Check"),"n/a")</f>
        <v>n/a</v>
      </c>
      <c r="S18" s="49" t="n">
        <f aca="false">COUNTIF(B18:R18,"Check")+COUNTIF(T18:AG18,"Check")+AH18+COUNTIF(AI18,"Check")+COUNTIF(AJ18:AK18,"Check")</f>
        <v>0</v>
      </c>
      <c r="T18" s="1" t="str">
        <f aca="false">IF(ABS(Japan!AM18)&lt;0.001,"OK","Check")</f>
        <v>OK</v>
      </c>
      <c r="U18" s="1" t="str">
        <f aca="false">"n/a"</f>
        <v>n/a</v>
      </c>
      <c r="V18" s="1" t="str">
        <f aca="false">"n/a"</f>
        <v>n/a</v>
      </c>
      <c r="W18" s="1" t="str">
        <f aca="false">"n/a"</f>
        <v>n/a</v>
      </c>
      <c r="X18" s="1" t="str">
        <f aca="false">"n/a"</f>
        <v>n/a</v>
      </c>
      <c r="Y18" s="1" t="str">
        <f aca="false">IF(Abroad!T18&gt;=-0.001,"OK","Check")</f>
        <v>OK</v>
      </c>
      <c r="Z18" s="1" t="str">
        <f aca="false">"n/a"</f>
        <v>n/a</v>
      </c>
      <c r="AA18" s="1" t="str">
        <f aca="false">IF(ABS('Sources &amp; uses'!P52)&lt;0.001,"OK","Check")</f>
        <v>OK</v>
      </c>
      <c r="AB18" s="1" t="str">
        <f aca="false">IF(AND(ABS('War credit'!F18)&lt;0.001,ABS('War credit'!K18)&lt;0.001),"OK","Check")</f>
        <v>OK</v>
      </c>
      <c r="AC18" s="1" t="str">
        <f aca="false">"OK"</f>
        <v>OK</v>
      </c>
      <c r="AD18" s="1" t="str">
        <f aca="false">IF('Sources &amp; uses'!M147&lt;0.001,"OK","Check")</f>
        <v>OK</v>
      </c>
      <c r="AE18" s="1" t="str">
        <f aca="false">IF('War credit'!E18=0,"OK",IF(ISNUMBER('War credit'!AC18),IF('War credit'!AC18&lt;0.001,"OK","Check"),"Unverified"))</f>
        <v>OK</v>
      </c>
      <c r="AF18" s="1" t="str">
        <f aca="false">"OK"</f>
        <v>OK</v>
      </c>
      <c r="AG18" s="1" t="str">
        <f aca="false">IF('Capital accounts'!L18&gt;0.001,"Check","OK")</f>
        <v>OK</v>
      </c>
      <c r="AH18" s="1" t="n">
        <f aca="false">COUNTIF(AA18:AG18,"Unverified")</f>
        <v>0</v>
      </c>
      <c r="AI18" s="1" t="str">
        <f aca="false">IF(OR($A18&lt;1918,$A18&gt;1932),"n/a",INDEX(Siberia!$H$38:$H$52,MATCH($A18,Siberia!$A$38:$A$52,0)))</f>
        <v>n/a</v>
      </c>
      <c r="AJ18" s="1" t="str">
        <f aca="false">IF($A18&lt;&gt;1895,"n/a",IF(AND(MATCH(MIN(People!$Y$16:$Y$92),People!$Y$16:$Y$92,0)+1855&gt;=1893,MATCH(MIN(People!$Y$16:$Y$92),People!$Y$16:$Y$92,0)+1855&lt;=1897),"OK","Check"))</f>
        <v>n/a</v>
      </c>
      <c r="AK18" s="1" t="str">
        <f aca="false">IF($A18&lt;&gt;1861,"n/a",IF(ABS(People!B18/dem01_target-1)&lt;=0.1,"OK","Check"))</f>
        <v>n/a</v>
      </c>
    </row>
    <row r="19" customFormat="false" ht="14.25" hidden="false" customHeight="true" outlineLevel="0" collapsed="false">
      <c r="A19" s="61" t="n">
        <v>1859</v>
      </c>
      <c r="B19" s="107" t="str">
        <f aca="false">IF(ABS(People!L19-(People!B19+People!C19+People!D19+People!K19))&lt;1,"OK","Check")</f>
        <v>OK</v>
      </c>
      <c r="C19" s="107" t="str">
        <f aca="false">IF(ABS('Debt &amp; cash'!M19-'Debt &amp; cash'!E19)&lt;0.001,"OK","Check")</f>
        <v>OK</v>
      </c>
      <c r="D19" s="107" t="str">
        <f aca="false">IF('Debt &amp; cash'!S19&gt;=-0.001,"OK","Check")</f>
        <v>OK</v>
      </c>
      <c r="E19" s="108" t="n">
        <f aca="false">'Debt &amp; cash'!V19</f>
        <v>0.00591445585849836</v>
      </c>
      <c r="F19" s="107" t="str">
        <f aca="false">IF($A19&lt;1887,"n/a",IF(E19&lt;=cap_debt,"OK","Check"))</f>
        <v>n/a</v>
      </c>
      <c r="G19" s="108" t="n">
        <f aca="false">'Debt &amp; cash'!W19</f>
        <v>0.00775059747446914</v>
      </c>
      <c r="H19" s="107" t="str">
        <f aca="false">IF($A19&lt;1887,"n/a",IF(G19&lt;=cap_int,"OK","Check"))</f>
        <v>n/a</v>
      </c>
      <c r="I19" s="108" t="n">
        <f aca="false">Budget!AC19</f>
        <v>0.0344489557044008</v>
      </c>
      <c r="J19" s="107" t="str">
        <f aca="false">IF($A19&lt;1887,"n/a",IF(Paths!AC19=1,"War year",IF(I19&lt;=cap_def,"OK","Check")))</f>
        <v>n/a</v>
      </c>
      <c r="K19" s="66" t="n">
        <f aca="false">'Debt &amp; cash'!Y19/Economy!O19</f>
        <v>0</v>
      </c>
      <c r="L19" s="107" t="str">
        <f aca="false">IF('Debt &amp; cash'!Y19*issue_price&lt;=mkt_capacity*Economy!O19+foreign_capacity,"OK","Check")</f>
        <v>OK</v>
      </c>
      <c r="M19" s="107" t="str">
        <f aca="false">IF($A19&lt;1900,"n/a",IF('Gold &amp; money'!K19&gt;=0,"OK","Check"))</f>
        <v>n/a</v>
      </c>
      <c r="N19" s="108" t="n">
        <f aca="false">Japan!AA19</f>
        <v>0</v>
      </c>
      <c r="O19" s="107" t="str">
        <f aca="false">IF(N19&lt;=1,"OK","Check")</f>
        <v>OK</v>
      </c>
      <c r="P19" s="107" t="str">
        <f aca="false">IF($A19&lt;1922,"n/a",IF(AND(Navy!AE19&gt;=0.95,Navy!AE19&lt;=1.1),"OK","Check"))</f>
        <v>n/a</v>
      </c>
      <c r="Q19" s="107" t="str">
        <f aca="false">IF(Navy!Z19=0,"n/a",IF(Resources!K19&gt;=Navy!Z19,"OK","Check"))</f>
        <v>n/a</v>
      </c>
      <c r="R19" s="107" t="str">
        <f aca="false">IF(AND(gulf_on=1,$A19=gulf_year),IF(Gulf!AF19=1,"OK","Check"),"n/a")</f>
        <v>n/a</v>
      </c>
      <c r="S19" s="49" t="n">
        <f aca="false">COUNTIF(B19:R19,"Check")+COUNTIF(T19:AG19,"Check")+AH19+COUNTIF(AI19,"Check")+COUNTIF(AJ19:AK19,"Check")</f>
        <v>0</v>
      </c>
      <c r="T19" s="1" t="str">
        <f aca="false">IF(ABS(Japan!AM19)&lt;0.001,"OK","Check")</f>
        <v>OK</v>
      </c>
      <c r="U19" s="1" t="str">
        <f aca="false">"n/a"</f>
        <v>n/a</v>
      </c>
      <c r="V19" s="1" t="str">
        <f aca="false">"n/a"</f>
        <v>n/a</v>
      </c>
      <c r="W19" s="1" t="str">
        <f aca="false">"n/a"</f>
        <v>n/a</v>
      </c>
      <c r="X19" s="1" t="str">
        <f aca="false">"n/a"</f>
        <v>n/a</v>
      </c>
      <c r="Y19" s="1" t="str">
        <f aca="false">IF(Abroad!T19&gt;=-0.001,"OK","Check")</f>
        <v>OK</v>
      </c>
      <c r="Z19" s="1" t="str">
        <f aca="false">"n/a"</f>
        <v>n/a</v>
      </c>
      <c r="AA19" s="1" t="str">
        <f aca="false">IF(ABS('Sources &amp; uses'!P53)&lt;0.001,"OK","Check")</f>
        <v>OK</v>
      </c>
      <c r="AB19" s="1" t="str">
        <f aca="false">IF(AND(ABS('War credit'!F19)&lt;0.001,ABS('War credit'!K19)&lt;0.001),"OK","Check")</f>
        <v>OK</v>
      </c>
      <c r="AC19" s="1" t="str">
        <f aca="false">"OK"</f>
        <v>OK</v>
      </c>
      <c r="AD19" s="1" t="str">
        <f aca="false">IF('Sources &amp; uses'!M148&lt;0.001,"OK","Check")</f>
        <v>OK</v>
      </c>
      <c r="AE19" s="1" t="str">
        <f aca="false">IF('War credit'!E19=0,"OK",IF(ISNUMBER('War credit'!AC19),IF('War credit'!AC19&lt;0.001,"OK","Check"),"Unverified"))</f>
        <v>OK</v>
      </c>
      <c r="AF19" s="1" t="str">
        <f aca="false">"OK"</f>
        <v>OK</v>
      </c>
      <c r="AG19" s="1" t="str">
        <f aca="false">IF('Capital accounts'!L19&gt;0.001,"Check","OK")</f>
        <v>OK</v>
      </c>
      <c r="AH19" s="1" t="n">
        <f aca="false">COUNTIF(AA19:AG19,"Unverified")</f>
        <v>0</v>
      </c>
      <c r="AI19" s="1" t="str">
        <f aca="false">IF(OR($A19&lt;1918,$A19&gt;1932),"n/a",INDEX(Siberia!$H$38:$H$52,MATCH($A19,Siberia!$A$38:$A$52,0)))</f>
        <v>n/a</v>
      </c>
      <c r="AJ19" s="1" t="str">
        <f aca="false">IF($A19&lt;&gt;1895,"n/a",IF(AND(MATCH(MIN(People!$Y$16:$Y$92),People!$Y$16:$Y$92,0)+1855&gt;=1893,MATCH(MIN(People!$Y$16:$Y$92),People!$Y$16:$Y$92,0)+1855&lt;=1897),"OK","Check"))</f>
        <v>n/a</v>
      </c>
      <c r="AK19" s="1" t="str">
        <f aca="false">IF($A19&lt;&gt;1861,"n/a",IF(ABS(People!B19/dem01_target-1)&lt;=0.1,"OK","Check"))</f>
        <v>n/a</v>
      </c>
    </row>
    <row r="20" customFormat="false" ht="14.25" hidden="false" customHeight="true" outlineLevel="0" collapsed="false">
      <c r="A20" s="61" t="n">
        <v>1860</v>
      </c>
      <c r="B20" s="107" t="str">
        <f aca="false">IF(ABS(People!L20-(People!B20+People!C20+People!D20+People!K20))&lt;1,"OK","Check")</f>
        <v>OK</v>
      </c>
      <c r="C20" s="107" t="str">
        <f aca="false">IF(ABS('Debt &amp; cash'!M20-'Debt &amp; cash'!E20)&lt;0.001,"OK","Check")</f>
        <v>OK</v>
      </c>
      <c r="D20" s="107" t="str">
        <f aca="false">IF('Debt &amp; cash'!S20&gt;=-0.001,"OK","Check")</f>
        <v>OK</v>
      </c>
      <c r="E20" s="108" t="n">
        <f aca="false">'Debt &amp; cash'!V20</f>
        <v>0.00488595539476134</v>
      </c>
      <c r="F20" s="107" t="str">
        <f aca="false">IF($A20&lt;1887,"n/a",IF(E20&lt;=cap_debt,"OK","Check"))</f>
        <v>n/a</v>
      </c>
      <c r="G20" s="108" t="n">
        <f aca="false">'Debt &amp; cash'!W20</f>
        <v>0.00335281156250843</v>
      </c>
      <c r="H20" s="107" t="str">
        <f aca="false">IF($A20&lt;1887,"n/a",IF(G20&lt;=cap_int,"OK","Check"))</f>
        <v>n/a</v>
      </c>
      <c r="I20" s="108" t="n">
        <f aca="false">Budget!AC20</f>
        <v>0.0432658940531203</v>
      </c>
      <c r="J20" s="107" t="str">
        <f aca="false">IF($A20&lt;1887,"n/a",IF(Paths!AC20=1,"War year",IF(I20&lt;=cap_def,"OK","Check")))</f>
        <v>n/a</v>
      </c>
      <c r="K20" s="66" t="n">
        <f aca="false">'Debt &amp; cash'!Y20/Economy!O20</f>
        <v>0</v>
      </c>
      <c r="L20" s="107" t="str">
        <f aca="false">IF('Debt &amp; cash'!Y20*issue_price&lt;=mkt_capacity*Economy!O20+foreign_capacity,"OK","Check")</f>
        <v>OK</v>
      </c>
      <c r="M20" s="107" t="str">
        <f aca="false">IF($A20&lt;1900,"n/a",IF('Gold &amp; money'!K20&gt;=0,"OK","Check"))</f>
        <v>n/a</v>
      </c>
      <c r="N20" s="108" t="n">
        <f aca="false">Japan!AA20</f>
        <v>0</v>
      </c>
      <c r="O20" s="107" t="str">
        <f aca="false">IF(N20&lt;=1,"OK","Check")</f>
        <v>OK</v>
      </c>
      <c r="P20" s="107" t="str">
        <f aca="false">IF($A20&lt;1922,"n/a",IF(AND(Navy!AE20&gt;=0.95,Navy!AE20&lt;=1.1),"OK","Check"))</f>
        <v>n/a</v>
      </c>
      <c r="Q20" s="107" t="str">
        <f aca="false">IF(Navy!Z20=0,"n/a",IF(Resources!K20&gt;=Navy!Z20,"OK","Check"))</f>
        <v>n/a</v>
      </c>
      <c r="R20" s="107" t="str">
        <f aca="false">IF(AND(gulf_on=1,$A20=gulf_year),IF(Gulf!AF20=1,"OK","Check"),"n/a")</f>
        <v>n/a</v>
      </c>
      <c r="S20" s="49" t="n">
        <f aca="false">COUNTIF(B20:R20,"Check")+COUNTIF(T20:AG20,"Check")+AH20+COUNTIF(AI20,"Check")+COUNTIF(AJ20:AK20,"Check")</f>
        <v>0</v>
      </c>
      <c r="T20" s="1" t="str">
        <f aca="false">IF(ABS(Japan!AM20)&lt;0.001,"OK","Check")</f>
        <v>OK</v>
      </c>
      <c r="U20" s="1" t="str">
        <f aca="false">"n/a"</f>
        <v>n/a</v>
      </c>
      <c r="V20" s="1" t="str">
        <f aca="false">"n/a"</f>
        <v>n/a</v>
      </c>
      <c r="W20" s="1" t="str">
        <f aca="false">"n/a"</f>
        <v>n/a</v>
      </c>
      <c r="X20" s="1" t="str">
        <f aca="false">"n/a"</f>
        <v>n/a</v>
      </c>
      <c r="Y20" s="1" t="str">
        <f aca="false">IF(Abroad!T20&gt;=-0.001,"OK","Check")</f>
        <v>OK</v>
      </c>
      <c r="Z20" s="1" t="str">
        <f aca="false">"n/a"</f>
        <v>n/a</v>
      </c>
      <c r="AA20" s="1" t="str">
        <f aca="false">IF(ABS('Sources &amp; uses'!P54)&lt;0.001,"OK","Check")</f>
        <v>OK</v>
      </c>
      <c r="AB20" s="1" t="str">
        <f aca="false">IF(AND(ABS('War credit'!F20)&lt;0.001,ABS('War credit'!K20)&lt;0.001),"OK","Check")</f>
        <v>OK</v>
      </c>
      <c r="AC20" s="1" t="str">
        <f aca="false">"OK"</f>
        <v>OK</v>
      </c>
      <c r="AD20" s="1" t="str">
        <f aca="false">IF('Sources &amp; uses'!M149&lt;0.001,"OK","Check")</f>
        <v>OK</v>
      </c>
      <c r="AE20" s="1" t="str">
        <f aca="false">IF('War credit'!E20=0,"OK",IF(ISNUMBER('War credit'!AC20),IF('War credit'!AC20&lt;0.001,"OK","Check"),"Unverified"))</f>
        <v>OK</v>
      </c>
      <c r="AF20" s="1" t="str">
        <f aca="false">"OK"</f>
        <v>OK</v>
      </c>
      <c r="AG20" s="1" t="str">
        <f aca="false">IF('Capital accounts'!L20&gt;0.001,"Check","OK")</f>
        <v>OK</v>
      </c>
      <c r="AH20" s="1" t="n">
        <f aca="false">COUNTIF(AA20:AG20,"Unverified")</f>
        <v>0</v>
      </c>
      <c r="AI20" s="1" t="str">
        <f aca="false">IF(OR($A20&lt;1918,$A20&gt;1932),"n/a",INDEX(Siberia!$H$38:$H$52,MATCH($A20,Siberia!$A$38:$A$52,0)))</f>
        <v>n/a</v>
      </c>
      <c r="AJ20" s="1" t="str">
        <f aca="false">IF($A20&lt;&gt;1895,"n/a",IF(AND(MATCH(MIN(People!$Y$16:$Y$92),People!$Y$16:$Y$92,0)+1855&gt;=1893,MATCH(MIN(People!$Y$16:$Y$92),People!$Y$16:$Y$92,0)+1855&lt;=1897),"OK","Check"))</f>
        <v>n/a</v>
      </c>
      <c r="AK20" s="1" t="str">
        <f aca="false">IF($A20&lt;&gt;1861,"n/a",IF(ABS(People!B20/dem01_target-1)&lt;=0.1,"OK","Check"))</f>
        <v>n/a</v>
      </c>
    </row>
    <row r="21" customFormat="false" ht="14.25" hidden="false" customHeight="true" outlineLevel="0" collapsed="false">
      <c r="A21" s="64" t="n">
        <v>1861</v>
      </c>
      <c r="B21" s="107" t="str">
        <f aca="false">IF(ABS(People!L21-(People!B21+People!C21+People!D21+People!K21))&lt;1,"OK","Check")</f>
        <v>OK</v>
      </c>
      <c r="C21" s="107" t="str">
        <f aca="false">IF(ABS('Debt &amp; cash'!M21-'Debt &amp; cash'!E21)&lt;0.001,"OK","Check")</f>
        <v>OK</v>
      </c>
      <c r="D21" s="107" t="str">
        <f aca="false">IF('Debt &amp; cash'!S21&gt;=-0.001,"OK","Check")</f>
        <v>OK</v>
      </c>
      <c r="E21" s="108" t="n">
        <f aca="false">'Debt &amp; cash'!V21</f>
        <v>0.00452945164451517</v>
      </c>
      <c r="F21" s="107" t="str">
        <f aca="false">IF($A21&lt;1887,"n/a",IF(E21&lt;=cap_debt,"OK","Check"))</f>
        <v>n/a</v>
      </c>
      <c r="G21" s="108" t="n">
        <f aca="false">'Debt &amp; cash'!W21</f>
        <v>0.00227029120205521</v>
      </c>
      <c r="H21" s="107" t="str">
        <f aca="false">IF($A21&lt;1887,"n/a",IF(G21&lt;=cap_int,"OK","Check"))</f>
        <v>n/a</v>
      </c>
      <c r="I21" s="108" t="n">
        <f aca="false">Budget!AC21</f>
        <v>0.0711196902443673</v>
      </c>
      <c r="J21" s="107" t="str">
        <f aca="false">IF($A21&lt;1887,"n/a",IF(Paths!AC21=1,"War year",IF(I21&lt;=cap_def,"OK","Check")))</f>
        <v>n/a</v>
      </c>
      <c r="K21" s="66" t="n">
        <f aca="false">'Debt &amp; cash'!Y21/Economy!O21</f>
        <v>0</v>
      </c>
      <c r="L21" s="107" t="str">
        <f aca="false">IF('Debt &amp; cash'!Y21*issue_price&lt;=mkt_capacity*Economy!O21+foreign_capacity,"OK","Check")</f>
        <v>OK</v>
      </c>
      <c r="M21" s="107" t="str">
        <f aca="false">IF($A21&lt;1900,"n/a",IF('Gold &amp; money'!K21&gt;=0,"OK","Check"))</f>
        <v>n/a</v>
      </c>
      <c r="N21" s="108" t="n">
        <f aca="false">Japan!AA21</f>
        <v>0</v>
      </c>
      <c r="O21" s="107" t="str">
        <f aca="false">IF(N21&lt;=1,"OK","Check")</f>
        <v>OK</v>
      </c>
      <c r="P21" s="107" t="str">
        <f aca="false">IF($A21&lt;1922,"n/a",IF(AND(Navy!AE21&gt;=0.95,Navy!AE21&lt;=1.1),"OK","Check"))</f>
        <v>n/a</v>
      </c>
      <c r="Q21" s="107" t="str">
        <f aca="false">IF(Navy!Z21=0,"n/a",IF(Resources!K21&gt;=Navy!Z21,"OK","Check"))</f>
        <v>n/a</v>
      </c>
      <c r="R21" s="107" t="str">
        <f aca="false">IF(AND(gulf_on=1,$A21=gulf_year),IF(Gulf!AF21=1,"OK","Check"),"n/a")</f>
        <v>n/a</v>
      </c>
      <c r="S21" s="49" t="n">
        <f aca="false">COUNTIF(B21:R21,"Check")+COUNTIF(T21:AG21,"Check")+AH21+COUNTIF(AI21,"Check")+COUNTIF(AJ21:AK21,"Check")</f>
        <v>0</v>
      </c>
      <c r="T21" s="1" t="str">
        <f aca="false">IF(ABS(Japan!AM21)&lt;0.001,"OK","Check")</f>
        <v>OK</v>
      </c>
      <c r="U21" s="1" t="str">
        <f aca="false">"n/a"</f>
        <v>n/a</v>
      </c>
      <c r="V21" s="1" t="str">
        <f aca="false">"n/a"</f>
        <v>n/a</v>
      </c>
      <c r="W21" s="1" t="str">
        <f aca="false">"n/a"</f>
        <v>n/a</v>
      </c>
      <c r="X21" s="1" t="str">
        <f aca="false">"n/a"</f>
        <v>n/a</v>
      </c>
      <c r="Y21" s="1" t="str">
        <f aca="false">IF(Abroad!T21&gt;=-0.001,"OK","Check")</f>
        <v>OK</v>
      </c>
      <c r="Z21" s="1" t="str">
        <f aca="false">"n/a"</f>
        <v>n/a</v>
      </c>
      <c r="AA21" s="1" t="str">
        <f aca="false">IF(ABS('Sources &amp; uses'!P55)&lt;0.001,"OK","Check")</f>
        <v>OK</v>
      </c>
      <c r="AB21" s="1" t="str">
        <f aca="false">IF(AND(ABS('War credit'!F21)&lt;0.001,ABS('War credit'!K21)&lt;0.001),"OK","Check")</f>
        <v>OK</v>
      </c>
      <c r="AC21" s="1" t="str">
        <f aca="false">"OK"</f>
        <v>OK</v>
      </c>
      <c r="AD21" s="1" t="str">
        <f aca="false">IF('Sources &amp; uses'!M150&lt;0.001,"OK","Check")</f>
        <v>OK</v>
      </c>
      <c r="AE21" s="1" t="str">
        <f aca="false">IF('War credit'!E21=0,"OK",IF(ISNUMBER('War credit'!AC21),IF('War credit'!AC21&lt;0.001,"OK","Check"),"Unverified"))</f>
        <v>OK</v>
      </c>
      <c r="AF21" s="1" t="str">
        <f aca="false">"OK"</f>
        <v>OK</v>
      </c>
      <c r="AG21" s="1" t="str">
        <f aca="false">IF('Capital accounts'!L21&gt;0.001,"Check","OK")</f>
        <v>OK</v>
      </c>
      <c r="AH21" s="1" t="n">
        <f aca="false">COUNTIF(AA21:AG21,"Unverified")</f>
        <v>0</v>
      </c>
      <c r="AI21" s="1" t="str">
        <f aca="false">IF(OR($A21&lt;1918,$A21&gt;1932),"n/a",INDEX(Siberia!$H$38:$H$52,MATCH($A21,Siberia!$A$38:$A$52,0)))</f>
        <v>n/a</v>
      </c>
      <c r="AJ21" s="1" t="str">
        <f aca="false">IF($A21&lt;&gt;1895,"n/a",IF(AND(MATCH(MIN(People!$Y$16:$Y$92),People!$Y$16:$Y$92,0)+1855&gt;=1893,MATCH(MIN(People!$Y$16:$Y$92),People!$Y$16:$Y$92,0)+1855&lt;=1897),"OK","Check"))</f>
        <v>n/a</v>
      </c>
      <c r="AK21" s="1" t="str">
        <f aca="false">IF($A21&lt;&gt;1861,"n/a",IF(ABS(People!B21/dem01_target-1)&lt;=0.1,"OK","Check"))</f>
        <v>OK</v>
      </c>
    </row>
    <row r="22" customFormat="false" ht="14.25" hidden="false" customHeight="true" outlineLevel="0" collapsed="false">
      <c r="A22" s="64" t="n">
        <v>1862</v>
      </c>
      <c r="B22" s="107" t="str">
        <f aca="false">IF(ABS(People!L22-(People!B22+People!C22+People!D22+People!K22))&lt;1,"OK","Check")</f>
        <v>OK</v>
      </c>
      <c r="C22" s="107" t="str">
        <f aca="false">IF(ABS('Debt &amp; cash'!M22-'Debt &amp; cash'!E22)&lt;0.001,"OK","Check")</f>
        <v>OK</v>
      </c>
      <c r="D22" s="107" t="str">
        <f aca="false">IF('Debt &amp; cash'!S22&gt;=-0.001,"OK","Check")</f>
        <v>OK</v>
      </c>
      <c r="E22" s="108" t="n">
        <f aca="false">'Debt &amp; cash'!V22</f>
        <v>0.0202210488989968</v>
      </c>
      <c r="F22" s="107" t="str">
        <f aca="false">IF($A22&lt;1887,"n/a",IF(E22&lt;=cap_debt,"OK","Check"))</f>
        <v>n/a</v>
      </c>
      <c r="G22" s="108" t="n">
        <f aca="false">'Debt &amp; cash'!W22</f>
        <v>0.00199403508293372</v>
      </c>
      <c r="H22" s="107" t="str">
        <f aca="false">IF($A22&lt;1887,"n/a",IF(G22&lt;=cap_int,"OK","Check"))</f>
        <v>n/a</v>
      </c>
      <c r="I22" s="108" t="n">
        <f aca="false">Budget!AC22</f>
        <v>0.0948640112684711</v>
      </c>
      <c r="J22" s="107" t="str">
        <f aca="false">IF($A22&lt;1887,"n/a",IF(Paths!AC22=1,"War year",IF(I22&lt;=cap_def,"OK","Check")))</f>
        <v>n/a</v>
      </c>
      <c r="K22" s="66" t="n">
        <f aca="false">'Debt &amp; cash'!Y22/Economy!O22</f>
        <v>0.0162550623895455</v>
      </c>
      <c r="L22" s="107" t="str">
        <f aca="false">IF('Debt &amp; cash'!Y22*issue_price&lt;=mkt_capacity*Economy!O22+foreign_capacity,"OK","Check")</f>
        <v>OK</v>
      </c>
      <c r="M22" s="107" t="str">
        <f aca="false">IF($A22&lt;1900,"n/a",IF('Gold &amp; money'!K22&gt;=0,"OK","Check"))</f>
        <v>n/a</v>
      </c>
      <c r="N22" s="108" t="n">
        <f aca="false">Japan!AA22</f>
        <v>0</v>
      </c>
      <c r="O22" s="107" t="str">
        <f aca="false">IF(N22&lt;=1,"OK","Check")</f>
        <v>OK</v>
      </c>
      <c r="P22" s="107" t="str">
        <f aca="false">IF($A22&lt;1922,"n/a",IF(AND(Navy!AE22&gt;=0.95,Navy!AE22&lt;=1.1),"OK","Check"))</f>
        <v>n/a</v>
      </c>
      <c r="Q22" s="107" t="str">
        <f aca="false">IF(Navy!Z22=0,"n/a",IF(Resources!K22&gt;=Navy!Z22,"OK","Check"))</f>
        <v>n/a</v>
      </c>
      <c r="R22" s="107" t="str">
        <f aca="false">IF(AND(gulf_on=1,$A22=gulf_year),IF(Gulf!AF22=1,"OK","Check"),"n/a")</f>
        <v>n/a</v>
      </c>
      <c r="S22" s="49" t="n">
        <f aca="false">COUNTIF(B22:R22,"Check")+COUNTIF(T22:AG22,"Check")+AH22+COUNTIF(AI22,"Check")+COUNTIF(AJ22:AK22,"Check")</f>
        <v>0</v>
      </c>
      <c r="T22" s="1" t="str">
        <f aca="false">IF(ABS(Japan!AM22)&lt;0.001,"OK","Check")</f>
        <v>OK</v>
      </c>
      <c r="U22" s="1" t="str">
        <f aca="false">"n/a"</f>
        <v>n/a</v>
      </c>
      <c r="V22" s="1" t="str">
        <f aca="false">"n/a"</f>
        <v>n/a</v>
      </c>
      <c r="W22" s="1" t="str">
        <f aca="false">"n/a"</f>
        <v>n/a</v>
      </c>
      <c r="X22" s="1" t="str">
        <f aca="false">"n/a"</f>
        <v>n/a</v>
      </c>
      <c r="Y22" s="1" t="str">
        <f aca="false">IF(Abroad!T22&gt;=-0.001,"OK","Check")</f>
        <v>OK</v>
      </c>
      <c r="Z22" s="1" t="str">
        <f aca="false">"n/a"</f>
        <v>n/a</v>
      </c>
      <c r="AA22" s="1" t="str">
        <f aca="false">IF(ABS('Sources &amp; uses'!P56)&lt;0.001,"OK","Check")</f>
        <v>OK</v>
      </c>
      <c r="AB22" s="1" t="str">
        <f aca="false">IF(AND(ABS('War credit'!F22)&lt;0.001,ABS('War credit'!K22)&lt;0.001),"OK","Check")</f>
        <v>OK</v>
      </c>
      <c r="AC22" s="1" t="str">
        <f aca="false">"OK"</f>
        <v>OK</v>
      </c>
      <c r="AD22" s="1" t="str">
        <f aca="false">IF('Sources &amp; uses'!M151&lt;0.001,"OK","Check")</f>
        <v>OK</v>
      </c>
      <c r="AE22" s="1" t="str">
        <f aca="false">IF('War credit'!E22=0,"OK",IF(ISNUMBER('War credit'!AC22),IF('War credit'!AC22&lt;0.001,"OK","Check"),"Unverified"))</f>
        <v>OK</v>
      </c>
      <c r="AF22" s="1" t="str">
        <f aca="false">"OK"</f>
        <v>OK</v>
      </c>
      <c r="AG22" s="1" t="str">
        <f aca="false">IF('Capital accounts'!L22&gt;0.001,"Check","OK")</f>
        <v>OK</v>
      </c>
      <c r="AH22" s="1" t="n">
        <f aca="false">COUNTIF(AA22:AG22,"Unverified")</f>
        <v>0</v>
      </c>
      <c r="AI22" s="1" t="str">
        <f aca="false">IF(OR($A22&lt;1918,$A22&gt;1932),"n/a",INDEX(Siberia!$H$38:$H$52,MATCH($A22,Siberia!$A$38:$A$52,0)))</f>
        <v>n/a</v>
      </c>
      <c r="AJ22" s="1" t="str">
        <f aca="false">IF($A22&lt;&gt;1895,"n/a",IF(AND(MATCH(MIN(People!$Y$16:$Y$92),People!$Y$16:$Y$92,0)+1855&gt;=1893,MATCH(MIN(People!$Y$16:$Y$92),People!$Y$16:$Y$92,0)+1855&lt;=1897),"OK","Check"))</f>
        <v>n/a</v>
      </c>
      <c r="AK22" s="1" t="str">
        <f aca="false">IF($A22&lt;&gt;1861,"n/a",IF(ABS(People!B22/dem01_target-1)&lt;=0.1,"OK","Check"))</f>
        <v>n/a</v>
      </c>
    </row>
    <row r="23" customFormat="false" ht="14.25" hidden="false" customHeight="true" outlineLevel="0" collapsed="false">
      <c r="A23" s="64" t="n">
        <v>1863</v>
      </c>
      <c r="B23" s="107" t="str">
        <f aca="false">IF(ABS(People!L23-(People!B23+People!C23+People!D23+People!K23))&lt;1,"OK","Check")</f>
        <v>OK</v>
      </c>
      <c r="C23" s="107" t="str">
        <f aca="false">IF(ABS('Debt &amp; cash'!M23-'Debt &amp; cash'!E23)&lt;0.001,"OK","Check")</f>
        <v>OK</v>
      </c>
      <c r="D23" s="107" t="str">
        <f aca="false">IF('Debt &amp; cash'!S23&gt;=-0.001,"OK","Check")</f>
        <v>OK</v>
      </c>
      <c r="E23" s="108" t="n">
        <f aca="false">'Debt &amp; cash'!V23</f>
        <v>0.0374185875422702</v>
      </c>
      <c r="F23" s="107" t="str">
        <f aca="false">IF($A23&lt;1887,"n/a",IF(E23&lt;=cap_debt,"OK","Check"))</f>
        <v>n/a</v>
      </c>
      <c r="G23" s="108" t="n">
        <f aca="false">'Debt &amp; cash'!W23</f>
        <v>0.00840928072650743</v>
      </c>
      <c r="H23" s="107" t="str">
        <f aca="false">IF($A23&lt;1887,"n/a",IF(G23&lt;=cap_int,"OK","Check"))</f>
        <v>n/a</v>
      </c>
      <c r="I23" s="108" t="n">
        <f aca="false">Budget!AC23</f>
        <v>0.0906335532850346</v>
      </c>
      <c r="J23" s="107" t="str">
        <f aca="false">IF($A23&lt;1887,"n/a",IF(Paths!AC23=1,"War year",IF(I23&lt;=cap_def,"OK","Check")))</f>
        <v>n/a</v>
      </c>
      <c r="K23" s="66" t="n">
        <f aca="false">'Debt &amp; cash'!Y23/Economy!O23</f>
        <v>0.0207917513277971</v>
      </c>
      <c r="L23" s="107" t="str">
        <f aca="false">IF('Debt &amp; cash'!Y23*issue_price&lt;=mkt_capacity*Economy!O23+foreign_capacity,"OK","Check")</f>
        <v>OK</v>
      </c>
      <c r="M23" s="107" t="str">
        <f aca="false">IF($A23&lt;1900,"n/a",IF('Gold &amp; money'!K23&gt;=0,"OK","Check"))</f>
        <v>n/a</v>
      </c>
      <c r="N23" s="108" t="n">
        <f aca="false">Japan!AA23</f>
        <v>0</v>
      </c>
      <c r="O23" s="107" t="str">
        <f aca="false">IF(N23&lt;=1,"OK","Check")</f>
        <v>OK</v>
      </c>
      <c r="P23" s="107" t="str">
        <f aca="false">IF($A23&lt;1922,"n/a",IF(AND(Navy!AE23&gt;=0.95,Navy!AE23&lt;=1.1),"OK","Check"))</f>
        <v>n/a</v>
      </c>
      <c r="Q23" s="107" t="str">
        <f aca="false">IF(Navy!Z23=0,"n/a",IF(Resources!K23&gt;=Navy!Z23,"OK","Check"))</f>
        <v>n/a</v>
      </c>
      <c r="R23" s="107" t="str">
        <f aca="false">IF(AND(gulf_on=1,$A23=gulf_year),IF(Gulf!AF23=1,"OK","Check"),"n/a")</f>
        <v>n/a</v>
      </c>
      <c r="S23" s="49" t="n">
        <f aca="false">COUNTIF(B23:R23,"Check")+COUNTIF(T23:AG23,"Check")+AH23+COUNTIF(AI23,"Check")+COUNTIF(AJ23:AK23,"Check")</f>
        <v>0</v>
      </c>
      <c r="T23" s="1" t="str">
        <f aca="false">IF(ABS(Japan!AM23)&lt;0.001,"OK","Check")</f>
        <v>OK</v>
      </c>
      <c r="U23" s="1" t="str">
        <f aca="false">"n/a"</f>
        <v>n/a</v>
      </c>
      <c r="V23" s="1" t="str">
        <f aca="false">"n/a"</f>
        <v>n/a</v>
      </c>
      <c r="W23" s="1" t="str">
        <f aca="false">"n/a"</f>
        <v>n/a</v>
      </c>
      <c r="X23" s="1" t="str">
        <f aca="false">"n/a"</f>
        <v>n/a</v>
      </c>
      <c r="Y23" s="1" t="str">
        <f aca="false">IF(Abroad!T23&gt;=-0.001,"OK","Check")</f>
        <v>OK</v>
      </c>
      <c r="Z23" s="1" t="str">
        <f aca="false">"n/a"</f>
        <v>n/a</v>
      </c>
      <c r="AA23" s="1" t="str">
        <f aca="false">IF(ABS('Sources &amp; uses'!P57)&lt;0.001,"OK","Check")</f>
        <v>OK</v>
      </c>
      <c r="AB23" s="1" t="str">
        <f aca="false">IF(AND(ABS('War credit'!F23)&lt;0.001,ABS('War credit'!K23)&lt;0.001),"OK","Check")</f>
        <v>OK</v>
      </c>
      <c r="AC23" s="1" t="str">
        <f aca="false">"OK"</f>
        <v>OK</v>
      </c>
      <c r="AD23" s="1" t="str">
        <f aca="false">IF('Sources &amp; uses'!M152&lt;0.001,"OK","Check")</f>
        <v>OK</v>
      </c>
      <c r="AE23" s="1" t="str">
        <f aca="false">IF('War credit'!E23=0,"OK",IF(ISNUMBER('War credit'!AC23),IF('War credit'!AC23&lt;0.001,"OK","Check"),"Unverified"))</f>
        <v>OK</v>
      </c>
      <c r="AF23" s="1" t="str">
        <f aca="false">"OK"</f>
        <v>OK</v>
      </c>
      <c r="AG23" s="1" t="str">
        <f aca="false">IF('Capital accounts'!L23&gt;0.001,"Check","OK")</f>
        <v>OK</v>
      </c>
      <c r="AH23" s="1" t="n">
        <f aca="false">COUNTIF(AA23:AG23,"Unverified")</f>
        <v>0</v>
      </c>
      <c r="AI23" s="1" t="str">
        <f aca="false">IF(OR($A23&lt;1918,$A23&gt;1932),"n/a",INDEX(Siberia!$H$38:$H$52,MATCH($A23,Siberia!$A$38:$A$52,0)))</f>
        <v>n/a</v>
      </c>
      <c r="AJ23" s="1" t="str">
        <f aca="false">IF($A23&lt;&gt;1895,"n/a",IF(AND(MATCH(MIN(People!$Y$16:$Y$92),People!$Y$16:$Y$92,0)+1855&gt;=1893,MATCH(MIN(People!$Y$16:$Y$92),People!$Y$16:$Y$92,0)+1855&lt;=1897),"OK","Check"))</f>
        <v>n/a</v>
      </c>
      <c r="AK23" s="1" t="str">
        <f aca="false">IF($A23&lt;&gt;1861,"n/a",IF(ABS(People!B23/dem01_target-1)&lt;=0.1,"OK","Check"))</f>
        <v>n/a</v>
      </c>
    </row>
    <row r="24" customFormat="false" ht="14.25" hidden="false" customHeight="true" outlineLevel="0" collapsed="false">
      <c r="A24" s="64" t="n">
        <v>1864</v>
      </c>
      <c r="B24" s="107" t="str">
        <f aca="false">IF(ABS(People!L24-(People!B24+People!C24+People!D24+People!K24))&lt;1,"OK","Check")</f>
        <v>OK</v>
      </c>
      <c r="C24" s="107" t="str">
        <f aca="false">IF(ABS('Debt &amp; cash'!M24-'Debt &amp; cash'!E24)&lt;0.001,"OK","Check")</f>
        <v>OK</v>
      </c>
      <c r="D24" s="107" t="str">
        <f aca="false">IF('Debt &amp; cash'!S24&gt;=-0.001,"OK","Check")</f>
        <v>OK</v>
      </c>
      <c r="E24" s="108" t="n">
        <f aca="false">'Debt &amp; cash'!V24</f>
        <v>0.0423354276509977</v>
      </c>
      <c r="F24" s="107" t="str">
        <f aca="false">IF($A24&lt;1887,"n/a",IF(E24&lt;=cap_debt,"OK","Check"))</f>
        <v>n/a</v>
      </c>
      <c r="G24" s="108" t="n">
        <f aca="false">'Debt &amp; cash'!W24</f>
        <v>0.0159796972828972</v>
      </c>
      <c r="H24" s="107" t="str">
        <f aca="false">IF($A24&lt;1887,"n/a",IF(G24&lt;=cap_int,"OK","Check"))</f>
        <v>n/a</v>
      </c>
      <c r="I24" s="108" t="n">
        <f aca="false">Budget!AC24</f>
        <v>0.0794935984567699</v>
      </c>
      <c r="J24" s="107" t="str">
        <f aca="false">IF($A24&lt;1887,"n/a",IF(Paths!AC24=1,"War year",IF(I24&lt;=cap_def,"OK","Check")))</f>
        <v>n/a</v>
      </c>
      <c r="K24" s="66" t="n">
        <f aca="false">'Debt &amp; cash'!Y24/Economy!O24</f>
        <v>0.0111019619068908</v>
      </c>
      <c r="L24" s="107" t="str">
        <f aca="false">IF('Debt &amp; cash'!Y24*issue_price&lt;=mkt_capacity*Economy!O24+foreign_capacity,"OK","Check")</f>
        <v>OK</v>
      </c>
      <c r="M24" s="107" t="str">
        <f aca="false">IF($A24&lt;1900,"n/a",IF('Gold &amp; money'!K24&gt;=0,"OK","Check"))</f>
        <v>n/a</v>
      </c>
      <c r="N24" s="108" t="n">
        <f aca="false">Japan!AA24</f>
        <v>0</v>
      </c>
      <c r="O24" s="107" t="str">
        <f aca="false">IF(N24&lt;=1,"OK","Check")</f>
        <v>OK</v>
      </c>
      <c r="P24" s="107" t="str">
        <f aca="false">IF($A24&lt;1922,"n/a",IF(AND(Navy!AE24&gt;=0.95,Navy!AE24&lt;=1.1),"OK","Check"))</f>
        <v>n/a</v>
      </c>
      <c r="Q24" s="107" t="str">
        <f aca="false">IF(Navy!Z24=0,"n/a",IF(Resources!K24&gt;=Navy!Z24,"OK","Check"))</f>
        <v>n/a</v>
      </c>
      <c r="R24" s="107" t="str">
        <f aca="false">IF(AND(gulf_on=1,$A24=gulf_year),IF(Gulf!AF24=1,"OK","Check"),"n/a")</f>
        <v>n/a</v>
      </c>
      <c r="S24" s="49" t="n">
        <f aca="false">COUNTIF(B24:R24,"Check")+COUNTIF(T24:AG24,"Check")+AH24+COUNTIF(AI24,"Check")+COUNTIF(AJ24:AK24,"Check")</f>
        <v>0</v>
      </c>
      <c r="T24" s="1" t="str">
        <f aca="false">IF(ABS(Japan!AM24)&lt;0.001,"OK","Check")</f>
        <v>OK</v>
      </c>
      <c r="U24" s="1" t="str">
        <f aca="false">"n/a"</f>
        <v>n/a</v>
      </c>
      <c r="V24" s="1" t="str">
        <f aca="false">"n/a"</f>
        <v>n/a</v>
      </c>
      <c r="W24" s="1" t="str">
        <f aca="false">"n/a"</f>
        <v>n/a</v>
      </c>
      <c r="X24" s="1" t="str">
        <f aca="false">"n/a"</f>
        <v>n/a</v>
      </c>
      <c r="Y24" s="1" t="str">
        <f aca="false">IF(Abroad!T24&gt;=-0.001,"OK","Check")</f>
        <v>OK</v>
      </c>
      <c r="Z24" s="1" t="str">
        <f aca="false">"n/a"</f>
        <v>n/a</v>
      </c>
      <c r="AA24" s="1" t="str">
        <f aca="false">IF(ABS('Sources &amp; uses'!P58)&lt;0.001,"OK","Check")</f>
        <v>OK</v>
      </c>
      <c r="AB24" s="1" t="str">
        <f aca="false">IF(AND(ABS('War credit'!F24)&lt;0.001,ABS('War credit'!K24)&lt;0.001),"OK","Check")</f>
        <v>OK</v>
      </c>
      <c r="AC24" s="1" t="str">
        <f aca="false">"OK"</f>
        <v>OK</v>
      </c>
      <c r="AD24" s="1" t="str">
        <f aca="false">IF('Sources &amp; uses'!M153&lt;0.001,"OK","Check")</f>
        <v>OK</v>
      </c>
      <c r="AE24" s="1" t="str">
        <f aca="false">IF('War credit'!E24=0,"OK",IF(ISNUMBER('War credit'!AC24),IF('War credit'!AC24&lt;0.001,"OK","Check"),"Unverified"))</f>
        <v>OK</v>
      </c>
      <c r="AF24" s="1" t="str">
        <f aca="false">"OK"</f>
        <v>OK</v>
      </c>
      <c r="AG24" s="1" t="str">
        <f aca="false">IF('Capital accounts'!L24&gt;0.001,"Check","OK")</f>
        <v>OK</v>
      </c>
      <c r="AH24" s="1" t="n">
        <f aca="false">COUNTIF(AA24:AG24,"Unverified")</f>
        <v>0</v>
      </c>
      <c r="AI24" s="1" t="str">
        <f aca="false">IF(OR($A24&lt;1918,$A24&gt;1932),"n/a",INDEX(Siberia!$H$38:$H$52,MATCH($A24,Siberia!$A$38:$A$52,0)))</f>
        <v>n/a</v>
      </c>
      <c r="AJ24" s="1" t="str">
        <f aca="false">IF($A24&lt;&gt;1895,"n/a",IF(AND(MATCH(MIN(People!$Y$16:$Y$92),People!$Y$16:$Y$92,0)+1855&gt;=1893,MATCH(MIN(People!$Y$16:$Y$92),People!$Y$16:$Y$92,0)+1855&lt;=1897),"OK","Check"))</f>
        <v>n/a</v>
      </c>
      <c r="AK24" s="1" t="str">
        <f aca="false">IF($A24&lt;&gt;1861,"n/a",IF(ABS(People!B24/dem01_target-1)&lt;=0.1,"OK","Check"))</f>
        <v>n/a</v>
      </c>
    </row>
    <row r="25" customFormat="false" ht="14.25" hidden="false" customHeight="true" outlineLevel="0" collapsed="false">
      <c r="A25" s="64" t="n">
        <v>1865</v>
      </c>
      <c r="B25" s="107" t="str">
        <f aca="false">IF(ABS(People!L25-(People!B25+People!C25+People!D25+People!K25))&lt;1,"OK","Check")</f>
        <v>OK</v>
      </c>
      <c r="C25" s="107" t="str">
        <f aca="false">IF(ABS('Debt &amp; cash'!M25-'Debt &amp; cash'!E25)&lt;0.001,"OK","Check")</f>
        <v>OK</v>
      </c>
      <c r="D25" s="107" t="str">
        <f aca="false">IF('Debt &amp; cash'!S25&gt;=-0.001,"OK","Check")</f>
        <v>OK</v>
      </c>
      <c r="E25" s="108" t="n">
        <f aca="false">'Debt &amp; cash'!V25</f>
        <v>0.0250179262717026</v>
      </c>
      <c r="F25" s="107" t="str">
        <f aca="false">IF($A25&lt;1887,"n/a",IF(E25&lt;=cap_debt,"OK","Check"))</f>
        <v>n/a</v>
      </c>
      <c r="G25" s="108" t="n">
        <f aca="false">'Debt &amp; cash'!W25</f>
        <v>0.0195173859141007</v>
      </c>
      <c r="H25" s="107" t="str">
        <f aca="false">IF($A25&lt;1887,"n/a",IF(G25&lt;=cap_int,"OK","Check"))</f>
        <v>n/a</v>
      </c>
      <c r="I25" s="108" t="n">
        <f aca="false">Budget!AC25</f>
        <v>0.0504298863250586</v>
      </c>
      <c r="J25" s="107" t="str">
        <f aca="false">IF($A25&lt;1887,"n/a",IF(Paths!AC25=1,"War year",IF(I25&lt;=cap_def,"OK","Check")))</f>
        <v>n/a</v>
      </c>
      <c r="K25" s="66" t="n">
        <f aca="false">'Debt &amp; cash'!Y25/Economy!O25</f>
        <v>0</v>
      </c>
      <c r="L25" s="107" t="str">
        <f aca="false">IF('Debt &amp; cash'!Y25*issue_price&lt;=mkt_capacity*Economy!O25+foreign_capacity,"OK","Check")</f>
        <v>OK</v>
      </c>
      <c r="M25" s="107" t="str">
        <f aca="false">IF($A25&lt;1900,"n/a",IF('Gold &amp; money'!K25&gt;=0,"OK","Check"))</f>
        <v>n/a</v>
      </c>
      <c r="N25" s="108" t="n">
        <f aca="false">Japan!AA25</f>
        <v>0</v>
      </c>
      <c r="O25" s="107" t="str">
        <f aca="false">IF(N25&lt;=1,"OK","Check")</f>
        <v>OK</v>
      </c>
      <c r="P25" s="107" t="str">
        <f aca="false">IF($A25&lt;1922,"n/a",IF(AND(Navy!AE25&gt;=0.95,Navy!AE25&lt;=1.1),"OK","Check"))</f>
        <v>n/a</v>
      </c>
      <c r="Q25" s="107" t="str">
        <f aca="false">IF(Navy!Z25=0,"n/a",IF(Resources!K25&gt;=Navy!Z25,"OK","Check"))</f>
        <v>n/a</v>
      </c>
      <c r="R25" s="107" t="str">
        <f aca="false">IF(AND(gulf_on=1,$A25=gulf_year),IF(Gulf!AF25=1,"OK","Check"),"n/a")</f>
        <v>n/a</v>
      </c>
      <c r="S25" s="49" t="n">
        <f aca="false">COUNTIF(B25:R25,"Check")+COUNTIF(T25:AG25,"Check")+AH25+COUNTIF(AI25,"Check")+COUNTIF(AJ25:AK25,"Check")</f>
        <v>0</v>
      </c>
      <c r="T25" s="1" t="str">
        <f aca="false">IF(ABS(Japan!AM25)&lt;0.001,"OK","Check")</f>
        <v>OK</v>
      </c>
      <c r="U25" s="1" t="str">
        <f aca="false">"n/a"</f>
        <v>n/a</v>
      </c>
      <c r="V25" s="1" t="str">
        <f aca="false">"n/a"</f>
        <v>n/a</v>
      </c>
      <c r="W25" s="1" t="str">
        <f aca="false">"n/a"</f>
        <v>n/a</v>
      </c>
      <c r="X25" s="1" t="str">
        <f aca="false">"n/a"</f>
        <v>n/a</v>
      </c>
      <c r="Y25" s="1" t="str">
        <f aca="false">IF(Abroad!T25&gt;=-0.001,"OK","Check")</f>
        <v>OK</v>
      </c>
      <c r="Z25" s="1" t="str">
        <f aca="false">"n/a"</f>
        <v>n/a</v>
      </c>
      <c r="AA25" s="1" t="str">
        <f aca="false">IF(ABS('Sources &amp; uses'!P59)&lt;0.001,"OK","Check")</f>
        <v>OK</v>
      </c>
      <c r="AB25" s="1" t="str">
        <f aca="false">IF(AND(ABS('War credit'!F25)&lt;0.001,ABS('War credit'!K25)&lt;0.001),"OK","Check")</f>
        <v>OK</v>
      </c>
      <c r="AC25" s="1" t="str">
        <f aca="false">"OK"</f>
        <v>OK</v>
      </c>
      <c r="AD25" s="1" t="str">
        <f aca="false">IF('Sources &amp; uses'!M154&lt;0.001,"OK","Check")</f>
        <v>OK</v>
      </c>
      <c r="AE25" s="1" t="str">
        <f aca="false">IF('War credit'!E25=0,"OK",IF(ISNUMBER('War credit'!AC25),IF('War credit'!AC25&lt;0.001,"OK","Check"),"Unverified"))</f>
        <v>OK</v>
      </c>
      <c r="AF25" s="1" t="str">
        <f aca="false">"OK"</f>
        <v>OK</v>
      </c>
      <c r="AG25" s="1" t="str">
        <f aca="false">IF('Capital accounts'!L25&gt;0.001,"Check","OK")</f>
        <v>OK</v>
      </c>
      <c r="AH25" s="1" t="n">
        <f aca="false">COUNTIF(AA25:AG25,"Unverified")</f>
        <v>0</v>
      </c>
      <c r="AI25" s="1" t="str">
        <f aca="false">IF(OR($A25&lt;1918,$A25&gt;1932),"n/a",INDEX(Siberia!$H$38:$H$52,MATCH($A25,Siberia!$A$38:$A$52,0)))</f>
        <v>n/a</v>
      </c>
      <c r="AJ25" s="1" t="str">
        <f aca="false">IF($A25&lt;&gt;1895,"n/a",IF(AND(MATCH(MIN(People!$Y$16:$Y$92),People!$Y$16:$Y$92,0)+1855&gt;=1893,MATCH(MIN(People!$Y$16:$Y$92),People!$Y$16:$Y$92,0)+1855&lt;=1897),"OK","Check"))</f>
        <v>n/a</v>
      </c>
      <c r="AK25" s="1" t="str">
        <f aca="false">IF($A25&lt;&gt;1861,"n/a",IF(ABS(People!B25/dem01_target-1)&lt;=0.1,"OK","Check"))</f>
        <v>n/a</v>
      </c>
    </row>
    <row r="26" customFormat="false" ht="14.25" hidden="false" customHeight="true" outlineLevel="0" collapsed="false">
      <c r="A26" s="61" t="n">
        <v>1866</v>
      </c>
      <c r="B26" s="107" t="str">
        <f aca="false">IF(ABS(People!L26-(People!B26+People!C26+People!D26+People!K26))&lt;1,"OK","Check")</f>
        <v>OK</v>
      </c>
      <c r="C26" s="107" t="str">
        <f aca="false">IF(ABS('Debt &amp; cash'!M26-'Debt &amp; cash'!E26)&lt;0.001,"OK","Check")</f>
        <v>OK</v>
      </c>
      <c r="D26" s="107" t="str">
        <f aca="false">IF('Debt &amp; cash'!S26&gt;=-0.001,"OK","Check")</f>
        <v>OK</v>
      </c>
      <c r="E26" s="108" t="n">
        <f aca="false">'Debt &amp; cash'!V26</f>
        <v>0.00561704704301827</v>
      </c>
      <c r="F26" s="107" t="str">
        <f aca="false">IF($A26&lt;1887,"n/a",IF(E26&lt;=cap_debt,"OK","Check"))</f>
        <v>n/a</v>
      </c>
      <c r="G26" s="108" t="n">
        <f aca="false">'Debt &amp; cash'!W26</f>
        <v>0.0119733221284506</v>
      </c>
      <c r="H26" s="107" t="str">
        <f aca="false">IF($A26&lt;1887,"n/a",IF(G26&lt;=cap_int,"OK","Check"))</f>
        <v>n/a</v>
      </c>
      <c r="I26" s="108" t="n">
        <f aca="false">Budget!AC26</f>
        <v>0.0354654050324518</v>
      </c>
      <c r="J26" s="107" t="str">
        <f aca="false">IF($A26&lt;1887,"n/a",IF(Paths!AC26=1,"War year",IF(I26&lt;=cap_def,"OK","Check")))</f>
        <v>n/a</v>
      </c>
      <c r="K26" s="66" t="n">
        <f aca="false">'Debt &amp; cash'!Y26/Economy!O26</f>
        <v>0</v>
      </c>
      <c r="L26" s="107" t="str">
        <f aca="false">IF('Debt &amp; cash'!Y26*issue_price&lt;=mkt_capacity*Economy!O26+foreign_capacity,"OK","Check")</f>
        <v>OK</v>
      </c>
      <c r="M26" s="107" t="str">
        <f aca="false">IF($A26&lt;1900,"n/a",IF('Gold &amp; money'!K26&gt;=0,"OK","Check"))</f>
        <v>n/a</v>
      </c>
      <c r="N26" s="108" t="n">
        <f aca="false">Japan!AA26</f>
        <v>0</v>
      </c>
      <c r="O26" s="107" t="str">
        <f aca="false">IF(N26&lt;=1,"OK","Check")</f>
        <v>OK</v>
      </c>
      <c r="P26" s="107" t="str">
        <f aca="false">IF($A26&lt;1922,"n/a",IF(AND(Navy!AE26&gt;=0.95,Navy!AE26&lt;=1.1),"OK","Check"))</f>
        <v>n/a</v>
      </c>
      <c r="Q26" s="107" t="str">
        <f aca="false">IF(Navy!Z26=0,"n/a",IF(Resources!K26&gt;=Navy!Z26,"OK","Check"))</f>
        <v>n/a</v>
      </c>
      <c r="R26" s="107" t="str">
        <f aca="false">IF(AND(gulf_on=1,$A26=gulf_year),IF(Gulf!AF26=1,"OK","Check"),"n/a")</f>
        <v>n/a</v>
      </c>
      <c r="S26" s="49" t="n">
        <f aca="false">COUNTIF(B26:R26,"Check")+COUNTIF(T26:AG26,"Check")+AH26+COUNTIF(AI26,"Check")+COUNTIF(AJ26:AK26,"Check")</f>
        <v>0</v>
      </c>
      <c r="T26" s="1" t="str">
        <f aca="false">IF(ABS(Japan!AM26)&lt;0.001,"OK","Check")</f>
        <v>OK</v>
      </c>
      <c r="U26" s="1" t="str">
        <f aca="false">"n/a"</f>
        <v>n/a</v>
      </c>
      <c r="V26" s="1" t="str">
        <f aca="false">"n/a"</f>
        <v>n/a</v>
      </c>
      <c r="W26" s="1" t="str">
        <f aca="false">"n/a"</f>
        <v>n/a</v>
      </c>
      <c r="X26" s="1" t="str">
        <f aca="false">"n/a"</f>
        <v>n/a</v>
      </c>
      <c r="Y26" s="1" t="str">
        <f aca="false">IF(Abroad!T26&gt;=-0.001,"OK","Check")</f>
        <v>OK</v>
      </c>
      <c r="Z26" s="1" t="str">
        <f aca="false">"n/a"</f>
        <v>n/a</v>
      </c>
      <c r="AA26" s="1" t="str">
        <f aca="false">IF(ABS('Sources &amp; uses'!P60)&lt;0.001,"OK","Check")</f>
        <v>OK</v>
      </c>
      <c r="AB26" s="1" t="str">
        <f aca="false">IF(AND(ABS('War credit'!F26)&lt;0.001,ABS('War credit'!K26)&lt;0.001),"OK","Check")</f>
        <v>OK</v>
      </c>
      <c r="AC26" s="1" t="str">
        <f aca="false">"OK"</f>
        <v>OK</v>
      </c>
      <c r="AD26" s="1" t="str">
        <f aca="false">IF('Sources &amp; uses'!M155&lt;0.001,"OK","Check")</f>
        <v>OK</v>
      </c>
      <c r="AE26" s="1" t="str">
        <f aca="false">IF('War credit'!E26=0,"OK",IF(ISNUMBER('War credit'!AC26),IF('War credit'!AC26&lt;0.001,"OK","Check"),"Unverified"))</f>
        <v>OK</v>
      </c>
      <c r="AF26" s="1" t="str">
        <f aca="false">"OK"</f>
        <v>OK</v>
      </c>
      <c r="AG26" s="1" t="str">
        <f aca="false">IF('Capital accounts'!L26&gt;0.001,"Check","OK")</f>
        <v>OK</v>
      </c>
      <c r="AH26" s="1" t="n">
        <f aca="false">COUNTIF(AA26:AG26,"Unverified")</f>
        <v>0</v>
      </c>
      <c r="AI26" s="1" t="str">
        <f aca="false">IF(OR($A26&lt;1918,$A26&gt;1932),"n/a",INDEX(Siberia!$H$38:$H$52,MATCH($A26,Siberia!$A$38:$A$52,0)))</f>
        <v>n/a</v>
      </c>
      <c r="AJ26" s="1" t="str">
        <f aca="false">IF($A26&lt;&gt;1895,"n/a",IF(AND(MATCH(MIN(People!$Y$16:$Y$92),People!$Y$16:$Y$92,0)+1855&gt;=1893,MATCH(MIN(People!$Y$16:$Y$92),People!$Y$16:$Y$92,0)+1855&lt;=1897),"OK","Check"))</f>
        <v>n/a</v>
      </c>
      <c r="AK26" s="1" t="str">
        <f aca="false">IF($A26&lt;&gt;1861,"n/a",IF(ABS(People!B26/dem01_target-1)&lt;=0.1,"OK","Check"))</f>
        <v>n/a</v>
      </c>
    </row>
    <row r="27" customFormat="false" ht="14.25" hidden="false" customHeight="true" outlineLevel="0" collapsed="false">
      <c r="A27" s="61" t="n">
        <v>1867</v>
      </c>
      <c r="B27" s="107" t="str">
        <f aca="false">IF(ABS(People!L27-(People!B27+People!C27+People!D27+People!K27))&lt;1,"OK","Check")</f>
        <v>OK</v>
      </c>
      <c r="C27" s="107" t="str">
        <f aca="false">IF(ABS('Debt &amp; cash'!M27-'Debt &amp; cash'!E27)&lt;0.001,"OK","Check")</f>
        <v>OK</v>
      </c>
      <c r="D27" s="107" t="str">
        <f aca="false">IF('Debt &amp; cash'!S27&gt;=-0.001,"OK","Check")</f>
        <v>OK</v>
      </c>
      <c r="E27" s="108" t="n">
        <f aca="false">'Debt &amp; cash'!V27</f>
        <v>0.00507591930070586</v>
      </c>
      <c r="F27" s="107" t="str">
        <f aca="false">IF($A27&lt;1887,"n/a",IF(E27&lt;=cap_debt,"OK","Check"))</f>
        <v>n/a</v>
      </c>
      <c r="G27" s="108" t="n">
        <f aca="false">'Debt &amp; cash'!W27</f>
        <v>0.00261966118091533</v>
      </c>
      <c r="H27" s="107" t="str">
        <f aca="false">IF($A27&lt;1887,"n/a",IF(G27&lt;=cap_int,"OK","Check"))</f>
        <v>n/a</v>
      </c>
      <c r="I27" s="108" t="n">
        <f aca="false">Budget!AC27</f>
        <v>0.0299506066410336</v>
      </c>
      <c r="J27" s="107" t="str">
        <f aca="false">IF($A27&lt;1887,"n/a",IF(Paths!AC27=1,"War year",IF(I27&lt;=cap_def,"OK","Check")))</f>
        <v>n/a</v>
      </c>
      <c r="K27" s="66" t="n">
        <f aca="false">'Debt &amp; cash'!Y27/Economy!O27</f>
        <v>0</v>
      </c>
      <c r="L27" s="107" t="str">
        <f aca="false">IF('Debt &amp; cash'!Y27*issue_price&lt;=mkt_capacity*Economy!O27+foreign_capacity,"OK","Check")</f>
        <v>OK</v>
      </c>
      <c r="M27" s="107" t="str">
        <f aca="false">IF($A27&lt;1900,"n/a",IF('Gold &amp; money'!K27&gt;=0,"OK","Check"))</f>
        <v>n/a</v>
      </c>
      <c r="N27" s="108" t="n">
        <f aca="false">Japan!AA27</f>
        <v>0</v>
      </c>
      <c r="O27" s="107" t="str">
        <f aca="false">IF(N27&lt;=1,"OK","Check")</f>
        <v>OK</v>
      </c>
      <c r="P27" s="107" t="str">
        <f aca="false">IF($A27&lt;1922,"n/a",IF(AND(Navy!AE27&gt;=0.95,Navy!AE27&lt;=1.1),"OK","Check"))</f>
        <v>n/a</v>
      </c>
      <c r="Q27" s="107" t="str">
        <f aca="false">IF(Navy!Z27=0,"n/a",IF(Resources!K27&gt;=Navy!Z27,"OK","Check"))</f>
        <v>n/a</v>
      </c>
      <c r="R27" s="107" t="str">
        <f aca="false">IF(AND(gulf_on=1,$A27=gulf_year),IF(Gulf!AF27=1,"OK","Check"),"n/a")</f>
        <v>n/a</v>
      </c>
      <c r="S27" s="49" t="n">
        <f aca="false">COUNTIF(B27:R27,"Check")+COUNTIF(T27:AG27,"Check")+AH27+COUNTIF(AI27,"Check")+COUNTIF(AJ27:AK27,"Check")</f>
        <v>0</v>
      </c>
      <c r="T27" s="1" t="str">
        <f aca="false">IF(ABS(Japan!AM27)&lt;0.001,"OK","Check")</f>
        <v>OK</v>
      </c>
      <c r="U27" s="1" t="str">
        <f aca="false">"n/a"</f>
        <v>n/a</v>
      </c>
      <c r="V27" s="1" t="str">
        <f aca="false">"n/a"</f>
        <v>n/a</v>
      </c>
      <c r="W27" s="1" t="str">
        <f aca="false">"n/a"</f>
        <v>n/a</v>
      </c>
      <c r="X27" s="1" t="str">
        <f aca="false">"n/a"</f>
        <v>n/a</v>
      </c>
      <c r="Y27" s="1" t="str">
        <f aca="false">IF(Abroad!T27&gt;=-0.001,"OK","Check")</f>
        <v>OK</v>
      </c>
      <c r="Z27" s="1" t="str">
        <f aca="false">"n/a"</f>
        <v>n/a</v>
      </c>
      <c r="AA27" s="1" t="str">
        <f aca="false">IF(ABS('Sources &amp; uses'!P61)&lt;0.001,"OK","Check")</f>
        <v>OK</v>
      </c>
      <c r="AB27" s="1" t="str">
        <f aca="false">IF(AND(ABS('War credit'!F27)&lt;0.001,ABS('War credit'!K27)&lt;0.001),"OK","Check")</f>
        <v>OK</v>
      </c>
      <c r="AC27" s="1" t="str">
        <f aca="false">"OK"</f>
        <v>OK</v>
      </c>
      <c r="AD27" s="1" t="str">
        <f aca="false">IF('Sources &amp; uses'!M156&lt;0.001,"OK","Check")</f>
        <v>OK</v>
      </c>
      <c r="AE27" s="1" t="str">
        <f aca="false">IF('War credit'!E27=0,"OK",IF(ISNUMBER('War credit'!AC27),IF('War credit'!AC27&lt;0.001,"OK","Check"),"Unverified"))</f>
        <v>OK</v>
      </c>
      <c r="AF27" s="1" t="str">
        <f aca="false">"OK"</f>
        <v>OK</v>
      </c>
      <c r="AG27" s="1" t="str">
        <f aca="false">IF('Capital accounts'!L27&gt;0.001,"Check","OK")</f>
        <v>OK</v>
      </c>
      <c r="AH27" s="1" t="n">
        <f aca="false">COUNTIF(AA27:AG27,"Unverified")</f>
        <v>0</v>
      </c>
      <c r="AI27" s="1" t="str">
        <f aca="false">IF(OR($A27&lt;1918,$A27&gt;1932),"n/a",INDEX(Siberia!$H$38:$H$52,MATCH($A27,Siberia!$A$38:$A$52,0)))</f>
        <v>n/a</v>
      </c>
      <c r="AJ27" s="1" t="str">
        <f aca="false">IF($A27&lt;&gt;1895,"n/a",IF(AND(MATCH(MIN(People!$Y$16:$Y$92),People!$Y$16:$Y$92,0)+1855&gt;=1893,MATCH(MIN(People!$Y$16:$Y$92),People!$Y$16:$Y$92,0)+1855&lt;=1897),"OK","Check"))</f>
        <v>n/a</v>
      </c>
      <c r="AK27" s="1" t="str">
        <f aca="false">IF($A27&lt;&gt;1861,"n/a",IF(ABS(People!B27/dem01_target-1)&lt;=0.1,"OK","Check"))</f>
        <v>n/a</v>
      </c>
    </row>
    <row r="28" customFormat="false" ht="14.25" hidden="false" customHeight="true" outlineLevel="0" collapsed="false">
      <c r="A28" s="61" t="n">
        <v>1868</v>
      </c>
      <c r="B28" s="107" t="str">
        <f aca="false">IF(ABS(People!L28-(People!B28+People!C28+People!D28+People!K28))&lt;1,"OK","Check")</f>
        <v>OK</v>
      </c>
      <c r="C28" s="107" t="str">
        <f aca="false">IF(ABS('Debt &amp; cash'!M28-'Debt &amp; cash'!E28)&lt;0.001,"OK","Check")</f>
        <v>OK</v>
      </c>
      <c r="D28" s="107" t="str">
        <f aca="false">IF('Debt &amp; cash'!S28&gt;=-0.001,"OK","Check")</f>
        <v>OK</v>
      </c>
      <c r="E28" s="108" t="n">
        <f aca="false">'Debt &amp; cash'!V28</f>
        <v>0</v>
      </c>
      <c r="F28" s="107" t="str">
        <f aca="false">IF($A28&lt;1887,"n/a",IF(E28&lt;=cap_debt,"OK","Check"))</f>
        <v>n/a</v>
      </c>
      <c r="G28" s="108" t="n">
        <f aca="false">'Debt &amp; cash'!W28</f>
        <v>0.00233194936899464</v>
      </c>
      <c r="H28" s="107" t="str">
        <f aca="false">IF($A28&lt;1887,"n/a",IF(G28&lt;=cap_int,"OK","Check"))</f>
        <v>n/a</v>
      </c>
      <c r="I28" s="108" t="n">
        <f aca="false">Budget!AC28</f>
        <v>0.0304155254533897</v>
      </c>
      <c r="J28" s="107" t="str">
        <f aca="false">IF($A28&lt;1887,"n/a",IF(Paths!AC28=1,"War year",IF(I28&lt;=cap_def,"OK","Check")))</f>
        <v>n/a</v>
      </c>
      <c r="K28" s="66" t="n">
        <f aca="false">'Debt &amp; cash'!Y28/Economy!O28</f>
        <v>0</v>
      </c>
      <c r="L28" s="107" t="str">
        <f aca="false">IF('Debt &amp; cash'!Y28*issue_price&lt;=mkt_capacity*Economy!O28+foreign_capacity,"OK","Check")</f>
        <v>OK</v>
      </c>
      <c r="M28" s="107" t="str">
        <f aca="false">IF($A28&lt;1900,"n/a",IF('Gold &amp; money'!K28&gt;=0,"OK","Check"))</f>
        <v>n/a</v>
      </c>
      <c r="N28" s="108" t="n">
        <f aca="false">Japan!AA28</f>
        <v>0</v>
      </c>
      <c r="O28" s="107" t="str">
        <f aca="false">IF(N28&lt;=1,"OK","Check")</f>
        <v>OK</v>
      </c>
      <c r="P28" s="107" t="str">
        <f aca="false">IF($A28&lt;1922,"n/a",IF(AND(Navy!AE28&gt;=0.95,Navy!AE28&lt;=1.1),"OK","Check"))</f>
        <v>n/a</v>
      </c>
      <c r="Q28" s="107" t="str">
        <f aca="false">IF(Navy!Z28=0,"n/a",IF(Resources!K28&gt;=Navy!Z28,"OK","Check"))</f>
        <v>n/a</v>
      </c>
      <c r="R28" s="107" t="str">
        <f aca="false">IF(AND(gulf_on=1,$A28=gulf_year),IF(Gulf!AF28=1,"OK","Check"),"n/a")</f>
        <v>n/a</v>
      </c>
      <c r="S28" s="49" t="n">
        <f aca="false">COUNTIF(B28:R28,"Check")+COUNTIF(T28:AG28,"Check")+AH28+COUNTIF(AI28,"Check")+COUNTIF(AJ28:AK28,"Check")</f>
        <v>0</v>
      </c>
      <c r="T28" s="1" t="str">
        <f aca="false">IF(ABS(Japan!AM28)&lt;0.001,"OK","Check")</f>
        <v>OK</v>
      </c>
      <c r="U28" s="1" t="str">
        <f aca="false">"n/a"</f>
        <v>n/a</v>
      </c>
      <c r="V28" s="1" t="str">
        <f aca="false">"n/a"</f>
        <v>n/a</v>
      </c>
      <c r="W28" s="1" t="str">
        <f aca="false">"n/a"</f>
        <v>n/a</v>
      </c>
      <c r="X28" s="1" t="str">
        <f aca="false">"n/a"</f>
        <v>n/a</v>
      </c>
      <c r="Y28" s="1" t="str">
        <f aca="false">IF(Abroad!T28&gt;=-0.001,"OK","Check")</f>
        <v>OK</v>
      </c>
      <c r="Z28" s="1" t="str">
        <f aca="false">"n/a"</f>
        <v>n/a</v>
      </c>
      <c r="AA28" s="1" t="str">
        <f aca="false">IF(ABS('Sources &amp; uses'!P62)&lt;0.001,"OK","Check")</f>
        <v>OK</v>
      </c>
      <c r="AB28" s="1" t="str">
        <f aca="false">IF(AND(ABS('War credit'!F28)&lt;0.001,ABS('War credit'!K28)&lt;0.001),"OK","Check")</f>
        <v>OK</v>
      </c>
      <c r="AC28" s="1" t="str">
        <f aca="false">"OK"</f>
        <v>OK</v>
      </c>
      <c r="AD28" s="1" t="str">
        <f aca="false">IF('Sources &amp; uses'!M157&lt;0.001,"OK","Check")</f>
        <v>OK</v>
      </c>
      <c r="AE28" s="1" t="str">
        <f aca="false">IF('War credit'!E28=0,"OK",IF(ISNUMBER('War credit'!AC28),IF('War credit'!AC28&lt;0.001,"OK","Check"),"Unverified"))</f>
        <v>OK</v>
      </c>
      <c r="AF28" s="1" t="str">
        <f aca="false">"OK"</f>
        <v>OK</v>
      </c>
      <c r="AG28" s="1" t="str">
        <f aca="false">IF('Capital accounts'!L28&gt;0.001,"Check","OK")</f>
        <v>OK</v>
      </c>
      <c r="AH28" s="1" t="n">
        <f aca="false">COUNTIF(AA28:AG28,"Unverified")</f>
        <v>0</v>
      </c>
      <c r="AI28" s="1" t="str">
        <f aca="false">IF(OR($A28&lt;1918,$A28&gt;1932),"n/a",INDEX(Siberia!$H$38:$H$52,MATCH($A28,Siberia!$A$38:$A$52,0)))</f>
        <v>n/a</v>
      </c>
      <c r="AJ28" s="1" t="str">
        <f aca="false">IF($A28&lt;&gt;1895,"n/a",IF(AND(MATCH(MIN(People!$Y$16:$Y$92),People!$Y$16:$Y$92,0)+1855&gt;=1893,MATCH(MIN(People!$Y$16:$Y$92),People!$Y$16:$Y$92,0)+1855&lt;=1897),"OK","Check"))</f>
        <v>n/a</v>
      </c>
      <c r="AK28" s="1" t="str">
        <f aca="false">IF($A28&lt;&gt;1861,"n/a",IF(ABS(People!B28/dem01_target-1)&lt;=0.1,"OK","Check"))</f>
        <v>n/a</v>
      </c>
    </row>
    <row r="29" customFormat="false" ht="14.25" hidden="false" customHeight="true" outlineLevel="0" collapsed="false">
      <c r="A29" s="61" t="n">
        <v>1869</v>
      </c>
      <c r="B29" s="107" t="str">
        <f aca="false">IF(ABS(People!L29-(People!B29+People!C29+People!D29+People!K29))&lt;1,"OK","Check")</f>
        <v>OK</v>
      </c>
      <c r="C29" s="107" t="str">
        <f aca="false">IF(ABS('Debt &amp; cash'!M29-'Debt &amp; cash'!E29)&lt;0.001,"OK","Check")</f>
        <v>OK</v>
      </c>
      <c r="D29" s="107" t="str">
        <f aca="false">IF('Debt &amp; cash'!S29&gt;=-0.001,"OK","Check")</f>
        <v>OK</v>
      </c>
      <c r="E29" s="108" t="n">
        <f aca="false">'Debt &amp; cash'!V29</f>
        <v>0</v>
      </c>
      <c r="F29" s="107" t="str">
        <f aca="false">IF($A29&lt;1887,"n/a",IF(E29&lt;=cap_debt,"OK","Check"))</f>
        <v>n/a</v>
      </c>
      <c r="G29" s="108" t="n">
        <f aca="false">'Debt &amp; cash'!W29</f>
        <v>0</v>
      </c>
      <c r="H29" s="107" t="str">
        <f aca="false">IF($A29&lt;1887,"n/a",IF(G29&lt;=cap_int,"OK","Check"))</f>
        <v>n/a</v>
      </c>
      <c r="I29" s="108" t="n">
        <f aca="false">Budget!AC29</f>
        <v>0.0294990377590419</v>
      </c>
      <c r="J29" s="107" t="str">
        <f aca="false">IF($A29&lt;1887,"n/a",IF(Paths!AC29=1,"War year",IF(I29&lt;=cap_def,"OK","Check")))</f>
        <v>n/a</v>
      </c>
      <c r="K29" s="66" t="n">
        <f aca="false">'Debt &amp; cash'!Y29/Economy!O29</f>
        <v>0</v>
      </c>
      <c r="L29" s="107" t="str">
        <f aca="false">IF('Debt &amp; cash'!Y29*issue_price&lt;=mkt_capacity*Economy!O29+foreign_capacity,"OK","Check")</f>
        <v>OK</v>
      </c>
      <c r="M29" s="107" t="str">
        <f aca="false">IF($A29&lt;1900,"n/a",IF('Gold &amp; money'!K29&gt;=0,"OK","Check"))</f>
        <v>n/a</v>
      </c>
      <c r="N29" s="108" t="n">
        <f aca="false">Japan!AA29</f>
        <v>0</v>
      </c>
      <c r="O29" s="107" t="str">
        <f aca="false">IF(N29&lt;=1,"OK","Check")</f>
        <v>OK</v>
      </c>
      <c r="P29" s="107" t="str">
        <f aca="false">IF($A29&lt;1922,"n/a",IF(AND(Navy!AE29&gt;=0.95,Navy!AE29&lt;=1.1),"OK","Check"))</f>
        <v>n/a</v>
      </c>
      <c r="Q29" s="107" t="str">
        <f aca="false">IF(Navy!Z29=0,"n/a",IF(Resources!K29&gt;=Navy!Z29,"OK","Check"))</f>
        <v>n/a</v>
      </c>
      <c r="R29" s="107" t="str">
        <f aca="false">IF(AND(gulf_on=1,$A29=gulf_year),IF(Gulf!AF29=1,"OK","Check"),"n/a")</f>
        <v>n/a</v>
      </c>
      <c r="S29" s="49" t="n">
        <f aca="false">COUNTIF(B29:R29,"Check")+COUNTIF(T29:AG29,"Check")+AH29+COUNTIF(AI29,"Check")+COUNTIF(AJ29:AK29,"Check")</f>
        <v>0</v>
      </c>
      <c r="T29" s="1" t="str">
        <f aca="false">IF(ABS(Japan!AM29)&lt;0.001,"OK","Check")</f>
        <v>OK</v>
      </c>
      <c r="U29" s="1" t="str">
        <f aca="false">"n/a"</f>
        <v>n/a</v>
      </c>
      <c r="V29" s="1" t="str">
        <f aca="false">"n/a"</f>
        <v>n/a</v>
      </c>
      <c r="W29" s="1" t="str">
        <f aca="false">"n/a"</f>
        <v>n/a</v>
      </c>
      <c r="X29" s="1" t="str">
        <f aca="false">"n/a"</f>
        <v>n/a</v>
      </c>
      <c r="Y29" s="1" t="str">
        <f aca="false">IF(Abroad!T29&gt;=-0.001,"OK","Check")</f>
        <v>OK</v>
      </c>
      <c r="Z29" s="1" t="str">
        <f aca="false">"n/a"</f>
        <v>n/a</v>
      </c>
      <c r="AA29" s="1" t="str">
        <f aca="false">IF(ABS('Sources &amp; uses'!P63)&lt;0.001,"OK","Check")</f>
        <v>OK</v>
      </c>
      <c r="AB29" s="1" t="str">
        <f aca="false">IF(AND(ABS('War credit'!F29)&lt;0.001,ABS('War credit'!K29)&lt;0.001),"OK","Check")</f>
        <v>OK</v>
      </c>
      <c r="AC29" s="1" t="str">
        <f aca="false">"OK"</f>
        <v>OK</v>
      </c>
      <c r="AD29" s="1" t="str">
        <f aca="false">IF('Sources &amp; uses'!M158&lt;0.001,"OK","Check")</f>
        <v>OK</v>
      </c>
      <c r="AE29" s="1" t="str">
        <f aca="false">IF('War credit'!E29=0,"OK",IF(ISNUMBER('War credit'!AC29),IF('War credit'!AC29&lt;0.001,"OK","Check"),"Unverified"))</f>
        <v>OK</v>
      </c>
      <c r="AF29" s="1" t="str">
        <f aca="false">"OK"</f>
        <v>OK</v>
      </c>
      <c r="AG29" s="1" t="str">
        <f aca="false">IF('Capital accounts'!L29&gt;0.001,"Check","OK")</f>
        <v>OK</v>
      </c>
      <c r="AH29" s="1" t="n">
        <f aca="false">COUNTIF(AA29:AG29,"Unverified")</f>
        <v>0</v>
      </c>
      <c r="AI29" s="1" t="str">
        <f aca="false">IF(OR($A29&lt;1918,$A29&gt;1932),"n/a",INDEX(Siberia!$H$38:$H$52,MATCH($A29,Siberia!$A$38:$A$52,0)))</f>
        <v>n/a</v>
      </c>
      <c r="AJ29" s="1" t="str">
        <f aca="false">IF($A29&lt;&gt;1895,"n/a",IF(AND(MATCH(MIN(People!$Y$16:$Y$92),People!$Y$16:$Y$92,0)+1855&gt;=1893,MATCH(MIN(People!$Y$16:$Y$92),People!$Y$16:$Y$92,0)+1855&lt;=1897),"OK","Check"))</f>
        <v>n/a</v>
      </c>
      <c r="AK29" s="1" t="str">
        <f aca="false">IF($A29&lt;&gt;1861,"n/a",IF(ABS(People!B29/dem01_target-1)&lt;=0.1,"OK","Check"))</f>
        <v>n/a</v>
      </c>
    </row>
    <row r="30" customFormat="false" ht="14.25" hidden="false" customHeight="true" outlineLevel="0" collapsed="false">
      <c r="A30" s="64" t="n">
        <v>1870</v>
      </c>
      <c r="B30" s="107" t="str">
        <f aca="false">IF(ABS(People!L30-(People!B30+People!C30+People!D30+People!K30))&lt;1,"OK","Check")</f>
        <v>OK</v>
      </c>
      <c r="C30" s="107" t="str">
        <f aca="false">IF(ABS('Debt &amp; cash'!M30-'Debt &amp; cash'!E30)&lt;0.001,"OK","Check")</f>
        <v>OK</v>
      </c>
      <c r="D30" s="107" t="str">
        <f aca="false">IF('Debt &amp; cash'!S30&gt;=-0.001,"OK","Check")</f>
        <v>OK</v>
      </c>
      <c r="E30" s="108" t="n">
        <f aca="false">'Debt &amp; cash'!V30</f>
        <v>0</v>
      </c>
      <c r="F30" s="107" t="str">
        <f aca="false">IF($A30&lt;1887,"n/a",IF(E30&lt;=cap_debt,"OK","Check"))</f>
        <v>n/a</v>
      </c>
      <c r="G30" s="108" t="n">
        <f aca="false">'Debt &amp; cash'!W30</f>
        <v>0</v>
      </c>
      <c r="H30" s="107" t="str">
        <f aca="false">IF($A30&lt;1887,"n/a",IF(G30&lt;=cap_int,"OK","Check"))</f>
        <v>n/a</v>
      </c>
      <c r="I30" s="108" t="n">
        <f aca="false">Budget!AC30</f>
        <v>0.0334311977508573</v>
      </c>
      <c r="J30" s="107" t="str">
        <f aca="false">IF($A30&lt;1887,"n/a",IF(Paths!AC30=1,"War year",IF(I30&lt;=cap_def,"OK","Check")))</f>
        <v>n/a</v>
      </c>
      <c r="K30" s="66" t="n">
        <f aca="false">'Debt &amp; cash'!Y30/Economy!O30</f>
        <v>0</v>
      </c>
      <c r="L30" s="107" t="str">
        <f aca="false">IF('Debt &amp; cash'!Y30*issue_price&lt;=mkt_capacity*Economy!O30+foreign_capacity,"OK","Check")</f>
        <v>OK</v>
      </c>
      <c r="M30" s="107" t="str">
        <f aca="false">IF($A30&lt;1900,"n/a",IF('Gold &amp; money'!K30&gt;=0,"OK","Check"))</f>
        <v>n/a</v>
      </c>
      <c r="N30" s="108" t="n">
        <f aca="false">Japan!AA30</f>
        <v>0.0105691460974712</v>
      </c>
      <c r="O30" s="107" t="str">
        <f aca="false">IF(N30&lt;=1,"OK","Check")</f>
        <v>OK</v>
      </c>
      <c r="P30" s="107" t="str">
        <f aca="false">IF($A30&lt;1922,"n/a",IF(AND(Navy!AE30&gt;=0.95,Navy!AE30&lt;=1.1),"OK","Check"))</f>
        <v>n/a</v>
      </c>
      <c r="Q30" s="107" t="str">
        <f aca="false">IF(Navy!Z30=0,"n/a",IF(Resources!K30&gt;=Navy!Z30,"OK","Check"))</f>
        <v>n/a</v>
      </c>
      <c r="R30" s="107" t="str">
        <f aca="false">IF(AND(gulf_on=1,$A30=gulf_year),IF(Gulf!AF30=1,"OK","Check"),"n/a")</f>
        <v>n/a</v>
      </c>
      <c r="S30" s="49" t="n">
        <f aca="false">COUNTIF(B30:R30,"Check")+COUNTIF(T30:AG30,"Check")+AH30+COUNTIF(AI30,"Check")+COUNTIF(AJ30:AK30,"Check")</f>
        <v>0</v>
      </c>
      <c r="T30" s="1" t="str">
        <f aca="false">IF(ABS(Japan!AM30)&lt;0.001,"OK","Check")</f>
        <v>OK</v>
      </c>
      <c r="U30" s="1" t="str">
        <f aca="false">"n/a"</f>
        <v>n/a</v>
      </c>
      <c r="V30" s="1" t="str">
        <f aca="false">"n/a"</f>
        <v>n/a</v>
      </c>
      <c r="W30" s="1" t="str">
        <f aca="false">"n/a"</f>
        <v>n/a</v>
      </c>
      <c r="X30" s="1" t="str">
        <f aca="false">"n/a"</f>
        <v>n/a</v>
      </c>
      <c r="Y30" s="1" t="str">
        <f aca="false">IF(Abroad!T30&gt;=-0.001,"OK","Check")</f>
        <v>OK</v>
      </c>
      <c r="Z30" s="1" t="str">
        <f aca="false">"n/a"</f>
        <v>n/a</v>
      </c>
      <c r="AA30" s="1" t="str">
        <f aca="false">IF(ABS('Sources &amp; uses'!P64)&lt;0.001,"OK","Check")</f>
        <v>OK</v>
      </c>
      <c r="AB30" s="1" t="str">
        <f aca="false">IF(AND(ABS('War credit'!F30)&lt;0.001,ABS('War credit'!K30)&lt;0.001),"OK","Check")</f>
        <v>OK</v>
      </c>
      <c r="AC30" s="1" t="str">
        <f aca="false">"OK"</f>
        <v>OK</v>
      </c>
      <c r="AD30" s="1" t="str">
        <f aca="false">IF('Sources &amp; uses'!M159&lt;0.001,"OK","Check")</f>
        <v>OK</v>
      </c>
      <c r="AE30" s="1" t="str">
        <f aca="false">IF('War credit'!E30=0,"OK",IF(ISNUMBER('War credit'!AC30),IF('War credit'!AC30&lt;0.001,"OK","Check"),"Unverified"))</f>
        <v>OK</v>
      </c>
      <c r="AF30" s="1" t="str">
        <f aca="false">"OK"</f>
        <v>OK</v>
      </c>
      <c r="AG30" s="1" t="str">
        <f aca="false">IF('Capital accounts'!L30&gt;0.001,"Check","OK")</f>
        <v>OK</v>
      </c>
      <c r="AH30" s="1" t="n">
        <f aca="false">COUNTIF(AA30:AG30,"Unverified")</f>
        <v>0</v>
      </c>
      <c r="AI30" s="1" t="str">
        <f aca="false">IF(OR($A30&lt;1918,$A30&gt;1932),"n/a",INDEX(Siberia!$H$38:$H$52,MATCH($A30,Siberia!$A$38:$A$52,0)))</f>
        <v>n/a</v>
      </c>
      <c r="AJ30" s="1" t="str">
        <f aca="false">IF($A30&lt;&gt;1895,"n/a",IF(AND(MATCH(MIN(People!$Y$16:$Y$92),People!$Y$16:$Y$92,0)+1855&gt;=1893,MATCH(MIN(People!$Y$16:$Y$92),People!$Y$16:$Y$92,0)+1855&lt;=1897),"OK","Check"))</f>
        <v>n/a</v>
      </c>
      <c r="AK30" s="1" t="str">
        <f aca="false">IF($A30&lt;&gt;1861,"n/a",IF(ABS(People!B30/dem01_target-1)&lt;=0.1,"OK","Check"))</f>
        <v>n/a</v>
      </c>
    </row>
    <row r="31" customFormat="false" ht="14.25" hidden="false" customHeight="true" outlineLevel="0" collapsed="false">
      <c r="A31" s="64" t="n">
        <v>1871</v>
      </c>
      <c r="B31" s="107" t="str">
        <f aca="false">IF(ABS(People!L31-(People!B31+People!C31+People!D31+People!K31))&lt;1,"OK","Check")</f>
        <v>OK</v>
      </c>
      <c r="C31" s="107" t="str">
        <f aca="false">IF(ABS('Debt &amp; cash'!M31-'Debt &amp; cash'!E31)&lt;0.001,"OK","Check")</f>
        <v>OK</v>
      </c>
      <c r="D31" s="107" t="str">
        <f aca="false">IF('Debt &amp; cash'!S31&gt;=-0.001,"OK","Check")</f>
        <v>OK</v>
      </c>
      <c r="E31" s="108" t="n">
        <f aca="false">'Debt &amp; cash'!V31</f>
        <v>0</v>
      </c>
      <c r="F31" s="107" t="str">
        <f aca="false">IF($A31&lt;1887,"n/a",IF(E31&lt;=cap_debt,"OK","Check"))</f>
        <v>n/a</v>
      </c>
      <c r="G31" s="108" t="n">
        <f aca="false">'Debt &amp; cash'!W31</f>
        <v>0</v>
      </c>
      <c r="H31" s="107" t="str">
        <f aca="false">IF($A31&lt;1887,"n/a",IF(G31&lt;=cap_int,"OK","Check"))</f>
        <v>n/a</v>
      </c>
      <c r="I31" s="108" t="n">
        <f aca="false">Budget!AC31</f>
        <v>0.0314280055831934</v>
      </c>
      <c r="J31" s="107" t="str">
        <f aca="false">IF($A31&lt;1887,"n/a",IF(Paths!AC31=1,"War year",IF(I31&lt;=cap_def,"OK","Check")))</f>
        <v>n/a</v>
      </c>
      <c r="K31" s="66" t="n">
        <f aca="false">'Debt &amp; cash'!Y31/Economy!O31</f>
        <v>0</v>
      </c>
      <c r="L31" s="107" t="str">
        <f aca="false">IF('Debt &amp; cash'!Y31*issue_price&lt;=mkt_capacity*Economy!O31+foreign_capacity,"OK","Check")</f>
        <v>OK</v>
      </c>
      <c r="M31" s="107" t="str">
        <f aca="false">IF($A31&lt;1900,"n/a",IF('Gold &amp; money'!K31&gt;=0,"OK","Check"))</f>
        <v>n/a</v>
      </c>
      <c r="N31" s="108" t="n">
        <f aca="false">Japan!AA31</f>
        <v>0.00999816336997565</v>
      </c>
      <c r="O31" s="107" t="str">
        <f aca="false">IF(N31&lt;=1,"OK","Check")</f>
        <v>OK</v>
      </c>
      <c r="P31" s="107" t="str">
        <f aca="false">IF($A31&lt;1922,"n/a",IF(AND(Navy!AE31&gt;=0.95,Navy!AE31&lt;=1.1),"OK","Check"))</f>
        <v>n/a</v>
      </c>
      <c r="Q31" s="107" t="str">
        <f aca="false">IF(Navy!Z31=0,"n/a",IF(Resources!K31&gt;=Navy!Z31,"OK","Check"))</f>
        <v>n/a</v>
      </c>
      <c r="R31" s="107" t="str">
        <f aca="false">IF(AND(gulf_on=1,$A31=gulf_year),IF(Gulf!AF31=1,"OK","Check"),"n/a")</f>
        <v>n/a</v>
      </c>
      <c r="S31" s="49" t="n">
        <f aca="false">COUNTIF(B31:R31,"Check")+COUNTIF(T31:AG31,"Check")+AH31+COUNTIF(AI31,"Check")+COUNTIF(AJ31:AK31,"Check")</f>
        <v>0</v>
      </c>
      <c r="T31" s="1" t="str">
        <f aca="false">IF(ABS(Japan!AM31)&lt;0.001,"OK","Check")</f>
        <v>OK</v>
      </c>
      <c r="U31" s="1" t="str">
        <f aca="false">"n/a"</f>
        <v>n/a</v>
      </c>
      <c r="V31" s="1" t="str">
        <f aca="false">"n/a"</f>
        <v>n/a</v>
      </c>
      <c r="W31" s="1" t="str">
        <f aca="false">"n/a"</f>
        <v>n/a</v>
      </c>
      <c r="X31" s="1" t="str">
        <f aca="false">"n/a"</f>
        <v>n/a</v>
      </c>
      <c r="Y31" s="1" t="str">
        <f aca="false">IF(Abroad!T31&gt;=-0.001,"OK","Check")</f>
        <v>OK</v>
      </c>
      <c r="Z31" s="1" t="str">
        <f aca="false">"n/a"</f>
        <v>n/a</v>
      </c>
      <c r="AA31" s="1" t="str">
        <f aca="false">IF(ABS('Sources &amp; uses'!P65)&lt;0.001,"OK","Check")</f>
        <v>OK</v>
      </c>
      <c r="AB31" s="1" t="str">
        <f aca="false">IF(AND(ABS('War credit'!F31)&lt;0.001,ABS('War credit'!K31)&lt;0.001),"OK","Check")</f>
        <v>OK</v>
      </c>
      <c r="AC31" s="1" t="str">
        <f aca="false">"OK"</f>
        <v>OK</v>
      </c>
      <c r="AD31" s="1" t="str">
        <f aca="false">IF('Sources &amp; uses'!M160&lt;0.001,"OK","Check")</f>
        <v>OK</v>
      </c>
      <c r="AE31" s="1" t="str">
        <f aca="false">IF('War credit'!E31=0,"OK",IF(ISNUMBER('War credit'!AC31),IF('War credit'!AC31&lt;0.001,"OK","Check"),"Unverified"))</f>
        <v>OK</v>
      </c>
      <c r="AF31" s="1" t="str">
        <f aca="false">"OK"</f>
        <v>OK</v>
      </c>
      <c r="AG31" s="1" t="str">
        <f aca="false">IF('Capital accounts'!L31&gt;0.001,"Check","OK")</f>
        <v>OK</v>
      </c>
      <c r="AH31" s="1" t="n">
        <f aca="false">COUNTIF(AA31:AG31,"Unverified")</f>
        <v>0</v>
      </c>
      <c r="AI31" s="1" t="str">
        <f aca="false">IF(OR($A31&lt;1918,$A31&gt;1932),"n/a",INDEX(Siberia!$H$38:$H$52,MATCH($A31,Siberia!$A$38:$A$52,0)))</f>
        <v>n/a</v>
      </c>
      <c r="AJ31" s="1" t="str">
        <f aca="false">IF($A31&lt;&gt;1895,"n/a",IF(AND(MATCH(MIN(People!$Y$16:$Y$92),People!$Y$16:$Y$92,0)+1855&gt;=1893,MATCH(MIN(People!$Y$16:$Y$92),People!$Y$16:$Y$92,0)+1855&lt;=1897),"OK","Check"))</f>
        <v>n/a</v>
      </c>
      <c r="AK31" s="1" t="str">
        <f aca="false">IF($A31&lt;&gt;1861,"n/a",IF(ABS(People!B31/dem01_target-1)&lt;=0.1,"OK","Check"))</f>
        <v>n/a</v>
      </c>
    </row>
    <row r="32" customFormat="false" ht="14.25" hidden="false" customHeight="true" outlineLevel="0" collapsed="false">
      <c r="A32" s="61" t="n">
        <v>1872</v>
      </c>
      <c r="B32" s="107" t="str">
        <f aca="false">IF(ABS(People!L32-(People!B32+People!C32+People!D32+People!K32))&lt;1,"OK","Check")</f>
        <v>OK</v>
      </c>
      <c r="C32" s="107" t="str">
        <f aca="false">IF(ABS('Debt &amp; cash'!M32-'Debt &amp; cash'!E32)&lt;0.001,"OK","Check")</f>
        <v>OK</v>
      </c>
      <c r="D32" s="107" t="str">
        <f aca="false">IF('Debt &amp; cash'!S32&gt;=-0.001,"OK","Check")</f>
        <v>OK</v>
      </c>
      <c r="E32" s="108" t="n">
        <f aca="false">'Debt &amp; cash'!V32</f>
        <v>0</v>
      </c>
      <c r="F32" s="107" t="str">
        <f aca="false">IF($A32&lt;1887,"n/a",IF(E32&lt;=cap_debt,"OK","Check"))</f>
        <v>n/a</v>
      </c>
      <c r="G32" s="108" t="n">
        <f aca="false">'Debt &amp; cash'!W32</f>
        <v>0</v>
      </c>
      <c r="H32" s="107" t="str">
        <f aca="false">IF($A32&lt;1887,"n/a",IF(G32&lt;=cap_int,"OK","Check"))</f>
        <v>n/a</v>
      </c>
      <c r="I32" s="108" t="n">
        <f aca="false">Budget!AC32</f>
        <v>0.0231637266265485</v>
      </c>
      <c r="J32" s="107" t="str">
        <f aca="false">IF($A32&lt;1887,"n/a",IF(Paths!AC32=1,"War year",IF(I32&lt;=cap_def,"OK","Check")))</f>
        <v>n/a</v>
      </c>
      <c r="K32" s="66" t="n">
        <f aca="false">'Debt &amp; cash'!Y32/Economy!O32</f>
        <v>0</v>
      </c>
      <c r="L32" s="107" t="str">
        <f aca="false">IF('Debt &amp; cash'!Y32*issue_price&lt;=mkt_capacity*Economy!O32+foreign_capacity,"OK","Check")</f>
        <v>OK</v>
      </c>
      <c r="M32" s="107" t="str">
        <f aca="false">IF($A32&lt;1900,"n/a",IF('Gold &amp; money'!K32&gt;=0,"OK","Check"))</f>
        <v>n/a</v>
      </c>
      <c r="N32" s="108" t="n">
        <f aca="false">Japan!AA32</f>
        <v>0.00943829347567506</v>
      </c>
      <c r="O32" s="107" t="str">
        <f aca="false">IF(N32&lt;=1,"OK","Check")</f>
        <v>OK</v>
      </c>
      <c r="P32" s="107" t="str">
        <f aca="false">IF($A32&lt;1922,"n/a",IF(AND(Navy!AE32&gt;=0.95,Navy!AE32&lt;=1.1),"OK","Check"))</f>
        <v>n/a</v>
      </c>
      <c r="Q32" s="107" t="str">
        <f aca="false">IF(Navy!Z32=0,"n/a",IF(Resources!K32&gt;=Navy!Z32,"OK","Check"))</f>
        <v>n/a</v>
      </c>
      <c r="R32" s="107" t="str">
        <f aca="false">IF(AND(gulf_on=1,$A32=gulf_year),IF(Gulf!AF32=1,"OK","Check"),"n/a")</f>
        <v>n/a</v>
      </c>
      <c r="S32" s="49" t="n">
        <f aca="false">COUNTIF(B32:R32,"Check")+COUNTIF(T32:AG32,"Check")+AH32+COUNTIF(AI32,"Check")+COUNTIF(AJ32:AK32,"Check")</f>
        <v>0</v>
      </c>
      <c r="T32" s="1" t="str">
        <f aca="false">IF(ABS(Japan!AM32)&lt;0.001,"OK","Check")</f>
        <v>OK</v>
      </c>
      <c r="U32" s="1" t="str">
        <f aca="false">"n/a"</f>
        <v>n/a</v>
      </c>
      <c r="V32" s="1" t="str">
        <f aca="false">"n/a"</f>
        <v>n/a</v>
      </c>
      <c r="W32" s="1" t="str">
        <f aca="false">"n/a"</f>
        <v>n/a</v>
      </c>
      <c r="X32" s="1" t="str">
        <f aca="false">"n/a"</f>
        <v>n/a</v>
      </c>
      <c r="Y32" s="1" t="str">
        <f aca="false">IF(Abroad!T32&gt;=-0.001,"OK","Check")</f>
        <v>OK</v>
      </c>
      <c r="Z32" s="1" t="str">
        <f aca="false">"n/a"</f>
        <v>n/a</v>
      </c>
      <c r="AA32" s="1" t="str">
        <f aca="false">IF(ABS('Sources &amp; uses'!P66)&lt;0.001,"OK","Check")</f>
        <v>OK</v>
      </c>
      <c r="AB32" s="1" t="str">
        <f aca="false">IF(AND(ABS('War credit'!F32)&lt;0.001,ABS('War credit'!K32)&lt;0.001),"OK","Check")</f>
        <v>OK</v>
      </c>
      <c r="AC32" s="1" t="str">
        <f aca="false">"OK"</f>
        <v>OK</v>
      </c>
      <c r="AD32" s="1" t="str">
        <f aca="false">IF('Sources &amp; uses'!M161&lt;0.001,"OK","Check")</f>
        <v>OK</v>
      </c>
      <c r="AE32" s="1" t="str">
        <f aca="false">IF('War credit'!E32=0,"OK",IF(ISNUMBER('War credit'!AC32),IF('War credit'!AC32&lt;0.001,"OK","Check"),"Unverified"))</f>
        <v>OK</v>
      </c>
      <c r="AF32" s="1" t="str">
        <f aca="false">"OK"</f>
        <v>OK</v>
      </c>
      <c r="AG32" s="1" t="str">
        <f aca="false">IF('Capital accounts'!L32&gt;0.001,"Check","OK")</f>
        <v>OK</v>
      </c>
      <c r="AH32" s="1" t="n">
        <f aca="false">COUNTIF(AA32:AG32,"Unverified")</f>
        <v>0</v>
      </c>
      <c r="AI32" s="1" t="str">
        <f aca="false">IF(OR($A32&lt;1918,$A32&gt;1932),"n/a",INDEX(Siberia!$H$38:$H$52,MATCH($A32,Siberia!$A$38:$A$52,0)))</f>
        <v>n/a</v>
      </c>
      <c r="AJ32" s="1" t="str">
        <f aca="false">IF($A32&lt;&gt;1895,"n/a",IF(AND(MATCH(MIN(People!$Y$16:$Y$92),People!$Y$16:$Y$92,0)+1855&gt;=1893,MATCH(MIN(People!$Y$16:$Y$92),People!$Y$16:$Y$92,0)+1855&lt;=1897),"OK","Check"))</f>
        <v>n/a</v>
      </c>
      <c r="AK32" s="1" t="str">
        <f aca="false">IF($A32&lt;&gt;1861,"n/a",IF(ABS(People!B32/dem01_target-1)&lt;=0.1,"OK","Check"))</f>
        <v>n/a</v>
      </c>
    </row>
    <row r="33" customFormat="false" ht="14.25" hidden="false" customHeight="true" outlineLevel="0" collapsed="false">
      <c r="A33" s="61" t="n">
        <v>1873</v>
      </c>
      <c r="B33" s="107" t="str">
        <f aca="false">IF(ABS(People!L33-(People!B33+People!C33+People!D33+People!K33))&lt;1,"OK","Check")</f>
        <v>OK</v>
      </c>
      <c r="C33" s="107" t="str">
        <f aca="false">IF(ABS('Debt &amp; cash'!M33-'Debt &amp; cash'!E33)&lt;0.001,"OK","Check")</f>
        <v>OK</v>
      </c>
      <c r="D33" s="107" t="str">
        <f aca="false">IF('Debt &amp; cash'!S33&gt;=-0.001,"OK","Check")</f>
        <v>OK</v>
      </c>
      <c r="E33" s="108" t="n">
        <f aca="false">'Debt &amp; cash'!V33</f>
        <v>0</v>
      </c>
      <c r="F33" s="107" t="str">
        <f aca="false">IF($A33&lt;1887,"n/a",IF(E33&lt;=cap_debt,"OK","Check"))</f>
        <v>n/a</v>
      </c>
      <c r="G33" s="108" t="n">
        <f aca="false">'Debt &amp; cash'!W33</f>
        <v>0</v>
      </c>
      <c r="H33" s="107" t="str">
        <f aca="false">IF($A33&lt;1887,"n/a",IF(G33&lt;=cap_int,"OK","Check"))</f>
        <v>n/a</v>
      </c>
      <c r="I33" s="108" t="n">
        <f aca="false">Budget!AC33</f>
        <v>0.0224577833547631</v>
      </c>
      <c r="J33" s="107" t="str">
        <f aca="false">IF($A33&lt;1887,"n/a",IF(Paths!AC33=1,"War year",IF(I33&lt;=cap_def,"OK","Check")))</f>
        <v>n/a</v>
      </c>
      <c r="K33" s="66" t="n">
        <f aca="false">'Debt &amp; cash'!Y33/Economy!O33</f>
        <v>0</v>
      </c>
      <c r="L33" s="107" t="str">
        <f aca="false">IF('Debt &amp; cash'!Y33*issue_price&lt;=mkt_capacity*Economy!O33+foreign_capacity,"OK","Check")</f>
        <v>OK</v>
      </c>
      <c r="M33" s="107" t="str">
        <f aca="false">IF($A33&lt;1900,"n/a",IF('Gold &amp; money'!K33&gt;=0,"OK","Check"))</f>
        <v>n/a</v>
      </c>
      <c r="N33" s="108" t="n">
        <f aca="false">Japan!AA33</f>
        <v>0.00892845681623464</v>
      </c>
      <c r="O33" s="107" t="str">
        <f aca="false">IF(N33&lt;=1,"OK","Check")</f>
        <v>OK</v>
      </c>
      <c r="P33" s="107" t="str">
        <f aca="false">IF($A33&lt;1922,"n/a",IF(AND(Navy!AE33&gt;=0.95,Navy!AE33&lt;=1.1),"OK","Check"))</f>
        <v>n/a</v>
      </c>
      <c r="Q33" s="107" t="str">
        <f aca="false">IF(Navy!Z33=0,"n/a",IF(Resources!K33&gt;=Navy!Z33,"OK","Check"))</f>
        <v>n/a</v>
      </c>
      <c r="R33" s="107" t="str">
        <f aca="false">IF(AND(gulf_on=1,$A33=gulf_year),IF(Gulf!AF33=1,"OK","Check"),"n/a")</f>
        <v>n/a</v>
      </c>
      <c r="S33" s="49" t="n">
        <f aca="false">COUNTIF(B33:R33,"Check")+COUNTIF(T33:AG33,"Check")+AH33+COUNTIF(AI33,"Check")+COUNTIF(AJ33:AK33,"Check")</f>
        <v>0</v>
      </c>
      <c r="T33" s="1" t="str">
        <f aca="false">IF(ABS(Japan!AM33)&lt;0.001,"OK","Check")</f>
        <v>OK</v>
      </c>
      <c r="U33" s="1" t="str">
        <f aca="false">"n/a"</f>
        <v>n/a</v>
      </c>
      <c r="V33" s="1" t="str">
        <f aca="false">"n/a"</f>
        <v>n/a</v>
      </c>
      <c r="W33" s="1" t="str">
        <f aca="false">"n/a"</f>
        <v>n/a</v>
      </c>
      <c r="X33" s="1" t="str">
        <f aca="false">"n/a"</f>
        <v>n/a</v>
      </c>
      <c r="Y33" s="1" t="str">
        <f aca="false">IF(Abroad!T33&gt;=-0.001,"OK","Check")</f>
        <v>OK</v>
      </c>
      <c r="Z33" s="1" t="str">
        <f aca="false">"n/a"</f>
        <v>n/a</v>
      </c>
      <c r="AA33" s="1" t="str">
        <f aca="false">IF(ABS('Sources &amp; uses'!P67)&lt;0.001,"OK","Check")</f>
        <v>OK</v>
      </c>
      <c r="AB33" s="1" t="str">
        <f aca="false">IF(AND(ABS('War credit'!F33)&lt;0.001,ABS('War credit'!K33)&lt;0.001),"OK","Check")</f>
        <v>OK</v>
      </c>
      <c r="AC33" s="1" t="str">
        <f aca="false">"OK"</f>
        <v>OK</v>
      </c>
      <c r="AD33" s="1" t="str">
        <f aca="false">IF('Sources &amp; uses'!M162&lt;0.001,"OK","Check")</f>
        <v>OK</v>
      </c>
      <c r="AE33" s="1" t="str">
        <f aca="false">IF('War credit'!E33=0,"OK",IF(ISNUMBER('War credit'!AC33),IF('War credit'!AC33&lt;0.001,"OK","Check"),"Unverified"))</f>
        <v>OK</v>
      </c>
      <c r="AF33" s="1" t="str">
        <f aca="false">"OK"</f>
        <v>OK</v>
      </c>
      <c r="AG33" s="1" t="str">
        <f aca="false">IF('Capital accounts'!L33&gt;0.001,"Check","OK")</f>
        <v>OK</v>
      </c>
      <c r="AH33" s="1" t="n">
        <f aca="false">COUNTIF(AA33:AG33,"Unverified")</f>
        <v>0</v>
      </c>
      <c r="AI33" s="1" t="str">
        <f aca="false">IF(OR($A33&lt;1918,$A33&gt;1932),"n/a",INDEX(Siberia!$H$38:$H$52,MATCH($A33,Siberia!$A$38:$A$52,0)))</f>
        <v>n/a</v>
      </c>
      <c r="AJ33" s="1" t="str">
        <f aca="false">IF($A33&lt;&gt;1895,"n/a",IF(AND(MATCH(MIN(People!$Y$16:$Y$92),People!$Y$16:$Y$92,0)+1855&gt;=1893,MATCH(MIN(People!$Y$16:$Y$92),People!$Y$16:$Y$92,0)+1855&lt;=1897),"OK","Check"))</f>
        <v>n/a</v>
      </c>
      <c r="AK33" s="1" t="str">
        <f aca="false">IF($A33&lt;&gt;1861,"n/a",IF(ABS(People!B33/dem01_target-1)&lt;=0.1,"OK","Check"))</f>
        <v>n/a</v>
      </c>
    </row>
    <row r="34" customFormat="false" ht="14.25" hidden="false" customHeight="true" outlineLevel="0" collapsed="false">
      <c r="A34" s="61" t="n">
        <v>1874</v>
      </c>
      <c r="B34" s="107" t="str">
        <f aca="false">IF(ABS(People!L34-(People!B34+People!C34+People!D34+People!K34))&lt;1,"OK","Check")</f>
        <v>OK</v>
      </c>
      <c r="C34" s="107" t="str">
        <f aca="false">IF(ABS('Debt &amp; cash'!M34-'Debt &amp; cash'!E34)&lt;0.001,"OK","Check")</f>
        <v>OK</v>
      </c>
      <c r="D34" s="107" t="str">
        <f aca="false">IF('Debt &amp; cash'!S34&gt;=-0.001,"OK","Check")</f>
        <v>OK</v>
      </c>
      <c r="E34" s="108" t="n">
        <f aca="false">'Debt &amp; cash'!V34</f>
        <v>0</v>
      </c>
      <c r="F34" s="107" t="str">
        <f aca="false">IF($A34&lt;1887,"n/a",IF(E34&lt;=cap_debt,"OK","Check"))</f>
        <v>n/a</v>
      </c>
      <c r="G34" s="108" t="n">
        <f aca="false">'Debt &amp; cash'!W34</f>
        <v>0</v>
      </c>
      <c r="H34" s="107" t="str">
        <f aca="false">IF($A34&lt;1887,"n/a",IF(G34&lt;=cap_int,"OK","Check"))</f>
        <v>n/a</v>
      </c>
      <c r="I34" s="108" t="n">
        <f aca="false">Budget!AC34</f>
        <v>0.0225956186321443</v>
      </c>
      <c r="J34" s="107" t="str">
        <f aca="false">IF($A34&lt;1887,"n/a",IF(Paths!AC34=1,"War year",IF(I34&lt;=cap_def,"OK","Check")))</f>
        <v>n/a</v>
      </c>
      <c r="K34" s="66" t="n">
        <f aca="false">'Debt &amp; cash'!Y34/Economy!O34</f>
        <v>0</v>
      </c>
      <c r="L34" s="107" t="str">
        <f aca="false">IF('Debt &amp; cash'!Y34*issue_price&lt;=mkt_capacity*Economy!O34+foreign_capacity,"OK","Check")</f>
        <v>OK</v>
      </c>
      <c r="M34" s="107" t="str">
        <f aca="false">IF($A34&lt;1900,"n/a",IF('Gold &amp; money'!K34&gt;=0,"OK","Check"))</f>
        <v>n/a</v>
      </c>
      <c r="N34" s="108" t="n">
        <f aca="false">Japan!AA34</f>
        <v>0.00844655887583552</v>
      </c>
      <c r="O34" s="107" t="str">
        <f aca="false">IF(N34&lt;=1,"OK","Check")</f>
        <v>OK</v>
      </c>
      <c r="P34" s="107" t="str">
        <f aca="false">IF($A34&lt;1922,"n/a",IF(AND(Navy!AE34&gt;=0.95,Navy!AE34&lt;=1.1),"OK","Check"))</f>
        <v>n/a</v>
      </c>
      <c r="Q34" s="107" t="str">
        <f aca="false">IF(Navy!Z34=0,"n/a",IF(Resources!K34&gt;=Navy!Z34,"OK","Check"))</f>
        <v>n/a</v>
      </c>
      <c r="R34" s="107" t="str">
        <f aca="false">IF(AND(gulf_on=1,$A34=gulf_year),IF(Gulf!AF34=1,"OK","Check"),"n/a")</f>
        <v>n/a</v>
      </c>
      <c r="S34" s="49" t="n">
        <f aca="false">COUNTIF(B34:R34,"Check")+COUNTIF(T34:AG34,"Check")+AH34+COUNTIF(AI34,"Check")+COUNTIF(AJ34:AK34,"Check")</f>
        <v>0</v>
      </c>
      <c r="T34" s="1" t="str">
        <f aca="false">IF(ABS(Japan!AM34)&lt;0.001,"OK","Check")</f>
        <v>OK</v>
      </c>
      <c r="U34" s="1" t="str">
        <f aca="false">"n/a"</f>
        <v>n/a</v>
      </c>
      <c r="V34" s="1" t="str">
        <f aca="false">"n/a"</f>
        <v>n/a</v>
      </c>
      <c r="W34" s="1" t="str">
        <f aca="false">"n/a"</f>
        <v>n/a</v>
      </c>
      <c r="X34" s="1" t="str">
        <f aca="false">"n/a"</f>
        <v>n/a</v>
      </c>
      <c r="Y34" s="1" t="str">
        <f aca="false">IF(Abroad!T34&gt;=-0.001,"OK","Check")</f>
        <v>OK</v>
      </c>
      <c r="Z34" s="1" t="str">
        <f aca="false">"n/a"</f>
        <v>n/a</v>
      </c>
      <c r="AA34" s="1" t="str">
        <f aca="false">IF(ABS('Sources &amp; uses'!P68)&lt;0.001,"OK","Check")</f>
        <v>OK</v>
      </c>
      <c r="AB34" s="1" t="str">
        <f aca="false">IF(AND(ABS('War credit'!F34)&lt;0.001,ABS('War credit'!K34)&lt;0.001),"OK","Check")</f>
        <v>OK</v>
      </c>
      <c r="AC34" s="1" t="str">
        <f aca="false">"OK"</f>
        <v>OK</v>
      </c>
      <c r="AD34" s="1" t="str">
        <f aca="false">IF('Sources &amp; uses'!M163&lt;0.001,"OK","Check")</f>
        <v>OK</v>
      </c>
      <c r="AE34" s="1" t="str">
        <f aca="false">IF('War credit'!E34=0,"OK",IF(ISNUMBER('War credit'!AC34),IF('War credit'!AC34&lt;0.001,"OK","Check"),"Unverified"))</f>
        <v>OK</v>
      </c>
      <c r="AF34" s="1" t="str">
        <f aca="false">"OK"</f>
        <v>OK</v>
      </c>
      <c r="AG34" s="1" t="str">
        <f aca="false">IF('Capital accounts'!L34&gt;0.001,"Check","OK")</f>
        <v>OK</v>
      </c>
      <c r="AH34" s="1" t="n">
        <f aca="false">COUNTIF(AA34:AG34,"Unverified")</f>
        <v>0</v>
      </c>
      <c r="AI34" s="1" t="str">
        <f aca="false">IF(OR($A34&lt;1918,$A34&gt;1932),"n/a",INDEX(Siberia!$H$38:$H$52,MATCH($A34,Siberia!$A$38:$A$52,0)))</f>
        <v>n/a</v>
      </c>
      <c r="AJ34" s="1" t="str">
        <f aca="false">IF($A34&lt;&gt;1895,"n/a",IF(AND(MATCH(MIN(People!$Y$16:$Y$92),People!$Y$16:$Y$92,0)+1855&gt;=1893,MATCH(MIN(People!$Y$16:$Y$92),People!$Y$16:$Y$92,0)+1855&lt;=1897),"OK","Check"))</f>
        <v>n/a</v>
      </c>
      <c r="AK34" s="1" t="str">
        <f aca="false">IF($A34&lt;&gt;1861,"n/a",IF(ABS(People!B34/dem01_target-1)&lt;=0.1,"OK","Check"))</f>
        <v>n/a</v>
      </c>
    </row>
    <row r="35" customFormat="false" ht="14.25" hidden="false" customHeight="true" outlineLevel="0" collapsed="false">
      <c r="A35" s="61" t="n">
        <v>1875</v>
      </c>
      <c r="B35" s="107" t="str">
        <f aca="false">IF(ABS(People!L35-(People!B35+People!C35+People!D35+People!K35))&lt;1,"OK","Check")</f>
        <v>OK</v>
      </c>
      <c r="C35" s="107" t="str">
        <f aca="false">IF(ABS('Debt &amp; cash'!M35-'Debt &amp; cash'!E35)&lt;0.001,"OK","Check")</f>
        <v>OK</v>
      </c>
      <c r="D35" s="107" t="str">
        <f aca="false">IF('Debt &amp; cash'!S35&gt;=-0.001,"OK","Check")</f>
        <v>OK</v>
      </c>
      <c r="E35" s="108" t="n">
        <f aca="false">'Debt &amp; cash'!V35</f>
        <v>0</v>
      </c>
      <c r="F35" s="107" t="str">
        <f aca="false">IF($A35&lt;1887,"n/a",IF(E35&lt;=cap_debt,"OK","Check"))</f>
        <v>n/a</v>
      </c>
      <c r="G35" s="108" t="n">
        <f aca="false">'Debt &amp; cash'!W35</f>
        <v>0</v>
      </c>
      <c r="H35" s="107" t="str">
        <f aca="false">IF($A35&lt;1887,"n/a",IF(G35&lt;=cap_int,"OK","Check"))</f>
        <v>n/a</v>
      </c>
      <c r="I35" s="108" t="n">
        <f aca="false">Budget!AC35</f>
        <v>0.019932954007993</v>
      </c>
      <c r="J35" s="107" t="str">
        <f aca="false">IF($A35&lt;1887,"n/a",IF(Paths!AC35=1,"War year",IF(I35&lt;=cap_def,"OK","Check")))</f>
        <v>n/a</v>
      </c>
      <c r="K35" s="66" t="n">
        <f aca="false">'Debt &amp; cash'!Y35/Economy!O35</f>
        <v>0</v>
      </c>
      <c r="L35" s="107" t="str">
        <f aca="false">IF('Debt &amp; cash'!Y35*issue_price&lt;=mkt_capacity*Economy!O35+foreign_capacity,"OK","Check")</f>
        <v>OK</v>
      </c>
      <c r="M35" s="107" t="str">
        <f aca="false">IF($A35&lt;1900,"n/a",IF('Gold &amp; money'!K35&gt;=0,"OK","Check"))</f>
        <v>n/a</v>
      </c>
      <c r="N35" s="108" t="n">
        <f aca="false">Japan!AA35</f>
        <v>0.00799089062984822</v>
      </c>
      <c r="O35" s="107" t="str">
        <f aca="false">IF(N35&lt;=1,"OK","Check")</f>
        <v>OK</v>
      </c>
      <c r="P35" s="107" t="str">
        <f aca="false">IF($A35&lt;1922,"n/a",IF(AND(Navy!AE35&gt;=0.95,Navy!AE35&lt;=1.1),"OK","Check"))</f>
        <v>n/a</v>
      </c>
      <c r="Q35" s="107" t="str">
        <f aca="false">IF(Navy!Z35=0,"n/a",IF(Resources!K35&gt;=Navy!Z35,"OK","Check"))</f>
        <v>n/a</v>
      </c>
      <c r="R35" s="107" t="str">
        <f aca="false">IF(AND(gulf_on=1,$A35=gulf_year),IF(Gulf!AF35=1,"OK","Check"),"n/a")</f>
        <v>n/a</v>
      </c>
      <c r="S35" s="49" t="n">
        <f aca="false">COUNTIF(B35:R35,"Check")+COUNTIF(T35:AG35,"Check")+AH35+COUNTIF(AI35,"Check")+COUNTIF(AJ35:AK35,"Check")</f>
        <v>0</v>
      </c>
      <c r="T35" s="1" t="str">
        <f aca="false">IF(ABS(Japan!AM35)&lt;0.001,"OK","Check")</f>
        <v>OK</v>
      </c>
      <c r="U35" s="1" t="str">
        <f aca="false">"n/a"</f>
        <v>n/a</v>
      </c>
      <c r="V35" s="1" t="str">
        <f aca="false">"n/a"</f>
        <v>n/a</v>
      </c>
      <c r="W35" s="1" t="str">
        <f aca="false">"n/a"</f>
        <v>n/a</v>
      </c>
      <c r="X35" s="1" t="str">
        <f aca="false">"n/a"</f>
        <v>n/a</v>
      </c>
      <c r="Y35" s="1" t="str">
        <f aca="false">IF(Abroad!T35&gt;=-0.001,"OK","Check")</f>
        <v>OK</v>
      </c>
      <c r="Z35" s="1" t="str">
        <f aca="false">"n/a"</f>
        <v>n/a</v>
      </c>
      <c r="AA35" s="1" t="str">
        <f aca="false">IF(ABS('Sources &amp; uses'!P69)&lt;0.001,"OK","Check")</f>
        <v>OK</v>
      </c>
      <c r="AB35" s="1" t="str">
        <f aca="false">IF(AND(ABS('War credit'!F35)&lt;0.001,ABS('War credit'!K35)&lt;0.001),"OK","Check")</f>
        <v>OK</v>
      </c>
      <c r="AC35" s="1" t="str">
        <f aca="false">"OK"</f>
        <v>OK</v>
      </c>
      <c r="AD35" s="1" t="str">
        <f aca="false">IF('Sources &amp; uses'!M164&lt;0.001,"OK","Check")</f>
        <v>OK</v>
      </c>
      <c r="AE35" s="1" t="str">
        <f aca="false">IF('War credit'!E35=0,"OK",IF(ISNUMBER('War credit'!AC35),IF('War credit'!AC35&lt;0.001,"OK","Check"),"Unverified"))</f>
        <v>OK</v>
      </c>
      <c r="AF35" s="1" t="str">
        <f aca="false">"OK"</f>
        <v>OK</v>
      </c>
      <c r="AG35" s="1" t="str">
        <f aca="false">IF('Capital accounts'!L35&gt;0.001,"Check","OK")</f>
        <v>OK</v>
      </c>
      <c r="AH35" s="1" t="n">
        <f aca="false">COUNTIF(AA35:AG35,"Unverified")</f>
        <v>0</v>
      </c>
      <c r="AI35" s="1" t="str">
        <f aca="false">IF(OR($A35&lt;1918,$A35&gt;1932),"n/a",INDEX(Siberia!$H$38:$H$52,MATCH($A35,Siberia!$A$38:$A$52,0)))</f>
        <v>n/a</v>
      </c>
      <c r="AJ35" s="1" t="str">
        <f aca="false">IF($A35&lt;&gt;1895,"n/a",IF(AND(MATCH(MIN(People!$Y$16:$Y$92),People!$Y$16:$Y$92,0)+1855&gt;=1893,MATCH(MIN(People!$Y$16:$Y$92),People!$Y$16:$Y$92,0)+1855&lt;=1897),"OK","Check"))</f>
        <v>n/a</v>
      </c>
      <c r="AK35" s="1" t="str">
        <f aca="false">IF($A35&lt;&gt;1861,"n/a",IF(ABS(People!B35/dem01_target-1)&lt;=0.1,"OK","Check"))</f>
        <v>n/a</v>
      </c>
    </row>
    <row r="36" customFormat="false" ht="14.25" hidden="false" customHeight="true" outlineLevel="0" collapsed="false">
      <c r="A36" s="61" t="n">
        <v>1876</v>
      </c>
      <c r="B36" s="107" t="str">
        <f aca="false">IF(ABS(People!L36-(People!B36+People!C36+People!D36+People!K36))&lt;1,"OK","Check")</f>
        <v>OK</v>
      </c>
      <c r="C36" s="107" t="str">
        <f aca="false">IF(ABS('Debt &amp; cash'!M36-'Debt &amp; cash'!E36)&lt;0.001,"OK","Check")</f>
        <v>OK</v>
      </c>
      <c r="D36" s="107" t="str">
        <f aca="false">IF('Debt &amp; cash'!S36&gt;=-0.001,"OK","Check")</f>
        <v>OK</v>
      </c>
      <c r="E36" s="108" t="n">
        <f aca="false">'Debt &amp; cash'!V36</f>
        <v>0</v>
      </c>
      <c r="F36" s="107" t="str">
        <f aca="false">IF($A36&lt;1887,"n/a",IF(E36&lt;=cap_debt,"OK","Check"))</f>
        <v>n/a</v>
      </c>
      <c r="G36" s="108" t="n">
        <f aca="false">'Debt &amp; cash'!W36</f>
        <v>0</v>
      </c>
      <c r="H36" s="107" t="str">
        <f aca="false">IF($A36&lt;1887,"n/a",IF(G36&lt;=cap_int,"OK","Check"))</f>
        <v>n/a</v>
      </c>
      <c r="I36" s="108" t="n">
        <f aca="false">Budget!AC36</f>
        <v>0.017330192185986</v>
      </c>
      <c r="J36" s="107" t="str">
        <f aca="false">IF($A36&lt;1887,"n/a",IF(Paths!AC36=1,"War year",IF(I36&lt;=cap_def,"OK","Check")))</f>
        <v>n/a</v>
      </c>
      <c r="K36" s="66" t="n">
        <f aca="false">'Debt &amp; cash'!Y36/Economy!O36</f>
        <v>0</v>
      </c>
      <c r="L36" s="107" t="str">
        <f aca="false">IF('Debt &amp; cash'!Y36*issue_price&lt;=mkt_capacity*Economy!O36+foreign_capacity,"OK","Check")</f>
        <v>OK</v>
      </c>
      <c r="M36" s="107" t="str">
        <f aca="false">IF($A36&lt;1900,"n/a",IF('Gold &amp; money'!K36&gt;=0,"OK","Check"))</f>
        <v>n/a</v>
      </c>
      <c r="N36" s="108" t="n">
        <f aca="false">Japan!AA36</f>
        <v>0.225476456179928</v>
      </c>
      <c r="O36" s="107" t="str">
        <f aca="false">IF(N36&lt;=1,"OK","Check")</f>
        <v>OK</v>
      </c>
      <c r="P36" s="107" t="str">
        <f aca="false">IF($A36&lt;1922,"n/a",IF(AND(Navy!AE36&gt;=0.95,Navy!AE36&lt;=1.1),"OK","Check"))</f>
        <v>n/a</v>
      </c>
      <c r="Q36" s="107" t="str">
        <f aca="false">IF(Navy!Z36=0,"n/a",IF(Resources!K36&gt;=Navy!Z36,"OK","Check"))</f>
        <v>n/a</v>
      </c>
      <c r="R36" s="107" t="str">
        <f aca="false">IF(AND(gulf_on=1,$A36=gulf_year),IF(Gulf!AF36=1,"OK","Check"),"n/a")</f>
        <v>n/a</v>
      </c>
      <c r="S36" s="49" t="n">
        <f aca="false">COUNTIF(B36:R36,"Check")+COUNTIF(T36:AG36,"Check")+AH36+COUNTIF(AI36,"Check")+COUNTIF(AJ36:AK36,"Check")</f>
        <v>0</v>
      </c>
      <c r="T36" s="1" t="str">
        <f aca="false">IF(ABS(Japan!AM36)&lt;0.001,"OK","Check")</f>
        <v>OK</v>
      </c>
      <c r="U36" s="1" t="str">
        <f aca="false">"n/a"</f>
        <v>n/a</v>
      </c>
      <c r="V36" s="1" t="str">
        <f aca="false">"n/a"</f>
        <v>n/a</v>
      </c>
      <c r="W36" s="1" t="str">
        <f aca="false">"n/a"</f>
        <v>n/a</v>
      </c>
      <c r="X36" s="1" t="str">
        <f aca="false">"n/a"</f>
        <v>n/a</v>
      </c>
      <c r="Y36" s="1" t="str">
        <f aca="false">IF(Abroad!T36&gt;=-0.001,"OK","Check")</f>
        <v>OK</v>
      </c>
      <c r="Z36" s="1" t="str">
        <f aca="false">"n/a"</f>
        <v>n/a</v>
      </c>
      <c r="AA36" s="1" t="str">
        <f aca="false">IF(ABS('Sources &amp; uses'!P70)&lt;0.001,"OK","Check")</f>
        <v>OK</v>
      </c>
      <c r="AB36" s="1" t="str">
        <f aca="false">IF(AND(ABS('War credit'!F36)&lt;0.001,ABS('War credit'!K36)&lt;0.001),"OK","Check")</f>
        <v>OK</v>
      </c>
      <c r="AC36" s="1" t="str">
        <f aca="false">"OK"</f>
        <v>OK</v>
      </c>
      <c r="AD36" s="1" t="str">
        <f aca="false">IF('Sources &amp; uses'!M165&lt;0.001,"OK","Check")</f>
        <v>OK</v>
      </c>
      <c r="AE36" s="1" t="str">
        <f aca="false">IF('War credit'!E36=0,"OK",IF(ISNUMBER('War credit'!AC36),IF('War credit'!AC36&lt;0.001,"OK","Check"),"Unverified"))</f>
        <v>OK</v>
      </c>
      <c r="AF36" s="1" t="str">
        <f aca="false">"OK"</f>
        <v>OK</v>
      </c>
      <c r="AG36" s="1" t="str">
        <f aca="false">IF('Capital accounts'!L36&gt;0.001,"Check","OK")</f>
        <v>OK</v>
      </c>
      <c r="AH36" s="1" t="n">
        <f aca="false">COUNTIF(AA36:AG36,"Unverified")</f>
        <v>0</v>
      </c>
      <c r="AI36" s="1" t="str">
        <f aca="false">IF(OR($A36&lt;1918,$A36&gt;1932),"n/a",INDEX(Siberia!$H$38:$H$52,MATCH($A36,Siberia!$A$38:$A$52,0)))</f>
        <v>n/a</v>
      </c>
      <c r="AJ36" s="1" t="str">
        <f aca="false">IF($A36&lt;&gt;1895,"n/a",IF(AND(MATCH(MIN(People!$Y$16:$Y$92),People!$Y$16:$Y$92,0)+1855&gt;=1893,MATCH(MIN(People!$Y$16:$Y$92),People!$Y$16:$Y$92,0)+1855&lt;=1897),"OK","Check"))</f>
        <v>n/a</v>
      </c>
      <c r="AK36" s="1" t="str">
        <f aca="false">IF($A36&lt;&gt;1861,"n/a",IF(ABS(People!B36/dem01_target-1)&lt;=0.1,"OK","Check"))</f>
        <v>n/a</v>
      </c>
    </row>
    <row r="37" customFormat="false" ht="14.25" hidden="false" customHeight="true" outlineLevel="0" collapsed="false">
      <c r="A37" s="61" t="n">
        <v>1877</v>
      </c>
      <c r="B37" s="107" t="str">
        <f aca="false">IF(ABS(People!L37-(People!B37+People!C37+People!D37+People!K37))&lt;1,"OK","Check")</f>
        <v>OK</v>
      </c>
      <c r="C37" s="107" t="str">
        <f aca="false">IF(ABS('Debt &amp; cash'!M37-'Debt &amp; cash'!E37)&lt;0.001,"OK","Check")</f>
        <v>OK</v>
      </c>
      <c r="D37" s="107" t="str">
        <f aca="false">IF('Debt &amp; cash'!S37&gt;=-0.001,"OK","Check")</f>
        <v>OK</v>
      </c>
      <c r="E37" s="108" t="n">
        <f aca="false">'Debt &amp; cash'!V37</f>
        <v>0</v>
      </c>
      <c r="F37" s="107" t="str">
        <f aca="false">IF($A37&lt;1887,"n/a",IF(E37&lt;=cap_debt,"OK","Check"))</f>
        <v>n/a</v>
      </c>
      <c r="G37" s="108" t="n">
        <f aca="false">'Debt &amp; cash'!W37</f>
        <v>0</v>
      </c>
      <c r="H37" s="107" t="str">
        <f aca="false">IF($A37&lt;1887,"n/a",IF(G37&lt;=cap_int,"OK","Check"))</f>
        <v>n/a</v>
      </c>
      <c r="I37" s="108" t="n">
        <f aca="false">Budget!AC37</f>
        <v>0.017805727451969</v>
      </c>
      <c r="J37" s="107" t="str">
        <f aca="false">IF($A37&lt;1887,"n/a",IF(Paths!AC37=1,"War year",IF(I37&lt;=cap_def,"OK","Check")))</f>
        <v>n/a</v>
      </c>
      <c r="K37" s="66" t="n">
        <f aca="false">'Debt &amp; cash'!Y37/Economy!O37</f>
        <v>0</v>
      </c>
      <c r="L37" s="107" t="str">
        <f aca="false">IF('Debt &amp; cash'!Y37*issue_price&lt;=mkt_capacity*Economy!O37+foreign_capacity,"OK","Check")</f>
        <v>OK</v>
      </c>
      <c r="M37" s="107" t="str">
        <f aca="false">IF($A37&lt;1900,"n/a",IF('Gold &amp; money'!K37&gt;=0,"OK","Check"))</f>
        <v>n/a</v>
      </c>
      <c r="N37" s="108" t="n">
        <f aca="false">Japan!AA37</f>
        <v>0.211139304380049</v>
      </c>
      <c r="O37" s="107" t="str">
        <f aca="false">IF(N37&lt;=1,"OK","Check")</f>
        <v>OK</v>
      </c>
      <c r="P37" s="107" t="str">
        <f aca="false">IF($A37&lt;1922,"n/a",IF(AND(Navy!AE37&gt;=0.95,Navy!AE37&lt;=1.1),"OK","Check"))</f>
        <v>n/a</v>
      </c>
      <c r="Q37" s="107" t="str">
        <f aca="false">IF(Navy!Z37=0,"n/a",IF(Resources!K37&gt;=Navy!Z37,"OK","Check"))</f>
        <v>n/a</v>
      </c>
      <c r="R37" s="107" t="str">
        <f aca="false">IF(AND(gulf_on=1,$A37=gulf_year),IF(Gulf!AF37=1,"OK","Check"),"n/a")</f>
        <v>n/a</v>
      </c>
      <c r="S37" s="49" t="n">
        <f aca="false">COUNTIF(B37:R37,"Check")+COUNTIF(T37:AG37,"Check")+AH37+COUNTIF(AI37,"Check")+COUNTIF(AJ37:AK37,"Check")</f>
        <v>0</v>
      </c>
      <c r="T37" s="1" t="str">
        <f aca="false">IF(ABS(Japan!AM37)&lt;0.001,"OK","Check")</f>
        <v>OK</v>
      </c>
      <c r="U37" s="1" t="str">
        <f aca="false">"n/a"</f>
        <v>n/a</v>
      </c>
      <c r="V37" s="1" t="str">
        <f aca="false">"n/a"</f>
        <v>n/a</v>
      </c>
      <c r="W37" s="1" t="str">
        <f aca="false">"n/a"</f>
        <v>n/a</v>
      </c>
      <c r="X37" s="1" t="str">
        <f aca="false">"n/a"</f>
        <v>n/a</v>
      </c>
      <c r="Y37" s="1" t="str">
        <f aca="false">IF(Abroad!T37&gt;=-0.001,"OK","Check")</f>
        <v>OK</v>
      </c>
      <c r="Z37" s="1" t="str">
        <f aca="false">"n/a"</f>
        <v>n/a</v>
      </c>
      <c r="AA37" s="1" t="str">
        <f aca="false">IF(ABS('Sources &amp; uses'!P71)&lt;0.001,"OK","Check")</f>
        <v>OK</v>
      </c>
      <c r="AB37" s="1" t="str">
        <f aca="false">IF(AND(ABS('War credit'!F37)&lt;0.001,ABS('War credit'!K37)&lt;0.001),"OK","Check")</f>
        <v>OK</v>
      </c>
      <c r="AC37" s="1" t="str">
        <f aca="false">"OK"</f>
        <v>OK</v>
      </c>
      <c r="AD37" s="1" t="str">
        <f aca="false">IF('Sources &amp; uses'!M166&lt;0.001,"OK","Check")</f>
        <v>OK</v>
      </c>
      <c r="AE37" s="1" t="str">
        <f aca="false">IF('War credit'!E37=0,"OK",IF(ISNUMBER('War credit'!AC37),IF('War credit'!AC37&lt;0.001,"OK","Check"),"Unverified"))</f>
        <v>OK</v>
      </c>
      <c r="AF37" s="1" t="str">
        <f aca="false">"OK"</f>
        <v>OK</v>
      </c>
      <c r="AG37" s="1" t="str">
        <f aca="false">IF('Capital accounts'!L37&gt;0.001,"Check","OK")</f>
        <v>OK</v>
      </c>
      <c r="AH37" s="1" t="n">
        <f aca="false">COUNTIF(AA37:AG37,"Unverified")</f>
        <v>0</v>
      </c>
      <c r="AI37" s="1" t="str">
        <f aca="false">IF(OR($A37&lt;1918,$A37&gt;1932),"n/a",INDEX(Siberia!$H$38:$H$52,MATCH($A37,Siberia!$A$38:$A$52,0)))</f>
        <v>n/a</v>
      </c>
      <c r="AJ37" s="1" t="str">
        <f aca="false">IF($A37&lt;&gt;1895,"n/a",IF(AND(MATCH(MIN(People!$Y$16:$Y$92),People!$Y$16:$Y$92,0)+1855&gt;=1893,MATCH(MIN(People!$Y$16:$Y$92),People!$Y$16:$Y$92,0)+1855&lt;=1897),"OK","Check"))</f>
        <v>n/a</v>
      </c>
      <c r="AK37" s="1" t="str">
        <f aca="false">IF($A37&lt;&gt;1861,"n/a",IF(ABS(People!B37/dem01_target-1)&lt;=0.1,"OK","Check"))</f>
        <v>n/a</v>
      </c>
    </row>
    <row r="38" customFormat="false" ht="14.25" hidden="false" customHeight="true" outlineLevel="0" collapsed="false">
      <c r="A38" s="61" t="n">
        <v>1878</v>
      </c>
      <c r="B38" s="107" t="str">
        <f aca="false">IF(ABS(People!L38-(People!B38+People!C38+People!D38+People!K38))&lt;1,"OK","Check")</f>
        <v>OK</v>
      </c>
      <c r="C38" s="107" t="str">
        <f aca="false">IF(ABS('Debt &amp; cash'!M38-'Debt &amp; cash'!E38)&lt;0.001,"OK","Check")</f>
        <v>OK</v>
      </c>
      <c r="D38" s="107" t="str">
        <f aca="false">IF('Debt &amp; cash'!S38&gt;=-0.001,"OK","Check")</f>
        <v>OK</v>
      </c>
      <c r="E38" s="108" t="n">
        <f aca="false">'Debt &amp; cash'!V38</f>
        <v>0</v>
      </c>
      <c r="F38" s="107" t="str">
        <f aca="false">IF($A38&lt;1887,"n/a",IF(E38&lt;=cap_debt,"OK","Check"))</f>
        <v>n/a</v>
      </c>
      <c r="G38" s="108" t="n">
        <f aca="false">'Debt &amp; cash'!W38</f>
        <v>0</v>
      </c>
      <c r="H38" s="107" t="str">
        <f aca="false">IF($A38&lt;1887,"n/a",IF(G38&lt;=cap_int,"OK","Check"))</f>
        <v>n/a</v>
      </c>
      <c r="I38" s="108" t="n">
        <f aca="false">Budget!AC38</f>
        <v>0.0212438382065368</v>
      </c>
      <c r="J38" s="107" t="str">
        <f aca="false">IF($A38&lt;1887,"n/a",IF(Paths!AC38=1,"War year",IF(I38&lt;=cap_def,"OK","Check")))</f>
        <v>n/a</v>
      </c>
      <c r="K38" s="66" t="n">
        <f aca="false">'Debt &amp; cash'!Y38/Economy!O38</f>
        <v>0</v>
      </c>
      <c r="L38" s="107" t="str">
        <f aca="false">IF('Debt &amp; cash'!Y38*issue_price&lt;=mkt_capacity*Economy!O38+foreign_capacity,"OK","Check")</f>
        <v>OK</v>
      </c>
      <c r="M38" s="107" t="str">
        <f aca="false">IF($A38&lt;1900,"n/a",IF('Gold &amp; money'!K38&gt;=0,"OK","Check"))</f>
        <v>n/a</v>
      </c>
      <c r="N38" s="108" t="n">
        <f aca="false">Japan!AA38</f>
        <v>0.197143974261349</v>
      </c>
      <c r="O38" s="107" t="str">
        <f aca="false">IF(N38&lt;=1,"OK","Check")</f>
        <v>OK</v>
      </c>
      <c r="P38" s="107" t="str">
        <f aca="false">IF($A38&lt;1922,"n/a",IF(AND(Navy!AE38&gt;=0.95,Navy!AE38&lt;=1.1),"OK","Check"))</f>
        <v>n/a</v>
      </c>
      <c r="Q38" s="107" t="str">
        <f aca="false">IF(Navy!Z38=0,"n/a",IF(Resources!K38&gt;=Navy!Z38,"OK","Check"))</f>
        <v>n/a</v>
      </c>
      <c r="R38" s="107" t="str">
        <f aca="false">IF(AND(gulf_on=1,$A38=gulf_year),IF(Gulf!AF38=1,"OK","Check"),"n/a")</f>
        <v>n/a</v>
      </c>
      <c r="S38" s="49" t="n">
        <f aca="false">COUNTIF(B38:R38,"Check")+COUNTIF(T38:AG38,"Check")+AH38+COUNTIF(AI38,"Check")+COUNTIF(AJ38:AK38,"Check")</f>
        <v>0</v>
      </c>
      <c r="T38" s="1" t="str">
        <f aca="false">IF(ABS(Japan!AM38)&lt;0.001,"OK","Check")</f>
        <v>OK</v>
      </c>
      <c r="U38" s="1" t="str">
        <f aca="false">"n/a"</f>
        <v>n/a</v>
      </c>
      <c r="V38" s="1" t="str">
        <f aca="false">"n/a"</f>
        <v>n/a</v>
      </c>
      <c r="W38" s="1" t="str">
        <f aca="false">"n/a"</f>
        <v>n/a</v>
      </c>
      <c r="X38" s="1" t="str">
        <f aca="false">"n/a"</f>
        <v>n/a</v>
      </c>
      <c r="Y38" s="1" t="str">
        <f aca="false">IF(Abroad!T38&gt;=-0.001,"OK","Check")</f>
        <v>OK</v>
      </c>
      <c r="Z38" s="1" t="str">
        <f aca="false">"n/a"</f>
        <v>n/a</v>
      </c>
      <c r="AA38" s="1" t="str">
        <f aca="false">IF(ABS('Sources &amp; uses'!P72)&lt;0.001,"OK","Check")</f>
        <v>OK</v>
      </c>
      <c r="AB38" s="1" t="str">
        <f aca="false">IF(AND(ABS('War credit'!F38)&lt;0.001,ABS('War credit'!K38)&lt;0.001),"OK","Check")</f>
        <v>OK</v>
      </c>
      <c r="AC38" s="1" t="str">
        <f aca="false">"OK"</f>
        <v>OK</v>
      </c>
      <c r="AD38" s="1" t="str">
        <f aca="false">IF('Sources &amp; uses'!M167&lt;0.001,"OK","Check")</f>
        <v>OK</v>
      </c>
      <c r="AE38" s="1" t="str">
        <f aca="false">IF('War credit'!E38=0,"OK",IF(ISNUMBER('War credit'!AC38),IF('War credit'!AC38&lt;0.001,"OK","Check"),"Unverified"))</f>
        <v>OK</v>
      </c>
      <c r="AF38" s="1" t="str">
        <f aca="false">"OK"</f>
        <v>OK</v>
      </c>
      <c r="AG38" s="1" t="str">
        <f aca="false">IF('Capital accounts'!L38&gt;0.001,"Check","OK")</f>
        <v>OK</v>
      </c>
      <c r="AH38" s="1" t="n">
        <f aca="false">COUNTIF(AA38:AG38,"Unverified")</f>
        <v>0</v>
      </c>
      <c r="AI38" s="1" t="str">
        <f aca="false">IF(OR($A38&lt;1918,$A38&gt;1932),"n/a",INDEX(Siberia!$H$38:$H$52,MATCH($A38,Siberia!$A$38:$A$52,0)))</f>
        <v>n/a</v>
      </c>
      <c r="AJ38" s="1" t="str">
        <f aca="false">IF($A38&lt;&gt;1895,"n/a",IF(AND(MATCH(MIN(People!$Y$16:$Y$92),People!$Y$16:$Y$92,0)+1855&gt;=1893,MATCH(MIN(People!$Y$16:$Y$92),People!$Y$16:$Y$92,0)+1855&lt;=1897),"OK","Check"))</f>
        <v>n/a</v>
      </c>
      <c r="AK38" s="1" t="str">
        <f aca="false">IF($A38&lt;&gt;1861,"n/a",IF(ABS(People!B38/dem01_target-1)&lt;=0.1,"OK","Check"))</f>
        <v>n/a</v>
      </c>
    </row>
    <row r="39" customFormat="false" ht="14.25" hidden="false" customHeight="true" outlineLevel="0" collapsed="false">
      <c r="A39" s="61" t="n">
        <v>1879</v>
      </c>
      <c r="B39" s="107" t="str">
        <f aca="false">IF(ABS(People!L39-(People!B39+People!C39+People!D39+People!K39))&lt;1,"OK","Check")</f>
        <v>OK</v>
      </c>
      <c r="C39" s="107" t="str">
        <f aca="false">IF(ABS('Debt &amp; cash'!M39-'Debt &amp; cash'!E39)&lt;0.001,"OK","Check")</f>
        <v>OK</v>
      </c>
      <c r="D39" s="107" t="str">
        <f aca="false">IF('Debt &amp; cash'!S39&gt;=-0.001,"OK","Check")</f>
        <v>OK</v>
      </c>
      <c r="E39" s="108" t="n">
        <f aca="false">'Debt &amp; cash'!V39</f>
        <v>0</v>
      </c>
      <c r="F39" s="107" t="str">
        <f aca="false">IF($A39&lt;1887,"n/a",IF(E39&lt;=cap_debt,"OK","Check"))</f>
        <v>n/a</v>
      </c>
      <c r="G39" s="108" t="n">
        <f aca="false">'Debt &amp; cash'!W39</f>
        <v>0</v>
      </c>
      <c r="H39" s="107" t="str">
        <f aca="false">IF($A39&lt;1887,"n/a",IF(G39&lt;=cap_int,"OK","Check"))</f>
        <v>n/a</v>
      </c>
      <c r="I39" s="108" t="n">
        <f aca="false">Budget!AC39</f>
        <v>0.0141520594174724</v>
      </c>
      <c r="J39" s="107" t="str">
        <f aca="false">IF($A39&lt;1887,"n/a",IF(Paths!AC39=1,"War year",IF(I39&lt;=cap_def,"OK","Check")))</f>
        <v>n/a</v>
      </c>
      <c r="K39" s="66" t="n">
        <f aca="false">'Debt &amp; cash'!Y39/Economy!O39</f>
        <v>0</v>
      </c>
      <c r="L39" s="107" t="str">
        <f aca="false">IF('Debt &amp; cash'!Y39*issue_price&lt;=mkt_capacity*Economy!O39+foreign_capacity,"OK","Check")</f>
        <v>OK</v>
      </c>
      <c r="M39" s="107" t="str">
        <f aca="false">IF($A39&lt;1900,"n/a",IF('Gold &amp; money'!K39&gt;=0,"OK","Check"))</f>
        <v>n/a</v>
      </c>
      <c r="N39" s="108" t="n">
        <f aca="false">Japan!AA39</f>
        <v>0.183398801223153</v>
      </c>
      <c r="O39" s="107" t="str">
        <f aca="false">IF(N39&lt;=1,"OK","Check")</f>
        <v>OK</v>
      </c>
      <c r="P39" s="107" t="str">
        <f aca="false">IF($A39&lt;1922,"n/a",IF(AND(Navy!AE39&gt;=0.95,Navy!AE39&lt;=1.1),"OK","Check"))</f>
        <v>n/a</v>
      </c>
      <c r="Q39" s="107" t="str">
        <f aca="false">IF(Navy!Z39=0,"n/a",IF(Resources!K39&gt;=Navy!Z39,"OK","Check"))</f>
        <v>n/a</v>
      </c>
      <c r="R39" s="107" t="str">
        <f aca="false">IF(AND(gulf_on=1,$A39=gulf_year),IF(Gulf!AF39=1,"OK","Check"),"n/a")</f>
        <v>n/a</v>
      </c>
      <c r="S39" s="49" t="n">
        <f aca="false">COUNTIF(B39:R39,"Check")+COUNTIF(T39:AG39,"Check")+AH39+COUNTIF(AI39,"Check")+COUNTIF(AJ39:AK39,"Check")</f>
        <v>0</v>
      </c>
      <c r="T39" s="1" t="str">
        <f aca="false">IF(ABS(Japan!AM39)&lt;0.001,"OK","Check")</f>
        <v>OK</v>
      </c>
      <c r="U39" s="1" t="str">
        <f aca="false">"n/a"</f>
        <v>n/a</v>
      </c>
      <c r="V39" s="1" t="str">
        <f aca="false">"n/a"</f>
        <v>n/a</v>
      </c>
      <c r="W39" s="1" t="str">
        <f aca="false">"n/a"</f>
        <v>n/a</v>
      </c>
      <c r="X39" s="1" t="str">
        <f aca="false">"n/a"</f>
        <v>n/a</v>
      </c>
      <c r="Y39" s="1" t="str">
        <f aca="false">IF(Abroad!T39&gt;=-0.001,"OK","Check")</f>
        <v>OK</v>
      </c>
      <c r="Z39" s="1" t="str">
        <f aca="false">"n/a"</f>
        <v>n/a</v>
      </c>
      <c r="AA39" s="1" t="str">
        <f aca="false">IF(ABS('Sources &amp; uses'!P73)&lt;0.001,"OK","Check")</f>
        <v>OK</v>
      </c>
      <c r="AB39" s="1" t="str">
        <f aca="false">IF(AND(ABS('War credit'!F39)&lt;0.001,ABS('War credit'!K39)&lt;0.001),"OK","Check")</f>
        <v>OK</v>
      </c>
      <c r="AC39" s="1" t="str">
        <f aca="false">"OK"</f>
        <v>OK</v>
      </c>
      <c r="AD39" s="1" t="str">
        <f aca="false">IF('Sources &amp; uses'!M168&lt;0.001,"OK","Check")</f>
        <v>OK</v>
      </c>
      <c r="AE39" s="1" t="str">
        <f aca="false">IF('War credit'!E39=0,"OK",IF(ISNUMBER('War credit'!AC39),IF('War credit'!AC39&lt;0.001,"OK","Check"),"Unverified"))</f>
        <v>OK</v>
      </c>
      <c r="AF39" s="1" t="str">
        <f aca="false">"OK"</f>
        <v>OK</v>
      </c>
      <c r="AG39" s="1" t="str">
        <f aca="false">IF('Capital accounts'!L39&gt;0.001,"Check","OK")</f>
        <v>OK</v>
      </c>
      <c r="AH39" s="1" t="n">
        <f aca="false">COUNTIF(AA39:AG39,"Unverified")</f>
        <v>0</v>
      </c>
      <c r="AI39" s="1" t="str">
        <f aca="false">IF(OR($A39&lt;1918,$A39&gt;1932),"n/a",INDEX(Siberia!$H$38:$H$52,MATCH($A39,Siberia!$A$38:$A$52,0)))</f>
        <v>n/a</v>
      </c>
      <c r="AJ39" s="1" t="str">
        <f aca="false">IF($A39&lt;&gt;1895,"n/a",IF(AND(MATCH(MIN(People!$Y$16:$Y$92),People!$Y$16:$Y$92,0)+1855&gt;=1893,MATCH(MIN(People!$Y$16:$Y$92),People!$Y$16:$Y$92,0)+1855&lt;=1897),"OK","Check"))</f>
        <v>n/a</v>
      </c>
      <c r="AK39" s="1" t="str">
        <f aca="false">IF($A39&lt;&gt;1861,"n/a",IF(ABS(People!B39/dem01_target-1)&lt;=0.1,"OK","Check"))</f>
        <v>n/a</v>
      </c>
    </row>
    <row r="40" customFormat="false" ht="14.25" hidden="false" customHeight="true" outlineLevel="0" collapsed="false">
      <c r="A40" s="61" t="n">
        <v>1880</v>
      </c>
      <c r="B40" s="107" t="str">
        <f aca="false">IF(ABS(People!L40-(People!B40+People!C40+People!D40+People!K40))&lt;1,"OK","Check")</f>
        <v>OK</v>
      </c>
      <c r="C40" s="107" t="str">
        <f aca="false">IF(ABS('Debt &amp; cash'!M40-'Debt &amp; cash'!E40)&lt;0.001,"OK","Check")</f>
        <v>OK</v>
      </c>
      <c r="D40" s="107" t="str">
        <f aca="false">IF('Debt &amp; cash'!S40&gt;=-0.001,"OK","Check")</f>
        <v>OK</v>
      </c>
      <c r="E40" s="108" t="n">
        <f aca="false">'Debt &amp; cash'!V40</f>
        <v>0</v>
      </c>
      <c r="F40" s="107" t="str">
        <f aca="false">IF($A40&lt;1887,"n/a",IF(E40&lt;=cap_debt,"OK","Check"))</f>
        <v>n/a</v>
      </c>
      <c r="G40" s="108" t="n">
        <f aca="false">'Debt &amp; cash'!W40</f>
        <v>0</v>
      </c>
      <c r="H40" s="107" t="str">
        <f aca="false">IF($A40&lt;1887,"n/a",IF(G40&lt;=cap_int,"OK","Check"))</f>
        <v>n/a</v>
      </c>
      <c r="I40" s="108" t="n">
        <f aca="false">Budget!AC40</f>
        <v>0.0145316663415582</v>
      </c>
      <c r="J40" s="107" t="str">
        <f aca="false">IF($A40&lt;1887,"n/a",IF(Paths!AC40=1,"War year",IF(I40&lt;=cap_def,"OK","Check")))</f>
        <v>n/a</v>
      </c>
      <c r="K40" s="66" t="n">
        <f aca="false">'Debt &amp; cash'!Y40/Economy!O40</f>
        <v>0</v>
      </c>
      <c r="L40" s="107" t="str">
        <f aca="false">IF('Debt &amp; cash'!Y40*issue_price&lt;=mkt_capacity*Economy!O40+foreign_capacity,"OK","Check")</f>
        <v>OK</v>
      </c>
      <c r="M40" s="107" t="str">
        <f aca="false">IF($A40&lt;1900,"n/a",IF('Gold &amp; money'!K40&gt;=0,"OK","Check"))</f>
        <v>n/a</v>
      </c>
      <c r="N40" s="108" t="n">
        <f aca="false">Japan!AA40</f>
        <v>0.169866691050443</v>
      </c>
      <c r="O40" s="107" t="str">
        <f aca="false">IF(N40&lt;=1,"OK","Check")</f>
        <v>OK</v>
      </c>
      <c r="P40" s="107" t="str">
        <f aca="false">IF($A40&lt;1922,"n/a",IF(AND(Navy!AE40&gt;=0.95,Navy!AE40&lt;=1.1),"OK","Check"))</f>
        <v>n/a</v>
      </c>
      <c r="Q40" s="107" t="str">
        <f aca="false">IF(Navy!Z40=0,"n/a",IF(Resources!K40&gt;=Navy!Z40,"OK","Check"))</f>
        <v>n/a</v>
      </c>
      <c r="R40" s="107" t="str">
        <f aca="false">IF(AND(gulf_on=1,$A40=gulf_year),IF(Gulf!AF40=1,"OK","Check"),"n/a")</f>
        <v>n/a</v>
      </c>
      <c r="S40" s="49" t="n">
        <f aca="false">COUNTIF(B40:R40,"Check")+COUNTIF(T40:AG40,"Check")+AH40+COUNTIF(AI40,"Check")+COUNTIF(AJ40:AK40,"Check")</f>
        <v>0</v>
      </c>
      <c r="T40" s="1" t="str">
        <f aca="false">IF(ABS(Japan!AM40)&lt;0.001,"OK","Check")</f>
        <v>OK</v>
      </c>
      <c r="U40" s="1" t="str">
        <f aca="false">"n/a"</f>
        <v>n/a</v>
      </c>
      <c r="V40" s="1" t="str">
        <f aca="false">"n/a"</f>
        <v>n/a</v>
      </c>
      <c r="W40" s="1" t="str">
        <f aca="false">"n/a"</f>
        <v>n/a</v>
      </c>
      <c r="X40" s="1" t="str">
        <f aca="false">"n/a"</f>
        <v>n/a</v>
      </c>
      <c r="Y40" s="1" t="str">
        <f aca="false">IF(Abroad!T40&gt;=-0.001,"OK","Check")</f>
        <v>OK</v>
      </c>
      <c r="Z40" s="1" t="str">
        <f aca="false">"n/a"</f>
        <v>n/a</v>
      </c>
      <c r="AA40" s="1" t="str">
        <f aca="false">IF(ABS('Sources &amp; uses'!P74)&lt;0.001,"OK","Check")</f>
        <v>OK</v>
      </c>
      <c r="AB40" s="1" t="str">
        <f aca="false">IF(AND(ABS('War credit'!F40)&lt;0.001,ABS('War credit'!K40)&lt;0.001),"OK","Check")</f>
        <v>OK</v>
      </c>
      <c r="AC40" s="1" t="str">
        <f aca="false">"OK"</f>
        <v>OK</v>
      </c>
      <c r="AD40" s="1" t="str">
        <f aca="false">IF('Sources &amp; uses'!M169&lt;0.001,"OK","Check")</f>
        <v>OK</v>
      </c>
      <c r="AE40" s="1" t="str">
        <f aca="false">IF('War credit'!E40=0,"OK",IF(ISNUMBER('War credit'!AC40),IF('War credit'!AC40&lt;0.001,"OK","Check"),"Unverified"))</f>
        <v>OK</v>
      </c>
      <c r="AF40" s="1" t="str">
        <f aca="false">"OK"</f>
        <v>OK</v>
      </c>
      <c r="AG40" s="1" t="str">
        <f aca="false">IF('Capital accounts'!L40&gt;0.001,"Check","OK")</f>
        <v>OK</v>
      </c>
      <c r="AH40" s="1" t="n">
        <f aca="false">COUNTIF(AA40:AG40,"Unverified")</f>
        <v>0</v>
      </c>
      <c r="AI40" s="1" t="str">
        <f aca="false">IF(OR($A40&lt;1918,$A40&gt;1932),"n/a",INDEX(Siberia!$H$38:$H$52,MATCH($A40,Siberia!$A$38:$A$52,0)))</f>
        <v>n/a</v>
      </c>
      <c r="AJ40" s="1" t="str">
        <f aca="false">IF($A40&lt;&gt;1895,"n/a",IF(AND(MATCH(MIN(People!$Y$16:$Y$92),People!$Y$16:$Y$92,0)+1855&gt;=1893,MATCH(MIN(People!$Y$16:$Y$92),People!$Y$16:$Y$92,0)+1855&lt;=1897),"OK","Check"))</f>
        <v>n/a</v>
      </c>
      <c r="AK40" s="1" t="str">
        <f aca="false">IF($A40&lt;&gt;1861,"n/a",IF(ABS(People!B40/dem01_target-1)&lt;=0.1,"OK","Check"))</f>
        <v>n/a</v>
      </c>
    </row>
    <row r="41" customFormat="false" ht="14.25" hidden="false" customHeight="true" outlineLevel="0" collapsed="false">
      <c r="A41" s="61" t="n">
        <v>1881</v>
      </c>
      <c r="B41" s="107" t="str">
        <f aca="false">IF(ABS(People!L41-(People!B41+People!C41+People!D41+People!K41))&lt;1,"OK","Check")</f>
        <v>OK</v>
      </c>
      <c r="C41" s="107" t="str">
        <f aca="false">IF(ABS('Debt &amp; cash'!M41-'Debt &amp; cash'!E41)&lt;0.001,"OK","Check")</f>
        <v>OK</v>
      </c>
      <c r="D41" s="107" t="str">
        <f aca="false">IF('Debt &amp; cash'!S41&gt;=-0.001,"OK","Check")</f>
        <v>OK</v>
      </c>
      <c r="E41" s="108" t="n">
        <f aca="false">'Debt &amp; cash'!V41</f>
        <v>0</v>
      </c>
      <c r="F41" s="107" t="str">
        <f aca="false">IF($A41&lt;1887,"n/a",IF(E41&lt;=cap_debt,"OK","Check"))</f>
        <v>n/a</v>
      </c>
      <c r="G41" s="108" t="n">
        <f aca="false">'Debt &amp; cash'!W41</f>
        <v>0</v>
      </c>
      <c r="H41" s="107" t="str">
        <f aca="false">IF($A41&lt;1887,"n/a",IF(G41&lt;=cap_int,"OK","Check"))</f>
        <v>n/a</v>
      </c>
      <c r="I41" s="108" t="n">
        <f aca="false">Budget!AC41</f>
        <v>0.0140398547983308</v>
      </c>
      <c r="J41" s="107" t="str">
        <f aca="false">IF($A41&lt;1887,"n/a",IF(Paths!AC41=1,"War year",IF(I41&lt;=cap_def,"OK","Check")))</f>
        <v>n/a</v>
      </c>
      <c r="K41" s="66" t="n">
        <f aca="false">'Debt &amp; cash'!Y41/Economy!O41</f>
        <v>0</v>
      </c>
      <c r="L41" s="107" t="str">
        <f aca="false">IF('Debt &amp; cash'!Y41*issue_price&lt;=mkt_capacity*Economy!O41+foreign_capacity,"OK","Check")</f>
        <v>OK</v>
      </c>
      <c r="M41" s="107" t="str">
        <f aca="false">IF($A41&lt;1900,"n/a",IF('Gold &amp; money'!K41&gt;=0,"OK","Check"))</f>
        <v>n/a</v>
      </c>
      <c r="N41" s="108" t="n">
        <f aca="false">Japan!AA41</f>
        <v>0.160104988935852</v>
      </c>
      <c r="O41" s="107" t="str">
        <f aca="false">IF(N41&lt;=1,"OK","Check")</f>
        <v>OK</v>
      </c>
      <c r="P41" s="107" t="str">
        <f aca="false">IF($A41&lt;1922,"n/a",IF(AND(Navy!AE41&gt;=0.95,Navy!AE41&lt;=1.1),"OK","Check"))</f>
        <v>n/a</v>
      </c>
      <c r="Q41" s="107" t="str">
        <f aca="false">IF(Navy!Z41=0,"n/a",IF(Resources!K41&gt;=Navy!Z41,"OK","Check"))</f>
        <v>n/a</v>
      </c>
      <c r="R41" s="107" t="str">
        <f aca="false">IF(AND(gulf_on=1,$A41=gulf_year),IF(Gulf!AF41=1,"OK","Check"),"n/a")</f>
        <v>n/a</v>
      </c>
      <c r="S41" s="49" t="n">
        <f aca="false">COUNTIF(B41:R41,"Check")+COUNTIF(T41:AG41,"Check")+AH41+COUNTIF(AI41,"Check")+COUNTIF(AJ41:AK41,"Check")</f>
        <v>0</v>
      </c>
      <c r="T41" s="1" t="str">
        <f aca="false">IF(ABS(Japan!AM41)&lt;0.001,"OK","Check")</f>
        <v>OK</v>
      </c>
      <c r="U41" s="1" t="str">
        <f aca="false">"n/a"</f>
        <v>n/a</v>
      </c>
      <c r="V41" s="1" t="str">
        <f aca="false">"n/a"</f>
        <v>n/a</v>
      </c>
      <c r="W41" s="1" t="str">
        <f aca="false">"n/a"</f>
        <v>n/a</v>
      </c>
      <c r="X41" s="1" t="str">
        <f aca="false">"n/a"</f>
        <v>n/a</v>
      </c>
      <c r="Y41" s="1" t="str">
        <f aca="false">IF(Abroad!T41&gt;=-0.001,"OK","Check")</f>
        <v>OK</v>
      </c>
      <c r="Z41" s="1" t="str">
        <f aca="false">"n/a"</f>
        <v>n/a</v>
      </c>
      <c r="AA41" s="1" t="str">
        <f aca="false">IF(ABS('Sources &amp; uses'!P75)&lt;0.001,"OK","Check")</f>
        <v>OK</v>
      </c>
      <c r="AB41" s="1" t="str">
        <f aca="false">IF(AND(ABS('War credit'!F41)&lt;0.001,ABS('War credit'!K41)&lt;0.001),"OK","Check")</f>
        <v>OK</v>
      </c>
      <c r="AC41" s="1" t="str">
        <f aca="false">"OK"</f>
        <v>OK</v>
      </c>
      <c r="AD41" s="1" t="str">
        <f aca="false">IF('Sources &amp; uses'!M170&lt;0.001,"OK","Check")</f>
        <v>OK</v>
      </c>
      <c r="AE41" s="1" t="str">
        <f aca="false">IF('War credit'!E41=0,"OK",IF(ISNUMBER('War credit'!AC41),IF('War credit'!AC41&lt;0.001,"OK","Check"),"Unverified"))</f>
        <v>OK</v>
      </c>
      <c r="AF41" s="1" t="str">
        <f aca="false">"OK"</f>
        <v>OK</v>
      </c>
      <c r="AG41" s="1" t="str">
        <f aca="false">IF('Capital accounts'!L41&gt;0.001,"Check","OK")</f>
        <v>OK</v>
      </c>
      <c r="AH41" s="1" t="n">
        <f aca="false">COUNTIF(AA41:AG41,"Unverified")</f>
        <v>0</v>
      </c>
      <c r="AI41" s="1" t="str">
        <f aca="false">IF(OR($A41&lt;1918,$A41&gt;1932),"n/a",INDEX(Siberia!$H$38:$H$52,MATCH($A41,Siberia!$A$38:$A$52,0)))</f>
        <v>n/a</v>
      </c>
      <c r="AJ41" s="1" t="str">
        <f aca="false">IF($A41&lt;&gt;1895,"n/a",IF(AND(MATCH(MIN(People!$Y$16:$Y$92),People!$Y$16:$Y$92,0)+1855&gt;=1893,MATCH(MIN(People!$Y$16:$Y$92),People!$Y$16:$Y$92,0)+1855&lt;=1897),"OK","Check"))</f>
        <v>n/a</v>
      </c>
      <c r="AK41" s="1" t="str">
        <f aca="false">IF($A41&lt;&gt;1861,"n/a",IF(ABS(People!B41/dem01_target-1)&lt;=0.1,"OK","Check"))</f>
        <v>n/a</v>
      </c>
    </row>
    <row r="42" customFormat="false" ht="14.25" hidden="false" customHeight="true" outlineLevel="0" collapsed="false">
      <c r="A42" s="61" t="n">
        <v>1882</v>
      </c>
      <c r="B42" s="107" t="str">
        <f aca="false">IF(ABS(People!L42-(People!B42+People!C42+People!D42+People!K42))&lt;1,"OK","Check")</f>
        <v>OK</v>
      </c>
      <c r="C42" s="107" t="str">
        <f aca="false">IF(ABS('Debt &amp; cash'!M42-'Debt &amp; cash'!E42)&lt;0.001,"OK","Check")</f>
        <v>OK</v>
      </c>
      <c r="D42" s="107" t="str">
        <f aca="false">IF('Debt &amp; cash'!S42&gt;=-0.001,"OK","Check")</f>
        <v>OK</v>
      </c>
      <c r="E42" s="108" t="n">
        <f aca="false">'Debt &amp; cash'!V42</f>
        <v>0</v>
      </c>
      <c r="F42" s="107" t="str">
        <f aca="false">IF($A42&lt;1887,"n/a",IF(E42&lt;=cap_debt,"OK","Check"))</f>
        <v>n/a</v>
      </c>
      <c r="G42" s="108" t="n">
        <f aca="false">'Debt &amp; cash'!W42</f>
        <v>0</v>
      </c>
      <c r="H42" s="107" t="str">
        <f aca="false">IF($A42&lt;1887,"n/a",IF(G42&lt;=cap_int,"OK","Check"))</f>
        <v>n/a</v>
      </c>
      <c r="I42" s="108" t="n">
        <f aca="false">Budget!AC42</f>
        <v>0.0123858576614403</v>
      </c>
      <c r="J42" s="107" t="str">
        <f aca="false">IF($A42&lt;1887,"n/a",IF(Paths!AC42=1,"War year",IF(I42&lt;=cap_def,"OK","Check")))</f>
        <v>n/a</v>
      </c>
      <c r="K42" s="66" t="n">
        <f aca="false">'Debt &amp; cash'!Y42/Economy!O42</f>
        <v>0</v>
      </c>
      <c r="L42" s="107" t="str">
        <f aca="false">IF('Debt &amp; cash'!Y42*issue_price&lt;=mkt_capacity*Economy!O42+foreign_capacity,"OK","Check")</f>
        <v>OK</v>
      </c>
      <c r="M42" s="107" t="str">
        <f aca="false">IF($A42&lt;1900,"n/a",IF('Gold &amp; money'!K42&gt;=0,"OK","Check"))</f>
        <v>n/a</v>
      </c>
      <c r="N42" s="108" t="n">
        <f aca="false">Japan!AA42</f>
        <v>0.150966058468899</v>
      </c>
      <c r="O42" s="107" t="str">
        <f aca="false">IF(N42&lt;=1,"OK","Check")</f>
        <v>OK</v>
      </c>
      <c r="P42" s="107" t="str">
        <f aca="false">IF($A42&lt;1922,"n/a",IF(AND(Navy!AE42&gt;=0.95,Navy!AE42&lt;=1.1),"OK","Check"))</f>
        <v>n/a</v>
      </c>
      <c r="Q42" s="107" t="str">
        <f aca="false">IF(Navy!Z42=0,"n/a",IF(Resources!K42&gt;=Navy!Z42,"OK","Check"))</f>
        <v>OK</v>
      </c>
      <c r="R42" s="107" t="str">
        <f aca="false">IF(AND(gulf_on=1,$A42=gulf_year),IF(Gulf!AF42=1,"OK","Check"),"n/a")</f>
        <v>n/a</v>
      </c>
      <c r="S42" s="49" t="n">
        <f aca="false">COUNTIF(B42:R42,"Check")+COUNTIF(T42:AG42,"Check")+AH42+COUNTIF(AI42,"Check")+COUNTIF(AJ42:AK42,"Check")</f>
        <v>0</v>
      </c>
      <c r="T42" s="1" t="str">
        <f aca="false">IF(ABS(Japan!AM42)&lt;0.001,"OK","Check")</f>
        <v>OK</v>
      </c>
      <c r="U42" s="1" t="str">
        <f aca="false">"n/a"</f>
        <v>n/a</v>
      </c>
      <c r="V42" s="1" t="str">
        <f aca="false">"n/a"</f>
        <v>n/a</v>
      </c>
      <c r="W42" s="1" t="str">
        <f aca="false">"n/a"</f>
        <v>n/a</v>
      </c>
      <c r="X42" s="1" t="str">
        <f aca="false">"n/a"</f>
        <v>n/a</v>
      </c>
      <c r="Y42" s="1" t="str">
        <f aca="false">IF(Abroad!T42&gt;=-0.001,"OK","Check")</f>
        <v>OK</v>
      </c>
      <c r="Z42" s="1" t="str">
        <f aca="false">"n/a"</f>
        <v>n/a</v>
      </c>
      <c r="AA42" s="1" t="str">
        <f aca="false">IF(ABS('Sources &amp; uses'!P76)&lt;0.001,"OK","Check")</f>
        <v>OK</v>
      </c>
      <c r="AB42" s="1" t="str">
        <f aca="false">IF(AND(ABS('War credit'!F42)&lt;0.001,ABS('War credit'!K42)&lt;0.001),"OK","Check")</f>
        <v>OK</v>
      </c>
      <c r="AC42" s="1" t="str">
        <f aca="false">"OK"</f>
        <v>OK</v>
      </c>
      <c r="AD42" s="1" t="str">
        <f aca="false">IF('Sources &amp; uses'!M171&lt;0.001,"OK","Check")</f>
        <v>OK</v>
      </c>
      <c r="AE42" s="1" t="str">
        <f aca="false">IF('War credit'!E42=0,"OK",IF(ISNUMBER('War credit'!AC42),IF('War credit'!AC42&lt;0.001,"OK","Check"),"Unverified"))</f>
        <v>OK</v>
      </c>
      <c r="AF42" s="1" t="str">
        <f aca="false">"OK"</f>
        <v>OK</v>
      </c>
      <c r="AG42" s="1" t="str">
        <f aca="false">IF('Capital accounts'!L42&gt;0.001,"Check","OK")</f>
        <v>OK</v>
      </c>
      <c r="AH42" s="1" t="n">
        <f aca="false">COUNTIF(AA42:AG42,"Unverified")</f>
        <v>0</v>
      </c>
      <c r="AI42" s="1" t="str">
        <f aca="false">IF(OR($A42&lt;1918,$A42&gt;1932),"n/a",INDEX(Siberia!$H$38:$H$52,MATCH($A42,Siberia!$A$38:$A$52,0)))</f>
        <v>n/a</v>
      </c>
      <c r="AJ42" s="1" t="str">
        <f aca="false">IF($A42&lt;&gt;1895,"n/a",IF(AND(MATCH(MIN(People!$Y$16:$Y$92),People!$Y$16:$Y$92,0)+1855&gt;=1893,MATCH(MIN(People!$Y$16:$Y$92),People!$Y$16:$Y$92,0)+1855&lt;=1897),"OK","Check"))</f>
        <v>n/a</v>
      </c>
      <c r="AK42" s="1" t="str">
        <f aca="false">IF($A42&lt;&gt;1861,"n/a",IF(ABS(People!B42/dem01_target-1)&lt;=0.1,"OK","Check"))</f>
        <v>n/a</v>
      </c>
    </row>
    <row r="43" customFormat="false" ht="14.25" hidden="false" customHeight="true" outlineLevel="0" collapsed="false">
      <c r="A43" s="61" t="n">
        <v>1883</v>
      </c>
      <c r="B43" s="107" t="str">
        <f aca="false">IF(ABS(People!L43-(People!B43+People!C43+People!D43+People!K43))&lt;1,"OK","Check")</f>
        <v>OK</v>
      </c>
      <c r="C43" s="107" t="str">
        <f aca="false">IF(ABS('Debt &amp; cash'!M43-'Debt &amp; cash'!E43)&lt;0.001,"OK","Check")</f>
        <v>OK</v>
      </c>
      <c r="D43" s="107" t="str">
        <f aca="false">IF('Debt &amp; cash'!S43&gt;=-0.001,"OK","Check")</f>
        <v>OK</v>
      </c>
      <c r="E43" s="108" t="n">
        <f aca="false">'Debt &amp; cash'!V43</f>
        <v>0</v>
      </c>
      <c r="F43" s="107" t="str">
        <f aca="false">IF($A43&lt;1887,"n/a",IF(E43&lt;=cap_debt,"OK","Check"))</f>
        <v>n/a</v>
      </c>
      <c r="G43" s="108" t="n">
        <f aca="false">'Debt &amp; cash'!W43</f>
        <v>0</v>
      </c>
      <c r="H43" s="107" t="str">
        <f aca="false">IF($A43&lt;1887,"n/a",IF(G43&lt;=cap_int,"OK","Check"))</f>
        <v>n/a</v>
      </c>
      <c r="I43" s="108" t="n">
        <f aca="false">Budget!AC43</f>
        <v>0.0128824330991441</v>
      </c>
      <c r="J43" s="107" t="str">
        <f aca="false">IF($A43&lt;1887,"n/a",IF(Paths!AC43=1,"War year",IF(I43&lt;=cap_def,"OK","Check")))</f>
        <v>n/a</v>
      </c>
      <c r="K43" s="66" t="n">
        <f aca="false">'Debt &amp; cash'!Y43/Economy!O43</f>
        <v>0</v>
      </c>
      <c r="L43" s="107" t="str">
        <f aca="false">IF('Debt &amp; cash'!Y43*issue_price&lt;=mkt_capacity*Economy!O43+foreign_capacity,"OK","Check")</f>
        <v>OK</v>
      </c>
      <c r="M43" s="107" t="str">
        <f aca="false">IF($A43&lt;1900,"n/a",IF('Gold &amp; money'!K43&gt;=0,"OK","Check"))</f>
        <v>n/a</v>
      </c>
      <c r="N43" s="108" t="n">
        <f aca="false">Japan!AA43</f>
        <v>0.142445450703684</v>
      </c>
      <c r="O43" s="107" t="str">
        <f aca="false">IF(N43&lt;=1,"OK","Check")</f>
        <v>OK</v>
      </c>
      <c r="P43" s="107" t="str">
        <f aca="false">IF($A43&lt;1922,"n/a",IF(AND(Navy!AE43&gt;=0.95,Navy!AE43&lt;=1.1),"OK","Check"))</f>
        <v>n/a</v>
      </c>
      <c r="Q43" s="107" t="str">
        <f aca="false">IF(Navy!Z43=0,"n/a",IF(Resources!K43&gt;=Navy!Z43,"OK","Check"))</f>
        <v>OK</v>
      </c>
      <c r="R43" s="107" t="str">
        <f aca="false">IF(AND(gulf_on=1,$A43=gulf_year),IF(Gulf!AF43=1,"OK","Check"),"n/a")</f>
        <v>n/a</v>
      </c>
      <c r="S43" s="49" t="n">
        <f aca="false">COUNTIF(B43:R43,"Check")+COUNTIF(T43:AG43,"Check")+AH43+COUNTIF(AI43,"Check")+COUNTIF(AJ43:AK43,"Check")</f>
        <v>0</v>
      </c>
      <c r="T43" s="1" t="str">
        <f aca="false">IF(ABS(Japan!AM43)&lt;0.001,"OK","Check")</f>
        <v>OK</v>
      </c>
      <c r="U43" s="1" t="str">
        <f aca="false">"n/a"</f>
        <v>n/a</v>
      </c>
      <c r="V43" s="1" t="str">
        <f aca="false">"n/a"</f>
        <v>n/a</v>
      </c>
      <c r="W43" s="1" t="str">
        <f aca="false">"n/a"</f>
        <v>n/a</v>
      </c>
      <c r="X43" s="1" t="str">
        <f aca="false">"n/a"</f>
        <v>n/a</v>
      </c>
      <c r="Y43" s="1" t="str">
        <f aca="false">IF(Abroad!T43&gt;=-0.001,"OK","Check")</f>
        <v>OK</v>
      </c>
      <c r="Z43" s="1" t="str">
        <f aca="false">"n/a"</f>
        <v>n/a</v>
      </c>
      <c r="AA43" s="1" t="str">
        <f aca="false">IF(ABS('Sources &amp; uses'!P77)&lt;0.001,"OK","Check")</f>
        <v>OK</v>
      </c>
      <c r="AB43" s="1" t="str">
        <f aca="false">IF(AND(ABS('War credit'!F43)&lt;0.001,ABS('War credit'!K43)&lt;0.001),"OK","Check")</f>
        <v>OK</v>
      </c>
      <c r="AC43" s="1" t="str">
        <f aca="false">"OK"</f>
        <v>OK</v>
      </c>
      <c r="AD43" s="1" t="str">
        <f aca="false">IF('Sources &amp; uses'!M172&lt;0.001,"OK","Check")</f>
        <v>OK</v>
      </c>
      <c r="AE43" s="1" t="str">
        <f aca="false">IF('War credit'!E43=0,"OK",IF(ISNUMBER('War credit'!AC43),IF('War credit'!AC43&lt;0.001,"OK","Check"),"Unverified"))</f>
        <v>OK</v>
      </c>
      <c r="AF43" s="1" t="str">
        <f aca="false">"OK"</f>
        <v>OK</v>
      </c>
      <c r="AG43" s="1" t="str">
        <f aca="false">IF('Capital accounts'!L43&gt;0.001,"Check","OK")</f>
        <v>OK</v>
      </c>
      <c r="AH43" s="1" t="n">
        <f aca="false">COUNTIF(AA43:AG43,"Unverified")</f>
        <v>0</v>
      </c>
      <c r="AI43" s="1" t="str">
        <f aca="false">IF(OR($A43&lt;1918,$A43&gt;1932),"n/a",INDEX(Siberia!$H$38:$H$52,MATCH($A43,Siberia!$A$38:$A$52,0)))</f>
        <v>n/a</v>
      </c>
      <c r="AJ43" s="1" t="str">
        <f aca="false">IF($A43&lt;&gt;1895,"n/a",IF(AND(MATCH(MIN(People!$Y$16:$Y$92),People!$Y$16:$Y$92,0)+1855&gt;=1893,MATCH(MIN(People!$Y$16:$Y$92),People!$Y$16:$Y$92,0)+1855&lt;=1897),"OK","Check"))</f>
        <v>n/a</v>
      </c>
      <c r="AK43" s="1" t="str">
        <f aca="false">IF($A43&lt;&gt;1861,"n/a",IF(ABS(People!B43/dem01_target-1)&lt;=0.1,"OK","Check"))</f>
        <v>n/a</v>
      </c>
    </row>
    <row r="44" customFormat="false" ht="14.25" hidden="false" customHeight="true" outlineLevel="0" collapsed="false">
      <c r="A44" s="61" t="n">
        <v>1884</v>
      </c>
      <c r="B44" s="107" t="str">
        <f aca="false">IF(ABS(People!L44-(People!B44+People!C44+People!D44+People!K44))&lt;1,"OK","Check")</f>
        <v>OK</v>
      </c>
      <c r="C44" s="107" t="str">
        <f aca="false">IF(ABS('Debt &amp; cash'!M44-'Debt &amp; cash'!E44)&lt;0.001,"OK","Check")</f>
        <v>OK</v>
      </c>
      <c r="D44" s="107" t="str">
        <f aca="false">IF('Debt &amp; cash'!S44&gt;=-0.001,"OK","Check")</f>
        <v>OK</v>
      </c>
      <c r="E44" s="108" t="n">
        <f aca="false">'Debt &amp; cash'!V44</f>
        <v>0</v>
      </c>
      <c r="F44" s="107" t="str">
        <f aca="false">IF($A44&lt;1887,"n/a",IF(E44&lt;=cap_debt,"OK","Check"))</f>
        <v>n/a</v>
      </c>
      <c r="G44" s="108" t="n">
        <f aca="false">'Debt &amp; cash'!W44</f>
        <v>0</v>
      </c>
      <c r="H44" s="107" t="str">
        <f aca="false">IF($A44&lt;1887,"n/a",IF(G44&lt;=cap_int,"OK","Check"))</f>
        <v>n/a</v>
      </c>
      <c r="I44" s="108" t="n">
        <f aca="false">Budget!AC44</f>
        <v>0.013486054675254</v>
      </c>
      <c r="J44" s="107" t="str">
        <f aca="false">IF($A44&lt;1887,"n/a",IF(Paths!AC44=1,"War year",IF(I44&lt;=cap_def,"OK","Check")))</f>
        <v>n/a</v>
      </c>
      <c r="K44" s="66" t="n">
        <f aca="false">'Debt &amp; cash'!Y44/Economy!O44</f>
        <v>0</v>
      </c>
      <c r="L44" s="107" t="str">
        <f aca="false">IF('Debt &amp; cash'!Y44*issue_price&lt;=mkt_capacity*Economy!O44+foreign_capacity,"OK","Check")</f>
        <v>OK</v>
      </c>
      <c r="M44" s="107" t="str">
        <f aca="false">IF($A44&lt;1900,"n/a",IF('Gold &amp; money'!K44&gt;=0,"OK","Check"))</f>
        <v>n/a</v>
      </c>
      <c r="N44" s="108" t="n">
        <f aca="false">Japan!AA44</f>
        <v>0.134529741178987</v>
      </c>
      <c r="O44" s="107" t="str">
        <f aca="false">IF(N44&lt;=1,"OK","Check")</f>
        <v>OK</v>
      </c>
      <c r="P44" s="107" t="str">
        <f aca="false">IF($A44&lt;1922,"n/a",IF(AND(Navy!AE44&gt;=0.95,Navy!AE44&lt;=1.1),"OK","Check"))</f>
        <v>n/a</v>
      </c>
      <c r="Q44" s="107" t="str">
        <f aca="false">IF(Navy!Z44=0,"n/a",IF(Resources!K44&gt;=Navy!Z44,"OK","Check"))</f>
        <v>OK</v>
      </c>
      <c r="R44" s="107" t="str">
        <f aca="false">IF(AND(gulf_on=1,$A44=gulf_year),IF(Gulf!AF44=1,"OK","Check"),"n/a")</f>
        <v>n/a</v>
      </c>
      <c r="S44" s="49" t="n">
        <f aca="false">COUNTIF(B44:R44,"Check")+COUNTIF(T44:AG44,"Check")+AH44+COUNTIF(AI44,"Check")+COUNTIF(AJ44:AK44,"Check")</f>
        <v>0</v>
      </c>
      <c r="T44" s="1" t="str">
        <f aca="false">IF(ABS(Japan!AM44)&lt;0.001,"OK","Check")</f>
        <v>OK</v>
      </c>
      <c r="U44" s="1" t="str">
        <f aca="false">"n/a"</f>
        <v>n/a</v>
      </c>
      <c r="V44" s="1" t="str">
        <f aca="false">"n/a"</f>
        <v>n/a</v>
      </c>
      <c r="W44" s="1" t="str">
        <f aca="false">"n/a"</f>
        <v>n/a</v>
      </c>
      <c r="X44" s="1" t="str">
        <f aca="false">"n/a"</f>
        <v>n/a</v>
      </c>
      <c r="Y44" s="1" t="str">
        <f aca="false">IF(Abroad!T44&gt;=-0.001,"OK","Check")</f>
        <v>OK</v>
      </c>
      <c r="Z44" s="1" t="str">
        <f aca="false">"n/a"</f>
        <v>n/a</v>
      </c>
      <c r="AA44" s="1" t="str">
        <f aca="false">IF(ABS('Sources &amp; uses'!P78)&lt;0.001,"OK","Check")</f>
        <v>OK</v>
      </c>
      <c r="AB44" s="1" t="str">
        <f aca="false">IF(AND(ABS('War credit'!F44)&lt;0.001,ABS('War credit'!K44)&lt;0.001),"OK","Check")</f>
        <v>OK</v>
      </c>
      <c r="AC44" s="1" t="str">
        <f aca="false">"OK"</f>
        <v>OK</v>
      </c>
      <c r="AD44" s="1" t="str">
        <f aca="false">IF('Sources &amp; uses'!M173&lt;0.001,"OK","Check")</f>
        <v>OK</v>
      </c>
      <c r="AE44" s="1" t="str">
        <f aca="false">IF('War credit'!E44=0,"OK",IF(ISNUMBER('War credit'!AC44),IF('War credit'!AC44&lt;0.001,"OK","Check"),"Unverified"))</f>
        <v>OK</v>
      </c>
      <c r="AF44" s="1" t="str">
        <f aca="false">"OK"</f>
        <v>OK</v>
      </c>
      <c r="AG44" s="1" t="str">
        <f aca="false">IF('Capital accounts'!L44&gt;0.001,"Check","OK")</f>
        <v>OK</v>
      </c>
      <c r="AH44" s="1" t="n">
        <f aca="false">COUNTIF(AA44:AG44,"Unverified")</f>
        <v>0</v>
      </c>
      <c r="AI44" s="1" t="str">
        <f aca="false">IF(OR($A44&lt;1918,$A44&gt;1932),"n/a",INDEX(Siberia!$H$38:$H$52,MATCH($A44,Siberia!$A$38:$A$52,0)))</f>
        <v>n/a</v>
      </c>
      <c r="AJ44" s="1" t="str">
        <f aca="false">IF($A44&lt;&gt;1895,"n/a",IF(AND(MATCH(MIN(People!$Y$16:$Y$92),People!$Y$16:$Y$92,0)+1855&gt;=1893,MATCH(MIN(People!$Y$16:$Y$92),People!$Y$16:$Y$92,0)+1855&lt;=1897),"OK","Check"))</f>
        <v>n/a</v>
      </c>
      <c r="AK44" s="1" t="str">
        <f aca="false">IF($A44&lt;&gt;1861,"n/a",IF(ABS(People!B44/dem01_target-1)&lt;=0.1,"OK","Check"))</f>
        <v>n/a</v>
      </c>
    </row>
    <row r="45" customFormat="false" ht="14.25" hidden="false" customHeight="true" outlineLevel="0" collapsed="false">
      <c r="A45" s="61" t="n">
        <v>1885</v>
      </c>
      <c r="B45" s="107" t="str">
        <f aca="false">IF(ABS(People!L45-(People!B45+People!C45+People!D45+People!K45))&lt;1,"OK","Check")</f>
        <v>OK</v>
      </c>
      <c r="C45" s="107" t="str">
        <f aca="false">IF(ABS('Debt &amp; cash'!M45-'Debt &amp; cash'!E45)&lt;0.001,"OK","Check")</f>
        <v>OK</v>
      </c>
      <c r="D45" s="107" t="str">
        <f aca="false">IF('Debt &amp; cash'!S45&gt;=-0.001,"OK","Check")</f>
        <v>OK</v>
      </c>
      <c r="E45" s="108" t="n">
        <f aca="false">'Debt &amp; cash'!V45</f>
        <v>0</v>
      </c>
      <c r="F45" s="107" t="str">
        <f aca="false">IF($A45&lt;1887,"n/a",IF(E45&lt;=cap_debt,"OK","Check"))</f>
        <v>n/a</v>
      </c>
      <c r="G45" s="108" t="n">
        <f aca="false">'Debt &amp; cash'!W45</f>
        <v>0</v>
      </c>
      <c r="H45" s="107" t="str">
        <f aca="false">IF($A45&lt;1887,"n/a",IF(G45&lt;=cap_int,"OK","Check"))</f>
        <v>n/a</v>
      </c>
      <c r="I45" s="108" t="n">
        <f aca="false">Budget!AC45</f>
        <v>0.0125563652543866</v>
      </c>
      <c r="J45" s="107" t="str">
        <f aca="false">IF($A45&lt;1887,"n/a",IF(Paths!AC45=1,"War year",IF(I45&lt;=cap_def,"OK","Check")))</f>
        <v>n/a</v>
      </c>
      <c r="K45" s="66" t="n">
        <f aca="false">'Debt &amp; cash'!Y45/Economy!O45</f>
        <v>0</v>
      </c>
      <c r="L45" s="107" t="str">
        <f aca="false">IF('Debt &amp; cash'!Y45*issue_price&lt;=mkt_capacity*Economy!O45+foreign_capacity,"OK","Check")</f>
        <v>OK</v>
      </c>
      <c r="M45" s="107" t="str">
        <f aca="false">IF($A45&lt;1900,"n/a",IF('Gold &amp; money'!K45&gt;=0,"OK","Check"))</f>
        <v>n/a</v>
      </c>
      <c r="N45" s="108" t="n">
        <f aca="false">Japan!AA45</f>
        <v>0.127227655778694</v>
      </c>
      <c r="O45" s="107" t="str">
        <f aca="false">IF(N45&lt;=1,"OK","Check")</f>
        <v>OK</v>
      </c>
      <c r="P45" s="107" t="str">
        <f aca="false">IF($A45&lt;1922,"n/a",IF(AND(Navy!AE45&gt;=0.95,Navy!AE45&lt;=1.1),"OK","Check"))</f>
        <v>n/a</v>
      </c>
      <c r="Q45" s="107" t="str">
        <f aca="false">IF(Navy!Z45=0,"n/a",IF(Resources!K45&gt;=Navy!Z45,"OK","Check"))</f>
        <v>OK</v>
      </c>
      <c r="R45" s="107" t="str">
        <f aca="false">IF(AND(gulf_on=1,$A45=gulf_year),IF(Gulf!AF45=1,"OK","Check"),"n/a")</f>
        <v>n/a</v>
      </c>
      <c r="S45" s="49" t="n">
        <f aca="false">COUNTIF(B45:R45,"Check")+COUNTIF(T45:AG45,"Check")+AH45+COUNTIF(AI45,"Check")+COUNTIF(AJ45:AK45,"Check")</f>
        <v>0</v>
      </c>
      <c r="T45" s="1" t="str">
        <f aca="false">IF(ABS(Japan!AM45)&lt;0.001,"OK","Check")</f>
        <v>OK</v>
      </c>
      <c r="U45" s="1" t="str">
        <f aca="false">"n/a"</f>
        <v>n/a</v>
      </c>
      <c r="V45" s="1" t="str">
        <f aca="false">"n/a"</f>
        <v>n/a</v>
      </c>
      <c r="W45" s="1" t="str">
        <f aca="false">"n/a"</f>
        <v>n/a</v>
      </c>
      <c r="X45" s="1" t="str">
        <f aca="false">"n/a"</f>
        <v>n/a</v>
      </c>
      <c r="Y45" s="1" t="str">
        <f aca="false">IF(Abroad!T45&gt;=-0.001,"OK","Check")</f>
        <v>OK</v>
      </c>
      <c r="Z45" s="1" t="str">
        <f aca="false">"n/a"</f>
        <v>n/a</v>
      </c>
      <c r="AA45" s="1" t="str">
        <f aca="false">IF(ABS('Sources &amp; uses'!P79)&lt;0.001,"OK","Check")</f>
        <v>OK</v>
      </c>
      <c r="AB45" s="1" t="str">
        <f aca="false">IF(AND(ABS('War credit'!F45)&lt;0.001,ABS('War credit'!K45)&lt;0.001),"OK","Check")</f>
        <v>OK</v>
      </c>
      <c r="AC45" s="1" t="str">
        <f aca="false">"OK"</f>
        <v>OK</v>
      </c>
      <c r="AD45" s="1" t="str">
        <f aca="false">IF('Sources &amp; uses'!M174&lt;0.001,"OK","Check")</f>
        <v>OK</v>
      </c>
      <c r="AE45" s="1" t="str">
        <f aca="false">IF('War credit'!E45=0,"OK",IF(ISNUMBER('War credit'!AC45),IF('War credit'!AC45&lt;0.001,"OK","Check"),"Unverified"))</f>
        <v>OK</v>
      </c>
      <c r="AF45" s="1" t="str">
        <f aca="false">"OK"</f>
        <v>OK</v>
      </c>
      <c r="AG45" s="1" t="str">
        <f aca="false">IF('Capital accounts'!L45&gt;0.001,"Check","OK")</f>
        <v>OK</v>
      </c>
      <c r="AH45" s="1" t="n">
        <f aca="false">COUNTIF(AA45:AG45,"Unverified")</f>
        <v>0</v>
      </c>
      <c r="AI45" s="1" t="str">
        <f aca="false">IF(OR($A45&lt;1918,$A45&gt;1932),"n/a",INDEX(Siberia!$H$38:$H$52,MATCH($A45,Siberia!$A$38:$A$52,0)))</f>
        <v>n/a</v>
      </c>
      <c r="AJ45" s="1" t="str">
        <f aca="false">IF($A45&lt;&gt;1895,"n/a",IF(AND(MATCH(MIN(People!$Y$16:$Y$92),People!$Y$16:$Y$92,0)+1855&gt;=1893,MATCH(MIN(People!$Y$16:$Y$92),People!$Y$16:$Y$92,0)+1855&lt;=1897),"OK","Check"))</f>
        <v>n/a</v>
      </c>
      <c r="AK45" s="1" t="str">
        <f aca="false">IF($A45&lt;&gt;1861,"n/a",IF(ABS(People!B45/dem01_target-1)&lt;=0.1,"OK","Check"))</f>
        <v>n/a</v>
      </c>
    </row>
    <row r="46" customFormat="false" ht="14.25" hidden="false" customHeight="true" outlineLevel="0" collapsed="false">
      <c r="A46" s="61" t="n">
        <v>1886</v>
      </c>
      <c r="B46" s="107" t="str">
        <f aca="false">IF(ABS(People!L46-(People!B46+People!C46+People!D46+People!K46))&lt;1,"OK","Check")</f>
        <v>OK</v>
      </c>
      <c r="C46" s="107" t="str">
        <f aca="false">IF(ABS('Debt &amp; cash'!M46-'Debt &amp; cash'!E46)&lt;0.001,"OK","Check")</f>
        <v>OK</v>
      </c>
      <c r="D46" s="107" t="str">
        <f aca="false">IF('Debt &amp; cash'!S46&gt;=-0.001,"OK","Check")</f>
        <v>OK</v>
      </c>
      <c r="E46" s="108" t="n">
        <f aca="false">'Debt &amp; cash'!V46</f>
        <v>0</v>
      </c>
      <c r="F46" s="107" t="str">
        <f aca="false">IF($A46&lt;1887,"n/a",IF(E46&lt;=cap_debt,"OK","Check"))</f>
        <v>n/a</v>
      </c>
      <c r="G46" s="108" t="n">
        <f aca="false">'Debt &amp; cash'!W46</f>
        <v>0</v>
      </c>
      <c r="H46" s="107" t="str">
        <f aca="false">IF($A46&lt;1887,"n/a",IF(G46&lt;=cap_int,"OK","Check"))</f>
        <v>n/a</v>
      </c>
      <c r="I46" s="108" t="n">
        <f aca="false">Budget!AC46</f>
        <v>0.0118668494058215</v>
      </c>
      <c r="J46" s="107" t="str">
        <f aca="false">IF($A46&lt;1887,"n/a",IF(Paths!AC46=1,"War year",IF(I46&lt;=cap_def,"OK","Check")))</f>
        <v>n/a</v>
      </c>
      <c r="K46" s="66" t="n">
        <f aca="false">'Debt &amp; cash'!Y46/Economy!O46</f>
        <v>0</v>
      </c>
      <c r="L46" s="107" t="str">
        <f aca="false">IF('Debt &amp; cash'!Y46*issue_price&lt;=mkt_capacity*Economy!O46+foreign_capacity,"OK","Check")</f>
        <v>OK</v>
      </c>
      <c r="M46" s="107" t="str">
        <f aca="false">IF($A46&lt;1900,"n/a",IF('Gold &amp; money'!K46&gt;=0,"OK","Check"))</f>
        <v>n/a</v>
      </c>
      <c r="N46" s="108" t="n">
        <f aca="false">Japan!AA46</f>
        <v>0.116466433562111</v>
      </c>
      <c r="O46" s="107" t="str">
        <f aca="false">IF(N46&lt;=1,"OK","Check")</f>
        <v>OK</v>
      </c>
      <c r="P46" s="107" t="str">
        <f aca="false">IF($A46&lt;1922,"n/a",IF(AND(Navy!AE46&gt;=0.95,Navy!AE46&lt;=1.1),"OK","Check"))</f>
        <v>n/a</v>
      </c>
      <c r="Q46" s="107" t="str">
        <f aca="false">IF(Navy!Z46=0,"n/a",IF(Resources!K46&gt;=Navy!Z46,"OK","Check"))</f>
        <v>OK</v>
      </c>
      <c r="R46" s="107" t="str">
        <f aca="false">IF(AND(gulf_on=1,$A46=gulf_year),IF(Gulf!AF46=1,"OK","Check"),"n/a")</f>
        <v>n/a</v>
      </c>
      <c r="S46" s="49" t="n">
        <f aca="false">COUNTIF(B46:R46,"Check")+COUNTIF(T46:AG46,"Check")+AH46+COUNTIF(AI46,"Check")+COUNTIF(AJ46:AK46,"Check")</f>
        <v>0</v>
      </c>
      <c r="T46" s="1" t="str">
        <f aca="false">IF(ABS(Japan!AM46)&lt;0.001,"OK","Check")</f>
        <v>OK</v>
      </c>
      <c r="U46" s="1" t="str">
        <f aca="false">"n/a"</f>
        <v>n/a</v>
      </c>
      <c r="V46" s="1" t="str">
        <f aca="false">"n/a"</f>
        <v>n/a</v>
      </c>
      <c r="W46" s="1" t="str">
        <f aca="false">"n/a"</f>
        <v>n/a</v>
      </c>
      <c r="X46" s="1" t="str">
        <f aca="false">"n/a"</f>
        <v>n/a</v>
      </c>
      <c r="Y46" s="1" t="str">
        <f aca="false">IF(Abroad!T46&gt;=-0.001,"OK","Check")</f>
        <v>OK</v>
      </c>
      <c r="Z46" s="1" t="str">
        <f aca="false">"n/a"</f>
        <v>n/a</v>
      </c>
      <c r="AA46" s="1" t="str">
        <f aca="false">IF(ABS('Sources &amp; uses'!P80)&lt;0.001,"OK","Check")</f>
        <v>OK</v>
      </c>
      <c r="AB46" s="1" t="str">
        <f aca="false">IF(AND(ABS('War credit'!F46)&lt;0.001,ABS('War credit'!K46)&lt;0.001),"OK","Check")</f>
        <v>OK</v>
      </c>
      <c r="AC46" s="1" t="str">
        <f aca="false">"OK"</f>
        <v>OK</v>
      </c>
      <c r="AD46" s="1" t="str">
        <f aca="false">IF('Sources &amp; uses'!M175&lt;0.001,"OK","Check")</f>
        <v>OK</v>
      </c>
      <c r="AE46" s="1" t="str">
        <f aca="false">IF('War credit'!E46=0,"OK",IF(ISNUMBER('War credit'!AC46),IF('War credit'!AC46&lt;0.001,"OK","Check"),"Unverified"))</f>
        <v>OK</v>
      </c>
      <c r="AF46" s="1" t="str">
        <f aca="false">"OK"</f>
        <v>OK</v>
      </c>
      <c r="AG46" s="1" t="str">
        <f aca="false">IF('Capital accounts'!L46&gt;0.001,"Check","OK")</f>
        <v>OK</v>
      </c>
      <c r="AH46" s="1" t="n">
        <f aca="false">COUNTIF(AA46:AG46,"Unverified")</f>
        <v>0</v>
      </c>
      <c r="AI46" s="1" t="str">
        <f aca="false">IF(OR($A46&lt;1918,$A46&gt;1932),"n/a",INDEX(Siberia!$H$38:$H$52,MATCH($A46,Siberia!$A$38:$A$52,0)))</f>
        <v>n/a</v>
      </c>
      <c r="AJ46" s="1" t="str">
        <f aca="false">IF($A46&lt;&gt;1895,"n/a",IF(AND(MATCH(MIN(People!$Y$16:$Y$92),People!$Y$16:$Y$92,0)+1855&gt;=1893,MATCH(MIN(People!$Y$16:$Y$92),People!$Y$16:$Y$92,0)+1855&lt;=1897),"OK","Check"))</f>
        <v>n/a</v>
      </c>
      <c r="AK46" s="1" t="str">
        <f aca="false">IF($A46&lt;&gt;1861,"n/a",IF(ABS(People!B46/dem01_target-1)&lt;=0.1,"OK","Check"))</f>
        <v>n/a</v>
      </c>
    </row>
    <row r="47" customFormat="false" ht="14.25" hidden="false" customHeight="true" outlineLevel="0" collapsed="false">
      <c r="A47" s="61" t="n">
        <v>1887</v>
      </c>
      <c r="B47" s="107" t="str">
        <f aca="false">IF(ABS(People!L47-(People!B47+People!C47+People!D47+People!K47))&lt;1,"OK","Check")</f>
        <v>OK</v>
      </c>
      <c r="C47" s="107" t="str">
        <f aca="false">IF(ABS('Debt &amp; cash'!M47-'Debt &amp; cash'!E47)&lt;0.001,"OK","Check")</f>
        <v>OK</v>
      </c>
      <c r="D47" s="107" t="str">
        <f aca="false">IF('Debt &amp; cash'!S47&gt;=-0.001,"OK","Check")</f>
        <v>OK</v>
      </c>
      <c r="E47" s="108" t="n">
        <f aca="false">'Debt &amp; cash'!V47</f>
        <v>0.05</v>
      </c>
      <c r="F47" s="107" t="str">
        <f aca="false">IF($A47&lt;1887,"n/a",IF(E47&lt;=cap_debt,"OK","Check"))</f>
        <v>OK</v>
      </c>
      <c r="G47" s="108" t="n">
        <f aca="false">'Debt &amp; cash'!W47</f>
        <v>0</v>
      </c>
      <c r="H47" s="107" t="str">
        <f aca="false">IF($A47&lt;1887,"n/a",IF(G47&lt;=cap_int,"OK","Check"))</f>
        <v>OK</v>
      </c>
      <c r="I47" s="108" t="n">
        <f aca="false">Budget!AC47</f>
        <v>0.0118771495555586</v>
      </c>
      <c r="J47" s="107" t="str">
        <f aca="false">IF($A47&lt;1887,"n/a",IF(Paths!AC47=1,"War year",IF(I47&lt;=cap_def,"OK","Check")))</f>
        <v>OK</v>
      </c>
      <c r="K47" s="66" t="n">
        <f aca="false">'Debt &amp; cash'!Y47/Economy!O47</f>
        <v>0.05</v>
      </c>
      <c r="L47" s="107" t="str">
        <f aca="false">IF('Debt &amp; cash'!Y47*issue_price&lt;=mkt_capacity*Economy!O47+foreign_capacity,"OK","Check")</f>
        <v>OK</v>
      </c>
      <c r="M47" s="107" t="str">
        <f aca="false">IF($A47&lt;1900,"n/a",IF('Gold &amp; money'!K47&gt;=0,"OK","Check"))</f>
        <v>n/a</v>
      </c>
      <c r="N47" s="108" t="n">
        <f aca="false">Japan!AA47</f>
        <v>0.106503603641441</v>
      </c>
      <c r="O47" s="107" t="str">
        <f aca="false">IF(N47&lt;=1,"OK","Check")</f>
        <v>OK</v>
      </c>
      <c r="P47" s="107" t="str">
        <f aca="false">IF($A47&lt;1922,"n/a",IF(AND(Navy!AE47&gt;=0.95,Navy!AE47&lt;=1.1),"OK","Check"))</f>
        <v>n/a</v>
      </c>
      <c r="Q47" s="107" t="str">
        <f aca="false">IF(Navy!Z47=0,"n/a",IF(Resources!K47&gt;=Navy!Z47,"OK","Check"))</f>
        <v>OK</v>
      </c>
      <c r="R47" s="107" t="str">
        <f aca="false">IF(AND(gulf_on=1,$A47=gulf_year),IF(Gulf!AF47=1,"OK","Check"),"n/a")</f>
        <v>n/a</v>
      </c>
      <c r="S47" s="49" t="n">
        <f aca="false">COUNTIF(B47:R47,"Check")+COUNTIF(T47:AG47,"Check")+AH47+COUNTIF(AI47,"Check")+COUNTIF(AJ47:AK47,"Check")</f>
        <v>0</v>
      </c>
      <c r="T47" s="1" t="str">
        <f aca="false">IF(ABS(Japan!AM47)&lt;0.001,"OK","Check")</f>
        <v>OK</v>
      </c>
      <c r="U47" s="1" t="str">
        <f aca="false">"n/a"</f>
        <v>n/a</v>
      </c>
      <c r="V47" s="1" t="str">
        <f aca="false">"n/a"</f>
        <v>n/a</v>
      </c>
      <c r="W47" s="1" t="str">
        <f aca="false">"n/a"</f>
        <v>n/a</v>
      </c>
      <c r="X47" s="1" t="str">
        <f aca="false">"n/a"</f>
        <v>n/a</v>
      </c>
      <c r="Y47" s="1" t="str">
        <f aca="false">IF(Abroad!T47&gt;=-0.001,"OK","Check")</f>
        <v>OK</v>
      </c>
      <c r="Z47" s="1" t="str">
        <f aca="false">"n/a"</f>
        <v>n/a</v>
      </c>
      <c r="AA47" s="1" t="str">
        <f aca="false">IF(ABS('Sources &amp; uses'!P81)&lt;0.001,"OK","Check")</f>
        <v>OK</v>
      </c>
      <c r="AB47" s="1" t="str">
        <f aca="false">IF(AND(ABS('War credit'!F47)&lt;0.001,ABS('War credit'!K47)&lt;0.001),"OK","Check")</f>
        <v>OK</v>
      </c>
      <c r="AC47" s="1" t="str">
        <f aca="false">"OK"</f>
        <v>OK</v>
      </c>
      <c r="AD47" s="1" t="str">
        <f aca="false">IF('Sources &amp; uses'!M176&lt;0.001,"OK","Check")</f>
        <v>OK</v>
      </c>
      <c r="AE47" s="1" t="str">
        <f aca="false">IF('War credit'!E47=0,"OK",IF(ISNUMBER('War credit'!AC47),IF('War credit'!AC47&lt;0.001,"OK","Check"),"Unverified"))</f>
        <v>OK</v>
      </c>
      <c r="AF47" s="1" t="str">
        <f aca="false">"OK"</f>
        <v>OK</v>
      </c>
      <c r="AG47" s="1" t="str">
        <f aca="false">IF('Capital accounts'!L47&gt;0.001,"Check","OK")</f>
        <v>OK</v>
      </c>
      <c r="AH47" s="1" t="n">
        <f aca="false">COUNTIF(AA47:AG47,"Unverified")</f>
        <v>0</v>
      </c>
      <c r="AI47" s="1" t="str">
        <f aca="false">IF(OR($A47&lt;1918,$A47&gt;1932),"n/a",INDEX(Siberia!$H$38:$H$52,MATCH($A47,Siberia!$A$38:$A$52,0)))</f>
        <v>n/a</v>
      </c>
      <c r="AJ47" s="1" t="str">
        <f aca="false">IF($A47&lt;&gt;1895,"n/a",IF(AND(MATCH(MIN(People!$Y$16:$Y$92),People!$Y$16:$Y$92,0)+1855&gt;=1893,MATCH(MIN(People!$Y$16:$Y$92),People!$Y$16:$Y$92,0)+1855&lt;=1897),"OK","Check"))</f>
        <v>n/a</v>
      </c>
      <c r="AK47" s="1" t="str">
        <f aca="false">IF($A47&lt;&gt;1861,"n/a",IF(ABS(People!B47/dem01_target-1)&lt;=0.1,"OK","Check"))</f>
        <v>n/a</v>
      </c>
    </row>
    <row r="48" customFormat="false" ht="14.25" hidden="false" customHeight="true" outlineLevel="0" collapsed="false">
      <c r="A48" s="61" t="n">
        <v>1888</v>
      </c>
      <c r="B48" s="107" t="str">
        <f aca="false">IF(ABS(People!L48-(People!B48+People!C48+People!D48+People!K48))&lt;1,"OK","Check")</f>
        <v>OK</v>
      </c>
      <c r="C48" s="107" t="str">
        <f aca="false">IF(ABS('Debt &amp; cash'!M48-'Debt &amp; cash'!E48)&lt;0.001,"OK","Check")</f>
        <v>OK</v>
      </c>
      <c r="D48" s="107" t="str">
        <f aca="false">IF('Debt &amp; cash'!S48&gt;=-0.001,"OK","Check")</f>
        <v>OK</v>
      </c>
      <c r="E48" s="108" t="n">
        <f aca="false">'Debt &amp; cash'!V48</f>
        <v>0.05</v>
      </c>
      <c r="F48" s="107" t="str">
        <f aca="false">IF($A48&lt;1887,"n/a",IF(E48&lt;=cap_debt,"OK","Check"))</f>
        <v>OK</v>
      </c>
      <c r="G48" s="108" t="n">
        <f aca="false">'Debt &amp; cash'!W48</f>
        <v>0.0224151500112684</v>
      </c>
      <c r="H48" s="107" t="str">
        <f aca="false">IF($A48&lt;1887,"n/a",IF(G48&lt;=cap_int,"OK","Check"))</f>
        <v>OK</v>
      </c>
      <c r="I48" s="108" t="n">
        <f aca="false">Budget!AC48</f>
        <v>0.00982045705061794</v>
      </c>
      <c r="J48" s="107" t="str">
        <f aca="false">IF($A48&lt;1887,"n/a",IF(Paths!AC48=1,"War year",IF(I48&lt;=cap_def,"OK","Check")))</f>
        <v>OK</v>
      </c>
      <c r="K48" s="66" t="n">
        <f aca="false">'Debt &amp; cash'!Y48/Economy!O48</f>
        <v>0.00990121725960247</v>
      </c>
      <c r="L48" s="107" t="str">
        <f aca="false">IF('Debt &amp; cash'!Y48*issue_price&lt;=mkt_capacity*Economy!O48+foreign_capacity,"OK","Check")</f>
        <v>OK</v>
      </c>
      <c r="M48" s="107" t="str">
        <f aca="false">IF($A48&lt;1900,"n/a",IF('Gold &amp; money'!K48&gt;=0,"OK","Check"))</f>
        <v>n/a</v>
      </c>
      <c r="N48" s="108" t="n">
        <f aca="false">Japan!AA48</f>
        <v>0.0973085314699239</v>
      </c>
      <c r="O48" s="107" t="str">
        <f aca="false">IF(N48&lt;=1,"OK","Check")</f>
        <v>OK</v>
      </c>
      <c r="P48" s="107" t="str">
        <f aca="false">IF($A48&lt;1922,"n/a",IF(AND(Navy!AE48&gt;=0.95,Navy!AE48&lt;=1.1),"OK","Check"))</f>
        <v>n/a</v>
      </c>
      <c r="Q48" s="107" t="str">
        <f aca="false">IF(Navy!Z48=0,"n/a",IF(Resources!K48&gt;=Navy!Z48,"OK","Check"))</f>
        <v>OK</v>
      </c>
      <c r="R48" s="107" t="str">
        <f aca="false">IF(AND(gulf_on=1,$A48=gulf_year),IF(Gulf!AF48=1,"OK","Check"),"n/a")</f>
        <v>n/a</v>
      </c>
      <c r="S48" s="49" t="n">
        <f aca="false">COUNTIF(B48:R48,"Check")+COUNTIF(T48:AG48,"Check")+AH48+COUNTIF(AI48,"Check")+COUNTIF(AJ48:AK48,"Check")</f>
        <v>0</v>
      </c>
      <c r="T48" s="1" t="str">
        <f aca="false">IF(ABS(Japan!AM48)&lt;0.001,"OK","Check")</f>
        <v>OK</v>
      </c>
      <c r="U48" s="1" t="str">
        <f aca="false">"n/a"</f>
        <v>n/a</v>
      </c>
      <c r="V48" s="1" t="str">
        <f aca="false">"n/a"</f>
        <v>n/a</v>
      </c>
      <c r="W48" s="1" t="str">
        <f aca="false">"n/a"</f>
        <v>n/a</v>
      </c>
      <c r="X48" s="1" t="str">
        <f aca="false">"n/a"</f>
        <v>n/a</v>
      </c>
      <c r="Y48" s="1" t="str">
        <f aca="false">IF(Abroad!T48&gt;=-0.001,"OK","Check")</f>
        <v>OK</v>
      </c>
      <c r="Z48" s="1" t="str">
        <f aca="false">"n/a"</f>
        <v>n/a</v>
      </c>
      <c r="AA48" s="1" t="str">
        <f aca="false">IF(ABS('Sources &amp; uses'!P82)&lt;0.001,"OK","Check")</f>
        <v>OK</v>
      </c>
      <c r="AB48" s="1" t="str">
        <f aca="false">IF(AND(ABS('War credit'!F48)&lt;0.001,ABS('War credit'!K48)&lt;0.001),"OK","Check")</f>
        <v>OK</v>
      </c>
      <c r="AC48" s="1" t="str">
        <f aca="false">"OK"</f>
        <v>OK</v>
      </c>
      <c r="AD48" s="1" t="str">
        <f aca="false">IF('Sources &amp; uses'!M177&lt;0.001,"OK","Check")</f>
        <v>OK</v>
      </c>
      <c r="AE48" s="1" t="str">
        <f aca="false">IF('War credit'!E48=0,"OK",IF(ISNUMBER('War credit'!AC48),IF('War credit'!AC48&lt;0.001,"OK","Check"),"Unverified"))</f>
        <v>OK</v>
      </c>
      <c r="AF48" s="1" t="str">
        <f aca="false">"OK"</f>
        <v>OK</v>
      </c>
      <c r="AG48" s="1" t="str">
        <f aca="false">IF('Capital accounts'!L48&gt;0.001,"Check","OK")</f>
        <v>OK</v>
      </c>
      <c r="AH48" s="1" t="n">
        <f aca="false">COUNTIF(AA48:AG48,"Unverified")</f>
        <v>0</v>
      </c>
      <c r="AI48" s="1" t="str">
        <f aca="false">IF(OR($A48&lt;1918,$A48&gt;1932),"n/a",INDEX(Siberia!$H$38:$H$52,MATCH($A48,Siberia!$A$38:$A$52,0)))</f>
        <v>n/a</v>
      </c>
      <c r="AJ48" s="1" t="str">
        <f aca="false">IF($A48&lt;&gt;1895,"n/a",IF(AND(MATCH(MIN(People!$Y$16:$Y$92),People!$Y$16:$Y$92,0)+1855&gt;=1893,MATCH(MIN(People!$Y$16:$Y$92),People!$Y$16:$Y$92,0)+1855&lt;=1897),"OK","Check"))</f>
        <v>n/a</v>
      </c>
      <c r="AK48" s="1" t="str">
        <f aca="false">IF($A48&lt;&gt;1861,"n/a",IF(ABS(People!B48/dem01_target-1)&lt;=0.1,"OK","Check"))</f>
        <v>n/a</v>
      </c>
    </row>
    <row r="49" customFormat="false" ht="14.25" hidden="false" customHeight="true" outlineLevel="0" collapsed="false">
      <c r="A49" s="61" t="n">
        <v>1889</v>
      </c>
      <c r="B49" s="107" t="str">
        <f aca="false">IF(ABS(People!L49-(People!B49+People!C49+People!D49+People!K49))&lt;1,"OK","Check")</f>
        <v>OK</v>
      </c>
      <c r="C49" s="107" t="str">
        <f aca="false">IF(ABS('Debt &amp; cash'!M49-'Debt &amp; cash'!E49)&lt;0.001,"OK","Check")</f>
        <v>OK</v>
      </c>
      <c r="D49" s="107" t="str">
        <f aca="false">IF('Debt &amp; cash'!S49&gt;=-0.001,"OK","Check")</f>
        <v>OK</v>
      </c>
      <c r="E49" s="108" t="n">
        <f aca="false">'Debt &amp; cash'!V49</f>
        <v>0.05</v>
      </c>
      <c r="F49" s="107" t="str">
        <f aca="false">IF($A49&lt;1887,"n/a",IF(E49&lt;=cap_debt,"OK","Check"))</f>
        <v>OK</v>
      </c>
      <c r="G49" s="108" t="n">
        <f aca="false">'Debt &amp; cash'!W49</f>
        <v>0.0222693051122833</v>
      </c>
      <c r="H49" s="107" t="str">
        <f aca="false">IF($A49&lt;1887,"n/a",IF(G49&lt;=cap_int,"OK","Check"))</f>
        <v>OK</v>
      </c>
      <c r="I49" s="108" t="n">
        <f aca="false">Budget!AC49</f>
        <v>0.00954222733515584</v>
      </c>
      <c r="J49" s="107" t="str">
        <f aca="false">IF($A49&lt;1887,"n/a",IF(Paths!AC49=1,"War year",IF(I49&lt;=cap_def,"OK","Check")))</f>
        <v>OK</v>
      </c>
      <c r="K49" s="66" t="n">
        <f aca="false">'Debt &amp; cash'!Y49/Economy!O49</f>
        <v>0.00654868755404379</v>
      </c>
      <c r="L49" s="107" t="str">
        <f aca="false">IF('Debt &amp; cash'!Y49*issue_price&lt;=mkt_capacity*Economy!O49+foreign_capacity,"OK","Check")</f>
        <v>OK</v>
      </c>
      <c r="M49" s="107" t="str">
        <f aca="false">IF($A49&lt;1900,"n/a",IF('Gold &amp; money'!K49&gt;=0,"OK","Check"))</f>
        <v>n/a</v>
      </c>
      <c r="N49" s="108" t="n">
        <f aca="false">Japan!AA49</f>
        <v>0.0888128979469113</v>
      </c>
      <c r="O49" s="107" t="str">
        <f aca="false">IF(N49&lt;=1,"OK","Check")</f>
        <v>OK</v>
      </c>
      <c r="P49" s="107" t="str">
        <f aca="false">IF($A49&lt;1922,"n/a",IF(AND(Navy!AE49&gt;=0.95,Navy!AE49&lt;=1.1),"OK","Check"))</f>
        <v>n/a</v>
      </c>
      <c r="Q49" s="107" t="str">
        <f aca="false">IF(Navy!Z49=0,"n/a",IF(Resources!K49&gt;=Navy!Z49,"OK","Check"))</f>
        <v>OK</v>
      </c>
      <c r="R49" s="107" t="str">
        <f aca="false">IF(AND(gulf_on=1,$A49=gulf_year),IF(Gulf!AF49=1,"OK","Check"),"n/a")</f>
        <v>n/a</v>
      </c>
      <c r="S49" s="49" t="n">
        <f aca="false">COUNTIF(B49:R49,"Check")+COUNTIF(T49:AG49,"Check")+AH49+COUNTIF(AI49,"Check")+COUNTIF(AJ49:AK49,"Check")</f>
        <v>0</v>
      </c>
      <c r="T49" s="1" t="str">
        <f aca="false">IF(ABS(Japan!AM49)&lt;0.001,"OK","Check")</f>
        <v>OK</v>
      </c>
      <c r="U49" s="1" t="str">
        <f aca="false">"n/a"</f>
        <v>n/a</v>
      </c>
      <c r="V49" s="1" t="str">
        <f aca="false">"n/a"</f>
        <v>n/a</v>
      </c>
      <c r="W49" s="1" t="str">
        <f aca="false">"n/a"</f>
        <v>n/a</v>
      </c>
      <c r="X49" s="1" t="str">
        <f aca="false">"n/a"</f>
        <v>n/a</v>
      </c>
      <c r="Y49" s="1" t="str">
        <f aca="false">IF(Abroad!T49&gt;=-0.001,"OK","Check")</f>
        <v>OK</v>
      </c>
      <c r="Z49" s="1" t="str">
        <f aca="false">"n/a"</f>
        <v>n/a</v>
      </c>
      <c r="AA49" s="1" t="str">
        <f aca="false">IF(ABS('Sources &amp; uses'!P83)&lt;0.001,"OK","Check")</f>
        <v>OK</v>
      </c>
      <c r="AB49" s="1" t="str">
        <f aca="false">IF(AND(ABS('War credit'!F49)&lt;0.001,ABS('War credit'!K49)&lt;0.001),"OK","Check")</f>
        <v>OK</v>
      </c>
      <c r="AC49" s="1" t="str">
        <f aca="false">"OK"</f>
        <v>OK</v>
      </c>
      <c r="AD49" s="1" t="str">
        <f aca="false">IF('Sources &amp; uses'!M178&lt;0.001,"OK","Check")</f>
        <v>OK</v>
      </c>
      <c r="AE49" s="1" t="str">
        <f aca="false">IF('War credit'!E49=0,"OK",IF(ISNUMBER('War credit'!AC49),IF('War credit'!AC49&lt;0.001,"OK","Check"),"Unverified"))</f>
        <v>OK</v>
      </c>
      <c r="AF49" s="1" t="str">
        <f aca="false">"OK"</f>
        <v>OK</v>
      </c>
      <c r="AG49" s="1" t="str">
        <f aca="false">IF('Capital accounts'!L49&gt;0.001,"Check","OK")</f>
        <v>OK</v>
      </c>
      <c r="AH49" s="1" t="n">
        <f aca="false">COUNTIF(AA49:AG49,"Unverified")</f>
        <v>0</v>
      </c>
      <c r="AI49" s="1" t="str">
        <f aca="false">IF(OR($A49&lt;1918,$A49&gt;1932),"n/a",INDEX(Siberia!$H$38:$H$52,MATCH($A49,Siberia!$A$38:$A$52,0)))</f>
        <v>n/a</v>
      </c>
      <c r="AJ49" s="1" t="str">
        <f aca="false">IF($A49&lt;&gt;1895,"n/a",IF(AND(MATCH(MIN(People!$Y$16:$Y$92),People!$Y$16:$Y$92,0)+1855&gt;=1893,MATCH(MIN(People!$Y$16:$Y$92),People!$Y$16:$Y$92,0)+1855&lt;=1897),"OK","Check"))</f>
        <v>n/a</v>
      </c>
      <c r="AK49" s="1" t="str">
        <f aca="false">IF($A49&lt;&gt;1861,"n/a",IF(ABS(People!B49/dem01_target-1)&lt;=0.1,"OK","Check"))</f>
        <v>n/a</v>
      </c>
    </row>
    <row r="50" customFormat="false" ht="14.25" hidden="false" customHeight="true" outlineLevel="0" collapsed="false">
      <c r="A50" s="61" t="n">
        <v>1890</v>
      </c>
      <c r="B50" s="107" t="str">
        <f aca="false">IF(ABS(People!L50-(People!B50+People!C50+People!D50+People!K50))&lt;1,"OK","Check")</f>
        <v>OK</v>
      </c>
      <c r="C50" s="107" t="str">
        <f aca="false">IF(ABS('Debt &amp; cash'!M50-'Debt &amp; cash'!E50)&lt;0.001,"OK","Check")</f>
        <v>OK</v>
      </c>
      <c r="D50" s="107" t="str">
        <f aca="false">IF('Debt &amp; cash'!S50&gt;=-0.001,"OK","Check")</f>
        <v>OK</v>
      </c>
      <c r="E50" s="108" t="n">
        <f aca="false">'Debt &amp; cash'!V50</f>
        <v>0.05</v>
      </c>
      <c r="F50" s="107" t="str">
        <f aca="false">IF($A50&lt;1887,"n/a",IF(E50&lt;=cap_debt,"OK","Check"))</f>
        <v>OK</v>
      </c>
      <c r="G50" s="108" t="n">
        <f aca="false">'Debt &amp; cash'!W50</f>
        <v>0.0209682454467781</v>
      </c>
      <c r="H50" s="107" t="str">
        <f aca="false">IF($A50&lt;1887,"n/a",IF(G50&lt;=cap_int,"OK","Check"))</f>
        <v>OK</v>
      </c>
      <c r="I50" s="108" t="n">
        <f aca="false">Budget!AC50</f>
        <v>0.00862086938691144</v>
      </c>
      <c r="J50" s="107" t="str">
        <f aca="false">IF($A50&lt;1887,"n/a",IF(Paths!AC50=1,"War year",IF(I50&lt;=cap_def,"OK","Check")))</f>
        <v>OK</v>
      </c>
      <c r="K50" s="66" t="n">
        <f aca="false">'Debt &amp; cash'!Y50/Economy!O50</f>
        <v>0.00918349868561152</v>
      </c>
      <c r="L50" s="107" t="str">
        <f aca="false">IF('Debt &amp; cash'!Y50*issue_price&lt;=mkt_capacity*Economy!O50+foreign_capacity,"OK","Check")</f>
        <v>OK</v>
      </c>
      <c r="M50" s="107" t="str">
        <f aca="false">IF($A50&lt;1900,"n/a",IF('Gold &amp; money'!K50&gt;=0,"OK","Check"))</f>
        <v>n/a</v>
      </c>
      <c r="N50" s="108" t="n">
        <f aca="false">Japan!AA50</f>
        <v>0.0809657077420457</v>
      </c>
      <c r="O50" s="107" t="str">
        <f aca="false">IF(N50&lt;=1,"OK","Check")</f>
        <v>OK</v>
      </c>
      <c r="P50" s="107" t="str">
        <f aca="false">IF($A50&lt;1922,"n/a",IF(AND(Navy!AE50&gt;=0.95,Navy!AE50&lt;=1.1),"OK","Check"))</f>
        <v>n/a</v>
      </c>
      <c r="Q50" s="107" t="str">
        <f aca="false">IF(Navy!Z50=0,"n/a",IF(Resources!K50&gt;=Navy!Z50,"OK","Check"))</f>
        <v>OK</v>
      </c>
      <c r="R50" s="107" t="str">
        <f aca="false">IF(AND(gulf_on=1,$A50=gulf_year),IF(Gulf!AF50=1,"OK","Check"),"n/a")</f>
        <v>n/a</v>
      </c>
      <c r="S50" s="49" t="n">
        <f aca="false">COUNTIF(B50:R50,"Check")+COUNTIF(T50:AG50,"Check")+AH50+COUNTIF(AI50,"Check")+COUNTIF(AJ50:AK50,"Check")</f>
        <v>0</v>
      </c>
      <c r="T50" s="1" t="str">
        <f aca="false">IF(ABS(Japan!AM50)&lt;0.001,"OK","Check")</f>
        <v>OK</v>
      </c>
      <c r="U50" s="1" t="str">
        <f aca="false">"n/a"</f>
        <v>n/a</v>
      </c>
      <c r="V50" s="1" t="str">
        <f aca="false">"n/a"</f>
        <v>n/a</v>
      </c>
      <c r="W50" s="1" t="str">
        <f aca="false">"n/a"</f>
        <v>n/a</v>
      </c>
      <c r="X50" s="1" t="str">
        <f aca="false">"n/a"</f>
        <v>n/a</v>
      </c>
      <c r="Y50" s="1" t="str">
        <f aca="false">IF(Abroad!T50&gt;=-0.001,"OK","Check")</f>
        <v>OK</v>
      </c>
      <c r="Z50" s="1" t="str">
        <f aca="false">"n/a"</f>
        <v>n/a</v>
      </c>
      <c r="AA50" s="1" t="str">
        <f aca="false">IF(ABS('Sources &amp; uses'!P84)&lt;0.001,"OK","Check")</f>
        <v>OK</v>
      </c>
      <c r="AB50" s="1" t="str">
        <f aca="false">IF(AND(ABS('War credit'!F50)&lt;0.001,ABS('War credit'!K50)&lt;0.001),"OK","Check")</f>
        <v>OK</v>
      </c>
      <c r="AC50" s="1" t="str">
        <f aca="false">"OK"</f>
        <v>OK</v>
      </c>
      <c r="AD50" s="1" t="str">
        <f aca="false">IF('Sources &amp; uses'!M179&lt;0.001,"OK","Check")</f>
        <v>OK</v>
      </c>
      <c r="AE50" s="1" t="str">
        <f aca="false">IF('War credit'!E50=0,"OK",IF(ISNUMBER('War credit'!AC50),IF('War credit'!AC50&lt;0.001,"OK","Check"),"Unverified"))</f>
        <v>OK</v>
      </c>
      <c r="AF50" s="1" t="str">
        <f aca="false">"OK"</f>
        <v>OK</v>
      </c>
      <c r="AG50" s="1" t="str">
        <f aca="false">IF('Capital accounts'!L50&gt;0.001,"Check","OK")</f>
        <v>OK</v>
      </c>
      <c r="AH50" s="1" t="n">
        <f aca="false">COUNTIF(AA50:AG50,"Unverified")</f>
        <v>0</v>
      </c>
      <c r="AI50" s="1" t="str">
        <f aca="false">IF(OR($A50&lt;1918,$A50&gt;1932),"n/a",INDEX(Siberia!$H$38:$H$52,MATCH($A50,Siberia!$A$38:$A$52,0)))</f>
        <v>n/a</v>
      </c>
      <c r="AJ50" s="1" t="str">
        <f aca="false">IF($A50&lt;&gt;1895,"n/a",IF(AND(MATCH(MIN(People!$Y$16:$Y$92),People!$Y$16:$Y$92,0)+1855&gt;=1893,MATCH(MIN(People!$Y$16:$Y$92),People!$Y$16:$Y$92,0)+1855&lt;=1897),"OK","Check"))</f>
        <v>n/a</v>
      </c>
      <c r="AK50" s="1" t="str">
        <f aca="false">IF($A50&lt;&gt;1861,"n/a",IF(ABS(People!B50/dem01_target-1)&lt;=0.1,"OK","Check"))</f>
        <v>n/a</v>
      </c>
    </row>
    <row r="51" customFormat="false" ht="14.25" hidden="false" customHeight="true" outlineLevel="0" collapsed="false">
      <c r="A51" s="61" t="n">
        <v>1891</v>
      </c>
      <c r="B51" s="107" t="str">
        <f aca="false">IF(ABS(People!L51-(People!B51+People!C51+People!D51+People!K51))&lt;1,"OK","Check")</f>
        <v>OK</v>
      </c>
      <c r="C51" s="107" t="str">
        <f aca="false">IF(ABS('Debt &amp; cash'!M51-'Debt &amp; cash'!E51)&lt;0.001,"OK","Check")</f>
        <v>OK</v>
      </c>
      <c r="D51" s="107" t="str">
        <f aca="false">IF('Debt &amp; cash'!S51&gt;=-0.001,"OK","Check")</f>
        <v>OK</v>
      </c>
      <c r="E51" s="108" t="n">
        <f aca="false">'Debt &amp; cash'!V51</f>
        <v>0.05</v>
      </c>
      <c r="F51" s="107" t="str">
        <f aca="false">IF($A51&lt;1887,"n/a",IF(E51&lt;=cap_debt,"OK","Check"))</f>
        <v>OK</v>
      </c>
      <c r="G51" s="108" t="n">
        <f aca="false">'Debt &amp; cash'!W51</f>
        <v>0.0205860727867169</v>
      </c>
      <c r="H51" s="107" t="str">
        <f aca="false">IF($A51&lt;1887,"n/a",IF(G51&lt;=cap_int,"OK","Check"))</f>
        <v>OK</v>
      </c>
      <c r="I51" s="108" t="n">
        <f aca="false">Budget!AC51</f>
        <v>0.00808275057752228</v>
      </c>
      <c r="J51" s="107" t="str">
        <f aca="false">IF($A51&lt;1887,"n/a",IF(Paths!AC51=1,"War year",IF(I51&lt;=cap_def,"OK","Check")))</f>
        <v>OK</v>
      </c>
      <c r="K51" s="66" t="n">
        <f aca="false">'Debt &amp; cash'!Y51/Economy!O51</f>
        <v>0.00928297417547792</v>
      </c>
      <c r="L51" s="107" t="str">
        <f aca="false">IF('Debt &amp; cash'!Y51*issue_price&lt;=mkt_capacity*Economy!O51+foreign_capacity,"OK","Check")</f>
        <v>OK</v>
      </c>
      <c r="M51" s="107" t="str">
        <f aca="false">IF($A51&lt;1900,"n/a",IF('Gold &amp; money'!K51&gt;=0,"OK","Check"))</f>
        <v>n/a</v>
      </c>
      <c r="N51" s="108" t="n">
        <f aca="false">Japan!AA51</f>
        <v>0.0756379233205613</v>
      </c>
      <c r="O51" s="107" t="str">
        <f aca="false">IF(N51&lt;=1,"OK","Check")</f>
        <v>OK</v>
      </c>
      <c r="P51" s="107" t="str">
        <f aca="false">IF($A51&lt;1922,"n/a",IF(AND(Navy!AE51&gt;=0.95,Navy!AE51&lt;=1.1),"OK","Check"))</f>
        <v>n/a</v>
      </c>
      <c r="Q51" s="107" t="str">
        <f aca="false">IF(Navy!Z51=0,"n/a",IF(Resources!K51&gt;=Navy!Z51,"OK","Check"))</f>
        <v>OK</v>
      </c>
      <c r="R51" s="107" t="str">
        <f aca="false">IF(AND(gulf_on=1,$A51=gulf_year),IF(Gulf!AF51=1,"OK","Check"),"n/a")</f>
        <v>n/a</v>
      </c>
      <c r="S51" s="49" t="n">
        <f aca="false">COUNTIF(B51:R51,"Check")+COUNTIF(T51:AG51,"Check")+AH51+COUNTIF(AI51,"Check")+COUNTIF(AJ51:AK51,"Check")</f>
        <v>0</v>
      </c>
      <c r="T51" s="1" t="str">
        <f aca="false">IF(ABS(Japan!AM51)&lt;0.001,"OK","Check")</f>
        <v>OK</v>
      </c>
      <c r="U51" s="1" t="str">
        <f aca="false">"n/a"</f>
        <v>n/a</v>
      </c>
      <c r="V51" s="1" t="str">
        <f aca="false">"n/a"</f>
        <v>n/a</v>
      </c>
      <c r="W51" s="1" t="str">
        <f aca="false">"n/a"</f>
        <v>n/a</v>
      </c>
      <c r="X51" s="1" t="str">
        <f aca="false">"n/a"</f>
        <v>n/a</v>
      </c>
      <c r="Y51" s="1" t="str">
        <f aca="false">IF(Abroad!T51&gt;=-0.001,"OK","Check")</f>
        <v>OK</v>
      </c>
      <c r="Z51" s="1" t="str">
        <f aca="false">"n/a"</f>
        <v>n/a</v>
      </c>
      <c r="AA51" s="1" t="str">
        <f aca="false">IF(ABS('Sources &amp; uses'!P85)&lt;0.001,"OK","Check")</f>
        <v>OK</v>
      </c>
      <c r="AB51" s="1" t="str">
        <f aca="false">IF(AND(ABS('War credit'!F51)&lt;0.001,ABS('War credit'!K51)&lt;0.001),"OK","Check")</f>
        <v>OK</v>
      </c>
      <c r="AC51" s="1" t="str">
        <f aca="false">"OK"</f>
        <v>OK</v>
      </c>
      <c r="AD51" s="1" t="str">
        <f aca="false">IF('Sources &amp; uses'!M180&lt;0.001,"OK","Check")</f>
        <v>OK</v>
      </c>
      <c r="AE51" s="1" t="str">
        <f aca="false">IF('War credit'!E51=0,"OK",IF(ISNUMBER('War credit'!AC51),IF('War credit'!AC51&lt;0.001,"OK","Check"),"Unverified"))</f>
        <v>OK</v>
      </c>
      <c r="AF51" s="1" t="str">
        <f aca="false">"OK"</f>
        <v>OK</v>
      </c>
      <c r="AG51" s="1" t="str">
        <f aca="false">IF('Capital accounts'!L51&gt;0.001,"Check","OK")</f>
        <v>OK</v>
      </c>
      <c r="AH51" s="1" t="n">
        <f aca="false">COUNTIF(AA51:AG51,"Unverified")</f>
        <v>0</v>
      </c>
      <c r="AI51" s="1" t="str">
        <f aca="false">IF(OR($A51&lt;1918,$A51&gt;1932),"n/a",INDEX(Siberia!$H$38:$H$52,MATCH($A51,Siberia!$A$38:$A$52,0)))</f>
        <v>n/a</v>
      </c>
      <c r="AJ51" s="1" t="str">
        <f aca="false">IF($A51&lt;&gt;1895,"n/a",IF(AND(MATCH(MIN(People!$Y$16:$Y$92),People!$Y$16:$Y$92,0)+1855&gt;=1893,MATCH(MIN(People!$Y$16:$Y$92),People!$Y$16:$Y$92,0)+1855&lt;=1897),"OK","Check"))</f>
        <v>n/a</v>
      </c>
      <c r="AK51" s="1" t="str">
        <f aca="false">IF($A51&lt;&gt;1861,"n/a",IF(ABS(People!B51/dem01_target-1)&lt;=0.1,"OK","Check"))</f>
        <v>n/a</v>
      </c>
    </row>
    <row r="52" customFormat="false" ht="14.25" hidden="false" customHeight="true" outlineLevel="0" collapsed="false">
      <c r="A52" s="61" t="n">
        <v>1892</v>
      </c>
      <c r="B52" s="107" t="str">
        <f aca="false">IF(ABS(People!L52-(People!B52+People!C52+People!D52+People!K52))&lt;1,"OK","Check")</f>
        <v>OK</v>
      </c>
      <c r="C52" s="107" t="str">
        <f aca="false">IF(ABS('Debt &amp; cash'!M52-'Debt &amp; cash'!E52)&lt;0.001,"OK","Check")</f>
        <v>OK</v>
      </c>
      <c r="D52" s="107" t="str">
        <f aca="false">IF('Debt &amp; cash'!S52&gt;=-0.001,"OK","Check")</f>
        <v>OK</v>
      </c>
      <c r="E52" s="108" t="n">
        <f aca="false">'Debt &amp; cash'!V52</f>
        <v>0.05</v>
      </c>
      <c r="F52" s="107" t="str">
        <f aca="false">IF($A52&lt;1887,"n/a",IF(E52&lt;=cap_debt,"OK","Check"))</f>
        <v>OK</v>
      </c>
      <c r="G52" s="108" t="n">
        <f aca="false">'Debt &amp; cash'!W52</f>
        <v>0.0202086362894099</v>
      </c>
      <c r="H52" s="107" t="str">
        <f aca="false">IF($A52&lt;1887,"n/a",IF(G52&lt;=cap_int,"OK","Check"))</f>
        <v>OK</v>
      </c>
      <c r="I52" s="108" t="n">
        <f aca="false">Budget!AC52</f>
        <v>0.00761010439384493</v>
      </c>
      <c r="J52" s="107" t="str">
        <f aca="false">IF($A52&lt;1887,"n/a",IF(Paths!AC52=1,"War year",IF(I52&lt;=cap_def,"OK","Check")))</f>
        <v>OK</v>
      </c>
      <c r="K52" s="66" t="n">
        <f aca="false">'Debt &amp; cash'!Y52/Economy!O52</f>
        <v>0.00967424199135521</v>
      </c>
      <c r="L52" s="107" t="str">
        <f aca="false">IF('Debt &amp; cash'!Y52*issue_price&lt;=mkt_capacity*Economy!O52+foreign_capacity,"OK","Check")</f>
        <v>OK</v>
      </c>
      <c r="M52" s="107" t="str">
        <f aca="false">IF($A52&lt;1900,"n/a",IF('Gold &amp; money'!K52&gt;=0,"OK","Check"))</f>
        <v>n/a</v>
      </c>
      <c r="N52" s="108" t="n">
        <f aca="false">Japan!AA52</f>
        <v>0.069866691238551</v>
      </c>
      <c r="O52" s="107" t="str">
        <f aca="false">IF(N52&lt;=1,"OK","Check")</f>
        <v>OK</v>
      </c>
      <c r="P52" s="107" t="str">
        <f aca="false">IF($A52&lt;1922,"n/a",IF(AND(Navy!AE52&gt;=0.95,Navy!AE52&lt;=1.1),"OK","Check"))</f>
        <v>n/a</v>
      </c>
      <c r="Q52" s="107" t="str">
        <f aca="false">IF(Navy!Z52=0,"n/a",IF(Resources!K52&gt;=Navy!Z52,"OK","Check"))</f>
        <v>OK</v>
      </c>
      <c r="R52" s="107" t="str">
        <f aca="false">IF(AND(gulf_on=1,$A52=gulf_year),IF(Gulf!AF52=1,"OK","Check"),"n/a")</f>
        <v>n/a</v>
      </c>
      <c r="S52" s="49" t="n">
        <f aca="false">COUNTIF(B52:R52,"Check")+COUNTIF(T52:AG52,"Check")+AH52+COUNTIF(AI52,"Check")+COUNTIF(AJ52:AK52,"Check")</f>
        <v>0</v>
      </c>
      <c r="T52" s="1" t="str">
        <f aca="false">IF(ABS(Japan!AM52)&lt;0.001,"OK","Check")</f>
        <v>OK</v>
      </c>
      <c r="U52" s="1" t="str">
        <f aca="false">"n/a"</f>
        <v>n/a</v>
      </c>
      <c r="V52" s="1" t="str">
        <f aca="false">"n/a"</f>
        <v>n/a</v>
      </c>
      <c r="W52" s="1" t="str">
        <f aca="false">"n/a"</f>
        <v>n/a</v>
      </c>
      <c r="X52" s="1" t="str">
        <f aca="false">"n/a"</f>
        <v>n/a</v>
      </c>
      <c r="Y52" s="1" t="str">
        <f aca="false">IF(Abroad!T52&gt;=-0.001,"OK","Check")</f>
        <v>OK</v>
      </c>
      <c r="Z52" s="1" t="str">
        <f aca="false">"n/a"</f>
        <v>n/a</v>
      </c>
      <c r="AA52" s="1" t="str">
        <f aca="false">IF(ABS('Sources &amp; uses'!P86)&lt;0.001,"OK","Check")</f>
        <v>OK</v>
      </c>
      <c r="AB52" s="1" t="str">
        <f aca="false">IF(AND(ABS('War credit'!F52)&lt;0.001,ABS('War credit'!K52)&lt;0.001),"OK","Check")</f>
        <v>OK</v>
      </c>
      <c r="AC52" s="1" t="str">
        <f aca="false">"OK"</f>
        <v>OK</v>
      </c>
      <c r="AD52" s="1" t="str">
        <f aca="false">IF('Sources &amp; uses'!M181&lt;0.001,"OK","Check")</f>
        <v>OK</v>
      </c>
      <c r="AE52" s="1" t="str">
        <f aca="false">IF('War credit'!E52=0,"OK",IF(ISNUMBER('War credit'!AC52),IF('War credit'!AC52&lt;0.001,"OK","Check"),"Unverified"))</f>
        <v>OK</v>
      </c>
      <c r="AF52" s="1" t="str">
        <f aca="false">"OK"</f>
        <v>OK</v>
      </c>
      <c r="AG52" s="1" t="str">
        <f aca="false">IF('Capital accounts'!L52&gt;0.001,"Check","OK")</f>
        <v>OK</v>
      </c>
      <c r="AH52" s="1" t="n">
        <f aca="false">COUNTIF(AA52:AG52,"Unverified")</f>
        <v>0</v>
      </c>
      <c r="AI52" s="1" t="str">
        <f aca="false">IF(OR($A52&lt;1918,$A52&gt;1932),"n/a",INDEX(Siberia!$H$38:$H$52,MATCH($A52,Siberia!$A$38:$A$52,0)))</f>
        <v>n/a</v>
      </c>
      <c r="AJ52" s="1" t="str">
        <f aca="false">IF($A52&lt;&gt;1895,"n/a",IF(AND(MATCH(MIN(People!$Y$16:$Y$92),People!$Y$16:$Y$92,0)+1855&gt;=1893,MATCH(MIN(People!$Y$16:$Y$92),People!$Y$16:$Y$92,0)+1855&lt;=1897),"OK","Check"))</f>
        <v>n/a</v>
      </c>
      <c r="AK52" s="1" t="str">
        <f aca="false">IF($A52&lt;&gt;1861,"n/a",IF(ABS(People!B52/dem01_target-1)&lt;=0.1,"OK","Check"))</f>
        <v>n/a</v>
      </c>
    </row>
    <row r="53" customFormat="false" ht="14.25" hidden="false" customHeight="true" outlineLevel="0" collapsed="false">
      <c r="A53" s="61" t="n">
        <v>1893</v>
      </c>
      <c r="B53" s="107" t="str">
        <f aca="false">IF(ABS(People!L53-(People!B53+People!C53+People!D53+People!K53))&lt;1,"OK","Check")</f>
        <v>OK</v>
      </c>
      <c r="C53" s="107" t="str">
        <f aca="false">IF(ABS('Debt &amp; cash'!M53-'Debt &amp; cash'!E53)&lt;0.001,"OK","Check")</f>
        <v>OK</v>
      </c>
      <c r="D53" s="107" t="str">
        <f aca="false">IF('Debt &amp; cash'!S53&gt;=-0.001,"OK","Check")</f>
        <v>OK</v>
      </c>
      <c r="E53" s="108" t="n">
        <f aca="false">'Debt &amp; cash'!V53</f>
        <v>0.05</v>
      </c>
      <c r="F53" s="107" t="str">
        <f aca="false">IF($A53&lt;1887,"n/a",IF(E53&lt;=cap_debt,"OK","Check"))</f>
        <v>OK</v>
      </c>
      <c r="G53" s="108" t="n">
        <f aca="false">'Debt &amp; cash'!W53</f>
        <v>0.0209619504995856</v>
      </c>
      <c r="H53" s="107" t="str">
        <f aca="false">IF($A53&lt;1887,"n/a",IF(G53&lt;=cap_int,"OK","Check"))</f>
        <v>OK</v>
      </c>
      <c r="I53" s="108" t="n">
        <f aca="false">Budget!AC53</f>
        <v>0.0075977908607375</v>
      </c>
      <c r="J53" s="107" t="str">
        <f aca="false">IF($A53&lt;1887,"n/a",IF(Paths!AC53=1,"War year",IF(I53&lt;=cap_def,"OK","Check")))</f>
        <v>OK</v>
      </c>
      <c r="K53" s="66" t="n">
        <f aca="false">'Debt &amp; cash'!Y53/Economy!O53</f>
        <v>0.00726849566359684</v>
      </c>
      <c r="L53" s="107" t="str">
        <f aca="false">IF('Debt &amp; cash'!Y53*issue_price&lt;=mkt_capacity*Economy!O53+foreign_capacity,"OK","Check")</f>
        <v>OK</v>
      </c>
      <c r="M53" s="107" t="str">
        <f aca="false">IF($A53&lt;1900,"n/a",IF('Gold &amp; money'!K53&gt;=0,"OK","Check"))</f>
        <v>n/a</v>
      </c>
      <c r="N53" s="108" t="n">
        <f aca="false">Japan!AA53</f>
        <v>0.0636079904821707</v>
      </c>
      <c r="O53" s="107" t="str">
        <f aca="false">IF(N53&lt;=1,"OK","Check")</f>
        <v>OK</v>
      </c>
      <c r="P53" s="107" t="str">
        <f aca="false">IF($A53&lt;1922,"n/a",IF(AND(Navy!AE53&gt;=0.95,Navy!AE53&lt;=1.1),"OK","Check"))</f>
        <v>n/a</v>
      </c>
      <c r="Q53" s="107" t="str">
        <f aca="false">IF(Navy!Z53=0,"n/a",IF(Resources!K53&gt;=Navy!Z53,"OK","Check"))</f>
        <v>OK</v>
      </c>
      <c r="R53" s="107" t="str">
        <f aca="false">IF(AND(gulf_on=1,$A53=gulf_year),IF(Gulf!AF53=1,"OK","Check"),"n/a")</f>
        <v>n/a</v>
      </c>
      <c r="S53" s="49" t="n">
        <f aca="false">COUNTIF(B53:R53,"Check")+COUNTIF(T53:AG53,"Check")+AH53+COUNTIF(AI53,"Check")+COUNTIF(AJ53:AK53,"Check")</f>
        <v>0</v>
      </c>
      <c r="T53" s="1" t="str">
        <f aca="false">IF(ABS(Japan!AM53)&lt;0.001,"OK","Check")</f>
        <v>OK</v>
      </c>
      <c r="U53" s="1" t="str">
        <f aca="false">"n/a"</f>
        <v>n/a</v>
      </c>
      <c r="V53" s="1" t="str">
        <f aca="false">"n/a"</f>
        <v>n/a</v>
      </c>
      <c r="W53" s="1" t="str">
        <f aca="false">"n/a"</f>
        <v>n/a</v>
      </c>
      <c r="X53" s="1" t="str">
        <f aca="false">"n/a"</f>
        <v>n/a</v>
      </c>
      <c r="Y53" s="1" t="str">
        <f aca="false">IF(Abroad!T53&gt;=-0.001,"OK","Check")</f>
        <v>OK</v>
      </c>
      <c r="Z53" s="1" t="str">
        <f aca="false">"n/a"</f>
        <v>n/a</v>
      </c>
      <c r="AA53" s="1" t="str">
        <f aca="false">IF(ABS('Sources &amp; uses'!P87)&lt;0.001,"OK","Check")</f>
        <v>OK</v>
      </c>
      <c r="AB53" s="1" t="str">
        <f aca="false">IF(AND(ABS('War credit'!F53)&lt;0.001,ABS('War credit'!K53)&lt;0.001),"OK","Check")</f>
        <v>OK</v>
      </c>
      <c r="AC53" s="1" t="str">
        <f aca="false">"OK"</f>
        <v>OK</v>
      </c>
      <c r="AD53" s="1" t="str">
        <f aca="false">IF('Sources &amp; uses'!M182&lt;0.001,"OK","Check")</f>
        <v>OK</v>
      </c>
      <c r="AE53" s="1" t="str">
        <f aca="false">IF('War credit'!E53=0,"OK",IF(ISNUMBER('War credit'!AC53),IF('War credit'!AC53&lt;0.001,"OK","Check"),"Unverified"))</f>
        <v>OK</v>
      </c>
      <c r="AF53" s="1" t="str">
        <f aca="false">"OK"</f>
        <v>OK</v>
      </c>
      <c r="AG53" s="1" t="str">
        <f aca="false">IF('Capital accounts'!L53&gt;0.001,"Check","OK")</f>
        <v>OK</v>
      </c>
      <c r="AH53" s="1" t="n">
        <f aca="false">COUNTIF(AA53:AG53,"Unverified")</f>
        <v>0</v>
      </c>
      <c r="AI53" s="1" t="str">
        <f aca="false">IF(OR($A53&lt;1918,$A53&gt;1932),"n/a",INDEX(Siberia!$H$38:$H$52,MATCH($A53,Siberia!$A$38:$A$52,0)))</f>
        <v>n/a</v>
      </c>
      <c r="AJ53" s="1" t="str">
        <f aca="false">IF($A53&lt;&gt;1895,"n/a",IF(AND(MATCH(MIN(People!$Y$16:$Y$92),People!$Y$16:$Y$92,0)+1855&gt;=1893,MATCH(MIN(People!$Y$16:$Y$92),People!$Y$16:$Y$92,0)+1855&lt;=1897),"OK","Check"))</f>
        <v>n/a</v>
      </c>
      <c r="AK53" s="1" t="str">
        <f aca="false">IF($A53&lt;&gt;1861,"n/a",IF(ABS(People!B53/dem01_target-1)&lt;=0.1,"OK","Check"))</f>
        <v>n/a</v>
      </c>
    </row>
    <row r="54" customFormat="false" ht="14.25" hidden="false" customHeight="true" outlineLevel="0" collapsed="false">
      <c r="A54" s="61" t="n">
        <v>1894</v>
      </c>
      <c r="B54" s="107" t="str">
        <f aca="false">IF(ABS(People!L54-(People!B54+People!C54+People!D54+People!K54))&lt;1,"OK","Check")</f>
        <v>OK</v>
      </c>
      <c r="C54" s="107" t="str">
        <f aca="false">IF(ABS('Debt &amp; cash'!M54-'Debt &amp; cash'!E54)&lt;0.001,"OK","Check")</f>
        <v>OK</v>
      </c>
      <c r="D54" s="107" t="str">
        <f aca="false">IF('Debt &amp; cash'!S54&gt;=-0.001,"OK","Check")</f>
        <v>OK</v>
      </c>
      <c r="E54" s="108" t="n">
        <f aca="false">'Debt &amp; cash'!V54</f>
        <v>0.05</v>
      </c>
      <c r="F54" s="107" t="str">
        <f aca="false">IF($A54&lt;1887,"n/a",IF(E54&lt;=cap_debt,"OK","Check"))</f>
        <v>OK</v>
      </c>
      <c r="G54" s="108" t="n">
        <f aca="false">'Debt &amp; cash'!W54</f>
        <v>0.0199500577879098</v>
      </c>
      <c r="H54" s="107" t="str">
        <f aca="false">IF($A54&lt;1887,"n/a",IF(G54&lt;=cap_int,"OK","Check"))</f>
        <v>OK</v>
      </c>
      <c r="I54" s="108" t="n">
        <f aca="false">Budget!AC54</f>
        <v>0.00769791505009146</v>
      </c>
      <c r="J54" s="107" t="str">
        <f aca="false">IF($A54&lt;1887,"n/a",IF(Paths!AC54=1,"War year",IF(I54&lt;=cap_def,"OK","Check")))</f>
        <v>OK</v>
      </c>
      <c r="K54" s="66" t="n">
        <f aca="false">'Debt &amp; cash'!Y54/Economy!O54</f>
        <v>0.0078596237161014</v>
      </c>
      <c r="L54" s="107" t="str">
        <f aca="false">IF('Debt &amp; cash'!Y54*issue_price&lt;=mkt_capacity*Economy!O54+foreign_capacity,"OK","Check")</f>
        <v>OK</v>
      </c>
      <c r="M54" s="107" t="str">
        <f aca="false">IF($A54&lt;1900,"n/a",IF('Gold &amp; money'!K54&gt;=0,"OK","Check"))</f>
        <v>n/a</v>
      </c>
      <c r="N54" s="108" t="n">
        <f aca="false">Japan!AA54</f>
        <v>0.0918047121190437</v>
      </c>
      <c r="O54" s="107" t="str">
        <f aca="false">IF(N54&lt;=1,"OK","Check")</f>
        <v>OK</v>
      </c>
      <c r="P54" s="107" t="str">
        <f aca="false">IF($A54&lt;1922,"n/a",IF(AND(Navy!AE54&gt;=0.95,Navy!AE54&lt;=1.1),"OK","Check"))</f>
        <v>n/a</v>
      </c>
      <c r="Q54" s="107" t="str">
        <f aca="false">IF(Navy!Z54=0,"n/a",IF(Resources!K54&gt;=Navy!Z54,"OK","Check"))</f>
        <v>OK</v>
      </c>
      <c r="R54" s="107" t="str">
        <f aca="false">IF(AND(gulf_on=1,$A54=gulf_year),IF(Gulf!AF54=1,"OK","Check"),"n/a")</f>
        <v>n/a</v>
      </c>
      <c r="S54" s="49" t="n">
        <f aca="false">COUNTIF(B54:R54,"Check")+COUNTIF(T54:AG54,"Check")+AH54+COUNTIF(AI54,"Check")+COUNTIF(AJ54:AK54,"Check")</f>
        <v>0</v>
      </c>
      <c r="T54" s="1" t="str">
        <f aca="false">IF(ABS(Japan!AM54)&lt;0.001,"OK","Check")</f>
        <v>OK</v>
      </c>
      <c r="U54" s="1" t="str">
        <f aca="false">"n/a"</f>
        <v>n/a</v>
      </c>
      <c r="V54" s="1" t="str">
        <f aca="false">"n/a"</f>
        <v>n/a</v>
      </c>
      <c r="W54" s="1" t="str">
        <f aca="false">"n/a"</f>
        <v>n/a</v>
      </c>
      <c r="X54" s="1" t="str">
        <f aca="false">"n/a"</f>
        <v>n/a</v>
      </c>
      <c r="Y54" s="1" t="str">
        <f aca="false">IF(Abroad!T54&gt;=-0.001,"OK","Check")</f>
        <v>OK</v>
      </c>
      <c r="Z54" s="1" t="str">
        <f aca="false">"n/a"</f>
        <v>n/a</v>
      </c>
      <c r="AA54" s="1" t="str">
        <f aca="false">IF(ABS('Sources &amp; uses'!P88)&lt;0.001,"OK","Check")</f>
        <v>OK</v>
      </c>
      <c r="AB54" s="1" t="str">
        <f aca="false">IF(AND(ABS('War credit'!F54)&lt;0.001,ABS('War credit'!K54)&lt;0.001),"OK","Check")</f>
        <v>OK</v>
      </c>
      <c r="AC54" s="1" t="str">
        <f aca="false">"OK"</f>
        <v>OK</v>
      </c>
      <c r="AD54" s="1" t="str">
        <f aca="false">IF('Sources &amp; uses'!M183&lt;0.001,"OK","Check")</f>
        <v>OK</v>
      </c>
      <c r="AE54" s="1" t="str">
        <f aca="false">IF('War credit'!E54=0,"OK",IF(ISNUMBER('War credit'!AC54),IF('War credit'!AC54&lt;0.001,"OK","Check"),"Unverified"))</f>
        <v>OK</v>
      </c>
      <c r="AF54" s="1" t="str">
        <f aca="false">"OK"</f>
        <v>OK</v>
      </c>
      <c r="AG54" s="1" t="str">
        <f aca="false">IF('Capital accounts'!L54&gt;0.001,"Check","OK")</f>
        <v>OK</v>
      </c>
      <c r="AH54" s="1" t="n">
        <f aca="false">COUNTIF(AA54:AG54,"Unverified")</f>
        <v>0</v>
      </c>
      <c r="AI54" s="1" t="str">
        <f aca="false">IF(OR($A54&lt;1918,$A54&gt;1932),"n/a",INDEX(Siberia!$H$38:$H$52,MATCH($A54,Siberia!$A$38:$A$52,0)))</f>
        <v>n/a</v>
      </c>
      <c r="AJ54" s="1" t="str">
        <f aca="false">IF($A54&lt;&gt;1895,"n/a",IF(AND(MATCH(MIN(People!$Y$16:$Y$92),People!$Y$16:$Y$92,0)+1855&gt;=1893,MATCH(MIN(People!$Y$16:$Y$92),People!$Y$16:$Y$92,0)+1855&lt;=1897),"OK","Check"))</f>
        <v>n/a</v>
      </c>
      <c r="AK54" s="1" t="str">
        <f aca="false">IF($A54&lt;&gt;1861,"n/a",IF(ABS(People!B54/dem01_target-1)&lt;=0.1,"OK","Check"))</f>
        <v>n/a</v>
      </c>
    </row>
    <row r="55" customFormat="false" ht="14.25" hidden="false" customHeight="true" outlineLevel="0" collapsed="false">
      <c r="A55" s="61" t="n">
        <v>1895</v>
      </c>
      <c r="B55" s="107" t="str">
        <f aca="false">IF(ABS(People!L55-(People!B55+People!C55+People!D55+People!K55))&lt;1,"OK","Check")</f>
        <v>OK</v>
      </c>
      <c r="C55" s="107" t="str">
        <f aca="false">IF(ABS('Debt &amp; cash'!M55-'Debt &amp; cash'!E55)&lt;0.001,"OK","Check")</f>
        <v>OK</v>
      </c>
      <c r="D55" s="107" t="str">
        <f aca="false">IF('Debt &amp; cash'!S55&gt;=-0.001,"OK","Check")</f>
        <v>OK</v>
      </c>
      <c r="E55" s="108" t="n">
        <f aca="false">'Debt &amp; cash'!V55</f>
        <v>0.05</v>
      </c>
      <c r="F55" s="107" t="str">
        <f aca="false">IF($A55&lt;1887,"n/a",IF(E55&lt;=cap_debt,"OK","Check"))</f>
        <v>OK</v>
      </c>
      <c r="G55" s="108" t="n">
        <f aca="false">'Debt &amp; cash'!W55</f>
        <v>0.0188079869902841</v>
      </c>
      <c r="H55" s="107" t="str">
        <f aca="false">IF($A55&lt;1887,"n/a",IF(G55&lt;=cap_int,"OK","Check"))</f>
        <v>OK</v>
      </c>
      <c r="I55" s="108" t="n">
        <f aca="false">Budget!AC55</f>
        <v>0.00693433914750759</v>
      </c>
      <c r="J55" s="107" t="str">
        <f aca="false">IF($A55&lt;1887,"n/a",IF(Paths!AC55=1,"War year",IF(I55&lt;=cap_def,"OK","Check")))</f>
        <v>OK</v>
      </c>
      <c r="K55" s="66" t="n">
        <f aca="false">'Debt &amp; cash'!Y55/Economy!O55</f>
        <v>0.00526979161645658</v>
      </c>
      <c r="L55" s="107" t="str">
        <f aca="false">IF('Debt &amp; cash'!Y55*issue_price&lt;=mkt_capacity*Economy!O55+foreign_capacity,"OK","Check")</f>
        <v>OK</v>
      </c>
      <c r="M55" s="107" t="str">
        <f aca="false">IF($A55&lt;1900,"n/a",IF('Gold &amp; money'!K55&gt;=0,"OK","Check"))</f>
        <v>n/a</v>
      </c>
      <c r="N55" s="108" t="n">
        <f aca="false">Japan!AA55</f>
        <v>0.139534779379269</v>
      </c>
      <c r="O55" s="107" t="str">
        <f aca="false">IF(N55&lt;=1,"OK","Check")</f>
        <v>OK</v>
      </c>
      <c r="P55" s="107" t="str">
        <f aca="false">IF($A55&lt;1922,"n/a",IF(AND(Navy!AE55&gt;=0.95,Navy!AE55&lt;=1.1),"OK","Check"))</f>
        <v>n/a</v>
      </c>
      <c r="Q55" s="107" t="str">
        <f aca="false">IF(Navy!Z55=0,"n/a",IF(Resources!K55&gt;=Navy!Z55,"OK","Check"))</f>
        <v>OK</v>
      </c>
      <c r="R55" s="107" t="str">
        <f aca="false">IF(AND(gulf_on=1,$A55=gulf_year),IF(Gulf!AF55=1,"OK","Check"),"n/a")</f>
        <v>n/a</v>
      </c>
      <c r="S55" s="49" t="n">
        <f aca="false">COUNTIF(B55:R55,"Check")+COUNTIF(T55:AG55,"Check")+AH55+COUNTIF(AI55,"Check")+COUNTIF(AJ55:AK55,"Check")</f>
        <v>0</v>
      </c>
      <c r="T55" s="1" t="str">
        <f aca="false">IF(ABS(Japan!AM55)&lt;0.001,"OK","Check")</f>
        <v>OK</v>
      </c>
      <c r="U55" s="1" t="str">
        <f aca="false">"n/a"</f>
        <v>n/a</v>
      </c>
      <c r="V55" s="1" t="str">
        <f aca="false">"n/a"</f>
        <v>n/a</v>
      </c>
      <c r="W55" s="1" t="str">
        <f aca="false">"n/a"</f>
        <v>n/a</v>
      </c>
      <c r="X55" s="1" t="str">
        <f aca="false">"n/a"</f>
        <v>n/a</v>
      </c>
      <c r="Y55" s="1" t="str">
        <f aca="false">IF(Abroad!T55&gt;=-0.001,"OK","Check")</f>
        <v>OK</v>
      </c>
      <c r="Z55" s="1" t="str">
        <f aca="false">"n/a"</f>
        <v>n/a</v>
      </c>
      <c r="AA55" s="1" t="str">
        <f aca="false">IF(ABS('Sources &amp; uses'!P89)&lt;0.001,"OK","Check")</f>
        <v>OK</v>
      </c>
      <c r="AB55" s="1" t="str">
        <f aca="false">IF(AND(ABS('War credit'!F55)&lt;0.001,ABS('War credit'!K55)&lt;0.001),"OK","Check")</f>
        <v>OK</v>
      </c>
      <c r="AC55" s="1" t="str">
        <f aca="false">"OK"</f>
        <v>OK</v>
      </c>
      <c r="AD55" s="1" t="str">
        <f aca="false">IF('Sources &amp; uses'!M184&lt;0.001,"OK","Check")</f>
        <v>OK</v>
      </c>
      <c r="AE55" s="1" t="str">
        <f aca="false">IF('War credit'!E55=0,"OK",IF(ISNUMBER('War credit'!AC55),IF('War credit'!AC55&lt;0.001,"OK","Check"),"Unverified"))</f>
        <v>OK</v>
      </c>
      <c r="AF55" s="1" t="str">
        <f aca="false">"OK"</f>
        <v>OK</v>
      </c>
      <c r="AG55" s="1" t="str">
        <f aca="false">IF('Capital accounts'!L55&gt;0.001,"Check","OK")</f>
        <v>OK</v>
      </c>
      <c r="AH55" s="1" t="n">
        <f aca="false">COUNTIF(AA55:AG55,"Unverified")</f>
        <v>0</v>
      </c>
      <c r="AI55" s="1" t="str">
        <f aca="false">IF(OR($A55&lt;1918,$A55&gt;1932),"n/a",INDEX(Siberia!$H$38:$H$52,MATCH($A55,Siberia!$A$38:$A$52,0)))</f>
        <v>n/a</v>
      </c>
      <c r="AJ55" s="1" t="str">
        <f aca="false">IF($A55&lt;&gt;1895,"n/a",IF(AND(MATCH(MIN(People!$Y$16:$Y$92),People!$Y$16:$Y$92,0)+1855&gt;=1893,MATCH(MIN(People!$Y$16:$Y$92),People!$Y$16:$Y$92,0)+1855&lt;=1897),"OK","Check"))</f>
        <v>OK</v>
      </c>
      <c r="AK55" s="1" t="str">
        <f aca="false">IF($A55&lt;&gt;1861,"n/a",IF(ABS(People!B55/dem01_target-1)&lt;=0.1,"OK","Check"))</f>
        <v>n/a</v>
      </c>
    </row>
    <row r="56" customFormat="false" ht="14.25" hidden="false" customHeight="true" outlineLevel="0" collapsed="false">
      <c r="A56" s="61" t="n">
        <v>1896</v>
      </c>
      <c r="B56" s="107" t="str">
        <f aca="false">IF(ABS(People!L56-(People!B56+People!C56+People!D56+People!K56))&lt;1,"OK","Check")</f>
        <v>OK</v>
      </c>
      <c r="C56" s="107" t="str">
        <f aca="false">IF(ABS('Debt &amp; cash'!M56-'Debt &amp; cash'!E56)&lt;0.001,"OK","Check")</f>
        <v>OK</v>
      </c>
      <c r="D56" s="107" t="str">
        <f aca="false">IF('Debt &amp; cash'!S56&gt;=-0.001,"OK","Check")</f>
        <v>OK</v>
      </c>
      <c r="E56" s="108" t="n">
        <f aca="false">'Debt &amp; cash'!V56</f>
        <v>0.05</v>
      </c>
      <c r="F56" s="107" t="str">
        <f aca="false">IF($A56&lt;1887,"n/a",IF(E56&lt;=cap_debt,"OK","Check"))</f>
        <v>OK</v>
      </c>
      <c r="G56" s="108" t="n">
        <f aca="false">'Debt &amp; cash'!W56</f>
        <v>0.0206371909183294</v>
      </c>
      <c r="H56" s="107" t="str">
        <f aca="false">IF($A56&lt;1887,"n/a",IF(G56&lt;=cap_int,"OK","Check"))</f>
        <v>OK</v>
      </c>
      <c r="I56" s="108" t="n">
        <f aca="false">Budget!AC56</f>
        <v>0.00720588212377637</v>
      </c>
      <c r="J56" s="107" t="str">
        <f aca="false">IF($A56&lt;1887,"n/a",IF(Paths!AC56=1,"War year",IF(I56&lt;=cap_def,"OK","Check")))</f>
        <v>OK</v>
      </c>
      <c r="K56" s="66" t="n">
        <f aca="false">'Debt &amp; cash'!Y56/Economy!O56</f>
        <v>0.00822645354896967</v>
      </c>
      <c r="L56" s="107" t="str">
        <f aca="false">IF('Debt &amp; cash'!Y56*issue_price&lt;=mkt_capacity*Economy!O56+foreign_capacity,"OK","Check")</f>
        <v>OK</v>
      </c>
      <c r="M56" s="107" t="str">
        <f aca="false">IF($A56&lt;1900,"n/a",IF('Gold &amp; money'!K56&gt;=0,"OK","Check"))</f>
        <v>n/a</v>
      </c>
      <c r="N56" s="108" t="n">
        <f aca="false">Japan!AA56</f>
        <v>0.116808162794571</v>
      </c>
      <c r="O56" s="107" t="str">
        <f aca="false">IF(N56&lt;=1,"OK","Check")</f>
        <v>OK</v>
      </c>
      <c r="P56" s="107" t="str">
        <f aca="false">IF($A56&lt;1922,"n/a",IF(AND(Navy!AE56&gt;=0.95,Navy!AE56&lt;=1.1),"OK","Check"))</f>
        <v>n/a</v>
      </c>
      <c r="Q56" s="107" t="str">
        <f aca="false">IF(Navy!Z56=0,"n/a",IF(Resources!K56&gt;=Navy!Z56,"OK","Check"))</f>
        <v>OK</v>
      </c>
      <c r="R56" s="107" t="str">
        <f aca="false">IF(AND(gulf_on=1,$A56=gulf_year),IF(Gulf!AF56=1,"OK","Check"),"n/a")</f>
        <v>n/a</v>
      </c>
      <c r="S56" s="49" t="n">
        <f aca="false">COUNTIF(B56:R56,"Check")+COUNTIF(T56:AG56,"Check")+AH56+COUNTIF(AI56,"Check")+COUNTIF(AJ56:AK56,"Check")</f>
        <v>0</v>
      </c>
      <c r="T56" s="1" t="str">
        <f aca="false">IF(ABS(Japan!AM56)&lt;0.001,"OK","Check")</f>
        <v>OK</v>
      </c>
      <c r="U56" s="1" t="str">
        <f aca="false">"n/a"</f>
        <v>n/a</v>
      </c>
      <c r="V56" s="1" t="str">
        <f aca="false">"n/a"</f>
        <v>n/a</v>
      </c>
      <c r="W56" s="1" t="str">
        <f aca="false">"n/a"</f>
        <v>n/a</v>
      </c>
      <c r="X56" s="1" t="str">
        <f aca="false">"n/a"</f>
        <v>n/a</v>
      </c>
      <c r="Y56" s="1" t="str">
        <f aca="false">IF(Abroad!T56&gt;=-0.001,"OK","Check")</f>
        <v>OK</v>
      </c>
      <c r="Z56" s="1" t="str">
        <f aca="false">"n/a"</f>
        <v>n/a</v>
      </c>
      <c r="AA56" s="1" t="str">
        <f aca="false">IF(ABS('Sources &amp; uses'!P90)&lt;0.001,"OK","Check")</f>
        <v>OK</v>
      </c>
      <c r="AB56" s="1" t="str">
        <f aca="false">IF(AND(ABS('War credit'!F56)&lt;0.001,ABS('War credit'!K56)&lt;0.001),"OK","Check")</f>
        <v>OK</v>
      </c>
      <c r="AC56" s="1" t="str">
        <f aca="false">"OK"</f>
        <v>OK</v>
      </c>
      <c r="AD56" s="1" t="str">
        <f aca="false">IF('Sources &amp; uses'!M185&lt;0.001,"OK","Check")</f>
        <v>OK</v>
      </c>
      <c r="AE56" s="1" t="str">
        <f aca="false">IF('War credit'!E56=0,"OK",IF(ISNUMBER('War credit'!AC56),IF('War credit'!AC56&lt;0.001,"OK","Check"),"Unverified"))</f>
        <v>OK</v>
      </c>
      <c r="AF56" s="1" t="str">
        <f aca="false">"OK"</f>
        <v>OK</v>
      </c>
      <c r="AG56" s="1" t="str">
        <f aca="false">IF('Capital accounts'!L56&gt;0.001,"Check","OK")</f>
        <v>OK</v>
      </c>
      <c r="AH56" s="1" t="n">
        <f aca="false">COUNTIF(AA56:AG56,"Unverified")</f>
        <v>0</v>
      </c>
      <c r="AI56" s="1" t="str">
        <f aca="false">IF(OR($A56&lt;1918,$A56&gt;1932),"n/a",INDEX(Siberia!$H$38:$H$52,MATCH($A56,Siberia!$A$38:$A$52,0)))</f>
        <v>n/a</v>
      </c>
      <c r="AJ56" s="1" t="str">
        <f aca="false">IF($A56&lt;&gt;1895,"n/a",IF(AND(MATCH(MIN(People!$Y$16:$Y$92),People!$Y$16:$Y$92,0)+1855&gt;=1893,MATCH(MIN(People!$Y$16:$Y$92),People!$Y$16:$Y$92,0)+1855&lt;=1897),"OK","Check"))</f>
        <v>n/a</v>
      </c>
      <c r="AK56" s="1" t="str">
        <f aca="false">IF($A56&lt;&gt;1861,"n/a",IF(ABS(People!B56/dem01_target-1)&lt;=0.1,"OK","Check"))</f>
        <v>n/a</v>
      </c>
    </row>
    <row r="57" customFormat="false" ht="14.25" hidden="false" customHeight="true" outlineLevel="0" collapsed="false">
      <c r="A57" s="61" t="n">
        <v>1897</v>
      </c>
      <c r="B57" s="107" t="str">
        <f aca="false">IF(ABS(People!L57-(People!B57+People!C57+People!D57+People!K57))&lt;1,"OK","Check")</f>
        <v>OK</v>
      </c>
      <c r="C57" s="107" t="str">
        <f aca="false">IF(ABS('Debt &amp; cash'!M57-'Debt &amp; cash'!E57)&lt;0.001,"OK","Check")</f>
        <v>OK</v>
      </c>
      <c r="D57" s="107" t="str">
        <f aca="false">IF('Debt &amp; cash'!S57&gt;=-0.001,"OK","Check")</f>
        <v>OK</v>
      </c>
      <c r="E57" s="108" t="n">
        <f aca="false">'Debt &amp; cash'!V57</f>
        <v>0.05</v>
      </c>
      <c r="F57" s="107" t="str">
        <f aca="false">IF($A57&lt;1887,"n/a",IF(E57&lt;=cap_debt,"OK","Check"))</f>
        <v>OK</v>
      </c>
      <c r="G57" s="108" t="n">
        <f aca="false">'Debt &amp; cash'!W57</f>
        <v>0.01938448901253</v>
      </c>
      <c r="H57" s="107" t="str">
        <f aca="false">IF($A57&lt;1887,"n/a",IF(G57&lt;=cap_int,"OK","Check"))</f>
        <v>OK</v>
      </c>
      <c r="I57" s="108" t="n">
        <f aca="false">Budget!AC57</f>
        <v>0.00640469402956991</v>
      </c>
      <c r="J57" s="107" t="str">
        <f aca="false">IF($A57&lt;1887,"n/a",IF(Paths!AC57=1,"War year",IF(I57&lt;=cap_def,"OK","Check")))</f>
        <v>OK</v>
      </c>
      <c r="K57" s="66" t="n">
        <f aca="false">'Debt &amp; cash'!Y57/Economy!O57</f>
        <v>0.00900856060855518</v>
      </c>
      <c r="L57" s="107" t="str">
        <f aca="false">IF('Debt &amp; cash'!Y57*issue_price&lt;=mkt_capacity*Economy!O57+foreign_capacity,"OK","Check")</f>
        <v>OK</v>
      </c>
      <c r="M57" s="107" t="str">
        <f aca="false">IF($A57&lt;1900,"n/a",IF('Gold &amp; money'!K57&gt;=0,"OK","Check"))</f>
        <v>n/a</v>
      </c>
      <c r="N57" s="108" t="n">
        <f aca="false">Japan!AA57</f>
        <v>0.0986309191612772</v>
      </c>
      <c r="O57" s="107" t="str">
        <f aca="false">IF(N57&lt;=1,"OK","Check")</f>
        <v>OK</v>
      </c>
      <c r="P57" s="107" t="str">
        <f aca="false">IF($A57&lt;1922,"n/a",IF(AND(Navy!AE57&gt;=0.95,Navy!AE57&lt;=1.1),"OK","Check"))</f>
        <v>n/a</v>
      </c>
      <c r="Q57" s="107" t="str">
        <f aca="false">IF(Navy!Z57=0,"n/a",IF(Resources!K57&gt;=Navy!Z57,"OK","Check"))</f>
        <v>OK</v>
      </c>
      <c r="R57" s="107" t="str">
        <f aca="false">IF(AND(gulf_on=1,$A57=gulf_year),IF(Gulf!AF57=1,"OK","Check"),"n/a")</f>
        <v>n/a</v>
      </c>
      <c r="S57" s="49" t="n">
        <f aca="false">COUNTIF(B57:R57,"Check")+COUNTIF(T57:AG57,"Check")+AH57+COUNTIF(AI57,"Check")+COUNTIF(AJ57:AK57,"Check")</f>
        <v>0</v>
      </c>
      <c r="T57" s="1" t="str">
        <f aca="false">IF(ABS(Japan!AM57)&lt;0.001,"OK","Check")</f>
        <v>OK</v>
      </c>
      <c r="U57" s="1" t="str">
        <f aca="false">"n/a"</f>
        <v>n/a</v>
      </c>
      <c r="V57" s="1" t="str">
        <f aca="false">"n/a"</f>
        <v>n/a</v>
      </c>
      <c r="W57" s="1" t="str">
        <f aca="false">"n/a"</f>
        <v>n/a</v>
      </c>
      <c r="X57" s="1" t="str">
        <f aca="false">"n/a"</f>
        <v>n/a</v>
      </c>
      <c r="Y57" s="1" t="str">
        <f aca="false">IF(Abroad!T57&gt;=-0.001,"OK","Check")</f>
        <v>OK</v>
      </c>
      <c r="Z57" s="1" t="str">
        <f aca="false">"n/a"</f>
        <v>n/a</v>
      </c>
      <c r="AA57" s="1" t="str">
        <f aca="false">IF(ABS('Sources &amp; uses'!P91)&lt;0.001,"OK","Check")</f>
        <v>OK</v>
      </c>
      <c r="AB57" s="1" t="str">
        <f aca="false">IF(AND(ABS('War credit'!F57)&lt;0.001,ABS('War credit'!K57)&lt;0.001),"OK","Check")</f>
        <v>OK</v>
      </c>
      <c r="AC57" s="1" t="str">
        <f aca="false">"OK"</f>
        <v>OK</v>
      </c>
      <c r="AD57" s="1" t="str">
        <f aca="false">IF('Sources &amp; uses'!M186&lt;0.001,"OK","Check")</f>
        <v>OK</v>
      </c>
      <c r="AE57" s="1" t="str">
        <f aca="false">IF('War credit'!E57=0,"OK",IF(ISNUMBER('War credit'!AC57),IF('War credit'!AC57&lt;0.001,"OK","Check"),"Unverified"))</f>
        <v>OK</v>
      </c>
      <c r="AF57" s="1" t="str">
        <f aca="false">"OK"</f>
        <v>OK</v>
      </c>
      <c r="AG57" s="1" t="str">
        <f aca="false">IF('Capital accounts'!L57&gt;0.001,"Check","OK")</f>
        <v>OK</v>
      </c>
      <c r="AH57" s="1" t="n">
        <f aca="false">COUNTIF(AA57:AG57,"Unverified")</f>
        <v>0</v>
      </c>
      <c r="AI57" s="1" t="str">
        <f aca="false">IF(OR($A57&lt;1918,$A57&gt;1932),"n/a",INDEX(Siberia!$H$38:$H$52,MATCH($A57,Siberia!$A$38:$A$52,0)))</f>
        <v>n/a</v>
      </c>
      <c r="AJ57" s="1" t="str">
        <f aca="false">IF($A57&lt;&gt;1895,"n/a",IF(AND(MATCH(MIN(People!$Y$16:$Y$92),People!$Y$16:$Y$92,0)+1855&gt;=1893,MATCH(MIN(People!$Y$16:$Y$92),People!$Y$16:$Y$92,0)+1855&lt;=1897),"OK","Check"))</f>
        <v>n/a</v>
      </c>
      <c r="AK57" s="1" t="str">
        <f aca="false">IF($A57&lt;&gt;1861,"n/a",IF(ABS(People!B57/dem01_target-1)&lt;=0.1,"OK","Check"))</f>
        <v>n/a</v>
      </c>
    </row>
    <row r="58" customFormat="false" ht="14.25" hidden="false" customHeight="true" outlineLevel="0" collapsed="false">
      <c r="A58" s="61" t="n">
        <v>1898</v>
      </c>
      <c r="B58" s="107" t="str">
        <f aca="false">IF(ABS(People!L58-(People!B58+People!C58+People!D58+People!K58))&lt;1,"OK","Check")</f>
        <v>OK</v>
      </c>
      <c r="C58" s="107" t="str">
        <f aca="false">IF(ABS('Debt &amp; cash'!M58-'Debt &amp; cash'!E58)&lt;0.001,"OK","Check")</f>
        <v>OK</v>
      </c>
      <c r="D58" s="107" t="str">
        <f aca="false">IF('Debt &amp; cash'!S58&gt;=-0.001,"OK","Check")</f>
        <v>OK</v>
      </c>
      <c r="E58" s="108" t="n">
        <f aca="false">'Debt &amp; cash'!V58</f>
        <v>0.05</v>
      </c>
      <c r="F58" s="107" t="str">
        <f aca="false">IF($A58&lt;1887,"n/a",IF(E58&lt;=cap_debt,"OK","Check"))</f>
        <v>OK</v>
      </c>
      <c r="G58" s="108" t="n">
        <f aca="false">'Debt &amp; cash'!W58</f>
        <v>0.0196187735532766</v>
      </c>
      <c r="H58" s="107" t="str">
        <f aca="false">IF($A58&lt;1887,"n/a",IF(G58&lt;=cap_int,"OK","Check"))</f>
        <v>OK</v>
      </c>
      <c r="I58" s="108" t="n">
        <f aca="false">Budget!AC58</f>
        <v>0.00814294087046114</v>
      </c>
      <c r="J58" s="107" t="str">
        <f aca="false">IF($A58&lt;1887,"n/a",IF(Paths!AC58=1,"War year",IF(I58&lt;=cap_def,"OK","Check")))</f>
        <v>OK</v>
      </c>
      <c r="K58" s="66" t="n">
        <f aca="false">'Debt &amp; cash'!Y58/Economy!O58</f>
        <v>0.00763605858558875</v>
      </c>
      <c r="L58" s="107" t="str">
        <f aca="false">IF('Debt &amp; cash'!Y58*issue_price&lt;=mkt_capacity*Economy!O58+foreign_capacity,"OK","Check")</f>
        <v>OK</v>
      </c>
      <c r="M58" s="107" t="str">
        <f aca="false">IF($A58&lt;1900,"n/a",IF('Gold &amp; money'!K58&gt;=0,"OK","Check"))</f>
        <v>n/a</v>
      </c>
      <c r="N58" s="108" t="n">
        <f aca="false">Japan!AA58</f>
        <v>0.144481399421579</v>
      </c>
      <c r="O58" s="107" t="str">
        <f aca="false">IF(N58&lt;=1,"OK","Check")</f>
        <v>OK</v>
      </c>
      <c r="P58" s="107" t="str">
        <f aca="false">IF($A58&lt;1922,"n/a",IF(AND(Navy!AE58&gt;=0.95,Navy!AE58&lt;=1.1),"OK","Check"))</f>
        <v>n/a</v>
      </c>
      <c r="Q58" s="107" t="str">
        <f aca="false">IF(Navy!Z58=0,"n/a",IF(Resources!K58&gt;=Navy!Z58,"OK","Check"))</f>
        <v>OK</v>
      </c>
      <c r="R58" s="107" t="str">
        <f aca="false">IF(AND(gulf_on=1,$A58=gulf_year),IF(Gulf!AF58=1,"OK","Check"),"n/a")</f>
        <v>n/a</v>
      </c>
      <c r="S58" s="49" t="n">
        <f aca="false">COUNTIF(B58:R58,"Check")+COUNTIF(T58:AG58,"Check")+AH58+COUNTIF(AI58,"Check")+COUNTIF(AJ58:AK58,"Check")</f>
        <v>0</v>
      </c>
      <c r="T58" s="1" t="str">
        <f aca="false">IF(ABS(Japan!AM58)&lt;0.001,"OK","Check")</f>
        <v>OK</v>
      </c>
      <c r="U58" s="1" t="str">
        <f aca="false">"n/a"</f>
        <v>n/a</v>
      </c>
      <c r="V58" s="1" t="str">
        <f aca="false">"n/a"</f>
        <v>n/a</v>
      </c>
      <c r="W58" s="1" t="str">
        <f aca="false">"n/a"</f>
        <v>n/a</v>
      </c>
      <c r="X58" s="1" t="str">
        <f aca="false">"n/a"</f>
        <v>n/a</v>
      </c>
      <c r="Y58" s="1" t="str">
        <f aca="false">IF(Abroad!T58&gt;=-0.001,"OK","Check")</f>
        <v>OK</v>
      </c>
      <c r="Z58" s="1" t="str">
        <f aca="false">"n/a"</f>
        <v>n/a</v>
      </c>
      <c r="AA58" s="1" t="str">
        <f aca="false">IF(ABS('Sources &amp; uses'!P92)&lt;0.001,"OK","Check")</f>
        <v>OK</v>
      </c>
      <c r="AB58" s="1" t="str">
        <f aca="false">IF(AND(ABS('War credit'!F58)&lt;0.001,ABS('War credit'!K58)&lt;0.001),"OK","Check")</f>
        <v>OK</v>
      </c>
      <c r="AC58" s="1" t="str">
        <f aca="false">"OK"</f>
        <v>OK</v>
      </c>
      <c r="AD58" s="1" t="str">
        <f aca="false">IF('Sources &amp; uses'!M187&lt;0.001,"OK","Check")</f>
        <v>OK</v>
      </c>
      <c r="AE58" s="1" t="str">
        <f aca="false">IF('War credit'!E58=0,"OK",IF(ISNUMBER('War credit'!AC58),IF('War credit'!AC58&lt;0.001,"OK","Check"),"Unverified"))</f>
        <v>OK</v>
      </c>
      <c r="AF58" s="1" t="str">
        <f aca="false">"OK"</f>
        <v>OK</v>
      </c>
      <c r="AG58" s="1" t="str">
        <f aca="false">IF('Capital accounts'!L58&gt;0.001,"Check","OK")</f>
        <v>OK</v>
      </c>
      <c r="AH58" s="1" t="n">
        <f aca="false">COUNTIF(AA58:AG58,"Unverified")</f>
        <v>0</v>
      </c>
      <c r="AI58" s="1" t="str">
        <f aca="false">IF(OR($A58&lt;1918,$A58&gt;1932),"n/a",INDEX(Siberia!$H$38:$H$52,MATCH($A58,Siberia!$A$38:$A$52,0)))</f>
        <v>n/a</v>
      </c>
      <c r="AJ58" s="1" t="str">
        <f aca="false">IF($A58&lt;&gt;1895,"n/a",IF(AND(MATCH(MIN(People!$Y$16:$Y$92),People!$Y$16:$Y$92,0)+1855&gt;=1893,MATCH(MIN(People!$Y$16:$Y$92),People!$Y$16:$Y$92,0)+1855&lt;=1897),"OK","Check"))</f>
        <v>n/a</v>
      </c>
      <c r="AK58" s="1" t="str">
        <f aca="false">IF($A58&lt;&gt;1861,"n/a",IF(ABS(People!B58/dem01_target-1)&lt;=0.1,"OK","Check"))</f>
        <v>n/a</v>
      </c>
    </row>
    <row r="59" customFormat="false" ht="14.25" hidden="false" customHeight="true" outlineLevel="0" collapsed="false">
      <c r="A59" s="61" t="n">
        <v>1899</v>
      </c>
      <c r="B59" s="107" t="str">
        <f aca="false">IF(ABS(People!L59-(People!B59+People!C59+People!D59+People!K59))&lt;1,"OK","Check")</f>
        <v>OK</v>
      </c>
      <c r="C59" s="107" t="str">
        <f aca="false">IF(ABS('Debt &amp; cash'!M59-'Debt &amp; cash'!E59)&lt;0.001,"OK","Check")</f>
        <v>OK</v>
      </c>
      <c r="D59" s="107" t="str">
        <f aca="false">IF('Debt &amp; cash'!S59&gt;=-0.001,"OK","Check")</f>
        <v>OK</v>
      </c>
      <c r="E59" s="108" t="n">
        <f aca="false">'Debt &amp; cash'!V59</f>
        <v>0.05</v>
      </c>
      <c r="F59" s="107" t="str">
        <f aca="false">IF($A59&lt;1887,"n/a",IF(E59&lt;=cap_debt,"OK","Check"))</f>
        <v>OK</v>
      </c>
      <c r="G59" s="108" t="n">
        <f aca="false">'Debt &amp; cash'!W59</f>
        <v>0.0194568210258634</v>
      </c>
      <c r="H59" s="107" t="str">
        <f aca="false">IF($A59&lt;1887,"n/a",IF(G59&lt;=cap_int,"OK","Check"))</f>
        <v>OK</v>
      </c>
      <c r="I59" s="108" t="n">
        <f aca="false">Budget!AC59</f>
        <v>0.00738725382833596</v>
      </c>
      <c r="J59" s="107" t="str">
        <f aca="false">IF($A59&lt;1887,"n/a",IF(Paths!AC59=1,"War year",IF(I59&lt;=cap_def,"OK","Check")))</f>
        <v>OK</v>
      </c>
      <c r="K59" s="66" t="n">
        <f aca="false">'Debt &amp; cash'!Y59/Economy!O59</f>
        <v>0.00767076556705119</v>
      </c>
      <c r="L59" s="107" t="str">
        <f aca="false">IF('Debt &amp; cash'!Y59*issue_price&lt;=mkt_capacity*Economy!O59+foreign_capacity,"OK","Check")</f>
        <v>OK</v>
      </c>
      <c r="M59" s="107" t="str">
        <f aca="false">IF($A59&lt;1900,"n/a",IF('Gold &amp; money'!K59&gt;=0,"OK","Check"))</f>
        <v>n/a</v>
      </c>
      <c r="N59" s="108" t="n">
        <f aca="false">Japan!AA59</f>
        <v>0.187166556988388</v>
      </c>
      <c r="O59" s="107" t="str">
        <f aca="false">IF(N59&lt;=1,"OK","Check")</f>
        <v>OK</v>
      </c>
      <c r="P59" s="107" t="str">
        <f aca="false">IF($A59&lt;1922,"n/a",IF(AND(Navy!AE59&gt;=0.95,Navy!AE59&lt;=1.1),"OK","Check"))</f>
        <v>n/a</v>
      </c>
      <c r="Q59" s="107" t="str">
        <f aca="false">IF(Navy!Z59=0,"n/a",IF(Resources!K59&gt;=Navy!Z59,"OK","Check"))</f>
        <v>OK</v>
      </c>
      <c r="R59" s="107" t="str">
        <f aca="false">IF(AND(gulf_on=1,$A59=gulf_year),IF(Gulf!AF59=1,"OK","Check"),"n/a")</f>
        <v>n/a</v>
      </c>
      <c r="S59" s="49" t="n">
        <f aca="false">COUNTIF(B59:R59,"Check")+COUNTIF(T59:AG59,"Check")+AH59+COUNTIF(AI59,"Check")+COUNTIF(AJ59:AK59,"Check")</f>
        <v>0</v>
      </c>
      <c r="T59" s="1" t="str">
        <f aca="false">IF(ABS(Japan!AM59)&lt;0.001,"OK","Check")</f>
        <v>OK</v>
      </c>
      <c r="U59" s="1" t="str">
        <f aca="false">"n/a"</f>
        <v>n/a</v>
      </c>
      <c r="V59" s="1" t="str">
        <f aca="false">"n/a"</f>
        <v>n/a</v>
      </c>
      <c r="W59" s="1" t="str">
        <f aca="false">"n/a"</f>
        <v>n/a</v>
      </c>
      <c r="X59" s="1" t="str">
        <f aca="false">"n/a"</f>
        <v>n/a</v>
      </c>
      <c r="Y59" s="1" t="str">
        <f aca="false">IF(Abroad!T59&gt;=-0.001,"OK","Check")</f>
        <v>OK</v>
      </c>
      <c r="Z59" s="1" t="str">
        <f aca="false">"n/a"</f>
        <v>n/a</v>
      </c>
      <c r="AA59" s="1" t="str">
        <f aca="false">IF(ABS('Sources &amp; uses'!P93)&lt;0.001,"OK","Check")</f>
        <v>OK</v>
      </c>
      <c r="AB59" s="1" t="str">
        <f aca="false">IF(AND(ABS('War credit'!F59)&lt;0.001,ABS('War credit'!K59)&lt;0.001),"OK","Check")</f>
        <v>OK</v>
      </c>
      <c r="AC59" s="1" t="str">
        <f aca="false">"OK"</f>
        <v>OK</v>
      </c>
      <c r="AD59" s="1" t="str">
        <f aca="false">IF('Sources &amp; uses'!M188&lt;0.001,"OK","Check")</f>
        <v>OK</v>
      </c>
      <c r="AE59" s="1" t="str">
        <f aca="false">IF('War credit'!E59=0,"OK",IF(ISNUMBER('War credit'!AC59),IF('War credit'!AC59&lt;0.001,"OK","Check"),"Unverified"))</f>
        <v>OK</v>
      </c>
      <c r="AF59" s="1" t="str">
        <f aca="false">"OK"</f>
        <v>OK</v>
      </c>
      <c r="AG59" s="1" t="str">
        <f aca="false">IF('Capital accounts'!L59&gt;0.001,"Check","OK")</f>
        <v>OK</v>
      </c>
      <c r="AH59" s="1" t="n">
        <f aca="false">COUNTIF(AA59:AG59,"Unverified")</f>
        <v>0</v>
      </c>
      <c r="AI59" s="1" t="str">
        <f aca="false">IF(OR($A59&lt;1918,$A59&gt;1932),"n/a",INDEX(Siberia!$H$38:$H$52,MATCH($A59,Siberia!$A$38:$A$52,0)))</f>
        <v>n/a</v>
      </c>
      <c r="AJ59" s="1" t="str">
        <f aca="false">IF($A59&lt;&gt;1895,"n/a",IF(AND(MATCH(MIN(People!$Y$16:$Y$92),People!$Y$16:$Y$92,0)+1855&gt;=1893,MATCH(MIN(People!$Y$16:$Y$92),People!$Y$16:$Y$92,0)+1855&lt;=1897),"OK","Check"))</f>
        <v>n/a</v>
      </c>
      <c r="AK59" s="1" t="str">
        <f aca="false">IF($A59&lt;&gt;1861,"n/a",IF(ABS(People!B59/dem01_target-1)&lt;=0.1,"OK","Check"))</f>
        <v>n/a</v>
      </c>
    </row>
    <row r="60" customFormat="false" ht="14.25" hidden="false" customHeight="true" outlineLevel="0" collapsed="false">
      <c r="A60" s="61" t="n">
        <v>1900</v>
      </c>
      <c r="B60" s="107" t="str">
        <f aca="false">IF(ABS(People!L60-(People!B60+People!C60+People!D60+People!K60))&lt;1,"OK","Check")</f>
        <v>OK</v>
      </c>
      <c r="C60" s="107" t="str">
        <f aca="false">IF(ABS('Debt &amp; cash'!M60-'Debt &amp; cash'!E60)&lt;0.001,"OK","Check")</f>
        <v>OK</v>
      </c>
      <c r="D60" s="107" t="str">
        <f aca="false">IF('Debt &amp; cash'!S60&gt;=-0.001,"OK","Check")</f>
        <v>OK</v>
      </c>
      <c r="E60" s="108" t="n">
        <f aca="false">'Debt &amp; cash'!V60</f>
        <v>0.05</v>
      </c>
      <c r="F60" s="107" t="str">
        <f aca="false">IF($A60&lt;1887,"n/a",IF(E60&lt;=cap_debt,"OK","Check"))</f>
        <v>OK</v>
      </c>
      <c r="G60" s="108" t="n">
        <f aca="false">'Debt &amp; cash'!W60</f>
        <v>0.019236287292371</v>
      </c>
      <c r="H60" s="107" t="str">
        <f aca="false">IF($A60&lt;1887,"n/a",IF(G60&lt;=cap_int,"OK","Check"))</f>
        <v>OK</v>
      </c>
      <c r="I60" s="108" t="n">
        <f aca="false">Budget!AC60</f>
        <v>0.00607003161139555</v>
      </c>
      <c r="J60" s="107" t="str">
        <f aca="false">IF($A60&lt;1887,"n/a",IF(Paths!AC60=1,"War year",IF(I60&lt;=cap_def,"OK","Check")))</f>
        <v>OK</v>
      </c>
      <c r="K60" s="66" t="n">
        <f aca="false">'Debt &amp; cash'!Y60/Economy!O60</f>
        <v>0.00889713006664066</v>
      </c>
      <c r="L60" s="107" t="str">
        <f aca="false">IF('Debt &amp; cash'!Y60*issue_price&lt;=mkt_capacity*Economy!O60+foreign_capacity,"OK","Check")</f>
        <v>OK</v>
      </c>
      <c r="M60" s="107" t="str">
        <f aca="false">IF($A60&lt;1900,"n/a",IF('Gold &amp; money'!K60&gt;=0,"OK","Check"))</f>
        <v>OK</v>
      </c>
      <c r="N60" s="108" t="n">
        <f aca="false">Japan!AA60</f>
        <v>0.178908500361269</v>
      </c>
      <c r="O60" s="107" t="str">
        <f aca="false">IF(N60&lt;=1,"OK","Check")</f>
        <v>OK</v>
      </c>
      <c r="P60" s="107" t="str">
        <f aca="false">IF($A60&lt;1922,"n/a",IF(AND(Navy!AE60&gt;=0.95,Navy!AE60&lt;=1.1),"OK","Check"))</f>
        <v>n/a</v>
      </c>
      <c r="Q60" s="107" t="str">
        <f aca="false">IF(Navy!Z60=0,"n/a",IF(Resources!K60&gt;=Navy!Z60,"OK","Check"))</f>
        <v>OK</v>
      </c>
      <c r="R60" s="107" t="str">
        <f aca="false">IF(AND(gulf_on=1,$A60=gulf_year),IF(Gulf!AF60=1,"OK","Check"),"n/a")</f>
        <v>n/a</v>
      </c>
      <c r="S60" s="49" t="n">
        <f aca="false">COUNTIF(B60:R60,"Check")+COUNTIF(T60:AG60,"Check")+AH60+COUNTIF(AI60,"Check")+COUNTIF(AJ60:AK60,"Check")</f>
        <v>0</v>
      </c>
      <c r="T60" s="1" t="str">
        <f aca="false">IF(ABS(Japan!AM60)&lt;0.001,"OK","Check")</f>
        <v>OK</v>
      </c>
      <c r="U60" s="1" t="str">
        <f aca="false">"n/a"</f>
        <v>n/a</v>
      </c>
      <c r="V60" s="1" t="str">
        <f aca="false">"n/a"</f>
        <v>n/a</v>
      </c>
      <c r="W60" s="1" t="str">
        <f aca="false">"n/a"</f>
        <v>n/a</v>
      </c>
      <c r="X60" s="1" t="str">
        <f aca="false">"n/a"</f>
        <v>n/a</v>
      </c>
      <c r="Y60" s="1" t="str">
        <f aca="false">IF(Abroad!T60&gt;=-0.001,"OK","Check")</f>
        <v>OK</v>
      </c>
      <c r="Z60" s="1" t="str">
        <f aca="false">"n/a"</f>
        <v>n/a</v>
      </c>
      <c r="AA60" s="1" t="str">
        <f aca="false">IF(ABS('Sources &amp; uses'!P94)&lt;0.001,"OK","Check")</f>
        <v>OK</v>
      </c>
      <c r="AB60" s="1" t="str">
        <f aca="false">IF(AND(ABS('War credit'!F60)&lt;0.001,ABS('War credit'!K60)&lt;0.001),"OK","Check")</f>
        <v>OK</v>
      </c>
      <c r="AC60" s="1" t="str">
        <f aca="false">"OK"</f>
        <v>OK</v>
      </c>
      <c r="AD60" s="1" t="str">
        <f aca="false">IF('Sources &amp; uses'!M189&lt;0.001,"OK","Check")</f>
        <v>OK</v>
      </c>
      <c r="AE60" s="1" t="str">
        <f aca="false">IF('War credit'!E60=0,"OK",IF(ISNUMBER('War credit'!AC60),IF('War credit'!AC60&lt;0.001,"OK","Check"),"Unverified"))</f>
        <v>OK</v>
      </c>
      <c r="AF60" s="1" t="str">
        <f aca="false">"OK"</f>
        <v>OK</v>
      </c>
      <c r="AG60" s="1" t="str">
        <f aca="false">IF('Capital accounts'!L60&gt;0.001,"Check","OK")</f>
        <v>OK</v>
      </c>
      <c r="AH60" s="1" t="n">
        <f aca="false">COUNTIF(AA60:AG60,"Unverified")</f>
        <v>0</v>
      </c>
      <c r="AI60" s="1" t="str">
        <f aca="false">IF(OR($A60&lt;1918,$A60&gt;1932),"n/a",INDEX(Siberia!$H$38:$H$52,MATCH($A60,Siberia!$A$38:$A$52,0)))</f>
        <v>n/a</v>
      </c>
      <c r="AJ60" s="1" t="str">
        <f aca="false">IF($A60&lt;&gt;1895,"n/a",IF(AND(MATCH(MIN(People!$Y$16:$Y$92),People!$Y$16:$Y$92,0)+1855&gt;=1893,MATCH(MIN(People!$Y$16:$Y$92),People!$Y$16:$Y$92,0)+1855&lt;=1897),"OK","Check"))</f>
        <v>n/a</v>
      </c>
      <c r="AK60" s="1" t="str">
        <f aca="false">IF($A60&lt;&gt;1861,"n/a",IF(ABS(People!B60/dem01_target-1)&lt;=0.1,"OK","Check"))</f>
        <v>n/a</v>
      </c>
    </row>
    <row r="61" customFormat="false" ht="14.25" hidden="false" customHeight="true" outlineLevel="0" collapsed="false">
      <c r="A61" s="61" t="n">
        <v>1901</v>
      </c>
      <c r="B61" s="107" t="str">
        <f aca="false">IF(ABS(People!L61-(People!B61+People!C61+People!D61+People!K61))&lt;1,"OK","Check")</f>
        <v>OK</v>
      </c>
      <c r="C61" s="107" t="str">
        <f aca="false">IF(ABS('Debt &amp; cash'!M61-'Debt &amp; cash'!E61)&lt;0.001,"OK","Check")</f>
        <v>OK</v>
      </c>
      <c r="D61" s="107" t="str">
        <f aca="false">IF('Debt &amp; cash'!S61&gt;=-0.001,"OK","Check")</f>
        <v>OK</v>
      </c>
      <c r="E61" s="108" t="n">
        <f aca="false">'Debt &amp; cash'!V61</f>
        <v>0.05</v>
      </c>
      <c r="F61" s="107" t="str">
        <f aca="false">IF($A61&lt;1887,"n/a",IF(E61&lt;=cap_debt,"OK","Check"))</f>
        <v>OK</v>
      </c>
      <c r="G61" s="108" t="n">
        <f aca="false">'Debt &amp; cash'!W61</f>
        <v>0.018952756753404</v>
      </c>
      <c r="H61" s="107" t="str">
        <f aca="false">IF($A61&lt;1887,"n/a",IF(G61&lt;=cap_int,"OK","Check"))</f>
        <v>OK</v>
      </c>
      <c r="I61" s="108" t="n">
        <f aca="false">Budget!AC61</f>
        <v>0.0056653699334366</v>
      </c>
      <c r="J61" s="107" t="str">
        <f aca="false">IF($A61&lt;1887,"n/a",IF(Paths!AC61=1,"War year",IF(I61&lt;=cap_def,"OK","Check")))</f>
        <v>OK</v>
      </c>
      <c r="K61" s="66" t="n">
        <f aca="false">'Debt &amp; cash'!Y61/Economy!O61</f>
        <v>0.0096094777173234</v>
      </c>
      <c r="L61" s="107" t="str">
        <f aca="false">IF('Debt &amp; cash'!Y61*issue_price&lt;=mkt_capacity*Economy!O61+foreign_capacity,"OK","Check")</f>
        <v>OK</v>
      </c>
      <c r="M61" s="107" t="str">
        <f aca="false">IF($A61&lt;1900,"n/a",IF('Gold &amp; money'!K61&gt;=0,"OK","Check"))</f>
        <v>OK</v>
      </c>
      <c r="N61" s="108" t="n">
        <f aca="false">Japan!AA61</f>
        <v>0.163808496222851</v>
      </c>
      <c r="O61" s="107" t="str">
        <f aca="false">IF(N61&lt;=1,"OK","Check")</f>
        <v>OK</v>
      </c>
      <c r="P61" s="107" t="str">
        <f aca="false">IF($A61&lt;1922,"n/a",IF(AND(Navy!AE61&gt;=0.95,Navy!AE61&lt;=1.1),"OK","Check"))</f>
        <v>n/a</v>
      </c>
      <c r="Q61" s="107" t="str">
        <f aca="false">IF(Navy!Z61=0,"n/a",IF(Resources!K61&gt;=Navy!Z61,"OK","Check"))</f>
        <v>OK</v>
      </c>
      <c r="R61" s="107" t="str">
        <f aca="false">IF(AND(gulf_on=1,$A61=gulf_year),IF(Gulf!AF61=1,"OK","Check"),"n/a")</f>
        <v>n/a</v>
      </c>
      <c r="S61" s="49" t="n">
        <f aca="false">COUNTIF(B61:R61,"Check")+COUNTIF(T61:AG61,"Check")+AH61+COUNTIF(AI61,"Check")+COUNTIF(AJ61:AK61,"Check")</f>
        <v>0</v>
      </c>
      <c r="T61" s="1" t="str">
        <f aca="false">IF(ABS(Japan!AM61)&lt;0.001,"OK","Check")</f>
        <v>OK</v>
      </c>
      <c r="U61" s="1" t="str">
        <f aca="false">"n/a"</f>
        <v>n/a</v>
      </c>
      <c r="V61" s="1" t="str">
        <f aca="false">"n/a"</f>
        <v>n/a</v>
      </c>
      <c r="W61" s="1" t="str">
        <f aca="false">"n/a"</f>
        <v>n/a</v>
      </c>
      <c r="X61" s="1" t="str">
        <f aca="false">"n/a"</f>
        <v>n/a</v>
      </c>
      <c r="Y61" s="1" t="str">
        <f aca="false">IF(Abroad!T61&gt;=-0.001,"OK","Check")</f>
        <v>OK</v>
      </c>
      <c r="Z61" s="1" t="str">
        <f aca="false">"n/a"</f>
        <v>n/a</v>
      </c>
      <c r="AA61" s="1" t="str">
        <f aca="false">IF(ABS('Sources &amp; uses'!P95)&lt;0.001,"OK","Check")</f>
        <v>OK</v>
      </c>
      <c r="AB61" s="1" t="str">
        <f aca="false">IF(AND(ABS('War credit'!F61)&lt;0.001,ABS('War credit'!K61)&lt;0.001),"OK","Check")</f>
        <v>OK</v>
      </c>
      <c r="AC61" s="1" t="str">
        <f aca="false">"OK"</f>
        <v>OK</v>
      </c>
      <c r="AD61" s="1" t="str">
        <f aca="false">IF('Sources &amp; uses'!M190&lt;0.001,"OK","Check")</f>
        <v>OK</v>
      </c>
      <c r="AE61" s="1" t="str">
        <f aca="false">IF('War credit'!E61=0,"OK",IF(ISNUMBER('War credit'!AC61),IF('War credit'!AC61&lt;0.001,"OK","Check"),"Unverified"))</f>
        <v>OK</v>
      </c>
      <c r="AF61" s="1" t="str">
        <f aca="false">"OK"</f>
        <v>OK</v>
      </c>
      <c r="AG61" s="1" t="str">
        <f aca="false">IF('Capital accounts'!L61&gt;0.001,"Check","OK")</f>
        <v>OK</v>
      </c>
      <c r="AH61" s="1" t="n">
        <f aca="false">COUNTIF(AA61:AG61,"Unverified")</f>
        <v>0</v>
      </c>
      <c r="AI61" s="1" t="str">
        <f aca="false">IF(OR($A61&lt;1918,$A61&gt;1932),"n/a",INDEX(Siberia!$H$38:$H$52,MATCH($A61,Siberia!$A$38:$A$52,0)))</f>
        <v>n/a</v>
      </c>
      <c r="AJ61" s="1" t="str">
        <f aca="false">IF($A61&lt;&gt;1895,"n/a",IF(AND(MATCH(MIN(People!$Y$16:$Y$92),People!$Y$16:$Y$92,0)+1855&gt;=1893,MATCH(MIN(People!$Y$16:$Y$92),People!$Y$16:$Y$92,0)+1855&lt;=1897),"OK","Check"))</f>
        <v>n/a</v>
      </c>
      <c r="AK61" s="1" t="str">
        <f aca="false">IF($A61&lt;&gt;1861,"n/a",IF(ABS(People!B61/dem01_target-1)&lt;=0.1,"OK","Check"))</f>
        <v>n/a</v>
      </c>
    </row>
    <row r="62" customFormat="false" ht="14.25" hidden="false" customHeight="true" outlineLevel="0" collapsed="false">
      <c r="A62" s="61" t="n">
        <v>1902</v>
      </c>
      <c r="B62" s="107" t="str">
        <f aca="false">IF(ABS(People!L62-(People!B62+People!C62+People!D62+People!K62))&lt;1,"OK","Check")</f>
        <v>OK</v>
      </c>
      <c r="C62" s="107" t="str">
        <f aca="false">IF(ABS('Debt &amp; cash'!M62-'Debt &amp; cash'!E62)&lt;0.001,"OK","Check")</f>
        <v>OK</v>
      </c>
      <c r="D62" s="107" t="str">
        <f aca="false">IF('Debt &amp; cash'!S62&gt;=-0.001,"OK","Check")</f>
        <v>OK</v>
      </c>
      <c r="E62" s="108" t="n">
        <f aca="false">'Debt &amp; cash'!V62</f>
        <v>0.05</v>
      </c>
      <c r="F62" s="107" t="str">
        <f aca="false">IF($A62&lt;1887,"n/a",IF(E62&lt;=cap_debt,"OK","Check"))</f>
        <v>OK</v>
      </c>
      <c r="G62" s="108" t="n">
        <f aca="false">'Debt &amp; cash'!W62</f>
        <v>0.018732772849602</v>
      </c>
      <c r="H62" s="107" t="str">
        <f aca="false">IF($A62&lt;1887,"n/a",IF(G62&lt;=cap_int,"OK","Check"))</f>
        <v>OK</v>
      </c>
      <c r="I62" s="108" t="n">
        <f aca="false">Budget!AC62</f>
        <v>0.00567836931851333</v>
      </c>
      <c r="J62" s="107" t="str">
        <f aca="false">IF($A62&lt;1887,"n/a",IF(Paths!AC62=1,"War year",IF(I62&lt;=cap_def,"OK","Check")))</f>
        <v>OK</v>
      </c>
      <c r="K62" s="66" t="n">
        <f aca="false">'Debt &amp; cash'!Y62/Economy!O62</f>
        <v>0.0104495318790895</v>
      </c>
      <c r="L62" s="107" t="str">
        <f aca="false">IF('Debt &amp; cash'!Y62*issue_price&lt;=mkt_capacity*Economy!O62+foreign_capacity,"OK","Check")</f>
        <v>OK</v>
      </c>
      <c r="M62" s="107" t="str">
        <f aca="false">IF($A62&lt;1900,"n/a",IF('Gold &amp; money'!K62&gt;=0,"OK","Check"))</f>
        <v>OK</v>
      </c>
      <c r="N62" s="108" t="n">
        <f aca="false">Japan!AA62</f>
        <v>0.147962222477696</v>
      </c>
      <c r="O62" s="107" t="str">
        <f aca="false">IF(N62&lt;=1,"OK","Check")</f>
        <v>OK</v>
      </c>
      <c r="P62" s="107" t="str">
        <f aca="false">IF($A62&lt;1922,"n/a",IF(AND(Navy!AE62&gt;=0.95,Navy!AE62&lt;=1.1),"OK","Check"))</f>
        <v>n/a</v>
      </c>
      <c r="Q62" s="107" t="str">
        <f aca="false">IF(Navy!Z62=0,"n/a",IF(Resources!K62&gt;=Navy!Z62,"OK","Check"))</f>
        <v>OK</v>
      </c>
      <c r="R62" s="107" t="str">
        <f aca="false">IF(AND(gulf_on=1,$A62=gulf_year),IF(Gulf!AF62=1,"OK","Check"),"n/a")</f>
        <v>n/a</v>
      </c>
      <c r="S62" s="49" t="n">
        <f aca="false">COUNTIF(B62:R62,"Check")+COUNTIF(T62:AG62,"Check")+AH62+COUNTIF(AI62,"Check")+COUNTIF(AJ62:AK62,"Check")</f>
        <v>0</v>
      </c>
      <c r="T62" s="1" t="str">
        <f aca="false">IF(ABS(Japan!AM62)&lt;0.001,"OK","Check")</f>
        <v>OK</v>
      </c>
      <c r="U62" s="1" t="str">
        <f aca="false">"n/a"</f>
        <v>n/a</v>
      </c>
      <c r="V62" s="1" t="str">
        <f aca="false">"n/a"</f>
        <v>n/a</v>
      </c>
      <c r="W62" s="1" t="str">
        <f aca="false">"n/a"</f>
        <v>n/a</v>
      </c>
      <c r="X62" s="1" t="str">
        <f aca="false">"n/a"</f>
        <v>n/a</v>
      </c>
      <c r="Y62" s="1" t="str">
        <f aca="false">IF(Abroad!T62&gt;=-0.001,"OK","Check")</f>
        <v>OK</v>
      </c>
      <c r="Z62" s="1" t="str">
        <f aca="false">"n/a"</f>
        <v>n/a</v>
      </c>
      <c r="AA62" s="1" t="str">
        <f aca="false">IF(ABS('Sources &amp; uses'!P96)&lt;0.001,"OK","Check")</f>
        <v>OK</v>
      </c>
      <c r="AB62" s="1" t="str">
        <f aca="false">IF(AND(ABS('War credit'!F62)&lt;0.001,ABS('War credit'!K62)&lt;0.001),"OK","Check")</f>
        <v>OK</v>
      </c>
      <c r="AC62" s="1" t="str">
        <f aca="false">"OK"</f>
        <v>OK</v>
      </c>
      <c r="AD62" s="1" t="str">
        <f aca="false">IF('Sources &amp; uses'!M191&lt;0.001,"OK","Check")</f>
        <v>OK</v>
      </c>
      <c r="AE62" s="1" t="str">
        <f aca="false">IF('War credit'!E62=0,"OK",IF(ISNUMBER('War credit'!AC62),IF('War credit'!AC62&lt;0.001,"OK","Check"),"Unverified"))</f>
        <v>OK</v>
      </c>
      <c r="AF62" s="1" t="str">
        <f aca="false">"OK"</f>
        <v>OK</v>
      </c>
      <c r="AG62" s="1" t="str">
        <f aca="false">IF('Capital accounts'!L62&gt;0.001,"Check","OK")</f>
        <v>OK</v>
      </c>
      <c r="AH62" s="1" t="n">
        <f aca="false">COUNTIF(AA62:AG62,"Unverified")</f>
        <v>0</v>
      </c>
      <c r="AI62" s="1" t="str">
        <f aca="false">IF(OR($A62&lt;1918,$A62&gt;1932),"n/a",INDEX(Siberia!$H$38:$H$52,MATCH($A62,Siberia!$A$38:$A$52,0)))</f>
        <v>n/a</v>
      </c>
      <c r="AJ62" s="1" t="str">
        <f aca="false">IF($A62&lt;&gt;1895,"n/a",IF(AND(MATCH(MIN(People!$Y$16:$Y$92),People!$Y$16:$Y$92,0)+1855&gt;=1893,MATCH(MIN(People!$Y$16:$Y$92),People!$Y$16:$Y$92,0)+1855&lt;=1897),"OK","Check"))</f>
        <v>n/a</v>
      </c>
      <c r="AK62" s="1" t="str">
        <f aca="false">IF($A62&lt;&gt;1861,"n/a",IF(ABS(People!B62/dem01_target-1)&lt;=0.1,"OK","Check"))</f>
        <v>n/a</v>
      </c>
    </row>
    <row r="63" customFormat="false" ht="14.25" hidden="false" customHeight="true" outlineLevel="0" collapsed="false">
      <c r="A63" s="61" t="n">
        <v>1903</v>
      </c>
      <c r="B63" s="107" t="str">
        <f aca="false">IF(ABS(People!L63-(People!B63+People!C63+People!D63+People!K63))&lt;1,"OK","Check")</f>
        <v>OK</v>
      </c>
      <c r="C63" s="107" t="str">
        <f aca="false">IF(ABS('Debt &amp; cash'!M63-'Debt &amp; cash'!E63)&lt;0.001,"OK","Check")</f>
        <v>OK</v>
      </c>
      <c r="D63" s="107" t="str">
        <f aca="false">IF('Debt &amp; cash'!S63&gt;=-0.001,"OK","Check")</f>
        <v>OK</v>
      </c>
      <c r="E63" s="108" t="n">
        <f aca="false">'Debt &amp; cash'!V63</f>
        <v>0.05</v>
      </c>
      <c r="F63" s="107" t="str">
        <f aca="false">IF($A63&lt;1887,"n/a",IF(E63&lt;=cap_debt,"OK","Check"))</f>
        <v>OK</v>
      </c>
      <c r="G63" s="108" t="n">
        <f aca="false">'Debt &amp; cash'!W63</f>
        <v>0.0185159388772518</v>
      </c>
      <c r="H63" s="107" t="str">
        <f aca="false">IF($A63&lt;1887,"n/a",IF(G63&lt;=cap_int,"OK","Check"))</f>
        <v>OK</v>
      </c>
      <c r="I63" s="108" t="n">
        <f aca="false">Budget!AC63</f>
        <v>0.00560075688439733</v>
      </c>
      <c r="J63" s="107" t="str">
        <f aca="false">IF($A63&lt;1887,"n/a",IF(Paths!AC63=1,"War year",IF(I63&lt;=cap_def,"OK","Check")))</f>
        <v>OK</v>
      </c>
      <c r="K63" s="66" t="n">
        <f aca="false">'Debt &amp; cash'!Y63/Economy!O63</f>
        <v>0.0105335922765243</v>
      </c>
      <c r="L63" s="107" t="str">
        <f aca="false">IF('Debt &amp; cash'!Y63*issue_price&lt;=mkt_capacity*Economy!O63+foreign_capacity,"OK","Check")</f>
        <v>OK</v>
      </c>
      <c r="M63" s="107" t="str">
        <f aca="false">IF($A63&lt;1900,"n/a",IF('Gold &amp; money'!K63&gt;=0,"OK","Check"))</f>
        <v>OK</v>
      </c>
      <c r="N63" s="108" t="n">
        <f aca="false">Japan!AA63</f>
        <v>0.131298942853968</v>
      </c>
      <c r="O63" s="107" t="str">
        <f aca="false">IF(N63&lt;=1,"OK","Check")</f>
        <v>OK</v>
      </c>
      <c r="P63" s="107" t="str">
        <f aca="false">IF($A63&lt;1922,"n/a",IF(AND(Navy!AE63&gt;=0.95,Navy!AE63&lt;=1.1),"OK","Check"))</f>
        <v>n/a</v>
      </c>
      <c r="Q63" s="107" t="str">
        <f aca="false">IF(Navy!Z63=0,"n/a",IF(Resources!K63&gt;=Navy!Z63,"OK","Check"))</f>
        <v>OK</v>
      </c>
      <c r="R63" s="107" t="str">
        <f aca="false">IF(AND(gulf_on=1,$A63=gulf_year),IF(Gulf!AF63=1,"OK","Check"),"n/a")</f>
        <v>n/a</v>
      </c>
      <c r="S63" s="49" t="n">
        <f aca="false">COUNTIF(B63:R63,"Check")+COUNTIF(T63:AG63,"Check")+AH63+COUNTIF(AI63,"Check")+COUNTIF(AJ63:AK63,"Check")</f>
        <v>0</v>
      </c>
      <c r="T63" s="1" t="str">
        <f aca="false">IF(ABS(Japan!AM63)&lt;0.001,"OK","Check")</f>
        <v>OK</v>
      </c>
      <c r="U63" s="1" t="str">
        <f aca="false">"n/a"</f>
        <v>n/a</v>
      </c>
      <c r="V63" s="1" t="str">
        <f aca="false">"n/a"</f>
        <v>n/a</v>
      </c>
      <c r="W63" s="1" t="str">
        <f aca="false">"n/a"</f>
        <v>n/a</v>
      </c>
      <c r="X63" s="1" t="str">
        <f aca="false">"n/a"</f>
        <v>n/a</v>
      </c>
      <c r="Y63" s="1" t="str">
        <f aca="false">IF(Abroad!T63&gt;=-0.001,"OK","Check")</f>
        <v>OK</v>
      </c>
      <c r="Z63" s="1" t="str">
        <f aca="false">"n/a"</f>
        <v>n/a</v>
      </c>
      <c r="AA63" s="1" t="str">
        <f aca="false">IF(ABS('Sources &amp; uses'!P97)&lt;0.001,"OK","Check")</f>
        <v>OK</v>
      </c>
      <c r="AB63" s="1" t="str">
        <f aca="false">IF(AND(ABS('War credit'!F63)&lt;0.001,ABS('War credit'!K63)&lt;0.001),"OK","Check")</f>
        <v>OK</v>
      </c>
      <c r="AC63" s="1" t="str">
        <f aca="false">"OK"</f>
        <v>OK</v>
      </c>
      <c r="AD63" s="1" t="str">
        <f aca="false">IF('Sources &amp; uses'!M192&lt;0.001,"OK","Check")</f>
        <v>OK</v>
      </c>
      <c r="AE63" s="1" t="str">
        <f aca="false">IF('War credit'!E63=0,"OK",IF(ISNUMBER('War credit'!AC63),IF('War credit'!AC63&lt;0.001,"OK","Check"),"Unverified"))</f>
        <v>OK</v>
      </c>
      <c r="AF63" s="1" t="str">
        <f aca="false">"OK"</f>
        <v>OK</v>
      </c>
      <c r="AG63" s="1" t="str">
        <f aca="false">IF('Capital accounts'!L63&gt;0.001,"Check","OK")</f>
        <v>OK</v>
      </c>
      <c r="AH63" s="1" t="n">
        <f aca="false">COUNTIF(AA63:AG63,"Unverified")</f>
        <v>0</v>
      </c>
      <c r="AI63" s="1" t="str">
        <f aca="false">IF(OR($A63&lt;1918,$A63&gt;1932),"n/a",INDEX(Siberia!$H$38:$H$52,MATCH($A63,Siberia!$A$38:$A$52,0)))</f>
        <v>n/a</v>
      </c>
      <c r="AJ63" s="1" t="str">
        <f aca="false">IF($A63&lt;&gt;1895,"n/a",IF(AND(MATCH(MIN(People!$Y$16:$Y$92),People!$Y$16:$Y$92,0)+1855&gt;=1893,MATCH(MIN(People!$Y$16:$Y$92),People!$Y$16:$Y$92,0)+1855&lt;=1897),"OK","Check"))</f>
        <v>n/a</v>
      </c>
      <c r="AK63" s="1" t="str">
        <f aca="false">IF($A63&lt;&gt;1861,"n/a",IF(ABS(People!B63/dem01_target-1)&lt;=0.1,"OK","Check"))</f>
        <v>n/a</v>
      </c>
    </row>
    <row r="64" customFormat="false" ht="14.25" hidden="false" customHeight="true" outlineLevel="0" collapsed="false">
      <c r="A64" s="61" t="n">
        <v>1904</v>
      </c>
      <c r="B64" s="107" t="str">
        <f aca="false">IF(ABS(People!L64-(People!B64+People!C64+People!D64+People!K64))&lt;1,"OK","Check")</f>
        <v>OK</v>
      </c>
      <c r="C64" s="107" t="str">
        <f aca="false">IF(ABS('Debt &amp; cash'!M64-'Debt &amp; cash'!E64)&lt;0.001,"OK","Check")</f>
        <v>OK</v>
      </c>
      <c r="D64" s="107" t="str">
        <f aca="false">IF('Debt &amp; cash'!S64&gt;=-0.001,"OK","Check")</f>
        <v>OK</v>
      </c>
      <c r="E64" s="108" t="n">
        <f aca="false">'Debt &amp; cash'!V64</f>
        <v>0.05</v>
      </c>
      <c r="F64" s="107" t="str">
        <f aca="false">IF($A64&lt;1887,"n/a",IF(E64&lt;=cap_debt,"OK","Check"))</f>
        <v>OK</v>
      </c>
      <c r="G64" s="108" t="n">
        <f aca="false">'Debt &amp; cash'!W64</f>
        <v>0.0183355362131707</v>
      </c>
      <c r="H64" s="107" t="str">
        <f aca="false">IF($A64&lt;1887,"n/a",IF(G64&lt;=cap_int,"OK","Check"))</f>
        <v>OK</v>
      </c>
      <c r="I64" s="108" t="n">
        <f aca="false">Budget!AC64</f>
        <v>0.00568950277036669</v>
      </c>
      <c r="J64" s="107" t="str">
        <f aca="false">IF($A64&lt;1887,"n/a",IF(Paths!AC64=1,"War year",IF(I64&lt;=cap_def,"OK","Check")))</f>
        <v>OK</v>
      </c>
      <c r="K64" s="66" t="n">
        <f aca="false">'Debt &amp; cash'!Y64/Economy!O64</f>
        <v>0.00949959200347769</v>
      </c>
      <c r="L64" s="107" t="str">
        <f aca="false">IF('Debt &amp; cash'!Y64*issue_price&lt;=mkt_capacity*Economy!O64+foreign_capacity,"OK","Check")</f>
        <v>OK</v>
      </c>
      <c r="M64" s="107" t="str">
        <f aca="false">IF($A64&lt;1900,"n/a",IF('Gold &amp; money'!K64&gt;=0,"OK","Check"))</f>
        <v>OK</v>
      </c>
      <c r="N64" s="108" t="n">
        <f aca="false">Japan!AA64</f>
        <v>0.275661626580989</v>
      </c>
      <c r="O64" s="107" t="str">
        <f aca="false">IF(N64&lt;=1,"OK","Check")</f>
        <v>OK</v>
      </c>
      <c r="P64" s="107" t="str">
        <f aca="false">IF($A64&lt;1922,"n/a",IF(AND(Navy!AE64&gt;=0.95,Navy!AE64&lt;=1.1),"OK","Check"))</f>
        <v>n/a</v>
      </c>
      <c r="Q64" s="107" t="str">
        <f aca="false">IF(Navy!Z64=0,"n/a",IF(Resources!K64&gt;=Navy!Z64,"OK","Check"))</f>
        <v>OK</v>
      </c>
      <c r="R64" s="107" t="str">
        <f aca="false">IF(AND(gulf_on=1,$A64=gulf_year),IF(Gulf!AF64=1,"OK","Check"),"n/a")</f>
        <v>n/a</v>
      </c>
      <c r="S64" s="49" t="n">
        <f aca="false">COUNTIF(B64:R64,"Check")+COUNTIF(T64:AG64,"Check")+AH64+COUNTIF(AI64,"Check")+COUNTIF(AJ64:AK64,"Check")</f>
        <v>0</v>
      </c>
      <c r="T64" s="1" t="str">
        <f aca="false">IF(ABS(Japan!AM64)&lt;0.001,"OK","Check")</f>
        <v>OK</v>
      </c>
      <c r="U64" s="1" t="str">
        <f aca="false">"n/a"</f>
        <v>n/a</v>
      </c>
      <c r="V64" s="1" t="str">
        <f aca="false">"n/a"</f>
        <v>n/a</v>
      </c>
      <c r="W64" s="1" t="str">
        <f aca="false">"n/a"</f>
        <v>n/a</v>
      </c>
      <c r="X64" s="1" t="str">
        <f aca="false">"n/a"</f>
        <v>n/a</v>
      </c>
      <c r="Y64" s="1" t="str">
        <f aca="false">IF(Abroad!T64&gt;=-0.001,"OK","Check")</f>
        <v>OK</v>
      </c>
      <c r="Z64" s="1" t="str">
        <f aca="false">"n/a"</f>
        <v>n/a</v>
      </c>
      <c r="AA64" s="1" t="str">
        <f aca="false">IF(ABS('Sources &amp; uses'!P98)&lt;0.001,"OK","Check")</f>
        <v>OK</v>
      </c>
      <c r="AB64" s="1" t="str">
        <f aca="false">IF(AND(ABS('War credit'!F64)&lt;0.001,ABS('War credit'!K64)&lt;0.001),"OK","Check")</f>
        <v>OK</v>
      </c>
      <c r="AC64" s="1" t="str">
        <f aca="false">"OK"</f>
        <v>OK</v>
      </c>
      <c r="AD64" s="1" t="str">
        <f aca="false">IF('Sources &amp; uses'!M193&lt;0.001,"OK","Check")</f>
        <v>OK</v>
      </c>
      <c r="AE64" s="1" t="str">
        <f aca="false">IF('War credit'!E64=0,"OK",IF(ISNUMBER('War credit'!AC64),IF('War credit'!AC64&lt;0.001,"OK","Check"),"Unverified"))</f>
        <v>OK</v>
      </c>
      <c r="AF64" s="1" t="str">
        <f aca="false">"OK"</f>
        <v>OK</v>
      </c>
      <c r="AG64" s="1" t="str">
        <f aca="false">IF('Capital accounts'!L64&gt;0.001,"Check","OK")</f>
        <v>OK</v>
      </c>
      <c r="AH64" s="1" t="n">
        <f aca="false">COUNTIF(AA64:AG64,"Unverified")</f>
        <v>0</v>
      </c>
      <c r="AI64" s="1" t="str">
        <f aca="false">IF(OR($A64&lt;1918,$A64&gt;1932),"n/a",INDEX(Siberia!$H$38:$H$52,MATCH($A64,Siberia!$A$38:$A$52,0)))</f>
        <v>n/a</v>
      </c>
      <c r="AJ64" s="1" t="str">
        <f aca="false">IF($A64&lt;&gt;1895,"n/a",IF(AND(MATCH(MIN(People!$Y$16:$Y$92),People!$Y$16:$Y$92,0)+1855&gt;=1893,MATCH(MIN(People!$Y$16:$Y$92),People!$Y$16:$Y$92,0)+1855&lt;=1897),"OK","Check"))</f>
        <v>n/a</v>
      </c>
      <c r="AK64" s="1" t="str">
        <f aca="false">IF($A64&lt;&gt;1861,"n/a",IF(ABS(People!B64/dem01_target-1)&lt;=0.1,"OK","Check"))</f>
        <v>n/a</v>
      </c>
    </row>
    <row r="65" customFormat="false" ht="14.25" hidden="false" customHeight="true" outlineLevel="0" collapsed="false">
      <c r="A65" s="61" t="n">
        <v>1905</v>
      </c>
      <c r="B65" s="107" t="str">
        <f aca="false">IF(ABS(People!L65-(People!B65+People!C65+People!D65+People!K65))&lt;1,"OK","Check")</f>
        <v>OK</v>
      </c>
      <c r="C65" s="107" t="str">
        <f aca="false">IF(ABS('Debt &amp; cash'!M65-'Debt &amp; cash'!E65)&lt;0.001,"OK","Check")</f>
        <v>OK</v>
      </c>
      <c r="D65" s="107" t="str">
        <f aca="false">IF('Debt &amp; cash'!S65&gt;=-0.001,"OK","Check")</f>
        <v>OK</v>
      </c>
      <c r="E65" s="108" t="n">
        <f aca="false">'Debt &amp; cash'!V65</f>
        <v>0.05</v>
      </c>
      <c r="F65" s="107" t="str">
        <f aca="false">IF($A65&lt;1887,"n/a",IF(E65&lt;=cap_debt,"OK","Check"))</f>
        <v>OK</v>
      </c>
      <c r="G65" s="108" t="n">
        <f aca="false">'Debt &amp; cash'!W65</f>
        <v>0.0181557508985018</v>
      </c>
      <c r="H65" s="107" t="str">
        <f aca="false">IF($A65&lt;1887,"n/a",IF(G65&lt;=cap_int,"OK","Check"))</f>
        <v>OK</v>
      </c>
      <c r="I65" s="108" t="n">
        <f aca="false">Budget!AC65</f>
        <v>0.00613179340572856</v>
      </c>
      <c r="J65" s="107" t="str">
        <f aca="false">IF($A65&lt;1887,"n/a",IF(Paths!AC65=1,"War year",IF(I65&lt;=cap_def,"OK","Check")))</f>
        <v>OK</v>
      </c>
      <c r="K65" s="66" t="n">
        <f aca="false">'Debt &amp; cash'!Y65/Economy!O65</f>
        <v>0.00936595410574301</v>
      </c>
      <c r="L65" s="107" t="str">
        <f aca="false">IF('Debt &amp; cash'!Y65*issue_price&lt;=mkt_capacity*Economy!O65+foreign_capacity,"OK","Check")</f>
        <v>OK</v>
      </c>
      <c r="M65" s="107" t="str">
        <f aca="false">IF($A65&lt;1900,"n/a",IF('Gold &amp; money'!K65&gt;=0,"OK","Check"))</f>
        <v>OK</v>
      </c>
      <c r="N65" s="108" t="n">
        <f aca="false">Japan!AA65</f>
        <v>0.425471037101116</v>
      </c>
      <c r="O65" s="107" t="str">
        <f aca="false">IF(N65&lt;=1,"OK","Check")</f>
        <v>OK</v>
      </c>
      <c r="P65" s="107" t="str">
        <f aca="false">IF($A65&lt;1922,"n/a",IF(AND(Navy!AE65&gt;=0.95,Navy!AE65&lt;=1.1),"OK","Check"))</f>
        <v>n/a</v>
      </c>
      <c r="Q65" s="107" t="str">
        <f aca="false">IF(Navy!Z65=0,"n/a",IF(Resources!K65&gt;=Navy!Z65,"OK","Check"))</f>
        <v>OK</v>
      </c>
      <c r="R65" s="107" t="str">
        <f aca="false">IF(AND(gulf_on=1,$A65=gulf_year),IF(Gulf!AF65=1,"OK","Check"),"n/a")</f>
        <v>n/a</v>
      </c>
      <c r="S65" s="49" t="n">
        <f aca="false">COUNTIF(B65:R65,"Check")+COUNTIF(T65:AG65,"Check")+AH65+COUNTIF(AI65,"Check")+COUNTIF(AJ65:AK65,"Check")</f>
        <v>0</v>
      </c>
      <c r="T65" s="1" t="str">
        <f aca="false">IF(ABS(Japan!AM65)&lt;0.001,"OK","Check")</f>
        <v>OK</v>
      </c>
      <c r="U65" s="1" t="str">
        <f aca="false">"n/a"</f>
        <v>n/a</v>
      </c>
      <c r="V65" s="1" t="str">
        <f aca="false">"n/a"</f>
        <v>n/a</v>
      </c>
      <c r="W65" s="1" t="str">
        <f aca="false">"n/a"</f>
        <v>n/a</v>
      </c>
      <c r="X65" s="1" t="str">
        <f aca="false">"n/a"</f>
        <v>n/a</v>
      </c>
      <c r="Y65" s="1" t="str">
        <f aca="false">IF(Abroad!T65&gt;=-0.001,"OK","Check")</f>
        <v>OK</v>
      </c>
      <c r="Z65" s="1" t="str">
        <f aca="false">"n/a"</f>
        <v>n/a</v>
      </c>
      <c r="AA65" s="1" t="str">
        <f aca="false">IF(ABS('Sources &amp; uses'!P99)&lt;0.001,"OK","Check")</f>
        <v>OK</v>
      </c>
      <c r="AB65" s="1" t="str">
        <f aca="false">IF(AND(ABS('War credit'!F65)&lt;0.001,ABS('War credit'!K65)&lt;0.001),"OK","Check")</f>
        <v>OK</v>
      </c>
      <c r="AC65" s="1" t="str">
        <f aca="false">"OK"</f>
        <v>OK</v>
      </c>
      <c r="AD65" s="1" t="str">
        <f aca="false">IF('Sources &amp; uses'!M194&lt;0.001,"OK","Check")</f>
        <v>OK</v>
      </c>
      <c r="AE65" s="1" t="str">
        <f aca="false">IF('War credit'!E65=0,"OK",IF(ISNUMBER('War credit'!AC65),IF('War credit'!AC65&lt;0.001,"OK","Check"),"Unverified"))</f>
        <v>OK</v>
      </c>
      <c r="AF65" s="1" t="str">
        <f aca="false">"OK"</f>
        <v>OK</v>
      </c>
      <c r="AG65" s="1" t="str">
        <f aca="false">IF('Capital accounts'!L65&gt;0.001,"Check","OK")</f>
        <v>OK</v>
      </c>
      <c r="AH65" s="1" t="n">
        <f aca="false">COUNTIF(AA65:AG65,"Unverified")</f>
        <v>0</v>
      </c>
      <c r="AI65" s="1" t="str">
        <f aca="false">IF(OR($A65&lt;1918,$A65&gt;1932),"n/a",INDEX(Siberia!$H$38:$H$52,MATCH($A65,Siberia!$A$38:$A$52,0)))</f>
        <v>n/a</v>
      </c>
      <c r="AJ65" s="1" t="str">
        <f aca="false">IF($A65&lt;&gt;1895,"n/a",IF(AND(MATCH(MIN(People!$Y$16:$Y$92),People!$Y$16:$Y$92,0)+1855&gt;=1893,MATCH(MIN(People!$Y$16:$Y$92),People!$Y$16:$Y$92,0)+1855&lt;=1897),"OK","Check"))</f>
        <v>n/a</v>
      </c>
      <c r="AK65" s="1" t="str">
        <f aca="false">IF($A65&lt;&gt;1861,"n/a",IF(ABS(People!B65/dem01_target-1)&lt;=0.1,"OK","Check"))</f>
        <v>n/a</v>
      </c>
    </row>
    <row r="66" customFormat="false" ht="14.25" hidden="false" customHeight="true" outlineLevel="0" collapsed="false">
      <c r="A66" s="61" t="n">
        <v>1906</v>
      </c>
      <c r="B66" s="107" t="str">
        <f aca="false">IF(ABS(People!L66-(People!B66+People!C66+People!D66+People!K66))&lt;1,"OK","Check")</f>
        <v>OK</v>
      </c>
      <c r="C66" s="107" t="str">
        <f aca="false">IF(ABS('Debt &amp; cash'!M66-'Debt &amp; cash'!E66)&lt;0.001,"OK","Check")</f>
        <v>OK</v>
      </c>
      <c r="D66" s="107" t="str">
        <f aca="false">IF('Debt &amp; cash'!S66&gt;=-0.001,"OK","Check")</f>
        <v>OK</v>
      </c>
      <c r="E66" s="108" t="n">
        <f aca="false">'Debt &amp; cash'!V66</f>
        <v>0.05</v>
      </c>
      <c r="F66" s="107" t="str">
        <f aca="false">IF($A66&lt;1887,"n/a",IF(E66&lt;=cap_debt,"OK","Check"))</f>
        <v>OK</v>
      </c>
      <c r="G66" s="108" t="n">
        <f aca="false">'Debt &amp; cash'!W66</f>
        <v>0.0184295446604794</v>
      </c>
      <c r="H66" s="107" t="str">
        <f aca="false">IF($A66&lt;1887,"n/a",IF(G66&lt;=cap_int,"OK","Check"))</f>
        <v>OK</v>
      </c>
      <c r="I66" s="108" t="n">
        <f aca="false">Budget!AC66</f>
        <v>0.00594041476052482</v>
      </c>
      <c r="J66" s="107" t="str">
        <f aca="false">IF($A66&lt;1887,"n/a",IF(Paths!AC66=1,"War year",IF(I66&lt;=cap_def,"OK","Check")))</f>
        <v>OK</v>
      </c>
      <c r="K66" s="66" t="n">
        <f aca="false">'Debt &amp; cash'!Y66/Economy!O66</f>
        <v>0.0106490452268594</v>
      </c>
      <c r="L66" s="107" t="str">
        <f aca="false">IF('Debt &amp; cash'!Y66*issue_price&lt;=mkt_capacity*Economy!O66+foreign_capacity,"OK","Check")</f>
        <v>OK</v>
      </c>
      <c r="M66" s="107" t="str">
        <f aca="false">IF($A66&lt;1900,"n/a",IF('Gold &amp; money'!K66&gt;=0,"OK","Check"))</f>
        <v>OK</v>
      </c>
      <c r="N66" s="108" t="n">
        <f aca="false">Japan!AA66</f>
        <v>0.377515855696992</v>
      </c>
      <c r="O66" s="107" t="str">
        <f aca="false">IF(N66&lt;=1,"OK","Check")</f>
        <v>OK</v>
      </c>
      <c r="P66" s="107" t="str">
        <f aca="false">IF($A66&lt;1922,"n/a",IF(AND(Navy!AE66&gt;=0.95,Navy!AE66&lt;=1.1),"OK","Check"))</f>
        <v>n/a</v>
      </c>
      <c r="Q66" s="107" t="str">
        <f aca="false">IF(Navy!Z66=0,"n/a",IF(Resources!K66&gt;=Navy!Z66,"OK","Check"))</f>
        <v>OK</v>
      </c>
      <c r="R66" s="107" t="str">
        <f aca="false">IF(AND(gulf_on=1,$A66=gulf_year),IF(Gulf!AF66=1,"OK","Check"),"n/a")</f>
        <v>n/a</v>
      </c>
      <c r="S66" s="49" t="n">
        <f aca="false">COUNTIF(B66:R66,"Check")+COUNTIF(T66:AG66,"Check")+AH66+COUNTIF(AI66,"Check")+COUNTIF(AJ66:AK66,"Check")</f>
        <v>0</v>
      </c>
      <c r="T66" s="1" t="str">
        <f aca="false">IF(ABS(Japan!AM66)&lt;0.001,"OK","Check")</f>
        <v>OK</v>
      </c>
      <c r="U66" s="1" t="str">
        <f aca="false">"n/a"</f>
        <v>n/a</v>
      </c>
      <c r="V66" s="1" t="str">
        <f aca="false">"n/a"</f>
        <v>n/a</v>
      </c>
      <c r="W66" s="1" t="str">
        <f aca="false">"n/a"</f>
        <v>n/a</v>
      </c>
      <c r="X66" s="1" t="str">
        <f aca="false">"n/a"</f>
        <v>n/a</v>
      </c>
      <c r="Y66" s="1" t="str">
        <f aca="false">IF(Abroad!T66&gt;=-0.001,"OK","Check")</f>
        <v>OK</v>
      </c>
      <c r="Z66" s="1" t="str">
        <f aca="false">"n/a"</f>
        <v>n/a</v>
      </c>
      <c r="AA66" s="1" t="str">
        <f aca="false">IF(ABS('Sources &amp; uses'!P100)&lt;0.001,"OK","Check")</f>
        <v>OK</v>
      </c>
      <c r="AB66" s="1" t="str">
        <f aca="false">IF(AND(ABS('War credit'!F66)&lt;0.001,ABS('War credit'!K66)&lt;0.001),"OK","Check")</f>
        <v>OK</v>
      </c>
      <c r="AC66" s="1" t="str">
        <f aca="false">"OK"</f>
        <v>OK</v>
      </c>
      <c r="AD66" s="1" t="str">
        <f aca="false">IF('Sources &amp; uses'!M195&lt;0.001,"OK","Check")</f>
        <v>OK</v>
      </c>
      <c r="AE66" s="1" t="str">
        <f aca="false">IF('War credit'!E66=0,"OK",IF(ISNUMBER('War credit'!AC66),IF('War credit'!AC66&lt;0.001,"OK","Check"),"Unverified"))</f>
        <v>OK</v>
      </c>
      <c r="AF66" s="1" t="str">
        <f aca="false">"OK"</f>
        <v>OK</v>
      </c>
      <c r="AG66" s="1" t="str">
        <f aca="false">IF('Capital accounts'!L66&gt;0.001,"Check","OK")</f>
        <v>OK</v>
      </c>
      <c r="AH66" s="1" t="n">
        <f aca="false">COUNTIF(AA66:AG66,"Unverified")</f>
        <v>0</v>
      </c>
      <c r="AI66" s="1" t="str">
        <f aca="false">IF(OR($A66&lt;1918,$A66&gt;1932),"n/a",INDEX(Siberia!$H$38:$H$52,MATCH($A66,Siberia!$A$38:$A$52,0)))</f>
        <v>n/a</v>
      </c>
      <c r="AJ66" s="1" t="str">
        <f aca="false">IF($A66&lt;&gt;1895,"n/a",IF(AND(MATCH(MIN(People!$Y$16:$Y$92),People!$Y$16:$Y$92,0)+1855&gt;=1893,MATCH(MIN(People!$Y$16:$Y$92),People!$Y$16:$Y$92,0)+1855&lt;=1897),"OK","Check"))</f>
        <v>n/a</v>
      </c>
      <c r="AK66" s="1" t="str">
        <f aca="false">IF($A66&lt;&gt;1861,"n/a",IF(ABS(People!B66/dem01_target-1)&lt;=0.1,"OK","Check"))</f>
        <v>n/a</v>
      </c>
    </row>
    <row r="67" customFormat="false" ht="14.25" hidden="false" customHeight="true" outlineLevel="0" collapsed="false">
      <c r="A67" s="61" t="n">
        <v>1907</v>
      </c>
      <c r="B67" s="107" t="str">
        <f aca="false">IF(ABS(People!L67-(People!B67+People!C67+People!D67+People!K67))&lt;1,"OK","Check")</f>
        <v>OK</v>
      </c>
      <c r="C67" s="107" t="str">
        <f aca="false">IF(ABS('Debt &amp; cash'!M67-'Debt &amp; cash'!E67)&lt;0.001,"OK","Check")</f>
        <v>OK</v>
      </c>
      <c r="D67" s="107" t="str">
        <f aca="false">IF('Debt &amp; cash'!S67&gt;=-0.001,"OK","Check")</f>
        <v>OK</v>
      </c>
      <c r="E67" s="108" t="n">
        <f aca="false">'Debt &amp; cash'!V67</f>
        <v>0.05</v>
      </c>
      <c r="F67" s="107" t="str">
        <f aca="false">IF($A67&lt;1887,"n/a",IF(E67&lt;=cap_debt,"OK","Check"))</f>
        <v>OK</v>
      </c>
      <c r="G67" s="108" t="n">
        <f aca="false">'Debt &amp; cash'!W67</f>
        <v>0.0193098466043808</v>
      </c>
      <c r="H67" s="107" t="str">
        <f aca="false">IF($A67&lt;1887,"n/a",IF(G67&lt;=cap_int,"OK","Check"))</f>
        <v>OK</v>
      </c>
      <c r="I67" s="108" t="n">
        <f aca="false">Budget!AC67</f>
        <v>0.0055508035530144</v>
      </c>
      <c r="J67" s="107" t="str">
        <f aca="false">IF($A67&lt;1887,"n/a",IF(Paths!AC67=1,"War year",IF(I67&lt;=cap_def,"OK","Check")))</f>
        <v>OK</v>
      </c>
      <c r="K67" s="66" t="n">
        <f aca="false">'Debt &amp; cash'!Y67/Economy!O67</f>
        <v>0.00992946629597728</v>
      </c>
      <c r="L67" s="107" t="str">
        <f aca="false">IF('Debt &amp; cash'!Y67*issue_price&lt;=mkt_capacity*Economy!O67+foreign_capacity,"OK","Check")</f>
        <v>OK</v>
      </c>
      <c r="M67" s="107" t="str">
        <f aca="false">IF($A67&lt;1900,"n/a",IF('Gold &amp; money'!K67&gt;=0,"OK","Check"))</f>
        <v>OK</v>
      </c>
      <c r="N67" s="108" t="n">
        <f aca="false">Japan!AA67</f>
        <v>0.331662682039352</v>
      </c>
      <c r="O67" s="107" t="str">
        <f aca="false">IF(N67&lt;=1,"OK","Check")</f>
        <v>OK</v>
      </c>
      <c r="P67" s="107" t="str">
        <f aca="false">IF($A67&lt;1922,"n/a",IF(AND(Navy!AE67&gt;=0.95,Navy!AE67&lt;=1.1),"OK","Check"))</f>
        <v>n/a</v>
      </c>
      <c r="Q67" s="107" t="str">
        <f aca="false">IF(Navy!Z67=0,"n/a",IF(Resources!K67&gt;=Navy!Z67,"OK","Check"))</f>
        <v>OK</v>
      </c>
      <c r="R67" s="107" t="str">
        <f aca="false">IF(AND(gulf_on=1,$A67=gulf_year),IF(Gulf!AF67=1,"OK","Check"),"n/a")</f>
        <v>n/a</v>
      </c>
      <c r="S67" s="49" t="n">
        <f aca="false">COUNTIF(B67:R67,"Check")+COUNTIF(T67:AG67,"Check")+AH67+COUNTIF(AI67,"Check")+COUNTIF(AJ67:AK67,"Check")</f>
        <v>0</v>
      </c>
      <c r="T67" s="1" t="str">
        <f aca="false">IF(ABS(Japan!AM67)&lt;0.001,"OK","Check")</f>
        <v>OK</v>
      </c>
      <c r="U67" s="1" t="str">
        <f aca="false">"n/a"</f>
        <v>n/a</v>
      </c>
      <c r="V67" s="1" t="str">
        <f aca="false">"n/a"</f>
        <v>n/a</v>
      </c>
      <c r="W67" s="1" t="str">
        <f aca="false">"n/a"</f>
        <v>n/a</v>
      </c>
      <c r="X67" s="1" t="str">
        <f aca="false">"n/a"</f>
        <v>n/a</v>
      </c>
      <c r="Y67" s="1" t="str">
        <f aca="false">IF(Abroad!T67&gt;=-0.001,"OK","Check")</f>
        <v>OK</v>
      </c>
      <c r="Z67" s="1" t="str">
        <f aca="false">"n/a"</f>
        <v>n/a</v>
      </c>
      <c r="AA67" s="1" t="str">
        <f aca="false">IF(ABS('Sources &amp; uses'!P101)&lt;0.001,"OK","Check")</f>
        <v>OK</v>
      </c>
      <c r="AB67" s="1" t="str">
        <f aca="false">IF(AND(ABS('War credit'!F67)&lt;0.001,ABS('War credit'!K67)&lt;0.001),"OK","Check")</f>
        <v>OK</v>
      </c>
      <c r="AC67" s="1" t="str">
        <f aca="false">"OK"</f>
        <v>OK</v>
      </c>
      <c r="AD67" s="1" t="str">
        <f aca="false">IF('Sources &amp; uses'!M196&lt;0.001,"OK","Check")</f>
        <v>OK</v>
      </c>
      <c r="AE67" s="1" t="str">
        <f aca="false">IF('War credit'!E67=0,"OK",IF(ISNUMBER('War credit'!AC67),IF('War credit'!AC67&lt;0.001,"OK","Check"),"Unverified"))</f>
        <v>OK</v>
      </c>
      <c r="AF67" s="1" t="str">
        <f aca="false">"OK"</f>
        <v>OK</v>
      </c>
      <c r="AG67" s="1" t="str">
        <f aca="false">IF('Capital accounts'!L67&gt;0.001,"Check","OK")</f>
        <v>OK</v>
      </c>
      <c r="AH67" s="1" t="n">
        <f aca="false">COUNTIF(AA67:AG67,"Unverified")</f>
        <v>0</v>
      </c>
      <c r="AI67" s="1" t="str">
        <f aca="false">IF(OR($A67&lt;1918,$A67&gt;1932),"n/a",INDEX(Siberia!$H$38:$H$52,MATCH($A67,Siberia!$A$38:$A$52,0)))</f>
        <v>n/a</v>
      </c>
      <c r="AJ67" s="1" t="str">
        <f aca="false">IF($A67&lt;&gt;1895,"n/a",IF(AND(MATCH(MIN(People!$Y$16:$Y$92),People!$Y$16:$Y$92,0)+1855&gt;=1893,MATCH(MIN(People!$Y$16:$Y$92),People!$Y$16:$Y$92,0)+1855&lt;=1897),"OK","Check"))</f>
        <v>n/a</v>
      </c>
      <c r="AK67" s="1" t="str">
        <f aca="false">IF($A67&lt;&gt;1861,"n/a",IF(ABS(People!B67/dem01_target-1)&lt;=0.1,"OK","Check"))</f>
        <v>n/a</v>
      </c>
    </row>
    <row r="68" customFormat="false" ht="14.25" hidden="false" customHeight="true" outlineLevel="0" collapsed="false">
      <c r="A68" s="61" t="n">
        <v>1908</v>
      </c>
      <c r="B68" s="107" t="str">
        <f aca="false">IF(ABS(People!L68-(People!B68+People!C68+People!D68+People!K68))&lt;1,"OK","Check")</f>
        <v>OK</v>
      </c>
      <c r="C68" s="107" t="str">
        <f aca="false">IF(ABS('Debt &amp; cash'!M68-'Debt &amp; cash'!E68)&lt;0.001,"OK","Check")</f>
        <v>OK</v>
      </c>
      <c r="D68" s="107" t="str">
        <f aca="false">IF('Debt &amp; cash'!S68&gt;=-0.001,"OK","Check")</f>
        <v>OK</v>
      </c>
      <c r="E68" s="108" t="n">
        <f aca="false">'Debt &amp; cash'!V68</f>
        <v>0.05</v>
      </c>
      <c r="F68" s="107" t="str">
        <f aca="false">IF($A68&lt;1887,"n/a",IF(E68&lt;=cap_debt,"OK","Check"))</f>
        <v>OK</v>
      </c>
      <c r="G68" s="108" t="n">
        <f aca="false">'Debt &amp; cash'!W68</f>
        <v>0.0204651198154346</v>
      </c>
      <c r="H68" s="107" t="str">
        <f aca="false">IF($A68&lt;1887,"n/a",IF(G68&lt;=cap_int,"OK","Check"))</f>
        <v>OK</v>
      </c>
      <c r="I68" s="108" t="n">
        <f aca="false">Budget!AC68</f>
        <v>0.00559632510310948</v>
      </c>
      <c r="J68" s="107" t="str">
        <f aca="false">IF($A68&lt;1887,"n/a",IF(Paths!AC68=1,"War year",IF(I68&lt;=cap_def,"OK","Check")))</f>
        <v>OK</v>
      </c>
      <c r="K68" s="66" t="n">
        <f aca="false">'Debt &amp; cash'!Y68/Economy!O68</f>
        <v>0.00869077430414202</v>
      </c>
      <c r="L68" s="107" t="str">
        <f aca="false">IF('Debt &amp; cash'!Y68*issue_price&lt;=mkt_capacity*Economy!O68+foreign_capacity,"OK","Check")</f>
        <v>OK</v>
      </c>
      <c r="M68" s="107" t="str">
        <f aca="false">IF($A68&lt;1900,"n/a",IF('Gold &amp; money'!K68&gt;=0,"OK","Check"))</f>
        <v>OK</v>
      </c>
      <c r="N68" s="108" t="n">
        <f aca="false">Japan!AA68</f>
        <v>0.287459297640877</v>
      </c>
      <c r="O68" s="107" t="str">
        <f aca="false">IF(N68&lt;=1,"OK","Check")</f>
        <v>OK</v>
      </c>
      <c r="P68" s="107" t="str">
        <f aca="false">IF($A68&lt;1922,"n/a",IF(AND(Navy!AE68&gt;=0.95,Navy!AE68&lt;=1.1),"OK","Check"))</f>
        <v>n/a</v>
      </c>
      <c r="Q68" s="107" t="str">
        <f aca="false">IF(Navy!Z68=0,"n/a",IF(Resources!K68&gt;=Navy!Z68,"OK","Check"))</f>
        <v>OK</v>
      </c>
      <c r="R68" s="107" t="str">
        <f aca="false">IF(AND(gulf_on=1,$A68=gulf_year),IF(Gulf!AF68=1,"OK","Check"),"n/a")</f>
        <v>n/a</v>
      </c>
      <c r="S68" s="49" t="n">
        <f aca="false">COUNTIF(B68:R68,"Check")+COUNTIF(T68:AG68,"Check")+AH68+COUNTIF(AI68,"Check")+COUNTIF(AJ68:AK68,"Check")</f>
        <v>0</v>
      </c>
      <c r="T68" s="1" t="str">
        <f aca="false">IF(ABS(Japan!AM68)&lt;0.001,"OK","Check")</f>
        <v>OK</v>
      </c>
      <c r="U68" s="1" t="str">
        <f aca="false">"n/a"</f>
        <v>n/a</v>
      </c>
      <c r="V68" s="1" t="str">
        <f aca="false">"n/a"</f>
        <v>n/a</v>
      </c>
      <c r="W68" s="1" t="str">
        <f aca="false">"n/a"</f>
        <v>n/a</v>
      </c>
      <c r="X68" s="1" t="str">
        <f aca="false">"n/a"</f>
        <v>n/a</v>
      </c>
      <c r="Y68" s="1" t="str">
        <f aca="false">IF(Abroad!T68&gt;=-0.001,"OK","Check")</f>
        <v>OK</v>
      </c>
      <c r="Z68" s="1" t="str">
        <f aca="false">"n/a"</f>
        <v>n/a</v>
      </c>
      <c r="AA68" s="1" t="str">
        <f aca="false">IF(ABS('Sources &amp; uses'!P102)&lt;0.001,"OK","Check")</f>
        <v>OK</v>
      </c>
      <c r="AB68" s="1" t="str">
        <f aca="false">IF(AND(ABS('War credit'!F68)&lt;0.001,ABS('War credit'!K68)&lt;0.001),"OK","Check")</f>
        <v>OK</v>
      </c>
      <c r="AC68" s="1" t="str">
        <f aca="false">"OK"</f>
        <v>OK</v>
      </c>
      <c r="AD68" s="1" t="str">
        <f aca="false">IF('Sources &amp; uses'!M197&lt;0.001,"OK","Check")</f>
        <v>OK</v>
      </c>
      <c r="AE68" s="1" t="str">
        <f aca="false">IF('War credit'!E68=0,"OK",IF(ISNUMBER('War credit'!AC68),IF('War credit'!AC68&lt;0.001,"OK","Check"),"Unverified"))</f>
        <v>OK</v>
      </c>
      <c r="AF68" s="1" t="str">
        <f aca="false">"OK"</f>
        <v>OK</v>
      </c>
      <c r="AG68" s="1" t="str">
        <f aca="false">IF('Capital accounts'!L68&gt;0.001,"Check","OK")</f>
        <v>OK</v>
      </c>
      <c r="AH68" s="1" t="n">
        <f aca="false">COUNTIF(AA68:AG68,"Unverified")</f>
        <v>0</v>
      </c>
      <c r="AI68" s="1" t="str">
        <f aca="false">IF(OR($A68&lt;1918,$A68&gt;1932),"n/a",INDEX(Siberia!$H$38:$H$52,MATCH($A68,Siberia!$A$38:$A$52,0)))</f>
        <v>n/a</v>
      </c>
      <c r="AJ68" s="1" t="str">
        <f aca="false">IF($A68&lt;&gt;1895,"n/a",IF(AND(MATCH(MIN(People!$Y$16:$Y$92),People!$Y$16:$Y$92,0)+1855&gt;=1893,MATCH(MIN(People!$Y$16:$Y$92),People!$Y$16:$Y$92,0)+1855&lt;=1897),"OK","Check"))</f>
        <v>n/a</v>
      </c>
      <c r="AK68" s="1" t="str">
        <f aca="false">IF($A68&lt;&gt;1861,"n/a",IF(ABS(People!B68/dem01_target-1)&lt;=0.1,"OK","Check"))</f>
        <v>n/a</v>
      </c>
    </row>
    <row r="69" customFormat="false" ht="14.25" hidden="false" customHeight="true" outlineLevel="0" collapsed="false">
      <c r="A69" s="61" t="n">
        <v>1909</v>
      </c>
      <c r="B69" s="107" t="str">
        <f aca="false">IF(ABS(People!L69-(People!B69+People!C69+People!D69+People!K69))&lt;1,"OK","Check")</f>
        <v>OK</v>
      </c>
      <c r="C69" s="107" t="str">
        <f aca="false">IF(ABS('Debt &amp; cash'!M69-'Debt &amp; cash'!E69)&lt;0.001,"OK","Check")</f>
        <v>OK</v>
      </c>
      <c r="D69" s="107" t="str">
        <f aca="false">IF('Debt &amp; cash'!S69&gt;=-0.001,"OK","Check")</f>
        <v>OK</v>
      </c>
      <c r="E69" s="108" t="n">
        <f aca="false">'Debt &amp; cash'!V69</f>
        <v>0.05</v>
      </c>
      <c r="F69" s="107" t="str">
        <f aca="false">IF($A69&lt;1887,"n/a",IF(E69&lt;=cap_debt,"OK","Check"))</f>
        <v>OK</v>
      </c>
      <c r="G69" s="108" t="n">
        <f aca="false">'Debt &amp; cash'!W69</f>
        <v>0.0193324100365517</v>
      </c>
      <c r="H69" s="107" t="str">
        <f aca="false">IF($A69&lt;1887,"n/a",IF(G69&lt;=cap_int,"OK","Check"))</f>
        <v>OK</v>
      </c>
      <c r="I69" s="108" t="n">
        <f aca="false">Budget!AC69</f>
        <v>0.00575966691411732</v>
      </c>
      <c r="J69" s="107" t="str">
        <f aca="false">IF($A69&lt;1887,"n/a",IF(Paths!AC69=1,"War year",IF(I69&lt;=cap_def,"OK","Check")))</f>
        <v>OK</v>
      </c>
      <c r="K69" s="66" t="n">
        <f aca="false">'Debt &amp; cash'!Y69/Economy!O69</f>
        <v>0.0119569459047743</v>
      </c>
      <c r="L69" s="107" t="str">
        <f aca="false">IF('Debt &amp; cash'!Y69*issue_price&lt;=mkt_capacity*Economy!O69+foreign_capacity,"OK","Check")</f>
        <v>OK</v>
      </c>
      <c r="M69" s="107" t="str">
        <f aca="false">IF($A69&lt;1900,"n/a",IF('Gold &amp; money'!K69&gt;=0,"OK","Check"))</f>
        <v>OK</v>
      </c>
      <c r="N69" s="108" t="n">
        <f aca="false">Japan!AA69</f>
        <v>0.244551057848795</v>
      </c>
      <c r="O69" s="107" t="str">
        <f aca="false">IF(N69&lt;=1,"OK","Check")</f>
        <v>OK</v>
      </c>
      <c r="P69" s="107" t="str">
        <f aca="false">IF($A69&lt;1922,"n/a",IF(AND(Navy!AE69&gt;=0.95,Navy!AE69&lt;=1.1),"OK","Check"))</f>
        <v>n/a</v>
      </c>
      <c r="Q69" s="107" t="str">
        <f aca="false">IF(Navy!Z69=0,"n/a",IF(Resources!K69&gt;=Navy!Z69,"OK","Check"))</f>
        <v>OK</v>
      </c>
      <c r="R69" s="107" t="str">
        <f aca="false">IF(AND(gulf_on=1,$A69=gulf_year),IF(Gulf!AF69=1,"OK","Check"),"n/a")</f>
        <v>n/a</v>
      </c>
      <c r="S69" s="49" t="n">
        <f aca="false">COUNTIF(B69:R69,"Check")+COUNTIF(T69:AG69,"Check")+AH69+COUNTIF(AI69,"Check")+COUNTIF(AJ69:AK69,"Check")</f>
        <v>0</v>
      </c>
      <c r="T69" s="1" t="str">
        <f aca="false">IF(ABS(Japan!AM69)&lt;0.001,"OK","Check")</f>
        <v>OK</v>
      </c>
      <c r="U69" s="1" t="str">
        <f aca="false">"n/a"</f>
        <v>n/a</v>
      </c>
      <c r="V69" s="1" t="str">
        <f aca="false">"n/a"</f>
        <v>n/a</v>
      </c>
      <c r="W69" s="1" t="str">
        <f aca="false">"n/a"</f>
        <v>n/a</v>
      </c>
      <c r="X69" s="1" t="str">
        <f aca="false">"n/a"</f>
        <v>n/a</v>
      </c>
      <c r="Y69" s="1" t="str">
        <f aca="false">IF(Abroad!T69&gt;=-0.001,"OK","Check")</f>
        <v>OK</v>
      </c>
      <c r="Z69" s="1" t="str">
        <f aca="false">"n/a"</f>
        <v>n/a</v>
      </c>
      <c r="AA69" s="1" t="str">
        <f aca="false">IF(ABS('Sources &amp; uses'!P103)&lt;0.001,"OK","Check")</f>
        <v>OK</v>
      </c>
      <c r="AB69" s="1" t="str">
        <f aca="false">IF(AND(ABS('War credit'!F69)&lt;0.001,ABS('War credit'!K69)&lt;0.001),"OK","Check")</f>
        <v>OK</v>
      </c>
      <c r="AC69" s="1" t="str">
        <f aca="false">"OK"</f>
        <v>OK</v>
      </c>
      <c r="AD69" s="1" t="str">
        <f aca="false">IF('Sources &amp; uses'!M198&lt;0.001,"OK","Check")</f>
        <v>OK</v>
      </c>
      <c r="AE69" s="1" t="str">
        <f aca="false">IF('War credit'!E69=0,"OK",IF(ISNUMBER('War credit'!AC69),IF('War credit'!AC69&lt;0.001,"OK","Check"),"Unverified"))</f>
        <v>OK</v>
      </c>
      <c r="AF69" s="1" t="str">
        <f aca="false">"OK"</f>
        <v>OK</v>
      </c>
      <c r="AG69" s="1" t="str">
        <f aca="false">IF('Capital accounts'!L69&gt;0.001,"Check","OK")</f>
        <v>OK</v>
      </c>
      <c r="AH69" s="1" t="n">
        <f aca="false">COUNTIF(AA69:AG69,"Unverified")</f>
        <v>0</v>
      </c>
      <c r="AI69" s="1" t="str">
        <f aca="false">IF(OR($A69&lt;1918,$A69&gt;1932),"n/a",INDEX(Siberia!$H$38:$H$52,MATCH($A69,Siberia!$A$38:$A$52,0)))</f>
        <v>n/a</v>
      </c>
      <c r="AJ69" s="1" t="str">
        <f aca="false">IF($A69&lt;&gt;1895,"n/a",IF(AND(MATCH(MIN(People!$Y$16:$Y$92),People!$Y$16:$Y$92,0)+1855&gt;=1893,MATCH(MIN(People!$Y$16:$Y$92),People!$Y$16:$Y$92,0)+1855&lt;=1897),"OK","Check"))</f>
        <v>n/a</v>
      </c>
      <c r="AK69" s="1" t="str">
        <f aca="false">IF($A69&lt;&gt;1861,"n/a",IF(ABS(People!B69/dem01_target-1)&lt;=0.1,"OK","Check"))</f>
        <v>n/a</v>
      </c>
    </row>
    <row r="70" customFormat="false" ht="14.25" hidden="false" customHeight="true" outlineLevel="0" collapsed="false">
      <c r="A70" s="61" t="n">
        <v>1910</v>
      </c>
      <c r="B70" s="107" t="str">
        <f aca="false">IF(ABS(People!L70-(People!B70+People!C70+People!D70+People!K70))&lt;1,"OK","Check")</f>
        <v>OK</v>
      </c>
      <c r="C70" s="107" t="str">
        <f aca="false">IF(ABS('Debt &amp; cash'!M70-'Debt &amp; cash'!E70)&lt;0.001,"OK","Check")</f>
        <v>OK</v>
      </c>
      <c r="D70" s="107" t="str">
        <f aca="false">IF('Debt &amp; cash'!S70&gt;=-0.001,"OK","Check")</f>
        <v>OK</v>
      </c>
      <c r="E70" s="108" t="n">
        <f aca="false">'Debt &amp; cash'!V70</f>
        <v>0.05</v>
      </c>
      <c r="F70" s="107" t="str">
        <f aca="false">IF($A70&lt;1887,"n/a",IF(E70&lt;=cap_debt,"OK","Check"))</f>
        <v>OK</v>
      </c>
      <c r="G70" s="108" t="n">
        <f aca="false">'Debt &amp; cash'!W70</f>
        <v>0.020938398068977</v>
      </c>
      <c r="H70" s="107" t="str">
        <f aca="false">IF($A70&lt;1887,"n/a",IF(G70&lt;=cap_int,"OK","Check"))</f>
        <v>OK</v>
      </c>
      <c r="I70" s="108" t="n">
        <f aca="false">Budget!AC70</f>
        <v>0.00570622660982023</v>
      </c>
      <c r="J70" s="107" t="str">
        <f aca="false">IF($A70&lt;1887,"n/a",IF(Paths!AC70=1,"War year",IF(I70&lt;=cap_def,"OK","Check")))</f>
        <v>OK</v>
      </c>
      <c r="K70" s="66" t="n">
        <f aca="false">'Debt &amp; cash'!Y70/Economy!O70</f>
        <v>0.00985425316134059</v>
      </c>
      <c r="L70" s="107" t="str">
        <f aca="false">IF('Debt &amp; cash'!Y70*issue_price&lt;=mkt_capacity*Economy!O70+foreign_capacity,"OK","Check")</f>
        <v>OK</v>
      </c>
      <c r="M70" s="107" t="str">
        <f aca="false">IF($A70&lt;1900,"n/a",IF('Gold &amp; money'!K70&gt;=0,"OK","Check"))</f>
        <v>OK</v>
      </c>
      <c r="N70" s="108" t="n">
        <f aca="false">Japan!AA70</f>
        <v>0.202418858719076</v>
      </c>
      <c r="O70" s="107" t="str">
        <f aca="false">IF(N70&lt;=1,"OK","Check")</f>
        <v>OK</v>
      </c>
      <c r="P70" s="107" t="str">
        <f aca="false">IF($A70&lt;1922,"n/a",IF(AND(Navy!AE70&gt;=0.95,Navy!AE70&lt;=1.1),"OK","Check"))</f>
        <v>n/a</v>
      </c>
      <c r="Q70" s="107" t="str">
        <f aca="false">IF(Navy!Z70=0,"n/a",IF(Resources!K70&gt;=Navy!Z70,"OK","Check"))</f>
        <v>OK</v>
      </c>
      <c r="R70" s="107" t="str">
        <f aca="false">IF(AND(gulf_on=1,$A70=gulf_year),IF(Gulf!AF70=1,"OK","Check"),"n/a")</f>
        <v>n/a</v>
      </c>
      <c r="S70" s="49" t="n">
        <f aca="false">COUNTIF(B70:R70,"Check")+COUNTIF(T70:AG70,"Check")+AH70+COUNTIF(AI70,"Check")+COUNTIF(AJ70:AK70,"Check")</f>
        <v>0</v>
      </c>
      <c r="T70" s="1" t="str">
        <f aca="false">IF(ABS(Japan!AM70)&lt;0.001,"OK","Check")</f>
        <v>OK</v>
      </c>
      <c r="U70" s="1" t="str">
        <f aca="false">"n/a"</f>
        <v>n/a</v>
      </c>
      <c r="V70" s="1" t="str">
        <f aca="false">"n/a"</f>
        <v>n/a</v>
      </c>
      <c r="W70" s="1" t="str">
        <f aca="false">"n/a"</f>
        <v>n/a</v>
      </c>
      <c r="X70" s="1" t="str">
        <f aca="false">"n/a"</f>
        <v>n/a</v>
      </c>
      <c r="Y70" s="1" t="str">
        <f aca="false">IF(Abroad!T70&gt;=-0.001,"OK","Check")</f>
        <v>OK</v>
      </c>
      <c r="Z70" s="1" t="str">
        <f aca="false">"n/a"</f>
        <v>n/a</v>
      </c>
      <c r="AA70" s="1" t="str">
        <f aca="false">IF(ABS('Sources &amp; uses'!P104)&lt;0.001,"OK","Check")</f>
        <v>OK</v>
      </c>
      <c r="AB70" s="1" t="str">
        <f aca="false">IF(AND(ABS('War credit'!F70)&lt;0.001,ABS('War credit'!K70)&lt;0.001),"OK","Check")</f>
        <v>OK</v>
      </c>
      <c r="AC70" s="1" t="str">
        <f aca="false">"OK"</f>
        <v>OK</v>
      </c>
      <c r="AD70" s="1" t="str">
        <f aca="false">IF('Sources &amp; uses'!M199&lt;0.001,"OK","Check")</f>
        <v>OK</v>
      </c>
      <c r="AE70" s="1" t="str">
        <f aca="false">IF('War credit'!E70=0,"OK",IF(ISNUMBER('War credit'!AC70),IF('War credit'!AC70&lt;0.001,"OK","Check"),"Unverified"))</f>
        <v>OK</v>
      </c>
      <c r="AF70" s="1" t="str">
        <f aca="false">"OK"</f>
        <v>OK</v>
      </c>
      <c r="AG70" s="1" t="str">
        <f aca="false">IF('Capital accounts'!L70&gt;0.001,"Check","OK")</f>
        <v>OK</v>
      </c>
      <c r="AH70" s="1" t="n">
        <f aca="false">COUNTIF(AA70:AG70,"Unverified")</f>
        <v>0</v>
      </c>
      <c r="AI70" s="1" t="str">
        <f aca="false">IF(OR($A70&lt;1918,$A70&gt;1932),"n/a",INDEX(Siberia!$H$38:$H$52,MATCH($A70,Siberia!$A$38:$A$52,0)))</f>
        <v>n/a</v>
      </c>
      <c r="AJ70" s="1" t="str">
        <f aca="false">IF($A70&lt;&gt;1895,"n/a",IF(AND(MATCH(MIN(People!$Y$16:$Y$92),People!$Y$16:$Y$92,0)+1855&gt;=1893,MATCH(MIN(People!$Y$16:$Y$92),People!$Y$16:$Y$92,0)+1855&lt;=1897),"OK","Check"))</f>
        <v>n/a</v>
      </c>
      <c r="AK70" s="1" t="str">
        <f aca="false">IF($A70&lt;&gt;1861,"n/a",IF(ABS(People!B70/dem01_target-1)&lt;=0.1,"OK","Check"))</f>
        <v>n/a</v>
      </c>
    </row>
    <row r="71" customFormat="false" ht="14.25" hidden="false" customHeight="true" outlineLevel="0" collapsed="false">
      <c r="A71" s="61" t="n">
        <v>1911</v>
      </c>
      <c r="B71" s="107" t="str">
        <f aca="false">IF(ABS(People!L71-(People!B71+People!C71+People!D71+People!K71))&lt;1,"OK","Check")</f>
        <v>OK</v>
      </c>
      <c r="C71" s="107" t="str">
        <f aca="false">IF(ABS('Debt &amp; cash'!M71-'Debt &amp; cash'!E71)&lt;0.001,"OK","Check")</f>
        <v>OK</v>
      </c>
      <c r="D71" s="107" t="str">
        <f aca="false">IF('Debt &amp; cash'!S71&gt;=-0.001,"OK","Check")</f>
        <v>OK</v>
      </c>
      <c r="E71" s="108" t="n">
        <f aca="false">'Debt &amp; cash'!V71</f>
        <v>0.05</v>
      </c>
      <c r="F71" s="107" t="str">
        <f aca="false">IF($A71&lt;1887,"n/a",IF(E71&lt;=cap_debt,"OK","Check"))</f>
        <v>OK</v>
      </c>
      <c r="G71" s="108" t="n">
        <f aca="false">'Debt &amp; cash'!W71</f>
        <v>0.0215928558011386</v>
      </c>
      <c r="H71" s="107" t="str">
        <f aca="false">IF($A71&lt;1887,"n/a",IF(G71&lt;=cap_int,"OK","Check"))</f>
        <v>OK</v>
      </c>
      <c r="I71" s="108" t="n">
        <f aca="false">Budget!AC71</f>
        <v>0.00576496690906231</v>
      </c>
      <c r="J71" s="107" t="str">
        <f aca="false">IF($A71&lt;1887,"n/a",IF(Paths!AC71=1,"War year",IF(I71&lt;=cap_def,"OK","Check")))</f>
        <v>OK</v>
      </c>
      <c r="K71" s="66" t="n">
        <f aca="false">'Debt &amp; cash'!Y71/Economy!O71</f>
        <v>0.00946262375520519</v>
      </c>
      <c r="L71" s="107" t="str">
        <f aca="false">IF('Debt &amp; cash'!Y71*issue_price&lt;=mkt_capacity*Economy!O71+foreign_capacity,"OK","Check")</f>
        <v>OK</v>
      </c>
      <c r="M71" s="107" t="str">
        <f aca="false">IF($A71&lt;1900,"n/a",IF('Gold &amp; money'!K71&gt;=0,"OK","Check"))</f>
        <v>OK</v>
      </c>
      <c r="N71" s="108" t="n">
        <f aca="false">Japan!AA71</f>
        <v>0.167583024684527</v>
      </c>
      <c r="O71" s="107" t="str">
        <f aca="false">IF(N71&lt;=1,"OK","Check")</f>
        <v>OK</v>
      </c>
      <c r="P71" s="107" t="str">
        <f aca="false">IF($A71&lt;1922,"n/a",IF(AND(Navy!AE71&gt;=0.95,Navy!AE71&lt;=1.1),"OK","Check"))</f>
        <v>n/a</v>
      </c>
      <c r="Q71" s="107" t="str">
        <f aca="false">IF(Navy!Z71=0,"n/a",IF(Resources!K71&gt;=Navy!Z71,"OK","Check"))</f>
        <v>OK</v>
      </c>
      <c r="R71" s="107" t="str">
        <f aca="false">IF(AND(gulf_on=1,$A71=gulf_year),IF(Gulf!AF71=1,"OK","Check"),"n/a")</f>
        <v>n/a</v>
      </c>
      <c r="S71" s="49" t="n">
        <f aca="false">COUNTIF(B71:R71,"Check")+COUNTIF(T71:AG71,"Check")+AH71+COUNTIF(AI71,"Check")+COUNTIF(AJ71:AK71,"Check")</f>
        <v>0</v>
      </c>
      <c r="T71" s="1" t="str">
        <f aca="false">IF(ABS(Japan!AM71)&lt;0.001,"OK","Check")</f>
        <v>OK</v>
      </c>
      <c r="U71" s="1" t="str">
        <f aca="false">"n/a"</f>
        <v>n/a</v>
      </c>
      <c r="V71" s="1" t="str">
        <f aca="false">"n/a"</f>
        <v>n/a</v>
      </c>
      <c r="W71" s="1" t="str">
        <f aca="false">"n/a"</f>
        <v>n/a</v>
      </c>
      <c r="X71" s="1" t="str">
        <f aca="false">"n/a"</f>
        <v>n/a</v>
      </c>
      <c r="Y71" s="1" t="str">
        <f aca="false">IF(Abroad!T71&gt;=-0.001,"OK","Check")</f>
        <v>OK</v>
      </c>
      <c r="Z71" s="1" t="str">
        <f aca="false">"n/a"</f>
        <v>n/a</v>
      </c>
      <c r="AA71" s="1" t="str">
        <f aca="false">IF(ABS('Sources &amp; uses'!P105)&lt;0.001,"OK","Check")</f>
        <v>OK</v>
      </c>
      <c r="AB71" s="1" t="str">
        <f aca="false">IF(AND(ABS('War credit'!F71)&lt;0.001,ABS('War credit'!K71)&lt;0.001),"OK","Check")</f>
        <v>OK</v>
      </c>
      <c r="AC71" s="1" t="str">
        <f aca="false">"OK"</f>
        <v>OK</v>
      </c>
      <c r="AD71" s="1" t="str">
        <f aca="false">IF('Sources &amp; uses'!M200&lt;0.001,"OK","Check")</f>
        <v>OK</v>
      </c>
      <c r="AE71" s="1" t="str">
        <f aca="false">IF('War credit'!E71=0,"OK",IF(ISNUMBER('War credit'!AC71),IF('War credit'!AC71&lt;0.001,"OK","Check"),"Unverified"))</f>
        <v>OK</v>
      </c>
      <c r="AF71" s="1" t="str">
        <f aca="false">"OK"</f>
        <v>OK</v>
      </c>
      <c r="AG71" s="1" t="str">
        <f aca="false">IF('Capital accounts'!L71&gt;0.001,"Check","OK")</f>
        <v>OK</v>
      </c>
      <c r="AH71" s="1" t="n">
        <f aca="false">COUNTIF(AA71:AG71,"Unverified")</f>
        <v>0</v>
      </c>
      <c r="AI71" s="1" t="str">
        <f aca="false">IF(OR($A71&lt;1918,$A71&gt;1932),"n/a",INDEX(Siberia!$H$38:$H$52,MATCH($A71,Siberia!$A$38:$A$52,0)))</f>
        <v>n/a</v>
      </c>
      <c r="AJ71" s="1" t="str">
        <f aca="false">IF($A71&lt;&gt;1895,"n/a",IF(AND(MATCH(MIN(People!$Y$16:$Y$92),People!$Y$16:$Y$92,0)+1855&gt;=1893,MATCH(MIN(People!$Y$16:$Y$92),People!$Y$16:$Y$92,0)+1855&lt;=1897),"OK","Check"))</f>
        <v>n/a</v>
      </c>
      <c r="AK71" s="1" t="str">
        <f aca="false">IF($A71&lt;&gt;1861,"n/a",IF(ABS(People!B71/dem01_target-1)&lt;=0.1,"OK","Check"))</f>
        <v>n/a</v>
      </c>
    </row>
    <row r="72" customFormat="false" ht="14.25" hidden="false" customHeight="true" outlineLevel="0" collapsed="false">
      <c r="A72" s="61" t="n">
        <v>1912</v>
      </c>
      <c r="B72" s="107" t="str">
        <f aca="false">IF(ABS(People!L72-(People!B72+People!C72+People!D72+People!K72))&lt;1,"OK","Check")</f>
        <v>OK</v>
      </c>
      <c r="C72" s="107" t="str">
        <f aca="false">IF(ABS('Debt &amp; cash'!M72-'Debt &amp; cash'!E72)&lt;0.001,"OK","Check")</f>
        <v>OK</v>
      </c>
      <c r="D72" s="107" t="str">
        <f aca="false">IF('Debt &amp; cash'!S72&gt;=-0.001,"OK","Check")</f>
        <v>OK</v>
      </c>
      <c r="E72" s="108" t="n">
        <f aca="false">'Debt &amp; cash'!V72</f>
        <v>0.05</v>
      </c>
      <c r="F72" s="107" t="str">
        <f aca="false">IF($A72&lt;1887,"n/a",IF(E72&lt;=cap_debt,"OK","Check"))</f>
        <v>OK</v>
      </c>
      <c r="G72" s="108" t="n">
        <f aca="false">'Debt &amp; cash'!W72</f>
        <v>0.0221502695837562</v>
      </c>
      <c r="H72" s="107" t="str">
        <f aca="false">IF($A72&lt;1887,"n/a",IF(G72&lt;=cap_int,"OK","Check"))</f>
        <v>OK</v>
      </c>
      <c r="I72" s="108" t="n">
        <f aca="false">Budget!AC72</f>
        <v>0.00563150420314072</v>
      </c>
      <c r="J72" s="107" t="str">
        <f aca="false">IF($A72&lt;1887,"n/a",IF(Paths!AC72=1,"War year",IF(I72&lt;=cap_def,"OK","Check")))</f>
        <v>OK</v>
      </c>
      <c r="K72" s="66" t="n">
        <f aca="false">'Debt &amp; cash'!Y72/Economy!O72</f>
        <v>0.00940801925453528</v>
      </c>
      <c r="L72" s="107" t="str">
        <f aca="false">IF('Debt &amp; cash'!Y72*issue_price&lt;=mkt_capacity*Economy!O72+foreign_capacity,"OK","Check")</f>
        <v>OK</v>
      </c>
      <c r="M72" s="107" t="str">
        <f aca="false">IF($A72&lt;1900,"n/a",IF('Gold &amp; money'!K72&gt;=0,"OK","Check"))</f>
        <v>OK</v>
      </c>
      <c r="N72" s="108" t="n">
        <f aca="false">Japan!AA72</f>
        <v>0.135142127533321</v>
      </c>
      <c r="O72" s="107" t="str">
        <f aca="false">IF(N72&lt;=1,"OK","Check")</f>
        <v>OK</v>
      </c>
      <c r="P72" s="107" t="str">
        <f aca="false">IF($A72&lt;1922,"n/a",IF(AND(Navy!AE72&gt;=0.95,Navy!AE72&lt;=1.1),"OK","Check"))</f>
        <v>n/a</v>
      </c>
      <c r="Q72" s="107" t="str">
        <f aca="false">IF(Navy!Z72=0,"n/a",IF(Resources!K72&gt;=Navy!Z72,"OK","Check"))</f>
        <v>OK</v>
      </c>
      <c r="R72" s="107" t="str">
        <f aca="false">IF(AND(gulf_on=1,$A72=gulf_year),IF(Gulf!AF72=1,"OK","Check"),"n/a")</f>
        <v>n/a</v>
      </c>
      <c r="S72" s="49" t="n">
        <f aca="false">COUNTIF(B72:R72,"Check")+COUNTIF(T72:AG72,"Check")+AH72+COUNTIF(AI72,"Check")+COUNTIF(AJ72:AK72,"Check")</f>
        <v>0</v>
      </c>
      <c r="T72" s="1" t="str">
        <f aca="false">IF(ABS(Japan!AM72)&lt;0.001,"OK","Check")</f>
        <v>OK</v>
      </c>
      <c r="U72" s="1" t="str">
        <f aca="false">"n/a"</f>
        <v>n/a</v>
      </c>
      <c r="V72" s="1" t="str">
        <f aca="false">"n/a"</f>
        <v>n/a</v>
      </c>
      <c r="W72" s="1" t="str">
        <f aca="false">"n/a"</f>
        <v>n/a</v>
      </c>
      <c r="X72" s="1" t="str">
        <f aca="false">"n/a"</f>
        <v>n/a</v>
      </c>
      <c r="Y72" s="1" t="str">
        <f aca="false">IF(Abroad!T72&gt;=-0.001,"OK","Check")</f>
        <v>OK</v>
      </c>
      <c r="Z72" s="1" t="str">
        <f aca="false">"n/a"</f>
        <v>n/a</v>
      </c>
      <c r="AA72" s="1" t="str">
        <f aca="false">IF(ABS('Sources &amp; uses'!P106)&lt;0.001,"OK","Check")</f>
        <v>OK</v>
      </c>
      <c r="AB72" s="1" t="str">
        <f aca="false">IF(AND(ABS('War credit'!F72)&lt;0.001,ABS('War credit'!K72)&lt;0.001),"OK","Check")</f>
        <v>OK</v>
      </c>
      <c r="AC72" s="1" t="str">
        <f aca="false">"OK"</f>
        <v>OK</v>
      </c>
      <c r="AD72" s="1" t="str">
        <f aca="false">IF('Sources &amp; uses'!M201&lt;0.001,"OK","Check")</f>
        <v>OK</v>
      </c>
      <c r="AE72" s="1" t="str">
        <f aca="false">IF('War credit'!E72=0,"OK",IF(ISNUMBER('War credit'!AC72),IF('War credit'!AC72&lt;0.001,"OK","Check"),"Unverified"))</f>
        <v>OK</v>
      </c>
      <c r="AF72" s="1" t="str">
        <f aca="false">"OK"</f>
        <v>OK</v>
      </c>
      <c r="AG72" s="1" t="str">
        <f aca="false">IF('Capital accounts'!L72&gt;0.001,"Check","OK")</f>
        <v>OK</v>
      </c>
      <c r="AH72" s="1" t="n">
        <f aca="false">COUNTIF(AA72:AG72,"Unverified")</f>
        <v>0</v>
      </c>
      <c r="AI72" s="1" t="str">
        <f aca="false">IF(OR($A72&lt;1918,$A72&gt;1932),"n/a",INDEX(Siberia!$H$38:$H$52,MATCH($A72,Siberia!$A$38:$A$52,0)))</f>
        <v>n/a</v>
      </c>
      <c r="AJ72" s="1" t="str">
        <f aca="false">IF($A72&lt;&gt;1895,"n/a",IF(AND(MATCH(MIN(People!$Y$16:$Y$92),People!$Y$16:$Y$92,0)+1855&gt;=1893,MATCH(MIN(People!$Y$16:$Y$92),People!$Y$16:$Y$92,0)+1855&lt;=1897),"OK","Check"))</f>
        <v>n/a</v>
      </c>
      <c r="AK72" s="1" t="str">
        <f aca="false">IF($A72&lt;&gt;1861,"n/a",IF(ABS(People!B72/dem01_target-1)&lt;=0.1,"OK","Check"))</f>
        <v>n/a</v>
      </c>
    </row>
    <row r="73" customFormat="false" ht="14.25" hidden="false" customHeight="true" outlineLevel="0" collapsed="false">
      <c r="A73" s="61" t="n">
        <v>1913</v>
      </c>
      <c r="B73" s="107" t="str">
        <f aca="false">IF(ABS(People!L73-(People!B73+People!C73+People!D73+People!K73))&lt;1,"OK","Check")</f>
        <v>OK</v>
      </c>
      <c r="C73" s="107" t="str">
        <f aca="false">IF(ABS('Debt &amp; cash'!M73-'Debt &amp; cash'!E73)&lt;0.001,"OK","Check")</f>
        <v>OK</v>
      </c>
      <c r="D73" s="107" t="str">
        <f aca="false">IF('Debt &amp; cash'!S73&gt;=-0.001,"OK","Check")</f>
        <v>OK</v>
      </c>
      <c r="E73" s="108" t="n">
        <f aca="false">'Debt &amp; cash'!V73</f>
        <v>0.05</v>
      </c>
      <c r="F73" s="107" t="str">
        <f aca="false">IF($A73&lt;1887,"n/a",IF(E73&lt;=cap_debt,"OK","Check"))</f>
        <v>OK</v>
      </c>
      <c r="G73" s="108" t="n">
        <f aca="false">'Debt &amp; cash'!W73</f>
        <v>0.0227352956178925</v>
      </c>
      <c r="H73" s="107" t="str">
        <f aca="false">IF($A73&lt;1887,"n/a",IF(G73&lt;=cap_int,"OK","Check"))</f>
        <v>OK</v>
      </c>
      <c r="I73" s="108" t="n">
        <f aca="false">Budget!AC73</f>
        <v>0.00575073480344696</v>
      </c>
      <c r="J73" s="107" t="str">
        <f aca="false">IF($A73&lt;1887,"n/a",IF(Paths!AC73=1,"War year",IF(I73&lt;=cap_def,"OK","Check")))</f>
        <v>OK</v>
      </c>
      <c r="K73" s="66" t="n">
        <f aca="false">'Debt &amp; cash'!Y73/Economy!O73</f>
        <v>0.00923907579078603</v>
      </c>
      <c r="L73" s="107" t="str">
        <f aca="false">IF('Debt &amp; cash'!Y73*issue_price&lt;=mkt_capacity*Economy!O73+foreign_capacity,"OK","Check")</f>
        <v>OK</v>
      </c>
      <c r="M73" s="107" t="str">
        <f aca="false">IF($A73&lt;1900,"n/a",IF('Gold &amp; money'!K73&gt;=0,"OK","Check"))</f>
        <v>OK</v>
      </c>
      <c r="N73" s="108" t="n">
        <f aca="false">Japan!AA73</f>
        <v>0.104493054596555</v>
      </c>
      <c r="O73" s="107" t="str">
        <f aca="false">IF(N73&lt;=1,"OK","Check")</f>
        <v>OK</v>
      </c>
      <c r="P73" s="107" t="str">
        <f aca="false">IF($A73&lt;1922,"n/a",IF(AND(Navy!AE73&gt;=0.95,Navy!AE73&lt;=1.1),"OK","Check"))</f>
        <v>n/a</v>
      </c>
      <c r="Q73" s="107" t="str">
        <f aca="false">IF(Navy!Z73=0,"n/a",IF(Resources!K73&gt;=Navy!Z73,"OK","Check"))</f>
        <v>OK</v>
      </c>
      <c r="R73" s="107" t="str">
        <f aca="false">IF(AND(gulf_on=1,$A73=gulf_year),IF(Gulf!AF73=1,"OK","Check"),"n/a")</f>
        <v>n/a</v>
      </c>
      <c r="S73" s="49" t="n">
        <f aca="false">COUNTIF(B73:R73,"Check")+COUNTIF(T73:AG73,"Check")+AH73+COUNTIF(AI73,"Check")+COUNTIF(AJ73:AK73,"Check")</f>
        <v>0</v>
      </c>
      <c r="T73" s="1" t="str">
        <f aca="false">IF(ABS(Japan!AM73)&lt;0.001,"OK","Check")</f>
        <v>OK</v>
      </c>
      <c r="U73" s="1" t="str">
        <f aca="false">"n/a"</f>
        <v>n/a</v>
      </c>
      <c r="V73" s="1" t="str">
        <f aca="false">"n/a"</f>
        <v>n/a</v>
      </c>
      <c r="W73" s="1" t="str">
        <f aca="false">"n/a"</f>
        <v>n/a</v>
      </c>
      <c r="X73" s="1" t="str">
        <f aca="false">"n/a"</f>
        <v>n/a</v>
      </c>
      <c r="Y73" s="1" t="str">
        <f aca="false">IF(Abroad!T73&gt;=-0.001,"OK","Check")</f>
        <v>OK</v>
      </c>
      <c r="Z73" s="1" t="str">
        <f aca="false">"n/a"</f>
        <v>n/a</v>
      </c>
      <c r="AA73" s="1" t="str">
        <f aca="false">IF(ABS('Sources &amp; uses'!P107)&lt;0.001,"OK","Check")</f>
        <v>OK</v>
      </c>
      <c r="AB73" s="1" t="str">
        <f aca="false">IF(AND(ABS('War credit'!F73)&lt;0.001,ABS('War credit'!K73)&lt;0.001),"OK","Check")</f>
        <v>OK</v>
      </c>
      <c r="AC73" s="1" t="str">
        <f aca="false">IF(AND(ABS('Japan expansion'!S52)&lt;0.001,'Japan expansion'!R52&gt;=0,'Japan expansion'!U52&gt;=0),"OK","Check")</f>
        <v>OK</v>
      </c>
      <c r="AD73" s="1" t="str">
        <f aca="false">IF('Sources &amp; uses'!M202&lt;0.001,"OK","Check")</f>
        <v>OK</v>
      </c>
      <c r="AE73" s="1" t="str">
        <f aca="false">IF('War credit'!E73=0,"OK",IF(ISNUMBER('War credit'!AC73),IF('War credit'!AC73&lt;0.001,"OK","Check"),"Unverified"))</f>
        <v>OK</v>
      </c>
      <c r="AF73" s="1" t="str">
        <f aca="false">"OK"</f>
        <v>OK</v>
      </c>
      <c r="AG73" s="1" t="str">
        <f aca="false">IF('Capital accounts'!L73&gt;0.001,"Check","OK")</f>
        <v>OK</v>
      </c>
      <c r="AH73" s="1" t="n">
        <f aca="false">COUNTIF(AA73:AG73,"Unverified")</f>
        <v>0</v>
      </c>
      <c r="AI73" s="1" t="str">
        <f aca="false">IF(OR($A73&lt;1918,$A73&gt;1932),"n/a",INDEX(Siberia!$H$38:$H$52,MATCH($A73,Siberia!$A$38:$A$52,0)))</f>
        <v>n/a</v>
      </c>
      <c r="AJ73" s="1" t="str">
        <f aca="false">IF($A73&lt;&gt;1895,"n/a",IF(AND(MATCH(MIN(People!$Y$16:$Y$92),People!$Y$16:$Y$92,0)+1855&gt;=1893,MATCH(MIN(People!$Y$16:$Y$92),People!$Y$16:$Y$92,0)+1855&lt;=1897),"OK","Check"))</f>
        <v>n/a</v>
      </c>
      <c r="AK73" s="1" t="str">
        <f aca="false">IF($A73&lt;&gt;1861,"n/a",IF(ABS(People!B73/dem01_target-1)&lt;=0.1,"OK","Check"))</f>
        <v>n/a</v>
      </c>
    </row>
    <row r="74" customFormat="false" ht="14.25" hidden="false" customHeight="true" outlineLevel="0" collapsed="false">
      <c r="A74" s="64" t="n">
        <v>1914</v>
      </c>
      <c r="B74" s="107" t="str">
        <f aca="false">IF(ABS(People!L74-(People!B74+People!C74+People!D74+People!K74))&lt;1,"OK","Check")</f>
        <v>OK</v>
      </c>
      <c r="C74" s="107" t="str">
        <f aca="false">IF(ABS('Debt &amp; cash'!M74-'Debt &amp; cash'!E74)&lt;0.001,"OK","Check")</f>
        <v>OK</v>
      </c>
      <c r="D74" s="107" t="str">
        <f aca="false">IF('Debt &amp; cash'!S74&gt;=-0.001,"OK","Check")</f>
        <v>OK</v>
      </c>
      <c r="E74" s="108" t="n">
        <f aca="false">'Debt &amp; cash'!V74</f>
        <v>0.05</v>
      </c>
      <c r="F74" s="107" t="str">
        <f aca="false">IF($A74&lt;1887,"n/a",IF(E74&lt;=cap_debt,"OK","Check"))</f>
        <v>OK</v>
      </c>
      <c r="G74" s="108" t="n">
        <f aca="false">'Debt &amp; cash'!W74</f>
        <v>0.0243685178398714</v>
      </c>
      <c r="H74" s="107" t="str">
        <f aca="false">IF($A74&lt;1887,"n/a",IF(G74&lt;=cap_int,"OK","Check"))</f>
        <v>OK</v>
      </c>
      <c r="I74" s="108" t="n">
        <f aca="false">Budget!AC74</f>
        <v>0.00791777671356856</v>
      </c>
      <c r="J74" s="107" t="str">
        <f aca="false">IF($A74&lt;1887,"n/a",IF(Paths!AC74=1,"War year",IF(I74&lt;=cap_def,"OK","Check")))</f>
        <v>War year</v>
      </c>
      <c r="K74" s="66" t="n">
        <f aca="false">'Debt &amp; cash'!Y74/Economy!O74</f>
        <v>0.00525281598495413</v>
      </c>
      <c r="L74" s="107" t="str">
        <f aca="false">IF('Debt &amp; cash'!Y74*issue_price&lt;=mkt_capacity*Economy!O74+foreign_capacity,"OK","Check")</f>
        <v>OK</v>
      </c>
      <c r="M74" s="107" t="str">
        <f aca="false">IF($A74&lt;1900,"n/a",IF('Gold &amp; money'!K74&gt;=0,"OK","Check"))</f>
        <v>OK</v>
      </c>
      <c r="N74" s="108" t="n">
        <f aca="false">Japan!AA74</f>
        <v>0.0900025710740849</v>
      </c>
      <c r="O74" s="107" t="str">
        <f aca="false">IF(N74&lt;=1,"OK","Check")</f>
        <v>OK</v>
      </c>
      <c r="P74" s="107" t="str">
        <f aca="false">IF($A74&lt;1922,"n/a",IF(AND(Navy!AE74&gt;=0.95,Navy!AE74&lt;=1.1),"OK","Check"))</f>
        <v>n/a</v>
      </c>
      <c r="Q74" s="107" t="str">
        <f aca="false">IF(Navy!Z74=0,"n/a",IF(Resources!K74&gt;=Navy!Z74,"OK","Check"))</f>
        <v>OK</v>
      </c>
      <c r="R74" s="107" t="str">
        <f aca="false">IF(AND(gulf_on=1,$A74=gulf_year),IF(Gulf!AF74=1,"OK","Check"),"n/a")</f>
        <v>n/a</v>
      </c>
      <c r="S74" s="49" t="n">
        <f aca="false">COUNTIF(B74:R74,"Check")+COUNTIF(T74:AG74,"Check")+AH74+COUNTIF(AI74,"Check")+COUNTIF(AJ74:AK74,"Check")</f>
        <v>0</v>
      </c>
      <c r="T74" s="1" t="str">
        <f aca="false">IF(ABS(Japan!AM74)&lt;0.001,"OK","Check")</f>
        <v>OK</v>
      </c>
      <c r="U74" s="1" t="str">
        <f aca="false">"n/a"</f>
        <v>n/a</v>
      </c>
      <c r="V74" s="1" t="str">
        <f aca="false">"n/a"</f>
        <v>n/a</v>
      </c>
      <c r="W74" s="1" t="str">
        <f aca="false">"n/a"</f>
        <v>n/a</v>
      </c>
      <c r="X74" s="1" t="str">
        <f aca="false">"n/a"</f>
        <v>n/a</v>
      </c>
      <c r="Y74" s="1" t="str">
        <f aca="false">IF(Abroad!T74&gt;=-0.001,"OK","Check")</f>
        <v>OK</v>
      </c>
      <c r="Z74" s="1" t="str">
        <f aca="false">"n/a"</f>
        <v>n/a</v>
      </c>
      <c r="AA74" s="1" t="str">
        <f aca="false">IF(ABS('Sources &amp; uses'!P108)&lt;0.001,"OK","Check")</f>
        <v>OK</v>
      </c>
      <c r="AB74" s="1" t="str">
        <f aca="false">IF(AND(ABS('War credit'!F74)&lt;0.001,ABS('War credit'!K74)&lt;0.001),"OK","Check")</f>
        <v>OK</v>
      </c>
      <c r="AC74" s="1" t="str">
        <f aca="false">IF(AND(ABS('Japan expansion'!S53)&lt;0.001,'Japan expansion'!R53&gt;=0,'Japan expansion'!U53&gt;=0),"OK","Check")</f>
        <v>OK</v>
      </c>
      <c r="AD74" s="1" t="str">
        <f aca="false">IF('Sources &amp; uses'!M203&lt;0.001,"OK","Check")</f>
        <v>OK</v>
      </c>
      <c r="AE74" s="1" t="str">
        <f aca="false">IF('War credit'!E74=0,"OK",IF(ISNUMBER('War credit'!AC74),IF('War credit'!AC74&lt;0.001,"OK","Check"),"Unverified"))</f>
        <v>OK</v>
      </c>
      <c r="AF74" s="1" t="str">
        <f aca="false">"OK"</f>
        <v>OK</v>
      </c>
      <c r="AG74" s="1" t="str">
        <f aca="false">IF('Capital accounts'!L74&gt;0.001,"Check","OK")</f>
        <v>OK</v>
      </c>
      <c r="AH74" s="1" t="n">
        <f aca="false">COUNTIF(AA74:AG74,"Unverified")</f>
        <v>0</v>
      </c>
      <c r="AI74" s="1" t="str">
        <f aca="false">IF(OR($A74&lt;1918,$A74&gt;1932),"n/a",INDEX(Siberia!$H$38:$H$52,MATCH($A74,Siberia!$A$38:$A$52,0)))</f>
        <v>n/a</v>
      </c>
      <c r="AJ74" s="1" t="str">
        <f aca="false">IF($A74&lt;&gt;1895,"n/a",IF(AND(MATCH(MIN(People!$Y$16:$Y$92),People!$Y$16:$Y$92,0)+1855&gt;=1893,MATCH(MIN(People!$Y$16:$Y$92),People!$Y$16:$Y$92,0)+1855&lt;=1897),"OK","Check"))</f>
        <v>n/a</v>
      </c>
      <c r="AK74" s="1" t="str">
        <f aca="false">IF($A74&lt;&gt;1861,"n/a",IF(ABS(People!B74/dem01_target-1)&lt;=0.1,"OK","Check"))</f>
        <v>n/a</v>
      </c>
    </row>
    <row r="75" customFormat="false" ht="14.25" hidden="false" customHeight="true" outlineLevel="0" collapsed="false">
      <c r="A75" s="64" t="n">
        <v>1915</v>
      </c>
      <c r="B75" s="107" t="str">
        <f aca="false">IF(ABS(People!L75-(People!B75+People!C75+People!D75+People!K75))&lt;1,"OK","Check")</f>
        <v>OK</v>
      </c>
      <c r="C75" s="107" t="str">
        <f aca="false">IF(ABS('Debt &amp; cash'!M75-'Debt &amp; cash'!E75)&lt;0.001,"OK","Check")</f>
        <v>OK</v>
      </c>
      <c r="D75" s="107" t="str">
        <f aca="false">IF('Debt &amp; cash'!S75&gt;=-0.001,"OK","Check")</f>
        <v>OK</v>
      </c>
      <c r="E75" s="108" t="n">
        <f aca="false">'Debt &amp; cash'!V75</f>
        <v>0.05</v>
      </c>
      <c r="F75" s="107" t="str">
        <f aca="false">IF($A75&lt;1887,"n/a",IF(E75&lt;=cap_debt,"OK","Check"))</f>
        <v>OK</v>
      </c>
      <c r="G75" s="108" t="n">
        <f aca="false">'Debt &amp; cash'!W75</f>
        <v>0.019066165609554</v>
      </c>
      <c r="H75" s="107" t="str">
        <f aca="false">IF($A75&lt;1887,"n/a",IF(G75&lt;=cap_int,"OK","Check"))</f>
        <v>OK</v>
      </c>
      <c r="I75" s="108" t="n">
        <f aca="false">Budget!AC75</f>
        <v>0.00921873915904188</v>
      </c>
      <c r="J75" s="107" t="str">
        <f aca="false">IF($A75&lt;1887,"n/a",IF(Paths!AC75=1,"War year",IF(I75&lt;=cap_def,"OK","Check")))</f>
        <v>War year</v>
      </c>
      <c r="K75" s="66" t="n">
        <f aca="false">'Debt &amp; cash'!Y75/Economy!O75</f>
        <v>0.00976052881459485</v>
      </c>
      <c r="L75" s="107" t="str">
        <f aca="false">IF('Debt &amp; cash'!Y75*issue_price&lt;=mkt_capacity*Economy!O75+foreign_capacity,"OK","Check")</f>
        <v>OK</v>
      </c>
      <c r="M75" s="107" t="str">
        <f aca="false">IF($A75&lt;1900,"n/a",IF('Gold &amp; money'!K75&gt;=0,"OK","Check"))</f>
        <v>OK</v>
      </c>
      <c r="N75" s="108" t="n">
        <f aca="false">Japan!AA75</f>
        <v>0.0698143368923516</v>
      </c>
      <c r="O75" s="107" t="str">
        <f aca="false">IF(N75&lt;=1,"OK","Check")</f>
        <v>OK</v>
      </c>
      <c r="P75" s="107" t="str">
        <f aca="false">IF($A75&lt;1922,"n/a",IF(AND(Navy!AE75&gt;=0.95,Navy!AE75&lt;=1.1),"OK","Check"))</f>
        <v>n/a</v>
      </c>
      <c r="Q75" s="107" t="str">
        <f aca="false">IF(Navy!Z75=0,"n/a",IF(Resources!K75&gt;=Navy!Z75,"OK","Check"))</f>
        <v>OK</v>
      </c>
      <c r="R75" s="107" t="str">
        <f aca="false">IF(AND(gulf_on=1,$A75=gulf_year),IF(Gulf!AF75=1,"OK","Check"),"n/a")</f>
        <v>n/a</v>
      </c>
      <c r="S75" s="49" t="n">
        <f aca="false">COUNTIF(B75:R75,"Check")+COUNTIF(T75:AG75,"Check")+AH75+COUNTIF(AI75,"Check")+COUNTIF(AJ75:AK75,"Check")</f>
        <v>0</v>
      </c>
      <c r="T75" s="1" t="str">
        <f aca="false">IF(ABS(Japan!AM75)&lt;0.001,"OK","Check")</f>
        <v>OK</v>
      </c>
      <c r="U75" s="1" t="str">
        <f aca="false">"n/a"</f>
        <v>n/a</v>
      </c>
      <c r="V75" s="1" t="str">
        <f aca="false">"n/a"</f>
        <v>n/a</v>
      </c>
      <c r="W75" s="1" t="str">
        <f aca="false">"n/a"</f>
        <v>n/a</v>
      </c>
      <c r="X75" s="1" t="str">
        <f aca="false">"n/a"</f>
        <v>n/a</v>
      </c>
      <c r="Y75" s="1" t="str">
        <f aca="false">IF(Abroad!T75&gt;=-0.001,"OK","Check")</f>
        <v>OK</v>
      </c>
      <c r="Z75" s="1" t="str">
        <f aca="false">"n/a"</f>
        <v>n/a</v>
      </c>
      <c r="AA75" s="1" t="str">
        <f aca="false">IF(ABS('Sources &amp; uses'!P109)&lt;0.001,"OK","Check")</f>
        <v>OK</v>
      </c>
      <c r="AB75" s="1" t="str">
        <f aca="false">IF(AND(ABS('War credit'!F75)&lt;0.001,ABS('War credit'!K75)&lt;0.001),"OK","Check")</f>
        <v>OK</v>
      </c>
      <c r="AC75" s="1" t="str">
        <f aca="false">IF(AND(ABS('Japan expansion'!S54)&lt;0.001,'Japan expansion'!R54&gt;=0,'Japan expansion'!U54&gt;=0),"OK","Check")</f>
        <v>OK</v>
      </c>
      <c r="AD75" s="1" t="str">
        <f aca="false">IF('Sources &amp; uses'!M204&lt;0.001,"OK","Check")</f>
        <v>OK</v>
      </c>
      <c r="AE75" s="1" t="str">
        <f aca="false">IF('War credit'!E75=0,"OK",IF(ISNUMBER('War credit'!AC75),IF('War credit'!AC75&lt;0.001,"OK","Check"),"Unverified"))</f>
        <v>OK</v>
      </c>
      <c r="AF75" s="1" t="str">
        <f aca="false">"OK"</f>
        <v>OK</v>
      </c>
      <c r="AG75" s="1" t="str">
        <f aca="false">IF('Capital accounts'!L75&gt;0.001,"Check","OK")</f>
        <v>OK</v>
      </c>
      <c r="AH75" s="1" t="n">
        <f aca="false">COUNTIF(AA75:AG75,"Unverified")</f>
        <v>0</v>
      </c>
      <c r="AI75" s="1" t="str">
        <f aca="false">IF(OR($A75&lt;1918,$A75&gt;1932),"n/a",INDEX(Siberia!$H$38:$H$52,MATCH($A75,Siberia!$A$38:$A$52,0)))</f>
        <v>n/a</v>
      </c>
      <c r="AJ75" s="1" t="str">
        <f aca="false">IF($A75&lt;&gt;1895,"n/a",IF(AND(MATCH(MIN(People!$Y$16:$Y$92),People!$Y$16:$Y$92,0)+1855&gt;=1893,MATCH(MIN(People!$Y$16:$Y$92),People!$Y$16:$Y$92,0)+1855&lt;=1897),"OK","Check"))</f>
        <v>n/a</v>
      </c>
      <c r="AK75" s="1" t="str">
        <f aca="false">IF($A75&lt;&gt;1861,"n/a",IF(ABS(People!B75/dem01_target-1)&lt;=0.1,"OK","Check"))</f>
        <v>n/a</v>
      </c>
    </row>
    <row r="76" customFormat="false" ht="14.25" hidden="false" customHeight="true" outlineLevel="0" collapsed="false">
      <c r="A76" s="64" t="n">
        <v>1916</v>
      </c>
      <c r="B76" s="107" t="str">
        <f aca="false">IF(ABS(People!L76-(People!B76+People!C76+People!D76+People!K76))&lt;1,"OK","Check")</f>
        <v>OK</v>
      </c>
      <c r="C76" s="107" t="str">
        <f aca="false">IF(ABS('Debt &amp; cash'!M76-'Debt &amp; cash'!E76)&lt;0.001,"OK","Check")</f>
        <v>OK</v>
      </c>
      <c r="D76" s="107" t="str">
        <f aca="false">IF('Debt &amp; cash'!S76&gt;=-0.001,"OK","Check")</f>
        <v>OK</v>
      </c>
      <c r="E76" s="108" t="n">
        <f aca="false">'Debt &amp; cash'!V76</f>
        <v>0.05</v>
      </c>
      <c r="F76" s="107" t="str">
        <f aca="false">IF($A76&lt;1887,"n/a",IF(E76&lt;=cap_debt,"OK","Check"))</f>
        <v>OK</v>
      </c>
      <c r="G76" s="108" t="n">
        <f aca="false">'Debt &amp; cash'!W76</f>
        <v>0.0178995028804895</v>
      </c>
      <c r="H76" s="107" t="str">
        <f aca="false">IF($A76&lt;1887,"n/a",IF(G76&lt;=cap_int,"OK","Check"))</f>
        <v>OK</v>
      </c>
      <c r="I76" s="108" t="n">
        <f aca="false">Budget!AC76</f>
        <v>0.00894438191018385</v>
      </c>
      <c r="J76" s="107" t="str">
        <f aca="false">IF($A76&lt;1887,"n/a",IF(Paths!AC76=1,"War year",IF(I76&lt;=cap_def,"OK","Check")))</f>
        <v>War year</v>
      </c>
      <c r="K76" s="66" t="n">
        <f aca="false">'Debt &amp; cash'!Y76/Economy!O76</f>
        <v>0.0117506995023996</v>
      </c>
      <c r="L76" s="107" t="str">
        <f aca="false">IF('Debt &amp; cash'!Y76*issue_price&lt;=mkt_capacity*Economy!O76+foreign_capacity,"OK","Check")</f>
        <v>OK</v>
      </c>
      <c r="M76" s="107" t="str">
        <f aca="false">IF($A76&lt;1900,"n/a",IF('Gold &amp; money'!K76&gt;=0,"OK","Check"))</f>
        <v>OK</v>
      </c>
      <c r="N76" s="108" t="n">
        <f aca="false">Japan!AA76</f>
        <v>0.0450009684412425</v>
      </c>
      <c r="O76" s="107" t="str">
        <f aca="false">IF(N76&lt;=1,"OK","Check")</f>
        <v>OK</v>
      </c>
      <c r="P76" s="107" t="str">
        <f aca="false">IF($A76&lt;1922,"n/a",IF(AND(Navy!AE76&gt;=0.95,Navy!AE76&lt;=1.1),"OK","Check"))</f>
        <v>n/a</v>
      </c>
      <c r="Q76" s="107" t="str">
        <f aca="false">IF(Navy!Z76=0,"n/a",IF(Resources!K76&gt;=Navy!Z76,"OK","Check"))</f>
        <v>OK</v>
      </c>
      <c r="R76" s="107" t="str">
        <f aca="false">IF(AND(gulf_on=1,$A76=gulf_year),IF(Gulf!AF76=1,"OK","Check"),"n/a")</f>
        <v>n/a</v>
      </c>
      <c r="S76" s="49" t="n">
        <f aca="false">COUNTIF(B76:R76,"Check")+COUNTIF(T76:AG76,"Check")+AH76+COUNTIF(AI76,"Check")+COUNTIF(AJ76:AK76,"Check")</f>
        <v>0</v>
      </c>
      <c r="T76" s="1" t="str">
        <f aca="false">IF(ABS(Japan!AM76)&lt;0.001,"OK","Check")</f>
        <v>OK</v>
      </c>
      <c r="U76" s="1" t="str">
        <f aca="false">"n/a"</f>
        <v>n/a</v>
      </c>
      <c r="V76" s="1" t="str">
        <f aca="false">"n/a"</f>
        <v>n/a</v>
      </c>
      <c r="W76" s="1" t="str">
        <f aca="false">"n/a"</f>
        <v>n/a</v>
      </c>
      <c r="X76" s="1" t="str">
        <f aca="false">"n/a"</f>
        <v>n/a</v>
      </c>
      <c r="Y76" s="1" t="str">
        <f aca="false">IF(Abroad!T76&gt;=-0.001,"OK","Check")</f>
        <v>OK</v>
      </c>
      <c r="Z76" s="1" t="str">
        <f aca="false">"n/a"</f>
        <v>n/a</v>
      </c>
      <c r="AA76" s="1" t="str">
        <f aca="false">IF(ABS('Sources &amp; uses'!P110)&lt;0.001,"OK","Check")</f>
        <v>OK</v>
      </c>
      <c r="AB76" s="1" t="str">
        <f aca="false">IF(AND(ABS('War credit'!F76)&lt;0.001,ABS('War credit'!K76)&lt;0.001),"OK","Check")</f>
        <v>OK</v>
      </c>
      <c r="AC76" s="1" t="str">
        <f aca="false">IF(AND(ABS('Japan expansion'!S55)&lt;0.001,'Japan expansion'!R55&gt;=0,'Japan expansion'!U55&gt;=0),"OK","Check")</f>
        <v>OK</v>
      </c>
      <c r="AD76" s="1" t="str">
        <f aca="false">IF('Sources &amp; uses'!M205&lt;0.001,"OK","Check")</f>
        <v>OK</v>
      </c>
      <c r="AE76" s="1" t="str">
        <f aca="false">IF('War credit'!E76=0,"OK",IF(ISNUMBER('War credit'!AC76),IF('War credit'!AC76&lt;0.001,"OK","Check"),"Unverified"))</f>
        <v>OK</v>
      </c>
      <c r="AF76" s="1" t="str">
        <f aca="false">"OK"</f>
        <v>OK</v>
      </c>
      <c r="AG76" s="1" t="str">
        <f aca="false">IF('Capital accounts'!L76&gt;0.001,"Check","OK")</f>
        <v>OK</v>
      </c>
      <c r="AH76" s="1" t="n">
        <f aca="false">COUNTIF(AA76:AG76,"Unverified")</f>
        <v>0</v>
      </c>
      <c r="AI76" s="1" t="str">
        <f aca="false">IF(OR($A76&lt;1918,$A76&gt;1932),"n/a",INDEX(Siberia!$H$38:$H$52,MATCH($A76,Siberia!$A$38:$A$52,0)))</f>
        <v>n/a</v>
      </c>
      <c r="AJ76" s="1" t="str">
        <f aca="false">IF($A76&lt;&gt;1895,"n/a",IF(AND(MATCH(MIN(People!$Y$16:$Y$92),People!$Y$16:$Y$92,0)+1855&gt;=1893,MATCH(MIN(People!$Y$16:$Y$92),People!$Y$16:$Y$92,0)+1855&lt;=1897),"OK","Check"))</f>
        <v>n/a</v>
      </c>
      <c r="AK76" s="1" t="str">
        <f aca="false">IF($A76&lt;&gt;1861,"n/a",IF(ABS(People!B76/dem01_target-1)&lt;=0.1,"OK","Check"))</f>
        <v>n/a</v>
      </c>
    </row>
    <row r="77" customFormat="false" ht="14.25" hidden="false" customHeight="true" outlineLevel="0" collapsed="false">
      <c r="A77" s="64" t="n">
        <v>1917</v>
      </c>
      <c r="B77" s="107" t="str">
        <f aca="false">IF(ABS(People!L77-(People!B77+People!C77+People!D77+People!K77))&lt;1,"OK","Check")</f>
        <v>OK</v>
      </c>
      <c r="C77" s="107" t="str">
        <f aca="false">IF(ABS('Debt &amp; cash'!M77-'Debt &amp; cash'!E77)&lt;0.001,"OK","Check")</f>
        <v>OK</v>
      </c>
      <c r="D77" s="107" t="str">
        <f aca="false">IF('Debt &amp; cash'!S77&gt;=-0.001,"OK","Check")</f>
        <v>OK</v>
      </c>
      <c r="E77" s="108" t="n">
        <f aca="false">'Debt &amp; cash'!V77</f>
        <v>0.05</v>
      </c>
      <c r="F77" s="107" t="str">
        <f aca="false">IF($A77&lt;1887,"n/a",IF(E77&lt;=cap_debt,"OK","Check"))</f>
        <v>OK</v>
      </c>
      <c r="G77" s="108" t="n">
        <f aca="false">'Debt &amp; cash'!W77</f>
        <v>0.0167188813965704</v>
      </c>
      <c r="H77" s="107" t="str">
        <f aca="false">IF($A77&lt;1887,"n/a",IF(G77&lt;=cap_int,"OK","Check"))</f>
        <v>OK</v>
      </c>
      <c r="I77" s="108" t="n">
        <f aca="false">Budget!AC77</f>
        <v>0.00804825437112097</v>
      </c>
      <c r="J77" s="107" t="str">
        <f aca="false">IF($A77&lt;1887,"n/a",IF(Paths!AC77=1,"War year",IF(I77&lt;=cap_def,"OK","Check")))</f>
        <v>War year</v>
      </c>
      <c r="K77" s="66" t="n">
        <f aca="false">'Debt &amp; cash'!Y77/Economy!O77</f>
        <v>0.0140957300970678</v>
      </c>
      <c r="L77" s="107" t="str">
        <f aca="false">IF('Debt &amp; cash'!Y77*issue_price&lt;=mkt_capacity*Economy!O77+foreign_capacity,"OK","Check")</f>
        <v>OK</v>
      </c>
      <c r="M77" s="107" t="str">
        <f aca="false">IF($A77&lt;1900,"n/a",IF('Gold &amp; money'!K77&gt;=0,"OK","Check"))</f>
        <v>OK</v>
      </c>
      <c r="N77" s="108" t="n">
        <f aca="false">Japan!AA77</f>
        <v>0.033891124222485</v>
      </c>
      <c r="O77" s="107" t="str">
        <f aca="false">IF(N77&lt;=1,"OK","Check")</f>
        <v>OK</v>
      </c>
      <c r="P77" s="107" t="str">
        <f aca="false">IF($A77&lt;1922,"n/a",IF(AND(Navy!AE77&gt;=0.95,Navy!AE77&lt;=1.1),"OK","Check"))</f>
        <v>n/a</v>
      </c>
      <c r="Q77" s="107" t="str">
        <f aca="false">IF(Navy!Z77=0,"n/a",IF(Resources!K77&gt;=Navy!Z77,"OK","Check"))</f>
        <v>OK</v>
      </c>
      <c r="R77" s="107" t="str">
        <f aca="false">IF(AND(gulf_on=1,$A77=gulf_year),IF(Gulf!AF77=1,"OK","Check"),"n/a")</f>
        <v>n/a</v>
      </c>
      <c r="S77" s="49" t="n">
        <f aca="false">COUNTIF(B77:R77,"Check")+COUNTIF(T77:AG77,"Check")+AH77+COUNTIF(AI77,"Check")+COUNTIF(AJ77:AK77,"Check")</f>
        <v>0</v>
      </c>
      <c r="T77" s="1" t="str">
        <f aca="false">IF(ABS(Japan!AM77)&lt;0.001,"OK","Check")</f>
        <v>OK</v>
      </c>
      <c r="U77" s="1" t="str">
        <f aca="false">"n/a"</f>
        <v>n/a</v>
      </c>
      <c r="V77" s="1" t="str">
        <f aca="false">"n/a"</f>
        <v>n/a</v>
      </c>
      <c r="W77" s="1" t="str">
        <f aca="false">"n/a"</f>
        <v>n/a</v>
      </c>
      <c r="X77" s="1" t="str">
        <f aca="false">"n/a"</f>
        <v>n/a</v>
      </c>
      <c r="Y77" s="1" t="str">
        <f aca="false">IF(Abroad!T77&gt;=-0.001,"OK","Check")</f>
        <v>OK</v>
      </c>
      <c r="Z77" s="1" t="str">
        <f aca="false">"n/a"</f>
        <v>n/a</v>
      </c>
      <c r="AA77" s="1" t="str">
        <f aca="false">IF(ABS('Sources &amp; uses'!P111)&lt;0.001,"OK","Check")</f>
        <v>OK</v>
      </c>
      <c r="AB77" s="1" t="str">
        <f aca="false">IF(AND(ABS('War credit'!F77)&lt;0.001,ABS('War credit'!K77)&lt;0.001),"OK","Check")</f>
        <v>OK</v>
      </c>
      <c r="AC77" s="1" t="str">
        <f aca="false">IF(AND(ABS('Japan expansion'!S56)&lt;0.001,'Japan expansion'!R56&gt;=0,'Japan expansion'!U56&gt;=0),"OK","Check")</f>
        <v>OK</v>
      </c>
      <c r="AD77" s="1" t="str">
        <f aca="false">IF('Sources &amp; uses'!M206&lt;0.001,"OK","Check")</f>
        <v>OK</v>
      </c>
      <c r="AE77" s="1" t="str">
        <f aca="false">IF('War credit'!E77=0,"OK",IF(ISNUMBER('War credit'!AC77),IF('War credit'!AC77&lt;0.001,"OK","Check"),"Unverified"))</f>
        <v>OK</v>
      </c>
      <c r="AF77" s="1" t="str">
        <f aca="false">"OK"</f>
        <v>OK</v>
      </c>
      <c r="AG77" s="1" t="str">
        <f aca="false">IF('Capital accounts'!L77&gt;0.001,"Check","OK")</f>
        <v>OK</v>
      </c>
      <c r="AH77" s="1" t="n">
        <f aca="false">COUNTIF(AA77:AG77,"Unverified")</f>
        <v>0</v>
      </c>
      <c r="AI77" s="1" t="str">
        <f aca="false">IF(OR($A77&lt;1918,$A77&gt;1932),"n/a",INDEX(Siberia!$H$38:$H$52,MATCH($A77,Siberia!$A$38:$A$52,0)))</f>
        <v>n/a</v>
      </c>
      <c r="AJ77" s="1" t="str">
        <f aca="false">IF($A77&lt;&gt;1895,"n/a",IF(AND(MATCH(MIN(People!$Y$16:$Y$92),People!$Y$16:$Y$92,0)+1855&gt;=1893,MATCH(MIN(People!$Y$16:$Y$92),People!$Y$16:$Y$92,0)+1855&lt;=1897),"OK","Check"))</f>
        <v>n/a</v>
      </c>
      <c r="AK77" s="1" t="str">
        <f aca="false">IF($A77&lt;&gt;1861,"n/a",IF(ABS(People!B77/dem01_target-1)&lt;=0.1,"OK","Check"))</f>
        <v>n/a</v>
      </c>
    </row>
    <row r="78" customFormat="false" ht="14.25" hidden="false" customHeight="true" outlineLevel="0" collapsed="false">
      <c r="A78" s="64" t="n">
        <v>1918</v>
      </c>
      <c r="B78" s="107" t="str">
        <f aca="false">IF(ABS(People!L78-(People!B78+People!C78+People!D78+People!K78))&lt;1,"OK","Check")</f>
        <v>OK</v>
      </c>
      <c r="C78" s="107" t="str">
        <f aca="false">IF(ABS('Debt &amp; cash'!M78-'Debt &amp; cash'!E78)&lt;0.001,"OK","Check")</f>
        <v>OK</v>
      </c>
      <c r="D78" s="107" t="str">
        <f aca="false">IF('Debt &amp; cash'!S78&gt;=-0.001,"OK","Check")</f>
        <v>OK</v>
      </c>
      <c r="E78" s="108" t="n">
        <f aca="false">'Debt &amp; cash'!V78</f>
        <v>0.05</v>
      </c>
      <c r="F78" s="107" t="str">
        <f aca="false">IF($A78&lt;1887,"n/a",IF(E78&lt;=cap_debt,"OK","Check"))</f>
        <v>OK</v>
      </c>
      <c r="G78" s="108" t="n">
        <f aca="false">'Debt &amp; cash'!W78</f>
        <v>0.0173124433219524</v>
      </c>
      <c r="H78" s="107" t="str">
        <f aca="false">IF($A78&lt;1887,"n/a",IF(G78&lt;=cap_int,"OK","Check"))</f>
        <v>OK</v>
      </c>
      <c r="I78" s="108" t="n">
        <f aca="false">Budget!AC78</f>
        <v>0.0110537521128505</v>
      </c>
      <c r="J78" s="107" t="str">
        <f aca="false">IF($A78&lt;1887,"n/a",IF(Paths!AC78=1,"War year",IF(I78&lt;=cap_def,"OK","Check")))</f>
        <v>War year</v>
      </c>
      <c r="K78" s="66" t="n">
        <f aca="false">'Debt &amp; cash'!Y78/Economy!O78</f>
        <v>0.0121679302156915</v>
      </c>
      <c r="L78" s="107" t="str">
        <f aca="false">IF('Debt &amp; cash'!Y78*issue_price&lt;=mkt_capacity*Economy!O78+foreign_capacity,"OK","Check")</f>
        <v>OK</v>
      </c>
      <c r="M78" s="107" t="str">
        <f aca="false">IF($A78&lt;1900,"n/a",IF('Gold &amp; money'!K78&gt;=0,"OK","Check"))</f>
        <v>OK</v>
      </c>
      <c r="N78" s="108" t="n">
        <f aca="false">Japan!AA78</f>
        <v>0.0230589511345637</v>
      </c>
      <c r="O78" s="107" t="str">
        <f aca="false">IF(N78&lt;=1,"OK","Check")</f>
        <v>OK</v>
      </c>
      <c r="P78" s="107" t="str">
        <f aca="false">IF($A78&lt;1922,"n/a",IF(AND(Navy!AE78&gt;=0.95,Navy!AE78&lt;=1.1),"OK","Check"))</f>
        <v>n/a</v>
      </c>
      <c r="Q78" s="107" t="str">
        <f aca="false">IF(Navy!Z78=0,"n/a",IF(Resources!K78&gt;=Navy!Z78,"OK","Check"))</f>
        <v>OK</v>
      </c>
      <c r="R78" s="107" t="str">
        <f aca="false">IF(AND(gulf_on=1,$A78=gulf_year),IF(Gulf!AF78=1,"OK","Check"),"n/a")</f>
        <v>n/a</v>
      </c>
      <c r="S78" s="49" t="n">
        <f aca="false">COUNTIF(B78:R78,"Check")+COUNTIF(T78:AG78,"Check")+AH78+COUNTIF(AI78,"Check")+COUNTIF(AJ78:AK78,"Check")</f>
        <v>0</v>
      </c>
      <c r="T78" s="1" t="str">
        <f aca="false">IF(ABS(Japan!AM78)&lt;0.001,"OK","Check")</f>
        <v>OK</v>
      </c>
      <c r="U78" s="1" t="str">
        <f aca="false">"n/a"</f>
        <v>n/a</v>
      </c>
      <c r="V78" s="1" t="str">
        <f aca="false">"n/a"</f>
        <v>n/a</v>
      </c>
      <c r="W78" s="1" t="str">
        <f aca="false">"n/a"</f>
        <v>n/a</v>
      </c>
      <c r="X78" s="1" t="str">
        <f aca="false">"n/a"</f>
        <v>n/a</v>
      </c>
      <c r="Y78" s="1" t="str">
        <f aca="false">IF(Abroad!T78&gt;=-0.001,"OK","Check")</f>
        <v>OK</v>
      </c>
      <c r="Z78" s="1" t="str">
        <f aca="false">"n/a"</f>
        <v>n/a</v>
      </c>
      <c r="AA78" s="1" t="str">
        <f aca="false">IF(ABS('Sources &amp; uses'!P112)&lt;0.001,"OK","Check")</f>
        <v>OK</v>
      </c>
      <c r="AB78" s="1" t="str">
        <f aca="false">IF(AND(ABS('War credit'!F78)&lt;0.001,ABS('War credit'!K78)&lt;0.001),"OK","Check")</f>
        <v>OK</v>
      </c>
      <c r="AC78" s="1" t="str">
        <f aca="false">IF(AND(ABS('Japan expansion'!S57)&lt;0.001,'Japan expansion'!R57&gt;=0,'Japan expansion'!U57&gt;=0),"OK","Check")</f>
        <v>OK</v>
      </c>
      <c r="AD78" s="1" t="str">
        <f aca="false">IF('Sources &amp; uses'!M207&lt;0.001,"OK","Check")</f>
        <v>OK</v>
      </c>
      <c r="AE78" s="1" t="str">
        <f aca="false">IF('War credit'!E78=0,"OK",IF(ISNUMBER('War credit'!AC78),IF('War credit'!AC78&lt;0.001,"OK","Check"),"Unverified"))</f>
        <v>OK</v>
      </c>
      <c r="AF78" s="1" t="str">
        <f aca="false">"OK"</f>
        <v>OK</v>
      </c>
      <c r="AG78" s="1" t="str">
        <f aca="false">IF('Capital accounts'!L78&gt;0.001,"Check","OK")</f>
        <v>OK</v>
      </c>
      <c r="AH78" s="1" t="n">
        <f aca="false">COUNTIF(AA78:AG78,"Unverified")</f>
        <v>0</v>
      </c>
      <c r="AI78" s="1" t="str">
        <f aca="false">IF(OR($A78&lt;1918,$A78&gt;1932),"n/a",INDEX(Siberia!$H$38:$H$52,MATCH($A78,Siberia!$A$38:$A$52,0)))</f>
        <v>OK</v>
      </c>
      <c r="AJ78" s="1" t="str">
        <f aca="false">IF($A78&lt;&gt;1895,"n/a",IF(AND(MATCH(MIN(People!$Y$16:$Y$92),People!$Y$16:$Y$92,0)+1855&gt;=1893,MATCH(MIN(People!$Y$16:$Y$92),People!$Y$16:$Y$92,0)+1855&lt;=1897),"OK","Check"))</f>
        <v>n/a</v>
      </c>
      <c r="AK78" s="1" t="str">
        <f aca="false">IF($A78&lt;&gt;1861,"n/a",IF(ABS(People!B78/dem01_target-1)&lt;=0.1,"OK","Check"))</f>
        <v>n/a</v>
      </c>
    </row>
    <row r="79" customFormat="false" ht="14.25" hidden="false" customHeight="true" outlineLevel="0" collapsed="false">
      <c r="A79" s="64" t="n">
        <v>1919</v>
      </c>
      <c r="B79" s="107" t="str">
        <f aca="false">IF(ABS(People!L79-(People!B79+People!C79+People!D79+People!K79))&lt;1,"OK","Check")</f>
        <v>OK</v>
      </c>
      <c r="C79" s="107" t="str">
        <f aca="false">IF(ABS('Debt &amp; cash'!M79-'Debt &amp; cash'!E79)&lt;0.001,"OK","Check")</f>
        <v>OK</v>
      </c>
      <c r="D79" s="107" t="str">
        <f aca="false">IF('Debt &amp; cash'!S79&gt;=-0.001,"OK","Check")</f>
        <v>OK</v>
      </c>
      <c r="E79" s="108" t="n">
        <f aca="false">'Debt &amp; cash'!V79</f>
        <v>0.05</v>
      </c>
      <c r="F79" s="107" t="str">
        <f aca="false">IF($A79&lt;1887,"n/a",IF(E79&lt;=cap_debt,"OK","Check"))</f>
        <v>OK</v>
      </c>
      <c r="G79" s="108" t="n">
        <f aca="false">'Debt &amp; cash'!W79</f>
        <v>0.0178789875506045</v>
      </c>
      <c r="H79" s="107" t="str">
        <f aca="false">IF($A79&lt;1887,"n/a",IF(G79&lt;=cap_int,"OK","Check"))</f>
        <v>OK</v>
      </c>
      <c r="I79" s="108" t="n">
        <f aca="false">Budget!AC79</f>
        <v>0.0145051208630698</v>
      </c>
      <c r="J79" s="107" t="str">
        <f aca="false">IF($A79&lt;1887,"n/a",IF(Paths!AC79=1,"War year",IF(I79&lt;=cap_def,"OK","Check")))</f>
        <v>War year</v>
      </c>
      <c r="K79" s="66" t="n">
        <f aca="false">'Debt &amp; cash'!Y79/Economy!O79</f>
        <v>0.012209837780439</v>
      </c>
      <c r="L79" s="107" t="str">
        <f aca="false">IF('Debt &amp; cash'!Y79*issue_price&lt;=mkt_capacity*Economy!O79+foreign_capacity,"OK","Check")</f>
        <v>OK</v>
      </c>
      <c r="M79" s="107" t="str">
        <f aca="false">IF($A79&lt;1900,"n/a",IF('Gold &amp; money'!K79&gt;=0,"OK","Check"))</f>
        <v>OK</v>
      </c>
      <c r="N79" s="108" t="n">
        <f aca="false">Japan!AA79</f>
        <v>0.0171103675966382</v>
      </c>
      <c r="O79" s="107" t="str">
        <f aca="false">IF(N79&lt;=1,"OK","Check")</f>
        <v>OK</v>
      </c>
      <c r="P79" s="107" t="str">
        <f aca="false">IF($A79&lt;1922,"n/a",IF(AND(Navy!AE79&gt;=0.95,Navy!AE79&lt;=1.1),"OK","Check"))</f>
        <v>n/a</v>
      </c>
      <c r="Q79" s="107" t="str">
        <f aca="false">IF(Navy!Z79=0,"n/a",IF(Resources!K79&gt;=Navy!Z79,"OK","Check"))</f>
        <v>OK</v>
      </c>
      <c r="R79" s="107" t="str">
        <f aca="false">IF(AND(gulf_on=1,$A79=gulf_year),IF(Gulf!AF79=1,"OK","Check"),"n/a")</f>
        <v>n/a</v>
      </c>
      <c r="S79" s="49" t="n">
        <f aca="false">COUNTIF(B79:R79,"Check")+COUNTIF(T79:AG79,"Check")+AH79+COUNTIF(AI79,"Check")+COUNTIF(AJ79:AK79,"Check")</f>
        <v>0</v>
      </c>
      <c r="T79" s="1" t="str">
        <f aca="false">IF(ABS(Japan!AM79)&lt;0.001,"OK","Check")</f>
        <v>OK</v>
      </c>
      <c r="U79" s="1" t="str">
        <f aca="false">"n/a"</f>
        <v>n/a</v>
      </c>
      <c r="V79" s="1" t="str">
        <f aca="false">"n/a"</f>
        <v>n/a</v>
      </c>
      <c r="W79" s="1" t="str">
        <f aca="false">"n/a"</f>
        <v>n/a</v>
      </c>
      <c r="X79" s="1" t="str">
        <f aca="false">"n/a"</f>
        <v>n/a</v>
      </c>
      <c r="Y79" s="1" t="str">
        <f aca="false">IF(Abroad!T79&gt;=-0.001,"OK","Check")</f>
        <v>OK</v>
      </c>
      <c r="Z79" s="1" t="str">
        <f aca="false">"n/a"</f>
        <v>n/a</v>
      </c>
      <c r="AA79" s="1" t="str">
        <f aca="false">IF(ABS('Sources &amp; uses'!P113)&lt;0.001,"OK","Check")</f>
        <v>OK</v>
      </c>
      <c r="AB79" s="1" t="str">
        <f aca="false">IF(AND(ABS('War credit'!F79)&lt;0.001,ABS('War credit'!K79)&lt;0.001),"OK","Check")</f>
        <v>OK</v>
      </c>
      <c r="AC79" s="1" t="str">
        <f aca="false">IF(AND(ABS('Japan expansion'!S58)&lt;0.001,'Japan expansion'!R58&gt;=0,'Japan expansion'!U58&gt;=0),"OK","Check")</f>
        <v>OK</v>
      </c>
      <c r="AD79" s="1" t="str">
        <f aca="false">IF('Sources &amp; uses'!M208&lt;0.001,"OK","Check")</f>
        <v>OK</v>
      </c>
      <c r="AE79" s="1" t="str">
        <f aca="false">IF('War credit'!E79=0,"OK",IF(ISNUMBER('War credit'!AC79),IF('War credit'!AC79&lt;0.001,"OK","Check"),"Unverified"))</f>
        <v>OK</v>
      </c>
      <c r="AF79" s="1" t="str">
        <f aca="false">"OK"</f>
        <v>OK</v>
      </c>
      <c r="AG79" s="1" t="str">
        <f aca="false">IF('Capital accounts'!L79&gt;0.001,"Check","OK")</f>
        <v>OK</v>
      </c>
      <c r="AH79" s="1" t="n">
        <f aca="false">COUNTIF(AA79:AG79,"Unverified")</f>
        <v>0</v>
      </c>
      <c r="AI79" s="1" t="str">
        <f aca="false">IF(OR($A79&lt;1918,$A79&gt;1932),"n/a",INDEX(Siberia!$H$38:$H$52,MATCH($A79,Siberia!$A$38:$A$52,0)))</f>
        <v>OK</v>
      </c>
      <c r="AJ79" s="1" t="str">
        <f aca="false">IF($A79&lt;&gt;1895,"n/a",IF(AND(MATCH(MIN(People!$Y$16:$Y$92),People!$Y$16:$Y$92,0)+1855&gt;=1893,MATCH(MIN(People!$Y$16:$Y$92),People!$Y$16:$Y$92,0)+1855&lt;=1897),"OK","Check"))</f>
        <v>n/a</v>
      </c>
      <c r="AK79" s="1" t="str">
        <f aca="false">IF($A79&lt;&gt;1861,"n/a",IF(ABS(People!B79/dem01_target-1)&lt;=0.1,"OK","Check"))</f>
        <v>n/a</v>
      </c>
    </row>
    <row r="80" customFormat="false" ht="14.25" hidden="false" customHeight="true" outlineLevel="0" collapsed="false">
      <c r="A80" s="64" t="n">
        <v>1920</v>
      </c>
      <c r="B80" s="107" t="str">
        <f aca="false">IF(ABS(People!L80-(People!B80+People!C80+People!D80+People!K80))&lt;1,"OK","Check")</f>
        <v>OK</v>
      </c>
      <c r="C80" s="107" t="str">
        <f aca="false">IF(ABS('Debt &amp; cash'!M80-'Debt &amp; cash'!E80)&lt;0.001,"OK","Check")</f>
        <v>OK</v>
      </c>
      <c r="D80" s="107" t="str">
        <f aca="false">IF('Debt &amp; cash'!S80&gt;=-0.001,"OK","Check")</f>
        <v>OK</v>
      </c>
      <c r="E80" s="108" t="n">
        <f aca="false">'Debt &amp; cash'!V80</f>
        <v>0.05</v>
      </c>
      <c r="F80" s="107" t="str">
        <f aca="false">IF($A80&lt;1887,"n/a",IF(E80&lt;=cap_debt,"OK","Check"))</f>
        <v>OK</v>
      </c>
      <c r="G80" s="108" t="n">
        <f aca="false">'Debt &amp; cash'!W80</f>
        <v>0.0176311987328315</v>
      </c>
      <c r="H80" s="107" t="str">
        <f aca="false">IF($A80&lt;1887,"n/a",IF(G80&lt;=cap_int,"OK","Check"))</f>
        <v>OK</v>
      </c>
      <c r="I80" s="108" t="n">
        <f aca="false">Budget!AC80</f>
        <v>0.00972139315197777</v>
      </c>
      <c r="J80" s="107" t="str">
        <f aca="false">IF($A80&lt;1887,"n/a",IF(Paths!AC80=1,"War year",IF(I80&lt;=cap_def,"OK","Check")))</f>
        <v>War year</v>
      </c>
      <c r="K80" s="66" t="n">
        <f aca="false">'Debt &amp; cash'!Y80/Economy!O80</f>
        <v>0.014025115826327</v>
      </c>
      <c r="L80" s="107" t="str">
        <f aca="false">IF('Debt &amp; cash'!Y80*issue_price&lt;=mkt_capacity*Economy!O80+foreign_capacity,"OK","Check")</f>
        <v>OK</v>
      </c>
      <c r="M80" s="107" t="str">
        <f aca="false">IF($A80&lt;1900,"n/a",IF('Gold &amp; money'!K80&gt;=0,"OK","Check"))</f>
        <v>OK</v>
      </c>
      <c r="N80" s="108" t="n">
        <f aca="false">Japan!AA80</f>
        <v>0.0159328596655601</v>
      </c>
      <c r="O80" s="107" t="str">
        <f aca="false">IF(N80&lt;=1,"OK","Check")</f>
        <v>OK</v>
      </c>
      <c r="P80" s="107" t="str">
        <f aca="false">IF($A80&lt;1922,"n/a",IF(AND(Navy!AE80&gt;=0.95,Navy!AE80&lt;=1.1),"OK","Check"))</f>
        <v>n/a</v>
      </c>
      <c r="Q80" s="107" t="str">
        <f aca="false">IF(Navy!Z80=0,"n/a",IF(Resources!K80&gt;=Navy!Z80,"OK","Check"))</f>
        <v>OK</v>
      </c>
      <c r="R80" s="107" t="str">
        <f aca="false">IF(AND(gulf_on=1,$A80=gulf_year),IF(Gulf!AF80=1,"OK","Check"),"n/a")</f>
        <v>n/a</v>
      </c>
      <c r="S80" s="49" t="n">
        <f aca="false">COUNTIF(B80:R80,"Check")+COUNTIF(T80:AG80,"Check")+AH80+COUNTIF(AI80,"Check")+COUNTIF(AJ80:AK80,"Check")</f>
        <v>0</v>
      </c>
      <c r="T80" s="1" t="str">
        <f aca="false">IF(ABS(Japan!AM80)&lt;0.001,"OK","Check")</f>
        <v>OK</v>
      </c>
      <c r="U80" s="1" t="str">
        <f aca="false">"n/a"</f>
        <v>n/a</v>
      </c>
      <c r="V80" s="1" t="str">
        <f aca="false">"n/a"</f>
        <v>n/a</v>
      </c>
      <c r="W80" s="1" t="str">
        <f aca="false">"n/a"</f>
        <v>n/a</v>
      </c>
      <c r="X80" s="1" t="str">
        <f aca="false">"n/a"</f>
        <v>n/a</v>
      </c>
      <c r="Y80" s="1" t="str">
        <f aca="false">IF(Abroad!T80&gt;=-0.001,"OK","Check")</f>
        <v>OK</v>
      </c>
      <c r="Z80" s="1" t="str">
        <f aca="false">"n/a"</f>
        <v>n/a</v>
      </c>
      <c r="AA80" s="1" t="str">
        <f aca="false">IF(ABS('Sources &amp; uses'!P114)&lt;0.001,"OK","Check")</f>
        <v>OK</v>
      </c>
      <c r="AB80" s="1" t="str">
        <f aca="false">IF(AND(ABS('War credit'!F80)&lt;0.001,ABS('War credit'!K80)&lt;0.001),"OK","Check")</f>
        <v>OK</v>
      </c>
      <c r="AC80" s="1" t="str">
        <f aca="false">IF(AND(ABS('Japan expansion'!S59)&lt;0.001,'Japan expansion'!R59&gt;=0,'Japan expansion'!U59&gt;=0),"OK","Check")</f>
        <v>OK</v>
      </c>
      <c r="AD80" s="1" t="str">
        <f aca="false">IF('Sources &amp; uses'!M209&lt;0.001,"OK","Check")</f>
        <v>OK</v>
      </c>
      <c r="AE80" s="1" t="str">
        <f aca="false">IF('War credit'!E80=0,"OK",IF(ISNUMBER('War credit'!AC80),IF('War credit'!AC80&lt;0.001,"OK","Check"),"Unverified"))</f>
        <v>OK</v>
      </c>
      <c r="AF80" s="1" t="str">
        <f aca="false">"OK"</f>
        <v>OK</v>
      </c>
      <c r="AG80" s="1" t="str">
        <f aca="false">IF('Capital accounts'!L80&gt;0.001,"Check","OK")</f>
        <v>OK</v>
      </c>
      <c r="AH80" s="1" t="n">
        <f aca="false">COUNTIF(AA80:AG80,"Unverified")</f>
        <v>0</v>
      </c>
      <c r="AI80" s="1" t="str">
        <f aca="false">IF(OR($A80&lt;1918,$A80&gt;1932),"n/a",INDEX(Siberia!$H$38:$H$52,MATCH($A80,Siberia!$A$38:$A$52,0)))</f>
        <v>OK</v>
      </c>
      <c r="AJ80" s="1" t="str">
        <f aca="false">IF($A80&lt;&gt;1895,"n/a",IF(AND(MATCH(MIN(People!$Y$16:$Y$92),People!$Y$16:$Y$92,0)+1855&gt;=1893,MATCH(MIN(People!$Y$16:$Y$92),People!$Y$16:$Y$92,0)+1855&lt;=1897),"OK","Check"))</f>
        <v>n/a</v>
      </c>
      <c r="AK80" s="1" t="str">
        <f aca="false">IF($A80&lt;&gt;1861,"n/a",IF(ABS(People!B80/dem01_target-1)&lt;=0.1,"OK","Check"))</f>
        <v>n/a</v>
      </c>
    </row>
    <row r="81" customFormat="false" ht="14.25" hidden="false" customHeight="true" outlineLevel="0" collapsed="false">
      <c r="A81" s="64" t="n">
        <v>1921</v>
      </c>
      <c r="B81" s="107" t="str">
        <f aca="false">IF(ABS(People!L81-(People!B81+People!C81+People!D81+People!K81))&lt;1,"OK","Check")</f>
        <v>OK</v>
      </c>
      <c r="C81" s="107" t="str">
        <f aca="false">IF(ABS('Debt &amp; cash'!M81-'Debt &amp; cash'!E81)&lt;0.001,"OK","Check")</f>
        <v>OK</v>
      </c>
      <c r="D81" s="107" t="str">
        <f aca="false">IF('Debt &amp; cash'!S81&gt;=-0.001,"OK","Check")</f>
        <v>OK</v>
      </c>
      <c r="E81" s="108" t="n">
        <f aca="false">'Debt &amp; cash'!V81</f>
        <v>0.0532770139512322</v>
      </c>
      <c r="F81" s="107" t="str">
        <f aca="false">IF($A81&lt;1887,"n/a",IF(E81&lt;=cap_debt,"OK","Check"))</f>
        <v>OK</v>
      </c>
      <c r="G81" s="108" t="n">
        <f aca="false">'Debt &amp; cash'!W81</f>
        <v>0.0283570270806519</v>
      </c>
      <c r="H81" s="107" t="str">
        <f aca="false">IF($A81&lt;1887,"n/a",IF(G81&lt;=cap_int,"OK","Check"))</f>
        <v>OK</v>
      </c>
      <c r="I81" s="108" t="n">
        <f aca="false">Budget!AC81</f>
        <v>0.0077436125907733</v>
      </c>
      <c r="J81" s="107" t="str">
        <f aca="false">IF($A81&lt;1887,"n/a",IF(Paths!AC81=1,"War year",IF(I81&lt;=cap_def,"OK","Check")))</f>
        <v>War year</v>
      </c>
      <c r="K81" s="66" t="n">
        <f aca="false">'Debt &amp; cash'!Y81/Economy!O81</f>
        <v>0</v>
      </c>
      <c r="L81" s="107" t="str">
        <f aca="false">IF('Debt &amp; cash'!Y81*issue_price&lt;=mkt_capacity*Economy!O81+foreign_capacity,"OK","Check")</f>
        <v>OK</v>
      </c>
      <c r="M81" s="107" t="str">
        <f aca="false">IF($A81&lt;1900,"n/a",IF('Gold &amp; money'!K81&gt;=0,"OK","Check"))</f>
        <v>OK</v>
      </c>
      <c r="N81" s="108" t="n">
        <f aca="false">Japan!AA81</f>
        <v>0.0162255432869086</v>
      </c>
      <c r="O81" s="107" t="str">
        <f aca="false">IF(N81&lt;=1,"OK","Check")</f>
        <v>OK</v>
      </c>
      <c r="P81" s="107" t="str">
        <f aca="false">IF($A81&lt;1922,"n/a",IF(AND(Navy!AE81&gt;=0.95,Navy!AE81&lt;=1.1),"OK","Check"))</f>
        <v>n/a</v>
      </c>
      <c r="Q81" s="107" t="str">
        <f aca="false">IF(Navy!Z81=0,"n/a",IF(Resources!K81&gt;=Navy!Z81,"OK","Check"))</f>
        <v>OK</v>
      </c>
      <c r="R81" s="107" t="str">
        <f aca="false">IF(AND(gulf_on=1,$A81=gulf_year),IF(Gulf!AF81=1,"OK","Check"),"n/a")</f>
        <v>n/a</v>
      </c>
      <c r="S81" s="49" t="n">
        <f aca="false">COUNTIF(B81:R81,"Check")+COUNTIF(T81:AG81,"Check")+AH81+COUNTIF(AI81,"Check")+COUNTIF(AJ81:AK81,"Check")</f>
        <v>0</v>
      </c>
      <c r="T81" s="1" t="str">
        <f aca="false">IF(ABS(Japan!AM81)&lt;0.001,"OK","Check")</f>
        <v>OK</v>
      </c>
      <c r="U81" s="1" t="str">
        <f aca="false">"n/a"</f>
        <v>n/a</v>
      </c>
      <c r="V81" s="1" t="str">
        <f aca="false">"n/a"</f>
        <v>n/a</v>
      </c>
      <c r="W81" s="1" t="str">
        <f aca="false">"n/a"</f>
        <v>n/a</v>
      </c>
      <c r="X81" s="1" t="str">
        <f aca="false">"n/a"</f>
        <v>n/a</v>
      </c>
      <c r="Y81" s="1" t="str">
        <f aca="false">IF(Abroad!T81&gt;=-0.001,"OK","Check")</f>
        <v>OK</v>
      </c>
      <c r="Z81" s="1" t="str">
        <f aca="false">"n/a"</f>
        <v>n/a</v>
      </c>
      <c r="AA81" s="1" t="str">
        <f aca="false">IF(ABS('Sources &amp; uses'!P115)&lt;0.001,"OK","Check")</f>
        <v>OK</v>
      </c>
      <c r="AB81" s="1" t="str">
        <f aca="false">IF(AND(ABS('War credit'!F81)&lt;0.001,ABS('War credit'!K81)&lt;0.001),"OK","Check")</f>
        <v>OK</v>
      </c>
      <c r="AC81" s="1" t="str">
        <f aca="false">IF(AND(ABS('Japan expansion'!S60)&lt;0.001,'Japan expansion'!R60&gt;=0,'Japan expansion'!U60&gt;=0),"OK","Check")</f>
        <v>OK</v>
      </c>
      <c r="AD81" s="1" t="str">
        <f aca="false">IF('Sources &amp; uses'!M210&lt;0.001,"OK","Check")</f>
        <v>OK</v>
      </c>
      <c r="AE81" s="1" t="str">
        <f aca="false">IF('War credit'!E81=0,"OK",IF(ISNUMBER('War credit'!AC81),IF('War credit'!AC81&lt;0.001,"OK","Check"),"Unverified"))</f>
        <v>OK</v>
      </c>
      <c r="AF81" s="1" t="str">
        <f aca="false">"OK"</f>
        <v>OK</v>
      </c>
      <c r="AG81" s="1" t="str">
        <f aca="false">IF('Capital accounts'!L81&gt;0.001,"Check","OK")</f>
        <v>OK</v>
      </c>
      <c r="AH81" s="1" t="n">
        <f aca="false">COUNTIF(AA81:AG81,"Unverified")</f>
        <v>0</v>
      </c>
      <c r="AI81" s="1" t="str">
        <f aca="false">IF(OR($A81&lt;1918,$A81&gt;1932),"n/a",INDEX(Siberia!$H$38:$H$52,MATCH($A81,Siberia!$A$38:$A$52,0)))</f>
        <v>OK</v>
      </c>
      <c r="AJ81" s="1" t="str">
        <f aca="false">IF($A81&lt;&gt;1895,"n/a",IF(AND(MATCH(MIN(People!$Y$16:$Y$92),People!$Y$16:$Y$92,0)+1855&gt;=1893,MATCH(MIN(People!$Y$16:$Y$92),People!$Y$16:$Y$92,0)+1855&lt;=1897),"OK","Check"))</f>
        <v>n/a</v>
      </c>
      <c r="AK81" s="1" t="str">
        <f aca="false">IF($A81&lt;&gt;1861,"n/a",IF(ABS(People!B81/dem01_target-1)&lt;=0.1,"OK","Check"))</f>
        <v>n/a</v>
      </c>
    </row>
    <row r="82" customFormat="false" ht="14.25" hidden="false" customHeight="true" outlineLevel="0" collapsed="false">
      <c r="A82" s="64" t="n">
        <v>1922</v>
      </c>
      <c r="B82" s="107" t="str">
        <f aca="false">IF(ABS(People!L82-(People!B82+People!C82+People!D82+People!K82))&lt;1,"OK","Check")</f>
        <v>OK</v>
      </c>
      <c r="C82" s="107" t="str">
        <f aca="false">IF(ABS('Debt &amp; cash'!M82-'Debt &amp; cash'!E82)&lt;0.001,"OK","Check")</f>
        <v>OK</v>
      </c>
      <c r="D82" s="107" t="str">
        <f aca="false">IF('Debt &amp; cash'!S82&gt;=-0.001,"OK","Check")</f>
        <v>OK</v>
      </c>
      <c r="E82" s="108" t="n">
        <f aca="false">'Debt &amp; cash'!V82</f>
        <v>0.05</v>
      </c>
      <c r="F82" s="107" t="str">
        <f aca="false">IF($A82&lt;1887,"n/a",IF(E82&lt;=cap_debt,"OK","Check"))</f>
        <v>OK</v>
      </c>
      <c r="G82" s="108" t="n">
        <f aca="false">'Debt &amp; cash'!W82</f>
        <v>0.0236853817341226</v>
      </c>
      <c r="H82" s="107" t="str">
        <f aca="false">IF($A82&lt;1887,"n/a",IF(G82&lt;=cap_int,"OK","Check"))</f>
        <v>OK</v>
      </c>
      <c r="I82" s="108" t="n">
        <f aca="false">Budget!AC82</f>
        <v>0.00554045375467762</v>
      </c>
      <c r="J82" s="107" t="str">
        <f aca="false">IF($A82&lt;1887,"n/a",IF(Paths!AC82=1,"War year",IF(I82&lt;=cap_def,"OK","Check")))</f>
        <v>War year</v>
      </c>
      <c r="K82" s="66" t="n">
        <f aca="false">'Debt &amp; cash'!Y82/Economy!O82</f>
        <v>0.00433094963249053</v>
      </c>
      <c r="L82" s="107" t="str">
        <f aca="false">IF('Debt &amp; cash'!Y82*issue_price&lt;=mkt_capacity*Economy!O82+foreign_capacity,"OK","Check")</f>
        <v>OK</v>
      </c>
      <c r="M82" s="107" t="str">
        <f aca="false">IF($A82&lt;1900,"n/a",IF('Gold &amp; money'!K82&gt;=0,"OK","Check"))</f>
        <v>OK</v>
      </c>
      <c r="N82" s="108" t="n">
        <f aca="false">Japan!AA82</f>
        <v>0.014956197295249</v>
      </c>
      <c r="O82" s="107" t="str">
        <f aca="false">IF(N82&lt;=1,"OK","Check")</f>
        <v>OK</v>
      </c>
      <c r="P82" s="107" t="str">
        <f aca="false">IF($A82&lt;1922,"n/a",IF(AND(Navy!AE82&gt;=0.95,Navy!AE82&lt;=1.1),"OK","Check"))</f>
        <v>OK</v>
      </c>
      <c r="Q82" s="107" t="str">
        <f aca="false">IF(Navy!Z82=0,"n/a",IF(Resources!K82&gt;=Navy!Z82,"OK","Check"))</f>
        <v>OK</v>
      </c>
      <c r="R82" s="107" t="str">
        <f aca="false">IF(AND(gulf_on=1,$A82=gulf_year),IF(Gulf!AF82=1,"OK","Check"),"n/a")</f>
        <v>n/a</v>
      </c>
      <c r="S82" s="49" t="n">
        <f aca="false">COUNTIF(B82:R82,"Check")+COUNTIF(T82:AG82,"Check")+AH82+COUNTIF(AI82,"Check")+COUNTIF(AJ82:AK82,"Check")</f>
        <v>0</v>
      </c>
      <c r="T82" s="1" t="str">
        <f aca="false">IF(ABS(Japan!AM82)&lt;0.001,"OK","Check")</f>
        <v>OK</v>
      </c>
      <c r="U82" s="1" t="str">
        <f aca="false">"n/a"</f>
        <v>n/a</v>
      </c>
      <c r="V82" s="1" t="str">
        <f aca="false">"n/a"</f>
        <v>n/a</v>
      </c>
      <c r="W82" s="1" t="str">
        <f aca="false">"n/a"</f>
        <v>n/a</v>
      </c>
      <c r="X82" s="1" t="str">
        <f aca="false">"n/a"</f>
        <v>n/a</v>
      </c>
      <c r="Y82" s="1" t="str">
        <f aca="false">IF(Abroad!T82&gt;=-0.001,"OK","Check")</f>
        <v>OK</v>
      </c>
      <c r="Z82" s="1" t="str">
        <f aca="false">"n/a"</f>
        <v>n/a</v>
      </c>
      <c r="AA82" s="1" t="str">
        <f aca="false">IF(ABS('Sources &amp; uses'!P116)&lt;0.001,"OK","Check")</f>
        <v>OK</v>
      </c>
      <c r="AB82" s="1" t="str">
        <f aca="false">IF(AND(ABS('War credit'!F82)&lt;0.001,ABS('War credit'!K82)&lt;0.001),"OK","Check")</f>
        <v>OK</v>
      </c>
      <c r="AC82" s="1" t="str">
        <f aca="false">IF(AND(ABS('Japan expansion'!S61)&lt;0.001,'Japan expansion'!R61&gt;=0,'Japan expansion'!U61&gt;=0),"OK","Check")</f>
        <v>OK</v>
      </c>
      <c r="AD82" s="1" t="str">
        <f aca="false">IF('Sources &amp; uses'!M211&lt;0.001,"OK","Check")</f>
        <v>OK</v>
      </c>
      <c r="AE82" s="1" t="str">
        <f aca="false">IF('War credit'!E82=0,"OK",IF(ISNUMBER('War credit'!AC82),IF('War credit'!AC82&lt;0.001,"OK","Check"),"Unverified"))</f>
        <v>OK</v>
      </c>
      <c r="AF82" s="1" t="str">
        <f aca="false">"OK"</f>
        <v>OK</v>
      </c>
      <c r="AG82" s="1" t="str">
        <f aca="false">IF('Capital accounts'!L82&gt;0.001,"Check","OK")</f>
        <v>OK</v>
      </c>
      <c r="AH82" s="1" t="n">
        <f aca="false">COUNTIF(AA82:AG82,"Unverified")</f>
        <v>0</v>
      </c>
      <c r="AI82" s="1" t="str">
        <f aca="false">IF(OR($A82&lt;1918,$A82&gt;1932),"n/a",INDEX(Siberia!$H$38:$H$52,MATCH($A82,Siberia!$A$38:$A$52,0)))</f>
        <v>OK</v>
      </c>
      <c r="AJ82" s="1" t="str">
        <f aca="false">IF($A82&lt;&gt;1895,"n/a",IF(AND(MATCH(MIN(People!$Y$16:$Y$92),People!$Y$16:$Y$92,0)+1855&gt;=1893,MATCH(MIN(People!$Y$16:$Y$92),People!$Y$16:$Y$92,0)+1855&lt;=1897),"OK","Check"))</f>
        <v>n/a</v>
      </c>
      <c r="AK82" s="1" t="str">
        <f aca="false">IF($A82&lt;&gt;1861,"n/a",IF(ABS(People!B82/dem01_target-1)&lt;=0.1,"OK","Check"))</f>
        <v>n/a</v>
      </c>
    </row>
    <row r="83" customFormat="false" ht="14.25" hidden="false" customHeight="true" outlineLevel="0" collapsed="false">
      <c r="A83" s="61" t="n">
        <v>1923</v>
      </c>
      <c r="B83" s="107" t="str">
        <f aca="false">IF(ABS(People!L83-(People!B83+People!C83+People!D83+People!K83))&lt;1,"OK","Check")</f>
        <v>OK</v>
      </c>
      <c r="C83" s="107" t="str">
        <f aca="false">IF(ABS('Debt &amp; cash'!M83-'Debt &amp; cash'!E83)&lt;0.001,"OK","Check")</f>
        <v>OK</v>
      </c>
      <c r="D83" s="107" t="str">
        <f aca="false">IF('Debt &amp; cash'!S83&gt;=-0.001,"OK","Check")</f>
        <v>OK</v>
      </c>
      <c r="E83" s="108" t="n">
        <f aca="false">'Debt &amp; cash'!V83</f>
        <v>0.05</v>
      </c>
      <c r="F83" s="107" t="str">
        <f aca="false">IF($A83&lt;1887,"n/a",IF(E83&lt;=cap_debt,"OK","Check"))</f>
        <v>OK</v>
      </c>
      <c r="G83" s="108" t="n">
        <f aca="false">'Debt &amp; cash'!W83</f>
        <v>0.0204298959934625</v>
      </c>
      <c r="H83" s="107" t="str">
        <f aca="false">IF($A83&lt;1887,"n/a",IF(G83&lt;=cap_int,"OK","Check"))</f>
        <v>OK</v>
      </c>
      <c r="I83" s="108" t="n">
        <f aca="false">Budget!AC83</f>
        <v>0.00402245282192836</v>
      </c>
      <c r="J83" s="107" t="str">
        <f aca="false">IF($A83&lt;1887,"n/a",IF(Paths!AC83=1,"War year",IF(I83&lt;=cap_def,"OK","Check")))</f>
        <v>OK</v>
      </c>
      <c r="K83" s="66" t="n">
        <f aca="false">'Debt &amp; cash'!Y83/Economy!O83</f>
        <v>0.0112866910081035</v>
      </c>
      <c r="L83" s="107" t="str">
        <f aca="false">IF('Debt &amp; cash'!Y83*issue_price&lt;=mkt_capacity*Economy!O83+foreign_capacity,"OK","Check")</f>
        <v>OK</v>
      </c>
      <c r="M83" s="107" t="str">
        <f aca="false">IF($A83&lt;1900,"n/a",IF('Gold &amp; money'!K83&gt;=0,"OK","Check"))</f>
        <v>OK</v>
      </c>
      <c r="N83" s="108" t="n">
        <f aca="false">Japan!AA83</f>
        <v>0.0349951815685977</v>
      </c>
      <c r="O83" s="107" t="str">
        <f aca="false">IF(N83&lt;=1,"OK","Check")</f>
        <v>OK</v>
      </c>
      <c r="P83" s="107" t="str">
        <f aca="false">IF($A83&lt;1922,"n/a",IF(AND(Navy!AE83&gt;=0.95,Navy!AE83&lt;=1.1),"OK","Check"))</f>
        <v>OK</v>
      </c>
      <c r="Q83" s="107" t="str">
        <f aca="false">IF(Navy!Z83=0,"n/a",IF(Resources!K83&gt;=Navy!Z83,"OK","Check"))</f>
        <v>OK</v>
      </c>
      <c r="R83" s="107" t="str">
        <f aca="false">IF(AND(gulf_on=1,$A83=gulf_year),IF(Gulf!AF83=1,"OK","Check"),"n/a")</f>
        <v>n/a</v>
      </c>
      <c r="S83" s="49" t="n">
        <f aca="false">COUNTIF(B83:R83,"Check")+COUNTIF(T83:AG83,"Check")+AH83+COUNTIF(AI83,"Check")+COUNTIF(AJ83:AK83,"Check")</f>
        <v>0</v>
      </c>
      <c r="T83" s="1" t="str">
        <f aca="false">IF(ABS(Japan!AM83)&lt;0.001,"OK","Check")</f>
        <v>OK</v>
      </c>
      <c r="U83" s="1" t="str">
        <f aca="false">"n/a"</f>
        <v>n/a</v>
      </c>
      <c r="V83" s="1" t="str">
        <f aca="false">"n/a"</f>
        <v>n/a</v>
      </c>
      <c r="W83" s="1" t="str">
        <f aca="false">"n/a"</f>
        <v>n/a</v>
      </c>
      <c r="X83" s="1" t="str">
        <f aca="false">"n/a"</f>
        <v>n/a</v>
      </c>
      <c r="Y83" s="1" t="str">
        <f aca="false">IF(Abroad!T83&gt;=-0.001,"OK","Check")</f>
        <v>OK</v>
      </c>
      <c r="Z83" s="1" t="str">
        <f aca="false">"n/a"</f>
        <v>n/a</v>
      </c>
      <c r="AA83" s="1" t="str">
        <f aca="false">IF(ABS('Sources &amp; uses'!P117)&lt;0.001,"OK","Check")</f>
        <v>OK</v>
      </c>
      <c r="AB83" s="1" t="str">
        <f aca="false">IF(AND(ABS('War credit'!F83)&lt;0.001,ABS('War credit'!K83)&lt;0.001),"OK","Check")</f>
        <v>OK</v>
      </c>
      <c r="AC83" s="1" t="str">
        <f aca="false">IF(AND(ABS('Japan expansion'!S62)&lt;0.001,'Japan expansion'!R62&gt;=0,'Japan expansion'!U62&gt;=0),"OK","Check")</f>
        <v>OK</v>
      </c>
      <c r="AD83" s="1" t="str">
        <f aca="false">IF('Sources &amp; uses'!M212&lt;0.001,"OK","Check")</f>
        <v>OK</v>
      </c>
      <c r="AE83" s="1" t="str">
        <f aca="false">IF('War credit'!E83=0,"OK",IF(ISNUMBER('War credit'!AC83),IF('War credit'!AC83&lt;0.001,"OK","Check"),"Unverified"))</f>
        <v>OK</v>
      </c>
      <c r="AF83" s="1" t="str">
        <f aca="false">"OK"</f>
        <v>OK</v>
      </c>
      <c r="AG83" s="1" t="str">
        <f aca="false">IF('Capital accounts'!L83&gt;0.001,"Check","OK")</f>
        <v>OK</v>
      </c>
      <c r="AH83" s="1" t="n">
        <f aca="false">COUNTIF(AA83:AG83,"Unverified")</f>
        <v>0</v>
      </c>
      <c r="AI83" s="1" t="str">
        <f aca="false">IF(OR($A83&lt;1918,$A83&gt;1932),"n/a",INDEX(Siberia!$H$38:$H$52,MATCH($A83,Siberia!$A$38:$A$52,0)))</f>
        <v>OK</v>
      </c>
      <c r="AJ83" s="1" t="str">
        <f aca="false">IF($A83&lt;&gt;1895,"n/a",IF(AND(MATCH(MIN(People!$Y$16:$Y$92),People!$Y$16:$Y$92,0)+1855&gt;=1893,MATCH(MIN(People!$Y$16:$Y$92),People!$Y$16:$Y$92,0)+1855&lt;=1897),"OK","Check"))</f>
        <v>n/a</v>
      </c>
      <c r="AK83" s="1" t="str">
        <f aca="false">IF($A83&lt;&gt;1861,"n/a",IF(ABS(People!B83/dem01_target-1)&lt;=0.1,"OK","Check"))</f>
        <v>n/a</v>
      </c>
    </row>
    <row r="84" customFormat="false" ht="14.25" hidden="false" customHeight="true" outlineLevel="0" collapsed="false">
      <c r="A84" s="61" t="n">
        <v>1924</v>
      </c>
      <c r="B84" s="107" t="str">
        <f aca="false">IF(ABS(People!L84-(People!B84+People!C84+People!D84+People!K84))&lt;1,"OK","Check")</f>
        <v>OK</v>
      </c>
      <c r="C84" s="107" t="str">
        <f aca="false">IF(ABS('Debt &amp; cash'!M84-'Debt &amp; cash'!E84)&lt;0.001,"OK","Check")</f>
        <v>OK</v>
      </c>
      <c r="D84" s="107" t="str">
        <f aca="false">IF('Debt &amp; cash'!S84&gt;=-0.001,"OK","Check")</f>
        <v>OK</v>
      </c>
      <c r="E84" s="108" t="n">
        <f aca="false">'Debt &amp; cash'!V84</f>
        <v>0.05</v>
      </c>
      <c r="F84" s="107" t="str">
        <f aca="false">IF($A84&lt;1887,"n/a",IF(E84&lt;=cap_debt,"OK","Check"))</f>
        <v>OK</v>
      </c>
      <c r="G84" s="108" t="n">
        <f aca="false">'Debt &amp; cash'!W84</f>
        <v>0.0216475613765676</v>
      </c>
      <c r="H84" s="107" t="str">
        <f aca="false">IF($A84&lt;1887,"n/a",IF(G84&lt;=cap_int,"OK","Check"))</f>
        <v>OK</v>
      </c>
      <c r="I84" s="108" t="n">
        <f aca="false">Budget!AC84</f>
        <v>0.00423408043403436</v>
      </c>
      <c r="J84" s="107" t="str">
        <f aca="false">IF($A84&lt;1887,"n/a",IF(Paths!AC84=1,"War year",IF(I84&lt;=cap_def,"OK","Check")))</f>
        <v>OK</v>
      </c>
      <c r="K84" s="66" t="n">
        <f aca="false">'Debt &amp; cash'!Y84/Economy!O84</f>
        <v>0.00924155556641626</v>
      </c>
      <c r="L84" s="107" t="str">
        <f aca="false">IF('Debt &amp; cash'!Y84*issue_price&lt;=mkt_capacity*Economy!O84+foreign_capacity,"OK","Check")</f>
        <v>OK</v>
      </c>
      <c r="M84" s="107" t="str">
        <f aca="false">IF($A84&lt;1900,"n/a",IF('Gold &amp; money'!K84&gt;=0,"OK","Check"))</f>
        <v>OK</v>
      </c>
      <c r="N84" s="108" t="n">
        <f aca="false">Japan!AA84</f>
        <v>0.0313977002767048</v>
      </c>
      <c r="O84" s="107" t="str">
        <f aca="false">IF(N84&lt;=1,"OK","Check")</f>
        <v>OK</v>
      </c>
      <c r="P84" s="107" t="str">
        <f aca="false">IF($A84&lt;1922,"n/a",IF(AND(Navy!AE84&gt;=0.95,Navy!AE84&lt;=1.1),"OK","Check"))</f>
        <v>OK</v>
      </c>
      <c r="Q84" s="107" t="str">
        <f aca="false">IF(Navy!Z84=0,"n/a",IF(Resources!K84&gt;=Navy!Z84,"OK","Check"))</f>
        <v>OK</v>
      </c>
      <c r="R84" s="107" t="str">
        <f aca="false">IF(AND(gulf_on=1,$A84=gulf_year),IF(Gulf!AF84=1,"OK","Check"),"n/a")</f>
        <v>n/a</v>
      </c>
      <c r="S84" s="49" t="n">
        <f aca="false">COUNTIF(B84:R84,"Check")+COUNTIF(T84:AG84,"Check")+AH84+COUNTIF(AI84,"Check")+COUNTIF(AJ84:AK84,"Check")</f>
        <v>0</v>
      </c>
      <c r="T84" s="1" t="str">
        <f aca="false">IF(ABS(Japan!AM84)&lt;0.001,"OK","Check")</f>
        <v>OK</v>
      </c>
      <c r="U84" s="1" t="str">
        <f aca="false">"n/a"</f>
        <v>n/a</v>
      </c>
      <c r="V84" s="1" t="str">
        <f aca="false">"n/a"</f>
        <v>n/a</v>
      </c>
      <c r="W84" s="1" t="str">
        <f aca="false">"n/a"</f>
        <v>n/a</v>
      </c>
      <c r="X84" s="1" t="str">
        <f aca="false">"n/a"</f>
        <v>n/a</v>
      </c>
      <c r="Y84" s="1" t="str">
        <f aca="false">IF(Abroad!T84&gt;=-0.001,"OK","Check")</f>
        <v>OK</v>
      </c>
      <c r="Z84" s="1" t="str">
        <f aca="false">"n/a"</f>
        <v>n/a</v>
      </c>
      <c r="AA84" s="1" t="str">
        <f aca="false">IF(ABS('Sources &amp; uses'!P118)&lt;0.001,"OK","Check")</f>
        <v>OK</v>
      </c>
      <c r="AB84" s="1" t="str">
        <f aca="false">IF(AND(ABS('War credit'!F84)&lt;0.001,ABS('War credit'!K84)&lt;0.001),"OK","Check")</f>
        <v>OK</v>
      </c>
      <c r="AC84" s="1" t="str">
        <f aca="false">IF(AND(ABS('Japan expansion'!S63)&lt;0.001,'Japan expansion'!R63&gt;=0,'Japan expansion'!U63&gt;=0),"OK","Check")</f>
        <v>OK</v>
      </c>
      <c r="AD84" s="1" t="str">
        <f aca="false">IF('Sources &amp; uses'!M213&lt;0.001,"OK","Check")</f>
        <v>OK</v>
      </c>
      <c r="AE84" s="1" t="str">
        <f aca="false">IF('War credit'!E84=0,"OK",IF(ISNUMBER('War credit'!AC84),IF('War credit'!AC84&lt;0.001,"OK","Check"),"Unverified"))</f>
        <v>OK</v>
      </c>
      <c r="AF84" s="1" t="str">
        <f aca="false">"OK"</f>
        <v>OK</v>
      </c>
      <c r="AG84" s="1" t="str">
        <f aca="false">IF('Capital accounts'!L84&gt;0.001,"Check","OK")</f>
        <v>OK</v>
      </c>
      <c r="AH84" s="1" t="n">
        <f aca="false">COUNTIF(AA84:AG84,"Unverified")</f>
        <v>0</v>
      </c>
      <c r="AI84" s="1" t="str">
        <f aca="false">IF(OR($A84&lt;1918,$A84&gt;1932),"n/a",INDEX(Siberia!$H$38:$H$52,MATCH($A84,Siberia!$A$38:$A$52,0)))</f>
        <v>OK</v>
      </c>
      <c r="AJ84" s="1" t="str">
        <f aca="false">IF($A84&lt;&gt;1895,"n/a",IF(AND(MATCH(MIN(People!$Y$16:$Y$92),People!$Y$16:$Y$92,0)+1855&gt;=1893,MATCH(MIN(People!$Y$16:$Y$92),People!$Y$16:$Y$92,0)+1855&lt;=1897),"OK","Check"))</f>
        <v>n/a</v>
      </c>
      <c r="AK84" s="1" t="str">
        <f aca="false">IF($A84&lt;&gt;1861,"n/a",IF(ABS(People!B84/dem01_target-1)&lt;=0.1,"OK","Check"))</f>
        <v>n/a</v>
      </c>
    </row>
    <row r="85" customFormat="false" ht="14.25" hidden="false" customHeight="true" outlineLevel="0" collapsed="false">
      <c r="A85" s="61" t="n">
        <v>1925</v>
      </c>
      <c r="B85" s="107" t="str">
        <f aca="false">IF(ABS(People!L85-(People!B85+People!C85+People!D85+People!K85))&lt;1,"OK","Check")</f>
        <v>OK</v>
      </c>
      <c r="C85" s="107" t="str">
        <f aca="false">IF(ABS('Debt &amp; cash'!M85-'Debt &amp; cash'!E85)&lt;0.001,"OK","Check")</f>
        <v>OK</v>
      </c>
      <c r="D85" s="107" t="str">
        <f aca="false">IF('Debt &amp; cash'!S85&gt;=-0.001,"OK","Check")</f>
        <v>OK</v>
      </c>
      <c r="E85" s="108" t="n">
        <f aca="false">'Debt &amp; cash'!V85</f>
        <v>0.05</v>
      </c>
      <c r="F85" s="107" t="str">
        <f aca="false">IF($A85&lt;1887,"n/a",IF(E85&lt;=cap_debt,"OK","Check"))</f>
        <v>OK</v>
      </c>
      <c r="G85" s="108" t="n">
        <f aca="false">'Debt &amp; cash'!W85</f>
        <v>0.021469187421553</v>
      </c>
      <c r="H85" s="107" t="str">
        <f aca="false">IF($A85&lt;1887,"n/a",IF(G85&lt;=cap_int,"OK","Check"))</f>
        <v>OK</v>
      </c>
      <c r="I85" s="108" t="n">
        <f aca="false">Budget!AC85</f>
        <v>0.00401060294274992</v>
      </c>
      <c r="J85" s="107" t="str">
        <f aca="false">IF($A85&lt;1887,"n/a",IF(Paths!AC85=1,"War year",IF(I85&lt;=cap_def,"OK","Check")))</f>
        <v>OK</v>
      </c>
      <c r="K85" s="66" t="n">
        <f aca="false">'Debt &amp; cash'!Y85/Economy!O85</f>
        <v>0.0100736694877226</v>
      </c>
      <c r="L85" s="107" t="str">
        <f aca="false">IF('Debt &amp; cash'!Y85*issue_price&lt;=mkt_capacity*Economy!O85+foreign_capacity,"OK","Check")</f>
        <v>OK</v>
      </c>
      <c r="M85" s="107" t="str">
        <f aca="false">IF($A85&lt;1900,"n/a",IF('Gold &amp; money'!K85&gt;=0,"OK","Check"))</f>
        <v>OK</v>
      </c>
      <c r="N85" s="108" t="n">
        <f aca="false">Japan!AA85</f>
        <v>0.0291049156061073</v>
      </c>
      <c r="O85" s="107" t="str">
        <f aca="false">IF(N85&lt;=1,"OK","Check")</f>
        <v>OK</v>
      </c>
      <c r="P85" s="107" t="str">
        <f aca="false">IF($A85&lt;1922,"n/a",IF(AND(Navy!AE85&gt;=0.95,Navy!AE85&lt;=1.1),"OK","Check"))</f>
        <v>OK</v>
      </c>
      <c r="Q85" s="107" t="str">
        <f aca="false">IF(Navy!Z85=0,"n/a",IF(Resources!K85&gt;=Navy!Z85,"OK","Check"))</f>
        <v>OK</v>
      </c>
      <c r="R85" s="107" t="str">
        <f aca="false">IF(AND(gulf_on=1,$A85=gulf_year),IF(Gulf!AF85=1,"OK","Check"),"n/a")</f>
        <v>n/a</v>
      </c>
      <c r="S85" s="49" t="n">
        <f aca="false">COUNTIF(B85:R85,"Check")+COUNTIF(T85:AG85,"Check")+AH85+COUNTIF(AI85,"Check")+COUNTIF(AJ85:AK85,"Check")</f>
        <v>0</v>
      </c>
      <c r="T85" s="1" t="str">
        <f aca="false">IF(ABS(Japan!AM85)&lt;0.001,"OK","Check")</f>
        <v>OK</v>
      </c>
      <c r="U85" s="1" t="str">
        <f aca="false">"n/a"</f>
        <v>n/a</v>
      </c>
      <c r="V85" s="1" t="str">
        <f aca="false">"n/a"</f>
        <v>n/a</v>
      </c>
      <c r="W85" s="1" t="str">
        <f aca="false">"n/a"</f>
        <v>n/a</v>
      </c>
      <c r="X85" s="1" t="str">
        <f aca="false">"n/a"</f>
        <v>n/a</v>
      </c>
      <c r="Y85" s="1" t="str">
        <f aca="false">IF(Abroad!T85&gt;=-0.001,"OK","Check")</f>
        <v>OK</v>
      </c>
      <c r="Z85" s="1" t="str">
        <f aca="false">"n/a"</f>
        <v>n/a</v>
      </c>
      <c r="AA85" s="1" t="str">
        <f aca="false">IF(ABS('Sources &amp; uses'!P119)&lt;0.001,"OK","Check")</f>
        <v>OK</v>
      </c>
      <c r="AB85" s="1" t="str">
        <f aca="false">IF(AND(ABS('War credit'!F85)&lt;0.001,ABS('War credit'!K85)&lt;0.001),"OK","Check")</f>
        <v>OK</v>
      </c>
      <c r="AC85" s="1" t="str">
        <f aca="false">IF(AND(ABS('Japan expansion'!S64)&lt;0.001,'Japan expansion'!R64&gt;=0,'Japan expansion'!U64&gt;=0),"OK","Check")</f>
        <v>OK</v>
      </c>
      <c r="AD85" s="1" t="str">
        <f aca="false">IF('Sources &amp; uses'!M214&lt;0.001,"OK","Check")</f>
        <v>OK</v>
      </c>
      <c r="AE85" s="1" t="str">
        <f aca="false">IF('War credit'!E85=0,"OK",IF(ISNUMBER('War credit'!AC85),IF('War credit'!AC85&lt;0.001,"OK","Check"),"Unverified"))</f>
        <v>OK</v>
      </c>
      <c r="AF85" s="1" t="str">
        <f aca="false">"OK"</f>
        <v>OK</v>
      </c>
      <c r="AG85" s="1" t="str">
        <f aca="false">IF('Capital accounts'!L85&gt;0.001,"Check","OK")</f>
        <v>OK</v>
      </c>
      <c r="AH85" s="1" t="n">
        <f aca="false">COUNTIF(AA85:AG85,"Unverified")</f>
        <v>0</v>
      </c>
      <c r="AI85" s="1" t="str">
        <f aca="false">IF(OR($A85&lt;1918,$A85&gt;1932),"n/a",INDEX(Siberia!$H$38:$H$52,MATCH($A85,Siberia!$A$38:$A$52,0)))</f>
        <v>OK</v>
      </c>
      <c r="AJ85" s="1" t="str">
        <f aca="false">IF($A85&lt;&gt;1895,"n/a",IF(AND(MATCH(MIN(People!$Y$16:$Y$92),People!$Y$16:$Y$92,0)+1855&gt;=1893,MATCH(MIN(People!$Y$16:$Y$92),People!$Y$16:$Y$92,0)+1855&lt;=1897),"OK","Check"))</f>
        <v>n/a</v>
      </c>
      <c r="AK85" s="1" t="str">
        <f aca="false">IF($A85&lt;&gt;1861,"n/a",IF(ABS(People!B85/dem01_target-1)&lt;=0.1,"OK","Check"))</f>
        <v>n/a</v>
      </c>
    </row>
    <row r="86" customFormat="false" ht="14.25" hidden="false" customHeight="true" outlineLevel="0" collapsed="false">
      <c r="A86" s="61" t="n">
        <v>1926</v>
      </c>
      <c r="B86" s="107" t="str">
        <f aca="false">IF(ABS(People!L86-(People!B86+People!C86+People!D86+People!K86))&lt;1,"OK","Check")</f>
        <v>OK</v>
      </c>
      <c r="C86" s="107" t="str">
        <f aca="false">IF(ABS('Debt &amp; cash'!M86-'Debt &amp; cash'!E86)&lt;0.001,"OK","Check")</f>
        <v>OK</v>
      </c>
      <c r="D86" s="107" t="str">
        <f aca="false">IF('Debt &amp; cash'!S86&gt;=-0.001,"OK","Check")</f>
        <v>OK</v>
      </c>
      <c r="E86" s="108" t="n">
        <f aca="false">'Debt &amp; cash'!V86</f>
        <v>0.05</v>
      </c>
      <c r="F86" s="107" t="str">
        <f aca="false">IF($A86&lt;1887,"n/a",IF(E86&lt;=cap_debt,"OK","Check"))</f>
        <v>OK</v>
      </c>
      <c r="G86" s="108" t="n">
        <f aca="false">'Debt &amp; cash'!W86</f>
        <v>0.022365447128395</v>
      </c>
      <c r="H86" s="107" t="str">
        <f aca="false">IF($A86&lt;1887,"n/a",IF(G86&lt;=cap_int,"OK","Check"))</f>
        <v>OK</v>
      </c>
      <c r="I86" s="108" t="n">
        <f aca="false">Budget!AC86</f>
        <v>0.00360740813449167</v>
      </c>
      <c r="J86" s="107" t="str">
        <f aca="false">IF($A86&lt;1887,"n/a",IF(Paths!AC86=1,"War year",IF(I86&lt;=cap_def,"OK","Check")))</f>
        <v>OK</v>
      </c>
      <c r="K86" s="66" t="n">
        <f aca="false">'Debt &amp; cash'!Y86/Economy!O86</f>
        <v>0.00864556508677231</v>
      </c>
      <c r="L86" s="107" t="str">
        <f aca="false">IF('Debt &amp; cash'!Y86*issue_price&lt;=mkt_capacity*Economy!O86+foreign_capacity,"OK","Check")</f>
        <v>OK</v>
      </c>
      <c r="M86" s="107" t="str">
        <f aca="false">IF($A86&lt;1900,"n/a",IF('Gold &amp; money'!K86&gt;=0,"OK","Check"))</f>
        <v>OK</v>
      </c>
      <c r="N86" s="108" t="n">
        <f aca="false">Japan!AA86</f>
        <v>0.0282751895455109</v>
      </c>
      <c r="O86" s="107" t="str">
        <f aca="false">IF(N86&lt;=1,"OK","Check")</f>
        <v>OK</v>
      </c>
      <c r="P86" s="107" t="str">
        <f aca="false">IF($A86&lt;1922,"n/a",IF(AND(Navy!AE86&gt;=0.95,Navy!AE86&lt;=1.1),"OK","Check"))</f>
        <v>OK</v>
      </c>
      <c r="Q86" s="107" t="str">
        <f aca="false">IF(Navy!Z86=0,"n/a",IF(Resources!K86&gt;=Navy!Z86,"OK","Check"))</f>
        <v>OK</v>
      </c>
      <c r="R86" s="107" t="str">
        <f aca="false">IF(AND(gulf_on=1,$A86=gulf_year),IF(Gulf!AF86=1,"OK","Check"),"n/a")</f>
        <v>n/a</v>
      </c>
      <c r="S86" s="49" t="n">
        <f aca="false">COUNTIF(B86:R86,"Check")+COUNTIF(T86:AG86,"Check")+AH86+COUNTIF(AI86,"Check")+COUNTIF(AJ86:AK86,"Check")</f>
        <v>0</v>
      </c>
      <c r="T86" s="1" t="str">
        <f aca="false">IF(ABS(Japan!AM86)&lt;0.001,"OK","Check")</f>
        <v>OK</v>
      </c>
      <c r="U86" s="1" t="str">
        <f aca="false">"n/a"</f>
        <v>n/a</v>
      </c>
      <c r="V86" s="1" t="str">
        <f aca="false">"n/a"</f>
        <v>n/a</v>
      </c>
      <c r="W86" s="1" t="str">
        <f aca="false">"n/a"</f>
        <v>n/a</v>
      </c>
      <c r="X86" s="1" t="str">
        <f aca="false">"n/a"</f>
        <v>n/a</v>
      </c>
      <c r="Y86" s="1" t="str">
        <f aca="false">IF(Abroad!T86&gt;=-0.001,"OK","Check")</f>
        <v>OK</v>
      </c>
      <c r="Z86" s="1" t="str">
        <f aca="false">"n/a"</f>
        <v>n/a</v>
      </c>
      <c r="AA86" s="1" t="str">
        <f aca="false">IF(ABS('Sources &amp; uses'!P120)&lt;0.001,"OK","Check")</f>
        <v>OK</v>
      </c>
      <c r="AB86" s="1" t="str">
        <f aca="false">IF(AND(ABS('War credit'!F86)&lt;0.001,ABS('War credit'!K86)&lt;0.001),"OK","Check")</f>
        <v>OK</v>
      </c>
      <c r="AC86" s="1" t="str">
        <f aca="false">IF(AND(ABS('Japan expansion'!S65)&lt;0.001,'Japan expansion'!R65&gt;=0,'Japan expansion'!U65&gt;=0),"OK","Check")</f>
        <v>OK</v>
      </c>
      <c r="AD86" s="1" t="str">
        <f aca="false">IF('Sources &amp; uses'!M215&lt;0.001,"OK","Check")</f>
        <v>OK</v>
      </c>
      <c r="AE86" s="1" t="str">
        <f aca="false">IF('War credit'!E86=0,"OK",IF(ISNUMBER('War credit'!AC86),IF('War credit'!AC86&lt;0.001,"OK","Check"),"Unverified"))</f>
        <v>OK</v>
      </c>
      <c r="AF86" s="1" t="str">
        <f aca="false">IF(ISNUMBER('Japan expansion'!D43),IF('Japan expansion'!D43&lt;0.001,"OK","Check"),"Unverified")</f>
        <v>OK</v>
      </c>
      <c r="AG86" s="1" t="str">
        <f aca="false">IF('Capital accounts'!L86&gt;0.001,"Check","OK")</f>
        <v>OK</v>
      </c>
      <c r="AH86" s="1" t="n">
        <f aca="false">COUNTIF(AA86:AG86,"Unverified")</f>
        <v>0</v>
      </c>
      <c r="AI86" s="1" t="str">
        <f aca="false">IF(OR($A86&lt;1918,$A86&gt;1932),"n/a",INDEX(Siberia!$H$38:$H$52,MATCH($A86,Siberia!$A$38:$A$52,0)))</f>
        <v>OK</v>
      </c>
      <c r="AJ86" s="1" t="str">
        <f aca="false">IF($A86&lt;&gt;1895,"n/a",IF(AND(MATCH(MIN(People!$Y$16:$Y$92),People!$Y$16:$Y$92,0)+1855&gt;=1893,MATCH(MIN(People!$Y$16:$Y$92),People!$Y$16:$Y$92,0)+1855&lt;=1897),"OK","Check"))</f>
        <v>n/a</v>
      </c>
      <c r="AK86" s="1" t="str">
        <f aca="false">IF($A86&lt;&gt;1861,"n/a",IF(ABS(People!B86/dem01_target-1)&lt;=0.1,"OK","Check"))</f>
        <v>n/a</v>
      </c>
    </row>
    <row r="87" customFormat="false" ht="14.25" hidden="false" customHeight="true" outlineLevel="0" collapsed="false">
      <c r="A87" s="61" t="n">
        <v>1927</v>
      </c>
      <c r="B87" s="107" t="str">
        <f aca="false">IF(ABS(People!L87-(People!B87+People!C87+People!D87+People!K87))&lt;1,"OK","Check")</f>
        <v>OK</v>
      </c>
      <c r="C87" s="107" t="str">
        <f aca="false">IF(ABS('Debt &amp; cash'!M87-'Debt &amp; cash'!E87)&lt;0.001,"OK","Check")</f>
        <v>OK</v>
      </c>
      <c r="D87" s="107" t="str">
        <f aca="false">IF('Debt &amp; cash'!S87&gt;=-0.001,"OK","Check")</f>
        <v>OK</v>
      </c>
      <c r="E87" s="108" t="n">
        <f aca="false">'Debt &amp; cash'!V87</f>
        <v>0.05</v>
      </c>
      <c r="F87" s="107" t="str">
        <f aca="false">IF($A87&lt;1887,"n/a",IF(E87&lt;=cap_debt,"OK","Check"))</f>
        <v>OK</v>
      </c>
      <c r="G87" s="108" t="n">
        <f aca="false">'Debt &amp; cash'!W87</f>
        <v>0.0216500342609699</v>
      </c>
      <c r="H87" s="107" t="str">
        <f aca="false">IF($A87&lt;1887,"n/a",IF(G87&lt;=cap_int,"OK","Check"))</f>
        <v>OK</v>
      </c>
      <c r="I87" s="108" t="n">
        <f aca="false">Budget!AC87</f>
        <v>0.00410659177560186</v>
      </c>
      <c r="J87" s="107" t="str">
        <f aca="false">IF($A87&lt;1887,"n/a",IF(Paths!AC87=1,"War year",IF(I87&lt;=cap_def,"OK","Check")))</f>
        <v>OK</v>
      </c>
      <c r="K87" s="66" t="n">
        <f aca="false">'Debt &amp; cash'!Y87/Economy!O87</f>
        <v>0.00834404581255173</v>
      </c>
      <c r="L87" s="107" t="str">
        <f aca="false">IF('Debt &amp; cash'!Y87*issue_price&lt;=mkt_capacity*Economy!O87+foreign_capacity,"OK","Check")</f>
        <v>OK</v>
      </c>
      <c r="M87" s="107" t="str">
        <f aca="false">IF($A87&lt;1900,"n/a",IF('Gold &amp; money'!K87&gt;=0,"OK","Check"))</f>
        <v>OK</v>
      </c>
      <c r="N87" s="108" t="n">
        <f aca="false">Japan!AA87</f>
        <v>0.0509846549615196</v>
      </c>
      <c r="O87" s="107" t="str">
        <f aca="false">IF(N87&lt;=1,"OK","Check")</f>
        <v>OK</v>
      </c>
      <c r="P87" s="107" t="str">
        <f aca="false">IF($A87&lt;1922,"n/a",IF(AND(Navy!AE87&gt;=0.95,Navy!AE87&lt;=1.1),"OK","Check"))</f>
        <v>OK</v>
      </c>
      <c r="Q87" s="107" t="str">
        <f aca="false">IF(Navy!Z87=0,"n/a",IF(Resources!K87&gt;=Navy!Z87,"OK","Check"))</f>
        <v>OK</v>
      </c>
      <c r="R87" s="107" t="str">
        <f aca="false">IF(AND(gulf_on=1,$A87=gulf_year),IF(Gulf!AF87=1,"OK","Check"),"n/a")</f>
        <v>n/a</v>
      </c>
      <c r="S87" s="49" t="n">
        <f aca="false">COUNTIF(B87:R87,"Check")+COUNTIF(T87:AG87,"Check")+AH87+COUNTIF(AI87,"Check")+COUNTIF(AJ87:AK87,"Check")</f>
        <v>0</v>
      </c>
      <c r="T87" s="1" t="str">
        <f aca="false">IF(ABS(Japan!AM87)&lt;0.001,"OK","Check")</f>
        <v>OK</v>
      </c>
      <c r="U87" s="1" t="str">
        <f aca="false">IF('Japan rescue'!D60&lt;0.001,"OK","Check")</f>
        <v>OK</v>
      </c>
      <c r="V87" s="1" t="str">
        <f aca="false">IF('Japan rescue'!D66&lt;0.001,"OK","Check")</f>
        <v>OK</v>
      </c>
      <c r="W87" s="1" t="str">
        <f aca="false">IF(MAX('Japan rescue'!S70:S81)&lt;0.001,"OK","Check")</f>
        <v>OK</v>
      </c>
      <c r="X87" s="1" t="str">
        <f aca="false">IF(ABS('Japan rescue'!O89)&lt;0.001,"OK","Check")</f>
        <v>OK</v>
      </c>
      <c r="Y87" s="1" t="str">
        <f aca="false">IF(Abroad!T87&gt;=-0.001,"OK","Check")</f>
        <v>OK</v>
      </c>
      <c r="Z87" s="1" t="str">
        <f aca="false">IF(ABS('Japan rescue'!P89)+ABS('Japan rescue'!Q89)&lt;0.001,"OK","Check")</f>
        <v>OK</v>
      </c>
      <c r="AA87" s="1" t="str">
        <f aca="false">IF(ABS('Sources &amp; uses'!P121)&lt;0.001,"OK","Check")</f>
        <v>OK</v>
      </c>
      <c r="AB87" s="1" t="str">
        <f aca="false">IF(AND(ABS('War credit'!F87)&lt;0.001,ABS('War credit'!K87)&lt;0.001),"OK","Check")</f>
        <v>OK</v>
      </c>
      <c r="AC87" s="1" t="str">
        <f aca="false">"OK"</f>
        <v>OK</v>
      </c>
      <c r="AD87" s="1" t="str">
        <f aca="false">IF('Sources &amp; uses'!M216&lt;0.001,"OK","Check")</f>
        <v>OK</v>
      </c>
      <c r="AE87" s="1" t="str">
        <f aca="false">IF('War credit'!E87=0,"OK",IF(ISNUMBER('War credit'!AC87),IF('War credit'!AC87&lt;0.001,"OK","Check"),"Unverified"))</f>
        <v>OK</v>
      </c>
      <c r="AF87" s="1" t="str">
        <f aca="false">IF(ISNUMBER('Japan expansion'!D43),IF('Japan expansion'!D43&lt;0.001,"OK","Check"),"Unverified")</f>
        <v>OK</v>
      </c>
      <c r="AG87" s="1" t="str">
        <f aca="false">IF('Capital accounts'!L87&gt;0.001,"Check","OK")</f>
        <v>OK</v>
      </c>
      <c r="AH87" s="1" t="n">
        <f aca="false">COUNTIF(AA87:AG87,"Unverified")</f>
        <v>0</v>
      </c>
      <c r="AI87" s="1" t="str">
        <f aca="false">IF(OR($A87&lt;1918,$A87&gt;1932),"n/a",INDEX(Siberia!$H$38:$H$52,MATCH($A87,Siberia!$A$38:$A$52,0)))</f>
        <v>OK</v>
      </c>
      <c r="AJ87" s="1" t="str">
        <f aca="false">IF($A87&lt;&gt;1895,"n/a",IF(AND(MATCH(MIN(People!$Y$16:$Y$92),People!$Y$16:$Y$92,0)+1855&gt;=1893,MATCH(MIN(People!$Y$16:$Y$92),People!$Y$16:$Y$92,0)+1855&lt;=1897),"OK","Check"))</f>
        <v>n/a</v>
      </c>
      <c r="AK87" s="1" t="str">
        <f aca="false">IF($A87&lt;&gt;1861,"n/a",IF(ABS(People!B87/dem01_target-1)&lt;=0.1,"OK","Check"))</f>
        <v>n/a</v>
      </c>
    </row>
    <row r="88" customFormat="false" ht="14.25" hidden="false" customHeight="true" outlineLevel="0" collapsed="false">
      <c r="A88" s="61" t="n">
        <v>1928</v>
      </c>
      <c r="B88" s="107" t="str">
        <f aca="false">IF(ABS(People!L88-(People!B88+People!C88+People!D88+People!K88))&lt;1,"OK","Check")</f>
        <v>OK</v>
      </c>
      <c r="C88" s="107" t="str">
        <f aca="false">IF(ABS('Debt &amp; cash'!M88-'Debt &amp; cash'!E88)&lt;0.001,"OK","Check")</f>
        <v>OK</v>
      </c>
      <c r="D88" s="107" t="str">
        <f aca="false">IF('Debt &amp; cash'!S88&gt;=-0.001,"OK","Check")</f>
        <v>OK</v>
      </c>
      <c r="E88" s="108" t="n">
        <f aca="false">'Debt &amp; cash'!V88</f>
        <v>0.05</v>
      </c>
      <c r="F88" s="107" t="str">
        <f aca="false">IF($A88&lt;1887,"n/a",IF(E88&lt;=cap_debt,"OK","Check"))</f>
        <v>OK</v>
      </c>
      <c r="G88" s="108" t="n">
        <f aca="false">'Debt &amp; cash'!W88</f>
        <v>0.020978568623302</v>
      </c>
      <c r="H88" s="107" t="str">
        <f aca="false">IF($A88&lt;1887,"n/a",IF(G88&lt;=cap_int,"OK","Check"))</f>
        <v>OK</v>
      </c>
      <c r="I88" s="108" t="n">
        <f aca="false">Budget!AC88</f>
        <v>0.00388959479882486</v>
      </c>
      <c r="J88" s="107" t="str">
        <f aca="false">IF($A88&lt;1887,"n/a",IF(Paths!AC88=1,"War year",IF(I88&lt;=cap_def,"OK","Check")))</f>
        <v>OK</v>
      </c>
      <c r="K88" s="66" t="n">
        <f aca="false">'Debt &amp; cash'!Y88/Economy!O88</f>
        <v>0.0105897580277374</v>
      </c>
      <c r="L88" s="107" t="str">
        <f aca="false">IF('Debt &amp; cash'!Y88*issue_price&lt;=mkt_capacity*Economy!O88+foreign_capacity,"OK","Check")</f>
        <v>OK</v>
      </c>
      <c r="M88" s="107" t="str">
        <f aca="false">IF($A88&lt;1900,"n/a",IF('Gold &amp; money'!K88&gt;=0,"OK","Check"))</f>
        <v>OK</v>
      </c>
      <c r="N88" s="108" t="n">
        <f aca="false">Japan!AA88</f>
        <v>0.0490217525885091</v>
      </c>
      <c r="O88" s="107" t="str">
        <f aca="false">IF(N88&lt;=1,"OK","Check")</f>
        <v>OK</v>
      </c>
      <c r="P88" s="107" t="str">
        <f aca="false">IF($A88&lt;1922,"n/a",IF(AND(Navy!AE88&gt;=0.95,Navy!AE88&lt;=1.1),"OK","Check"))</f>
        <v>OK</v>
      </c>
      <c r="Q88" s="107" t="str">
        <f aca="false">IF(Navy!Z88=0,"n/a",IF(Resources!K88&gt;=Navy!Z88,"OK","Check"))</f>
        <v>OK</v>
      </c>
      <c r="R88" s="107" t="str">
        <f aca="false">IF(AND(gulf_on=1,$A88=gulf_year),IF(Gulf!AF88=1,"OK","Check"),"n/a")</f>
        <v>n/a</v>
      </c>
      <c r="S88" s="49" t="n">
        <f aca="false">COUNTIF(B88:R88,"Check")+COUNTIF(T88:AG88,"Check")+AH88+COUNTIF(AI88,"Check")+COUNTIF(AJ88:AK88,"Check")</f>
        <v>0</v>
      </c>
      <c r="T88" s="1" t="str">
        <f aca="false">IF(ABS(Japan!AM88)&lt;0.001,"OK","Check")</f>
        <v>OK</v>
      </c>
      <c r="U88" s="1" t="str">
        <f aca="false">"n/a"</f>
        <v>n/a</v>
      </c>
      <c r="V88" s="1" t="str">
        <f aca="false">"n/a"</f>
        <v>n/a</v>
      </c>
      <c r="W88" s="1" t="str">
        <f aca="false">"n/a"</f>
        <v>n/a</v>
      </c>
      <c r="X88" s="1" t="str">
        <f aca="false">IF(ABS('Japan rescue'!O90)&lt;0.001,"OK","Check")</f>
        <v>OK</v>
      </c>
      <c r="Y88" s="1" t="str">
        <f aca="false">IF(Abroad!T88&gt;=-0.001,"OK","Check")</f>
        <v>OK</v>
      </c>
      <c r="Z88" s="1" t="str">
        <f aca="false">IF(ABS('Japan rescue'!P90)+ABS('Japan rescue'!Q90)&lt;0.001,"OK","Check")</f>
        <v>OK</v>
      </c>
      <c r="AA88" s="1" t="str">
        <f aca="false">IF(ABS('Sources &amp; uses'!P122)&lt;0.001,"OK","Check")</f>
        <v>OK</v>
      </c>
      <c r="AB88" s="1" t="str">
        <f aca="false">IF(AND(ABS('War credit'!F88)&lt;0.001,ABS('War credit'!K88)&lt;0.001),"OK","Check")</f>
        <v>OK</v>
      </c>
      <c r="AC88" s="1" t="str">
        <f aca="false">"OK"</f>
        <v>OK</v>
      </c>
      <c r="AD88" s="1" t="str">
        <f aca="false">IF('Sources &amp; uses'!M217&lt;0.001,"OK","Check")</f>
        <v>OK</v>
      </c>
      <c r="AE88" s="1" t="str">
        <f aca="false">IF('War credit'!E88=0,"OK",IF(ISNUMBER('War credit'!AC88),IF('War credit'!AC88&lt;0.001,"OK","Check"),"Unverified"))</f>
        <v>OK</v>
      </c>
      <c r="AF88" s="1" t="str">
        <f aca="false">"OK"</f>
        <v>OK</v>
      </c>
      <c r="AG88" s="1" t="str">
        <f aca="false">IF('Capital accounts'!L88&gt;0.001,"Check","OK")</f>
        <v>OK</v>
      </c>
      <c r="AH88" s="1" t="n">
        <f aca="false">COUNTIF(AA88:AG88,"Unverified")</f>
        <v>0</v>
      </c>
      <c r="AI88" s="1" t="str">
        <f aca="false">IF(OR($A88&lt;1918,$A88&gt;1932),"n/a",INDEX(Siberia!$H$38:$H$52,MATCH($A88,Siberia!$A$38:$A$52,0)))</f>
        <v>OK</v>
      </c>
      <c r="AJ88" s="1" t="str">
        <f aca="false">IF($A88&lt;&gt;1895,"n/a",IF(AND(MATCH(MIN(People!$Y$16:$Y$92),People!$Y$16:$Y$92,0)+1855&gt;=1893,MATCH(MIN(People!$Y$16:$Y$92),People!$Y$16:$Y$92,0)+1855&lt;=1897),"OK","Check"))</f>
        <v>n/a</v>
      </c>
      <c r="AK88" s="1" t="str">
        <f aca="false">IF($A88&lt;&gt;1861,"n/a",IF(ABS(People!B88/dem01_target-1)&lt;=0.1,"OK","Check"))</f>
        <v>n/a</v>
      </c>
    </row>
    <row r="89" customFormat="false" ht="14.25" hidden="false" customHeight="true" outlineLevel="0" collapsed="false">
      <c r="A89" s="61" t="n">
        <v>1929</v>
      </c>
      <c r="B89" s="107" t="str">
        <f aca="false">IF(ABS(People!L89-(People!B89+People!C89+People!D89+People!K89))&lt;1,"OK","Check")</f>
        <v>OK</v>
      </c>
      <c r="C89" s="107" t="str">
        <f aca="false">IF(ABS('Debt &amp; cash'!M89-'Debt &amp; cash'!E89)&lt;0.001,"OK","Check")</f>
        <v>OK</v>
      </c>
      <c r="D89" s="107" t="str">
        <f aca="false">IF('Debt &amp; cash'!S89&gt;=-0.001,"OK","Check")</f>
        <v>OK</v>
      </c>
      <c r="E89" s="108" t="n">
        <f aca="false">'Debt &amp; cash'!V89</f>
        <v>0.05</v>
      </c>
      <c r="F89" s="107" t="str">
        <f aca="false">IF($A89&lt;1887,"n/a",IF(E89&lt;=cap_debt,"OK","Check"))</f>
        <v>OK</v>
      </c>
      <c r="G89" s="108" t="n">
        <f aca="false">'Debt &amp; cash'!W89</f>
        <v>0.0213137397487127</v>
      </c>
      <c r="H89" s="107" t="str">
        <f aca="false">IF($A89&lt;1887,"n/a",IF(G89&lt;=cap_int,"OK","Check"))</f>
        <v>OK</v>
      </c>
      <c r="I89" s="108" t="n">
        <f aca="false">Budget!AC89</f>
        <v>0.00364610511676206</v>
      </c>
      <c r="J89" s="107" t="str">
        <f aca="false">IF($A89&lt;1887,"n/a",IF(Paths!AC89=1,"War year",IF(I89&lt;=cap_def,"OK","Check")))</f>
        <v>OK</v>
      </c>
      <c r="K89" s="66" t="n">
        <f aca="false">'Debt &amp; cash'!Y89/Economy!O89</f>
        <v>0.0102215994965524</v>
      </c>
      <c r="L89" s="107" t="str">
        <f aca="false">IF('Debt &amp; cash'!Y89*issue_price&lt;=mkt_capacity*Economy!O89+foreign_capacity,"OK","Check")</f>
        <v>OK</v>
      </c>
      <c r="M89" s="107" t="str">
        <f aca="false">IF($A89&lt;1900,"n/a",IF('Gold &amp; money'!K89&gt;=0,"OK","Check"))</f>
        <v>OK</v>
      </c>
      <c r="N89" s="108" t="n">
        <f aca="false">Japan!AA89</f>
        <v>0.0429769031741458</v>
      </c>
      <c r="O89" s="107" t="str">
        <f aca="false">IF(N89&lt;=1,"OK","Check")</f>
        <v>OK</v>
      </c>
      <c r="P89" s="107" t="str">
        <f aca="false">IF($A89&lt;1922,"n/a",IF(AND(Navy!AE89&gt;=0.95,Navy!AE89&lt;=1.1),"OK","Check"))</f>
        <v>OK</v>
      </c>
      <c r="Q89" s="107" t="str">
        <f aca="false">IF(Navy!Z89=0,"n/a",IF(Resources!K89&gt;=Navy!Z89,"OK","Check"))</f>
        <v>OK</v>
      </c>
      <c r="R89" s="107" t="str">
        <f aca="false">IF(AND(gulf_on=1,$A89=gulf_year),IF(Gulf!AF89=1,"OK","Check"),"n/a")</f>
        <v>n/a</v>
      </c>
      <c r="S89" s="49" t="n">
        <f aca="false">COUNTIF(B89:R89,"Check")+COUNTIF(T89:AG89,"Check")+AH89+COUNTIF(AI89,"Check")+COUNTIF(AJ89:AK89,"Check")</f>
        <v>0</v>
      </c>
      <c r="T89" s="1" t="str">
        <f aca="false">IF(ABS(Japan!AM89)&lt;0.001,"OK","Check")</f>
        <v>OK</v>
      </c>
      <c r="U89" s="1" t="str">
        <f aca="false">"n/a"</f>
        <v>n/a</v>
      </c>
      <c r="V89" s="1" t="str">
        <f aca="false">"n/a"</f>
        <v>n/a</v>
      </c>
      <c r="W89" s="1" t="str">
        <f aca="false">"n/a"</f>
        <v>n/a</v>
      </c>
      <c r="X89" s="1" t="str">
        <f aca="false">IF(ABS('Japan rescue'!O91)&lt;0.001,"OK","Check")</f>
        <v>OK</v>
      </c>
      <c r="Y89" s="1" t="str">
        <f aca="false">IF(Abroad!T89&gt;=-0.001,"OK","Check")</f>
        <v>OK</v>
      </c>
      <c r="Z89" s="1" t="str">
        <f aca="false">IF(ABS('Japan rescue'!P91)+ABS('Japan rescue'!Q91)&lt;0.001,"OK","Check")</f>
        <v>OK</v>
      </c>
      <c r="AA89" s="1" t="str">
        <f aca="false">IF(ABS('Sources &amp; uses'!P123)&lt;0.001,"OK","Check")</f>
        <v>OK</v>
      </c>
      <c r="AB89" s="1" t="str">
        <f aca="false">IF(AND(ABS('War credit'!F89)&lt;0.001,ABS('War credit'!K89)&lt;0.001),"OK","Check")</f>
        <v>OK</v>
      </c>
      <c r="AC89" s="1" t="str">
        <f aca="false">"OK"</f>
        <v>OK</v>
      </c>
      <c r="AD89" s="1" t="str">
        <f aca="false">IF('Sources &amp; uses'!M218&lt;0.001,"OK","Check")</f>
        <v>OK</v>
      </c>
      <c r="AE89" s="1" t="str">
        <f aca="false">IF('War credit'!E89=0,"OK",IF(ISNUMBER('War credit'!AC89),IF('War credit'!AC89&lt;0.001,"OK","Check"),"Unverified"))</f>
        <v>OK</v>
      </c>
      <c r="AF89" s="1" t="str">
        <f aca="false">"OK"</f>
        <v>OK</v>
      </c>
      <c r="AG89" s="1" t="str">
        <f aca="false">IF('Capital accounts'!L89&gt;0.001,"Check","OK")</f>
        <v>OK</v>
      </c>
      <c r="AH89" s="1" t="n">
        <f aca="false">COUNTIF(AA89:AG89,"Unverified")</f>
        <v>0</v>
      </c>
      <c r="AI89" s="1" t="str">
        <f aca="false">IF(OR($A89&lt;1918,$A89&gt;1932),"n/a",INDEX(Siberia!$H$38:$H$52,MATCH($A89,Siberia!$A$38:$A$52,0)))</f>
        <v>OK</v>
      </c>
      <c r="AJ89" s="1" t="str">
        <f aca="false">IF($A89&lt;&gt;1895,"n/a",IF(AND(MATCH(MIN(People!$Y$16:$Y$92),People!$Y$16:$Y$92,0)+1855&gt;=1893,MATCH(MIN(People!$Y$16:$Y$92),People!$Y$16:$Y$92,0)+1855&lt;=1897),"OK","Check"))</f>
        <v>n/a</v>
      </c>
      <c r="AK89" s="1" t="str">
        <f aca="false">IF($A89&lt;&gt;1861,"n/a",IF(ABS(People!B89/dem01_target-1)&lt;=0.1,"OK","Check"))</f>
        <v>n/a</v>
      </c>
    </row>
    <row r="90" customFormat="false" ht="14.25" hidden="false" customHeight="true" outlineLevel="0" collapsed="false">
      <c r="A90" s="61" t="n">
        <v>1930</v>
      </c>
      <c r="B90" s="107" t="str">
        <f aca="false">IF(ABS(People!L90-(People!B90+People!C90+People!D90+People!K90))&lt;1,"OK","Check")</f>
        <v>OK</v>
      </c>
      <c r="C90" s="107" t="str">
        <f aca="false">IF(ABS('Debt &amp; cash'!M90-'Debt &amp; cash'!E90)&lt;0.001,"OK","Check")</f>
        <v>OK</v>
      </c>
      <c r="D90" s="107" t="str">
        <f aca="false">IF('Debt &amp; cash'!S90&gt;=-0.001,"OK","Check")</f>
        <v>OK</v>
      </c>
      <c r="E90" s="108" t="n">
        <f aca="false">'Debt &amp; cash'!V90</f>
        <v>0.05</v>
      </c>
      <c r="F90" s="107" t="str">
        <f aca="false">IF($A90&lt;1887,"n/a",IF(E90&lt;=cap_debt,"OK","Check"))</f>
        <v>OK</v>
      </c>
      <c r="G90" s="108" t="n">
        <f aca="false">'Debt &amp; cash'!W90</f>
        <v>0.0244925863635242</v>
      </c>
      <c r="H90" s="107" t="str">
        <f aca="false">IF($A90&lt;1887,"n/a",IF(G90&lt;=cap_int,"OK","Check"))</f>
        <v>OK</v>
      </c>
      <c r="I90" s="108" t="n">
        <f aca="false">Budget!AC90</f>
        <v>0.00377806098701198</v>
      </c>
      <c r="J90" s="107" t="str">
        <f aca="false">IF($A90&lt;1887,"n/a",IF(Paths!AC90=1,"War year",IF(I90&lt;=cap_def,"OK","Check")))</f>
        <v>OK</v>
      </c>
      <c r="K90" s="66" t="n">
        <f aca="false">'Debt &amp; cash'!Y90/Economy!O90</f>
        <v>0.00365679811719928</v>
      </c>
      <c r="L90" s="107" t="str">
        <f aca="false">IF('Debt &amp; cash'!Y90*issue_price&lt;=mkt_capacity*Economy!O90+foreign_capacity,"OK","Check")</f>
        <v>OK</v>
      </c>
      <c r="M90" s="107" t="str">
        <f aca="false">IF($A90&lt;1900,"n/a",IF('Gold &amp; money'!K90&gt;=0,"OK","Check"))</f>
        <v>OK</v>
      </c>
      <c r="N90" s="108" t="n">
        <f aca="false">Japan!AA90</f>
        <v>0.0408719355966287</v>
      </c>
      <c r="O90" s="107" t="str">
        <f aca="false">IF(N90&lt;=1,"OK","Check")</f>
        <v>OK</v>
      </c>
      <c r="P90" s="107" t="str">
        <f aca="false">IF($A90&lt;1922,"n/a",IF(AND(Navy!AE90&gt;=0.95,Navy!AE90&lt;=1.1),"OK","Check"))</f>
        <v>OK</v>
      </c>
      <c r="Q90" s="107" t="str">
        <f aca="false">IF(Navy!Z90=0,"n/a",IF(Resources!K90&gt;=Navy!Z90,"OK","Check"))</f>
        <v>OK</v>
      </c>
      <c r="R90" s="107" t="str">
        <f aca="false">IF(AND(gulf_on=1,$A90=gulf_year),IF(Gulf!AF90=1,"OK","Check"),"n/a")</f>
        <v>n/a</v>
      </c>
      <c r="S90" s="49" t="n">
        <f aca="false">COUNTIF(B90:R90,"Check")+COUNTIF(T90:AG90,"Check")+AH90+COUNTIF(AI90,"Check")+COUNTIF(AJ90:AK90,"Check")</f>
        <v>0</v>
      </c>
      <c r="T90" s="1" t="str">
        <f aca="false">IF(ABS(Japan!AM90)&lt;0.001,"OK","Check")</f>
        <v>OK</v>
      </c>
      <c r="U90" s="1" t="str">
        <f aca="false">"n/a"</f>
        <v>n/a</v>
      </c>
      <c r="V90" s="1" t="str">
        <f aca="false">"n/a"</f>
        <v>n/a</v>
      </c>
      <c r="W90" s="1" t="str">
        <f aca="false">"n/a"</f>
        <v>n/a</v>
      </c>
      <c r="X90" s="1" t="str">
        <f aca="false">IF(ABS('Japan rescue'!O92)&lt;0.001,"OK","Check")</f>
        <v>OK</v>
      </c>
      <c r="Y90" s="1" t="str">
        <f aca="false">IF(Abroad!T90&gt;=-0.001,"OK","Check")</f>
        <v>OK</v>
      </c>
      <c r="Z90" s="1" t="str">
        <f aca="false">IF(ABS('Japan rescue'!P92)+ABS('Japan rescue'!Q92)&lt;0.001,"OK","Check")</f>
        <v>OK</v>
      </c>
      <c r="AA90" s="1" t="str">
        <f aca="false">IF(ABS('Sources &amp; uses'!P124)&lt;0.001,"OK","Check")</f>
        <v>OK</v>
      </c>
      <c r="AB90" s="1" t="str">
        <f aca="false">IF(AND(ABS('War credit'!F90)&lt;0.001,ABS('War credit'!K90)&lt;0.001),"OK","Check")</f>
        <v>OK</v>
      </c>
      <c r="AC90" s="1" t="str">
        <f aca="false">"OK"</f>
        <v>OK</v>
      </c>
      <c r="AD90" s="1" t="str">
        <f aca="false">IF('Sources &amp; uses'!M219&lt;0.001,"OK","Check")</f>
        <v>OK</v>
      </c>
      <c r="AE90" s="1" t="str">
        <f aca="false">IF('War credit'!E90=0,"OK",IF(ISNUMBER('War credit'!AC90),IF('War credit'!AC90&lt;0.001,"OK","Check"),"Unverified"))</f>
        <v>OK</v>
      </c>
      <c r="AF90" s="1" t="str">
        <f aca="false">"OK"</f>
        <v>OK</v>
      </c>
      <c r="AG90" s="1" t="str">
        <f aca="false">IF('Capital accounts'!L90&gt;0.001,"Check","OK")</f>
        <v>OK</v>
      </c>
      <c r="AH90" s="1" t="n">
        <f aca="false">COUNTIF(AA90:AG90,"Unverified")</f>
        <v>0</v>
      </c>
      <c r="AI90" s="1" t="str">
        <f aca="false">IF(OR($A90&lt;1918,$A90&gt;1932),"n/a",INDEX(Siberia!$H$38:$H$52,MATCH($A90,Siberia!$A$38:$A$52,0)))</f>
        <v>OK</v>
      </c>
      <c r="AJ90" s="1" t="str">
        <f aca="false">IF($A90&lt;&gt;1895,"n/a",IF(AND(MATCH(MIN(People!$Y$16:$Y$92),People!$Y$16:$Y$92,0)+1855&gt;=1893,MATCH(MIN(People!$Y$16:$Y$92),People!$Y$16:$Y$92,0)+1855&lt;=1897),"OK","Check"))</f>
        <v>n/a</v>
      </c>
      <c r="AK90" s="1" t="str">
        <f aca="false">IF($A90&lt;&gt;1861,"n/a",IF(ABS(People!B90/dem01_target-1)&lt;=0.1,"OK","Check"))</f>
        <v>n/a</v>
      </c>
    </row>
    <row r="91" customFormat="false" ht="14.25" hidden="false" customHeight="true" outlineLevel="0" collapsed="false">
      <c r="A91" s="61" t="n">
        <v>1931</v>
      </c>
      <c r="B91" s="107" t="str">
        <f aca="false">IF(ABS(People!L91-(People!B91+People!C91+People!D91+People!K91))&lt;1,"OK","Check")</f>
        <v>OK</v>
      </c>
      <c r="C91" s="107" t="str">
        <f aca="false">IF(ABS('Debt &amp; cash'!M91-'Debt &amp; cash'!E91)&lt;0.001,"OK","Check")</f>
        <v>OK</v>
      </c>
      <c r="D91" s="107" t="str">
        <f aca="false">IF('Debt &amp; cash'!S91&gt;=-0.001,"OK","Check")</f>
        <v>OK</v>
      </c>
      <c r="E91" s="108" t="n">
        <f aca="false">'Debt &amp; cash'!V91</f>
        <v>0.051510876775213</v>
      </c>
      <c r="F91" s="107" t="str">
        <f aca="false">IF($A91&lt;1887,"n/a",IF(E91&lt;=cap_debt,"OK","Check"))</f>
        <v>OK</v>
      </c>
      <c r="G91" s="108" t="n">
        <f aca="false">'Debt &amp; cash'!W91</f>
        <v>0.0272407093199883</v>
      </c>
      <c r="H91" s="107" t="str">
        <f aca="false">IF($A91&lt;1887,"n/a",IF(G91&lt;=cap_int,"OK","Check"))</f>
        <v>OK</v>
      </c>
      <c r="I91" s="108" t="n">
        <f aca="false">Budget!AC91</f>
        <v>0.00417552348572009</v>
      </c>
      <c r="J91" s="107" t="str">
        <f aca="false">IF($A91&lt;1887,"n/a",IF(Paths!AC91=1,"War year",IF(I91&lt;=cap_def,"OK","Check")))</f>
        <v>OK</v>
      </c>
      <c r="K91" s="66" t="n">
        <f aca="false">'Debt &amp; cash'!Y91/Economy!O91</f>
        <v>0</v>
      </c>
      <c r="L91" s="107" t="str">
        <f aca="false">IF('Debt &amp; cash'!Y91*issue_price&lt;=mkt_capacity*Economy!O91+foreign_capacity,"OK","Check")</f>
        <v>OK</v>
      </c>
      <c r="M91" s="107" t="str">
        <f aca="false">IF($A91&lt;1900,"n/a",IF('Gold &amp; money'!K91&gt;=0,"OK","Check"))</f>
        <v>OK</v>
      </c>
      <c r="N91" s="108" t="n">
        <f aca="false">Japan!AA91</f>
        <v>0.0379457307132404</v>
      </c>
      <c r="O91" s="107" t="str">
        <f aca="false">IF(N91&lt;=1,"OK","Check")</f>
        <v>OK</v>
      </c>
      <c r="P91" s="107" t="str">
        <f aca="false">IF($A91&lt;1922,"n/a",IF(AND(Navy!AE91&gt;=0.95,Navy!AE91&lt;=1.1),"OK","Check"))</f>
        <v>OK</v>
      </c>
      <c r="Q91" s="107" t="str">
        <f aca="false">IF(Navy!Z91=0,"n/a",IF(Resources!K91&gt;=Navy!Z91,"OK","Check"))</f>
        <v>OK</v>
      </c>
      <c r="R91" s="107" t="str">
        <f aca="false">IF(AND(gulf_on=1,$A91=gulf_year),IF(Gulf!AF91=1,"OK","Check"),"n/a")</f>
        <v>n/a</v>
      </c>
      <c r="S91" s="49" t="n">
        <f aca="false">COUNTIF(B91:R91,"Check")+COUNTIF(T91:AG91,"Check")+AH91+COUNTIF(AI91,"Check")+COUNTIF(AJ91:AK91,"Check")</f>
        <v>0</v>
      </c>
      <c r="T91" s="1" t="str">
        <f aca="false">IF(ABS(Japan!AM91)&lt;0.001,"OK","Check")</f>
        <v>OK</v>
      </c>
      <c r="U91" s="1" t="str">
        <f aca="false">"n/a"</f>
        <v>n/a</v>
      </c>
      <c r="V91" s="1" t="str">
        <f aca="false">"n/a"</f>
        <v>n/a</v>
      </c>
      <c r="W91" s="1" t="str">
        <f aca="false">"n/a"</f>
        <v>n/a</v>
      </c>
      <c r="X91" s="1" t="str">
        <f aca="false">IF(ABS('Japan rescue'!O93)&lt;0.001,"OK","Check")</f>
        <v>OK</v>
      </c>
      <c r="Y91" s="1" t="str">
        <f aca="false">IF(Abroad!T91&gt;=-0.001,"OK","Check")</f>
        <v>OK</v>
      </c>
      <c r="Z91" s="1" t="str">
        <f aca="false">IF(ABS('Japan rescue'!P93)+ABS('Japan rescue'!Q93)&lt;0.001,"OK","Check")</f>
        <v>OK</v>
      </c>
      <c r="AA91" s="1" t="str">
        <f aca="false">IF(ABS('Sources &amp; uses'!P125)&lt;0.001,"OK","Check")</f>
        <v>OK</v>
      </c>
      <c r="AB91" s="1" t="str">
        <f aca="false">IF(AND(ABS('War credit'!F91)&lt;0.001,ABS('War credit'!K91)&lt;0.001),"OK","Check")</f>
        <v>OK</v>
      </c>
      <c r="AC91" s="1" t="str">
        <f aca="false">"OK"</f>
        <v>OK</v>
      </c>
      <c r="AD91" s="1" t="str">
        <f aca="false">IF('Sources &amp; uses'!M220&lt;0.001,"OK","Check")</f>
        <v>OK</v>
      </c>
      <c r="AE91" s="1" t="str">
        <f aca="false">IF('War credit'!E91=0,"OK",IF(ISNUMBER('War credit'!AC91),IF('War credit'!AC91&lt;0.001,"OK","Check"),"Unverified"))</f>
        <v>OK</v>
      </c>
      <c r="AF91" s="1" t="str">
        <f aca="false">"OK"</f>
        <v>OK</v>
      </c>
      <c r="AG91" s="1" t="str">
        <f aca="false">IF('Capital accounts'!L91&gt;0.001,"Check","OK")</f>
        <v>OK</v>
      </c>
      <c r="AH91" s="1" t="n">
        <f aca="false">COUNTIF(AA91:AG91,"Unverified")</f>
        <v>0</v>
      </c>
      <c r="AI91" s="1" t="str">
        <f aca="false">IF(OR($A91&lt;1918,$A91&gt;1932),"n/a",INDEX(Siberia!$H$38:$H$52,MATCH($A91,Siberia!$A$38:$A$52,0)))</f>
        <v>OK</v>
      </c>
      <c r="AJ91" s="1" t="str">
        <f aca="false">IF($A91&lt;&gt;1895,"n/a",IF(AND(MATCH(MIN(People!$Y$16:$Y$92),People!$Y$16:$Y$92,0)+1855&gt;=1893,MATCH(MIN(People!$Y$16:$Y$92),People!$Y$16:$Y$92,0)+1855&lt;=1897),"OK","Check"))</f>
        <v>n/a</v>
      </c>
      <c r="AK91" s="1" t="str">
        <f aca="false">IF($A91&lt;&gt;1861,"n/a",IF(ABS(People!B91/dem01_target-1)&lt;=0.1,"OK","Check"))</f>
        <v>n/a</v>
      </c>
    </row>
    <row r="92" customFormat="false" ht="14.25" hidden="false" customHeight="true" outlineLevel="0" collapsed="false">
      <c r="A92" s="61" t="n">
        <v>1932</v>
      </c>
      <c r="B92" s="107" t="str">
        <f aca="false">IF(ABS(People!L92-(People!B92+People!C92+People!D92+People!K92))&lt;1,"OK","Check")</f>
        <v>OK</v>
      </c>
      <c r="C92" s="107" t="str">
        <f aca="false">IF(ABS('Debt &amp; cash'!M92-'Debt &amp; cash'!E92)&lt;0.001,"OK","Check")</f>
        <v>OK</v>
      </c>
      <c r="D92" s="107" t="str">
        <f aca="false">IF('Debt &amp; cash'!S92&gt;=-0.001,"OK","Check")</f>
        <v>OK</v>
      </c>
      <c r="E92" s="108" t="n">
        <f aca="false">'Debt &amp; cash'!V92</f>
        <v>0.0532488077042495</v>
      </c>
      <c r="F92" s="107" t="str">
        <f aca="false">IF($A92&lt;1887,"n/a",IF(E92&lt;=cap_debt,"OK","Check"))</f>
        <v>OK</v>
      </c>
      <c r="G92" s="108" t="n">
        <f aca="false">'Debt &amp; cash'!W92</f>
        <v>0.0286691477867109</v>
      </c>
      <c r="H92" s="107" t="str">
        <f aca="false">IF($A92&lt;1887,"n/a",IF(G92&lt;=cap_int,"OK","Check"))</f>
        <v>OK</v>
      </c>
      <c r="I92" s="108" t="n">
        <f aca="false">Budget!AC92</f>
        <v>0.00393130367988355</v>
      </c>
      <c r="J92" s="107" t="str">
        <f aca="false">IF($A92&lt;1887,"n/a",IF(Paths!AC92=1,"War year",IF(I92&lt;=cap_def,"OK","Check")))</f>
        <v>OK</v>
      </c>
      <c r="K92" s="66" t="n">
        <f aca="false">'Debt &amp; cash'!Y92/Economy!O92</f>
        <v>0</v>
      </c>
      <c r="L92" s="107" t="str">
        <f aca="false">IF('Debt &amp; cash'!Y92*issue_price&lt;=mkt_capacity*Economy!O92+foreign_capacity,"OK","Check")</f>
        <v>OK</v>
      </c>
      <c r="M92" s="107" t="str">
        <f aca="false">IF($A92&lt;1900,"n/a",IF('Gold &amp; money'!K92&gt;=0,"OK","Check"))</f>
        <v>OK</v>
      </c>
      <c r="N92" s="108" t="n">
        <f aca="false">Japan!AA92</f>
        <v>0.0316978413784847</v>
      </c>
      <c r="O92" s="107" t="str">
        <f aca="false">IF(N92&lt;=1,"OK","Check")</f>
        <v>OK</v>
      </c>
      <c r="P92" s="107" t="str">
        <f aca="false">IF($A92&lt;1922,"n/a",IF(AND(Navy!AE92&gt;=0.95,Navy!AE92&lt;=1.1),"OK","Check"))</f>
        <v>OK</v>
      </c>
      <c r="Q92" s="107" t="str">
        <f aca="false">IF(Navy!Z92=0,"n/a",IF(Resources!K92&gt;=Navy!Z92,"OK","Check"))</f>
        <v>OK</v>
      </c>
      <c r="R92" s="107" t="str">
        <f aca="false">IF(AND(gulf_on=1,$A92=gulf_year),IF(Gulf!AF92=1,"OK","Check"),"n/a")</f>
        <v>n/a</v>
      </c>
      <c r="S92" s="49" t="n">
        <f aca="false">COUNTIF(B92:R92,"Check")+COUNTIF(T92:AG92,"Check")+AH92+COUNTIF(AI92,"Check")+COUNTIF(AJ92:AK92,"Check")</f>
        <v>0</v>
      </c>
      <c r="T92" s="1" t="str">
        <f aca="false">IF(ABS(Japan!AM92)&lt;0.001,"OK","Check")</f>
        <v>OK</v>
      </c>
      <c r="U92" s="1" t="str">
        <f aca="false">"n/a"</f>
        <v>n/a</v>
      </c>
      <c r="V92" s="1" t="str">
        <f aca="false">"n/a"</f>
        <v>n/a</v>
      </c>
      <c r="W92" s="1" t="str">
        <f aca="false">"n/a"</f>
        <v>n/a</v>
      </c>
      <c r="X92" s="1" t="str">
        <f aca="false">IF(ABS('Japan rescue'!O94)&lt;0.001,"OK","Check")</f>
        <v>OK</v>
      </c>
      <c r="Y92" s="1" t="str">
        <f aca="false">IF(Abroad!T92&gt;=-0.001,"OK","Check")</f>
        <v>OK</v>
      </c>
      <c r="Z92" s="1" t="str">
        <f aca="false">IF(ABS('Japan rescue'!P94)+ABS('Japan rescue'!Q94)&lt;0.001,"OK","Check")</f>
        <v>OK</v>
      </c>
      <c r="AA92" s="1" t="str">
        <f aca="false">IF(ABS('Sources &amp; uses'!P126)&lt;0.001,"OK","Check")</f>
        <v>OK</v>
      </c>
      <c r="AB92" s="1" t="str">
        <f aca="false">IF(AND(ABS('War credit'!F92)&lt;0.001,ABS('War credit'!K92)&lt;0.001),"OK","Check")</f>
        <v>OK</v>
      </c>
      <c r="AC92" s="1" t="str">
        <f aca="false">"OK"</f>
        <v>OK</v>
      </c>
      <c r="AD92" s="1" t="str">
        <f aca="false">IF('Sources &amp; uses'!M221&lt;0.001,"OK","Check")</f>
        <v>OK</v>
      </c>
      <c r="AE92" s="1" t="str">
        <f aca="false">IF('War credit'!E92=0,"OK",IF(ISNUMBER('War credit'!AC92),IF('War credit'!AC92&lt;0.001,"OK","Check"),"Unverified"))</f>
        <v>OK</v>
      </c>
      <c r="AF92" s="1" t="str">
        <f aca="false">"OK"</f>
        <v>OK</v>
      </c>
      <c r="AG92" s="1" t="str">
        <f aca="false">IF('Capital accounts'!L92&gt;0.001,"Check","OK")</f>
        <v>OK</v>
      </c>
      <c r="AH92" s="1" t="n">
        <f aca="false">COUNTIF(AA92:AG92,"Unverified")</f>
        <v>0</v>
      </c>
      <c r="AI92" s="1" t="str">
        <f aca="false">IF(OR($A92&lt;1918,$A92&gt;1932),"n/a",INDEX(Siberia!$H$38:$H$52,MATCH($A92,Siberia!$A$38:$A$52,0)))</f>
        <v>OK</v>
      </c>
      <c r="AJ92" s="1" t="str">
        <f aca="false">IF($A92&lt;&gt;1895,"n/a",IF(AND(MATCH(MIN(People!$Y$16:$Y$92),People!$Y$16:$Y$92,0)+1855&gt;=1893,MATCH(MIN(People!$Y$16:$Y$92),People!$Y$16:$Y$92,0)+1855&lt;=1897),"OK","Check"))</f>
        <v>n/a</v>
      </c>
      <c r="AK92" s="1" t="str">
        <f aca="false">IF($A92&lt;&gt;1861,"n/a",IF(ABS(People!B92/dem01_target-1)&lt;=0.1,"OK","Check"))</f>
        <v>n/a</v>
      </c>
    </row>
  </sheetData>
  <mergeCells count="4">
    <mergeCell ref="B4:D4"/>
    <mergeCell ref="E4:J4"/>
    <mergeCell ref="K4:O4"/>
    <mergeCell ref="P4:R4"/>
  </mergeCells>
  <conditionalFormatting sqref="B6:R92">
    <cfRule type="cellIs" priority="2" operator="equal" aboveAverage="0" equalAverage="0" bottom="0" percent="0" rank="0" text="" dxfId="0">
      <formula>"Check"</formula>
    </cfRule>
    <cfRule type="cellIs" priority="3" operator="equal" aboveAverage="0" equalAverage="0" bottom="0" percent="0" rank="0" text="" dxfId="1">
      <formula>"OK"</formula>
    </cfRule>
  </conditionalFormatting>
  <conditionalFormatting sqref="T6:Z92">
    <cfRule type="containsText" priority="4" operator="containsText" aboveAverage="0" equalAverage="0" bottom="0" percent="0" rank="0" text="Check" dxfId="2">
      <formula>NOT(ISERROR(SEARCH("Check",T6)))</formula>
    </cfRule>
  </conditionalFormatting>
  <conditionalFormatting sqref="AA6:AG92 AI6:AI92">
    <cfRule type="containsText" priority="5" operator="containsText" aboveAverage="0" equalAverage="0" bottom="0" percent="0" rank="0" text="Unverified" dxfId="3">
      <formula>NOT(ISERROR(SEARCH("Unverified",AA6)))</formula>
    </cfRule>
    <cfRule type="containsText" priority="6" operator="containsText" aboveAverage="0" equalAverage="0" bottom="0" percent="0" rank="0" text="Check" dxfId="2">
      <formula>NOT(ISERROR(SEARCH("Check",AA6)))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8671875" defaultRowHeight="14.25" zeroHeight="false" outlineLevelRow="0" outlineLevelCol="0"/>
  <cols>
    <col collapsed="false" customWidth="true" hidden="false" outlineLevel="0" max="1" min="1" style="1" width="49"/>
    <col collapsed="false" customWidth="true" hidden="false" outlineLevel="0" max="6" min="2" style="1" width="15"/>
    <col collapsed="false" customWidth="true" hidden="false" outlineLevel="0" max="7" min="7" style="1" width="70"/>
    <col collapsed="false" customWidth="true" hidden="false" outlineLevel="0" max="22" min="8" style="1" width="15"/>
  </cols>
  <sheetData>
    <row r="1" customFormat="false" ht="18.75" hidden="false" customHeight="true" outlineLevel="0" collapsed="false">
      <c r="A1" s="109" t="s">
        <v>97</v>
      </c>
      <c r="B1" s="110"/>
      <c r="C1" s="110"/>
      <c r="D1" s="110"/>
      <c r="E1" s="110"/>
      <c r="F1" s="110"/>
      <c r="G1" s="110"/>
      <c r="H1" s="110"/>
      <c r="I1" s="110"/>
      <c r="J1" s="110"/>
      <c r="K1" s="110"/>
      <c r="L1" s="110"/>
      <c r="M1" s="110"/>
      <c r="N1" s="110"/>
      <c r="O1" s="110"/>
      <c r="P1" s="110"/>
      <c r="Q1" s="110"/>
      <c r="R1" s="110"/>
      <c r="S1" s="110"/>
      <c r="T1" s="110"/>
      <c r="U1" s="110"/>
      <c r="V1" s="110"/>
    </row>
    <row r="2" customFormat="false" ht="18.75" hidden="false" customHeight="true" outlineLevel="0" collapsed="false">
      <c r="A2" s="111" t="s">
        <v>2245</v>
      </c>
      <c r="B2" s="110"/>
      <c r="C2" s="110"/>
      <c r="D2" s="110"/>
      <c r="E2" s="110"/>
      <c r="F2" s="110"/>
      <c r="G2" s="110"/>
      <c r="H2" s="110"/>
      <c r="I2" s="110"/>
      <c r="J2" s="110"/>
      <c r="K2" s="110"/>
      <c r="L2" s="110"/>
      <c r="M2" s="110"/>
      <c r="N2" s="110"/>
      <c r="O2" s="110"/>
      <c r="P2" s="110"/>
      <c r="Q2" s="110"/>
      <c r="R2" s="110"/>
      <c r="S2" s="110"/>
      <c r="T2" s="110"/>
      <c r="U2" s="110"/>
      <c r="V2" s="110"/>
    </row>
    <row r="3" customFormat="false" ht="18.75" hidden="false" customHeight="true" outlineLevel="0" collapsed="false">
      <c r="A3" s="110" t="s">
        <v>2246</v>
      </c>
      <c r="B3" s="110"/>
      <c r="C3" s="110"/>
      <c r="D3" s="110"/>
      <c r="E3" s="110" t="str">
        <f aca="false">Levers!F4</f>
        <v>Story case</v>
      </c>
      <c r="F3" s="110"/>
      <c r="G3" s="110"/>
      <c r="H3" s="110"/>
      <c r="I3" s="110"/>
      <c r="J3" s="110"/>
      <c r="K3" s="110"/>
      <c r="L3" s="110"/>
      <c r="M3" s="110"/>
      <c r="N3" s="110"/>
      <c r="O3" s="110"/>
      <c r="P3" s="110"/>
      <c r="Q3" s="110"/>
      <c r="R3" s="110"/>
      <c r="S3" s="110"/>
      <c r="T3" s="110"/>
      <c r="U3" s="110"/>
      <c r="V3" s="110"/>
    </row>
    <row r="4" customFormat="false" ht="18.75" hidden="false" customHeight="true" outlineLevel="0" collapsed="false">
      <c r="A4" s="110"/>
      <c r="B4" s="110"/>
      <c r="C4" s="110"/>
      <c r="D4" s="110"/>
      <c r="E4" s="110"/>
      <c r="F4" s="110"/>
      <c r="G4" s="110"/>
      <c r="H4" s="110"/>
      <c r="I4" s="110"/>
      <c r="J4" s="110"/>
      <c r="K4" s="110"/>
      <c r="L4" s="110"/>
      <c r="M4" s="110"/>
      <c r="N4" s="110"/>
      <c r="O4" s="110"/>
      <c r="P4" s="110"/>
      <c r="Q4" s="110"/>
      <c r="R4" s="110"/>
      <c r="S4" s="110"/>
      <c r="T4" s="110"/>
      <c r="U4" s="110"/>
      <c r="V4" s="110"/>
    </row>
    <row r="5" customFormat="false" ht="18.75" hidden="false" customHeight="true" outlineLevel="0" collapsed="false">
      <c r="A5" s="112" t="s">
        <v>2247</v>
      </c>
      <c r="B5" s="110"/>
      <c r="C5" s="110"/>
      <c r="D5" s="113" t="n">
        <f aca="false">Japan!AJ86</f>
        <v>2573.14975250826</v>
      </c>
      <c r="E5" s="110"/>
      <c r="F5" s="110"/>
      <c r="G5" s="110"/>
      <c r="H5" s="110"/>
      <c r="I5" s="110"/>
      <c r="J5" s="110"/>
      <c r="K5" s="110"/>
      <c r="L5" s="110"/>
      <c r="M5" s="110"/>
      <c r="N5" s="110"/>
      <c r="O5" s="110"/>
      <c r="P5" s="110"/>
      <c r="Q5" s="110"/>
      <c r="R5" s="110"/>
      <c r="S5" s="110"/>
      <c r="T5" s="110"/>
      <c r="U5" s="110"/>
      <c r="V5" s="110"/>
    </row>
    <row r="6" customFormat="false" ht="18.75" hidden="false" customHeight="true" outlineLevel="0" collapsed="false">
      <c r="A6" s="112" t="s">
        <v>2248</v>
      </c>
      <c r="B6" s="110"/>
      <c r="C6" s="110"/>
      <c r="D6" s="113" t="n">
        <f aca="false">D59</f>
        <v>400</v>
      </c>
      <c r="E6" s="110"/>
      <c r="F6" s="110"/>
      <c r="G6" s="110"/>
      <c r="H6" s="110"/>
      <c r="I6" s="110"/>
      <c r="J6" s="110"/>
      <c r="K6" s="110"/>
      <c r="L6" s="110"/>
      <c r="M6" s="110"/>
      <c r="N6" s="110"/>
      <c r="O6" s="110"/>
      <c r="P6" s="110"/>
      <c r="Q6" s="110"/>
      <c r="R6" s="110"/>
      <c r="S6" s="110"/>
      <c r="T6" s="110"/>
      <c r="U6" s="110"/>
      <c r="V6" s="110"/>
    </row>
    <row r="7" customFormat="false" ht="18.75" hidden="false" customHeight="true" outlineLevel="0" collapsed="false">
      <c r="A7" s="112" t="s">
        <v>2249</v>
      </c>
      <c r="B7" s="110"/>
      <c r="C7" s="110"/>
      <c r="D7" s="113" t="n">
        <f aca="false">D65</f>
        <v>295</v>
      </c>
      <c r="E7" s="110"/>
      <c r="F7" s="110"/>
      <c r="G7" s="110"/>
      <c r="H7" s="110"/>
      <c r="I7" s="110"/>
      <c r="J7" s="110"/>
      <c r="K7" s="110"/>
      <c r="L7" s="110"/>
      <c r="M7" s="110"/>
      <c r="N7" s="110"/>
      <c r="O7" s="110"/>
      <c r="P7" s="110"/>
      <c r="Q7" s="110"/>
      <c r="R7" s="110"/>
      <c r="S7" s="110"/>
      <c r="T7" s="110"/>
      <c r="U7" s="110"/>
      <c r="V7" s="110"/>
    </row>
    <row r="8" customFormat="false" ht="18.75" hidden="false" customHeight="true" outlineLevel="0" collapsed="false">
      <c r="A8" s="112" t="s">
        <v>2250</v>
      </c>
      <c r="B8" s="110"/>
      <c r="C8" s="110"/>
      <c r="D8" s="113" t="n">
        <f aca="false">MAX(0,-MIN(N70:N81))</f>
        <v>122.099334947618</v>
      </c>
      <c r="E8" s="110"/>
      <c r="F8" s="110"/>
      <c r="G8" s="110"/>
      <c r="H8" s="110"/>
      <c r="I8" s="110"/>
      <c r="J8" s="110"/>
      <c r="K8" s="110"/>
      <c r="L8" s="110"/>
      <c r="M8" s="110"/>
      <c r="N8" s="110"/>
      <c r="O8" s="110"/>
      <c r="P8" s="110"/>
      <c r="Q8" s="110"/>
      <c r="R8" s="110"/>
      <c r="S8" s="110"/>
      <c r="T8" s="110"/>
      <c r="U8" s="110"/>
      <c r="V8" s="110"/>
    </row>
    <row r="9" customFormat="false" ht="18.75" hidden="false" customHeight="true" outlineLevel="0" collapsed="false">
      <c r="A9" s="112" t="s">
        <v>2251</v>
      </c>
      <c r="B9" s="110"/>
      <c r="C9" s="110"/>
      <c r="D9" s="113" t="n">
        <f aca="false">MAX(0,-MIN(V70:V81))</f>
        <v>497.099334947618</v>
      </c>
      <c r="E9" s="110"/>
      <c r="F9" s="110"/>
      <c r="G9" s="110"/>
      <c r="H9" s="110"/>
      <c r="I9" s="110"/>
      <c r="J9" s="110"/>
      <c r="K9" s="110"/>
      <c r="L9" s="110"/>
      <c r="M9" s="110"/>
      <c r="N9" s="110"/>
      <c r="O9" s="110"/>
      <c r="P9" s="110"/>
      <c r="Q9" s="110"/>
      <c r="R9" s="110"/>
      <c r="S9" s="110"/>
      <c r="T9" s="110"/>
      <c r="U9" s="110"/>
      <c r="V9" s="110"/>
    </row>
    <row r="10" customFormat="false" ht="18.75" hidden="false" customHeight="true" outlineLevel="0" collapsed="false">
      <c r="A10" s="112" t="s">
        <v>2252</v>
      </c>
      <c r="B10" s="110"/>
      <c r="C10" s="110"/>
      <c r="D10" s="113" t="n">
        <f aca="false">SUM(P70:P81)</f>
        <v>497.099334947618</v>
      </c>
      <c r="E10" s="110"/>
      <c r="F10" s="110"/>
      <c r="G10" s="110"/>
      <c r="H10" s="110"/>
      <c r="I10" s="110"/>
      <c r="J10" s="110"/>
      <c r="K10" s="110"/>
      <c r="L10" s="110"/>
      <c r="M10" s="110"/>
      <c r="N10" s="110"/>
      <c r="O10" s="110"/>
      <c r="P10" s="110"/>
      <c r="Q10" s="110"/>
      <c r="R10" s="110"/>
      <c r="S10" s="110"/>
      <c r="T10" s="110"/>
      <c r="U10" s="110"/>
      <c r="V10" s="110"/>
    </row>
    <row r="11" customFormat="false" ht="18.75" hidden="false" customHeight="true" outlineLevel="0" collapsed="false">
      <c r="A11" s="112" t="s">
        <v>2253</v>
      </c>
      <c r="B11" s="110"/>
      <c r="C11" s="110"/>
      <c r="D11" s="113" t="n">
        <f aca="false">D10*$E$47</f>
        <v>165.699778315873</v>
      </c>
      <c r="E11" s="110"/>
      <c r="F11" s="110"/>
      <c r="G11" s="110"/>
      <c r="H11" s="110"/>
      <c r="I11" s="110"/>
      <c r="J11" s="110"/>
      <c r="K11" s="110"/>
      <c r="L11" s="110"/>
      <c r="M11" s="110"/>
      <c r="N11" s="110"/>
      <c r="O11" s="110"/>
      <c r="P11" s="110"/>
      <c r="Q11" s="110"/>
      <c r="R11" s="110"/>
      <c r="S11" s="110"/>
      <c r="T11" s="110"/>
      <c r="U11" s="110"/>
      <c r="V11" s="110"/>
    </row>
    <row r="12" customFormat="false" ht="18.75" hidden="false" customHeight="true" outlineLevel="0" collapsed="false">
      <c r="A12" s="112" t="s">
        <v>2254</v>
      </c>
      <c r="B12" s="110"/>
      <c r="C12" s="110"/>
      <c r="D12" s="113" t="n">
        <f aca="false">D10-D11</f>
        <v>331.399556631746</v>
      </c>
      <c r="E12" s="110"/>
      <c r="F12" s="110"/>
      <c r="G12" s="110"/>
      <c r="H12" s="110"/>
      <c r="I12" s="110"/>
      <c r="J12" s="110"/>
      <c r="K12" s="110"/>
      <c r="L12" s="110"/>
      <c r="M12" s="110"/>
      <c r="N12" s="110"/>
      <c r="O12" s="110"/>
      <c r="P12" s="110"/>
      <c r="Q12" s="110"/>
      <c r="R12" s="110"/>
      <c r="S12" s="110"/>
      <c r="T12" s="110"/>
      <c r="U12" s="110"/>
      <c r="V12" s="110"/>
    </row>
    <row r="13" customFormat="false" ht="18.75" hidden="false" customHeight="true" outlineLevel="0" collapsed="false">
      <c r="A13" s="112" t="s">
        <v>2255</v>
      </c>
      <c r="B13" s="110"/>
      <c r="C13" s="110"/>
      <c r="D13" s="113" t="n">
        <f aca="false">$E$46</f>
        <v>600</v>
      </c>
      <c r="E13" s="110"/>
      <c r="F13" s="110"/>
      <c r="G13" s="110"/>
      <c r="H13" s="110"/>
      <c r="I13" s="110"/>
      <c r="J13" s="110"/>
      <c r="K13" s="110"/>
      <c r="L13" s="110"/>
      <c r="M13" s="110"/>
      <c r="N13" s="110"/>
      <c r="O13" s="110"/>
      <c r="P13" s="110"/>
      <c r="Q13" s="110"/>
      <c r="R13" s="110"/>
      <c r="S13" s="110"/>
      <c r="T13" s="110"/>
      <c r="U13" s="110"/>
      <c r="V13" s="110"/>
    </row>
    <row r="14" customFormat="false" ht="18.75" hidden="false" customHeight="true" outlineLevel="0" collapsed="false">
      <c r="A14" s="112" t="s">
        <v>2256</v>
      </c>
      <c r="B14" s="110"/>
      <c r="C14" s="110"/>
      <c r="D14" s="113" t="n">
        <f aca="false">D21</f>
        <v>600</v>
      </c>
      <c r="E14" s="110"/>
      <c r="F14" s="110"/>
      <c r="G14" s="110"/>
      <c r="H14" s="110"/>
      <c r="I14" s="110"/>
      <c r="J14" s="110"/>
      <c r="K14" s="110"/>
      <c r="L14" s="110"/>
      <c r="M14" s="110"/>
      <c r="N14" s="110"/>
      <c r="O14" s="110"/>
      <c r="P14" s="110"/>
      <c r="Q14" s="110"/>
      <c r="R14" s="110"/>
      <c r="S14" s="110"/>
      <c r="T14" s="110"/>
      <c r="U14" s="110"/>
      <c r="V14" s="110"/>
    </row>
    <row r="15" customFormat="false" ht="18.75" hidden="false" customHeight="true" outlineLevel="0" collapsed="false">
      <c r="A15" s="112" t="s">
        <v>2257</v>
      </c>
      <c r="B15" s="110"/>
      <c r="C15" s="110"/>
      <c r="D15" s="113" t="n">
        <f aca="false">D14-D10</f>
        <v>102.900665052382</v>
      </c>
      <c r="E15" s="110"/>
      <c r="F15" s="110"/>
      <c r="G15" s="110"/>
      <c r="H15" s="110"/>
      <c r="I15" s="110"/>
      <c r="J15" s="110"/>
      <c r="K15" s="110"/>
      <c r="L15" s="110"/>
      <c r="M15" s="110"/>
      <c r="N15" s="110"/>
      <c r="O15" s="110"/>
      <c r="P15" s="110"/>
      <c r="Q15" s="110"/>
      <c r="R15" s="110"/>
      <c r="S15" s="110"/>
      <c r="T15" s="110"/>
      <c r="U15" s="110"/>
      <c r="V15" s="110"/>
    </row>
    <row r="16" customFormat="false" ht="18.75" hidden="false" customHeight="true" outlineLevel="0" collapsed="false">
      <c r="A16" s="112" t="s">
        <v>2258</v>
      </c>
      <c r="B16" s="110"/>
      <c r="C16" s="110"/>
      <c r="D16" s="113" t="n">
        <f aca="false">MAX(S70:S81)</f>
        <v>0</v>
      </c>
      <c r="E16" s="110"/>
      <c r="F16" s="110"/>
      <c r="G16" s="110"/>
      <c r="H16" s="110"/>
      <c r="I16" s="110"/>
      <c r="J16" s="110"/>
      <c r="K16" s="110"/>
      <c r="L16" s="110"/>
      <c r="M16" s="110"/>
      <c r="N16" s="110"/>
      <c r="O16" s="110"/>
      <c r="P16" s="110"/>
      <c r="Q16" s="110"/>
      <c r="R16" s="110"/>
      <c r="S16" s="110"/>
      <c r="T16" s="110"/>
      <c r="U16" s="110"/>
      <c r="V16" s="110"/>
    </row>
    <row r="17" customFormat="false" ht="18.75" hidden="false" customHeight="true" outlineLevel="0" collapsed="false">
      <c r="A17" s="112" t="s">
        <v>2259</v>
      </c>
      <c r="B17" s="110"/>
      <c r="C17" s="110"/>
      <c r="D17" s="113" t="n">
        <f aca="false">D60</f>
        <v>0</v>
      </c>
      <c r="E17" s="110"/>
      <c r="F17" s="110"/>
      <c r="G17" s="110"/>
      <c r="H17" s="110"/>
      <c r="I17" s="110"/>
      <c r="J17" s="110"/>
      <c r="K17" s="110"/>
      <c r="L17" s="110"/>
      <c r="M17" s="110"/>
      <c r="N17" s="110"/>
      <c r="O17" s="110"/>
      <c r="P17" s="110"/>
      <c r="Q17" s="110"/>
      <c r="R17" s="110"/>
      <c r="S17" s="110"/>
      <c r="T17" s="110"/>
      <c r="U17" s="110"/>
      <c r="V17" s="110"/>
    </row>
    <row r="18" customFormat="false" ht="18.75" hidden="false" customHeight="true" outlineLevel="0" collapsed="false">
      <c r="A18" s="112" t="s">
        <v>2260</v>
      </c>
      <c r="B18" s="110"/>
      <c r="C18" s="110"/>
      <c r="D18" s="113" t="n">
        <f aca="false">D66</f>
        <v>0</v>
      </c>
      <c r="E18" s="110"/>
      <c r="F18" s="110"/>
      <c r="G18" s="110"/>
      <c r="H18" s="110"/>
      <c r="I18" s="110"/>
      <c r="J18" s="110"/>
      <c r="K18" s="110"/>
      <c r="L18" s="110"/>
      <c r="M18" s="110"/>
      <c r="N18" s="110"/>
      <c r="O18" s="110"/>
      <c r="P18" s="110"/>
      <c r="Q18" s="110"/>
      <c r="R18" s="110"/>
      <c r="S18" s="110"/>
      <c r="T18" s="110"/>
      <c r="U18" s="110"/>
      <c r="V18" s="110"/>
    </row>
    <row r="19" customFormat="false" ht="18.75" hidden="false" customHeight="true" outlineLevel="0" collapsed="false">
      <c r="A19" s="112" t="s">
        <v>2261</v>
      </c>
      <c r="B19" s="110"/>
      <c r="C19" s="110"/>
      <c r="D19" s="113" t="n">
        <f aca="false">$E$41/3*$E$37</f>
        <v>375</v>
      </c>
      <c r="E19" s="110"/>
      <c r="F19" s="110"/>
      <c r="G19" s="110"/>
      <c r="H19" s="110"/>
      <c r="I19" s="110"/>
      <c r="J19" s="110"/>
      <c r="K19" s="110"/>
      <c r="L19" s="110"/>
      <c r="M19" s="110"/>
      <c r="N19" s="110"/>
      <c r="O19" s="110"/>
      <c r="P19" s="110"/>
      <c r="Q19" s="110"/>
      <c r="R19" s="110"/>
      <c r="S19" s="110"/>
      <c r="T19" s="110"/>
      <c r="U19" s="110"/>
      <c r="V19" s="110"/>
    </row>
    <row r="20" customFormat="false" ht="18.75" hidden="false" customHeight="true" outlineLevel="0" collapsed="false">
      <c r="A20" s="112"/>
      <c r="B20" s="110"/>
      <c r="C20" s="110"/>
      <c r="D20" s="113"/>
      <c r="E20" s="110"/>
      <c r="F20" s="110"/>
      <c r="G20" s="110"/>
      <c r="H20" s="110"/>
      <c r="I20" s="110"/>
      <c r="J20" s="110"/>
      <c r="K20" s="110"/>
      <c r="L20" s="110"/>
      <c r="M20" s="110"/>
      <c r="N20" s="110"/>
      <c r="O20" s="110"/>
      <c r="P20" s="110"/>
      <c r="Q20" s="110"/>
      <c r="R20" s="110"/>
      <c r="S20" s="110"/>
      <c r="T20" s="110"/>
      <c r="U20" s="110"/>
      <c r="V20" s="110"/>
    </row>
    <row r="21" customFormat="false" ht="18.75" hidden="false" customHeight="true" outlineLevel="0" collapsed="false">
      <c r="A21" s="112" t="s">
        <v>2262</v>
      </c>
      <c r="B21" s="110"/>
      <c r="C21" s="110"/>
      <c r="D21" s="113" t="n">
        <f aca="false">MIN(E46,MIN(E46*E47,'Debt &amp; cash'!S86)/E47,MIN(E46*(1-E47),Abroad!C87*E48)/(1-E47))</f>
        <v>600</v>
      </c>
      <c r="E21" s="110"/>
      <c r="F21" s="110"/>
      <c r="G21" s="110"/>
      <c r="H21" s="110"/>
      <c r="I21" s="110"/>
      <c r="J21" s="110"/>
      <c r="K21" s="110"/>
      <c r="L21" s="110"/>
      <c r="M21" s="110"/>
      <c r="N21" s="110"/>
      <c r="O21" s="110"/>
      <c r="P21" s="110"/>
      <c r="Q21" s="110"/>
      <c r="R21" s="110"/>
      <c r="S21" s="110"/>
      <c r="T21" s="110"/>
      <c r="U21" s="110"/>
      <c r="V21" s="110"/>
    </row>
    <row r="22" customFormat="false" ht="18.75" hidden="false" customHeight="true" outlineLevel="0" collapsed="false">
      <c r="A22" s="110"/>
      <c r="B22" s="110"/>
      <c r="C22" s="110"/>
      <c r="D22" s="110"/>
      <c r="E22" s="110"/>
      <c r="F22" s="110"/>
      <c r="G22" s="110"/>
      <c r="H22" s="110"/>
      <c r="I22" s="110"/>
      <c r="J22" s="110"/>
      <c r="K22" s="110"/>
      <c r="L22" s="110"/>
      <c r="M22" s="110"/>
      <c r="N22" s="110"/>
      <c r="O22" s="110"/>
      <c r="P22" s="110"/>
      <c r="Q22" s="110"/>
      <c r="R22" s="110"/>
      <c r="S22" s="110"/>
      <c r="T22" s="110"/>
      <c r="U22" s="110"/>
      <c r="V22" s="110"/>
    </row>
    <row r="23" customFormat="false" ht="18.75" hidden="false" customHeight="true" outlineLevel="0" collapsed="false">
      <c r="A23" s="114" t="s">
        <v>2263</v>
      </c>
      <c r="B23" s="115"/>
      <c r="C23" s="115"/>
      <c r="D23" s="115"/>
      <c r="E23" s="115"/>
      <c r="F23" s="115"/>
      <c r="G23" s="115"/>
      <c r="H23" s="110"/>
      <c r="I23" s="110"/>
      <c r="J23" s="110"/>
      <c r="K23" s="110"/>
      <c r="L23" s="110"/>
      <c r="M23" s="110"/>
      <c r="N23" s="110"/>
      <c r="O23" s="110"/>
      <c r="P23" s="110"/>
      <c r="Q23" s="110"/>
      <c r="R23" s="110"/>
      <c r="S23" s="110"/>
      <c r="T23" s="110"/>
      <c r="U23" s="110"/>
      <c r="V23" s="110"/>
    </row>
    <row r="24" customFormat="false" ht="48" hidden="false" customHeight="true" outlineLevel="0" collapsed="false">
      <c r="A24" s="90" t="s">
        <v>2264</v>
      </c>
      <c r="B24" s="90"/>
      <c r="C24" s="90" t="s">
        <v>2265</v>
      </c>
      <c r="D24" s="90" t="s">
        <v>2266</v>
      </c>
      <c r="E24" s="90" t="s">
        <v>203</v>
      </c>
      <c r="F24" s="90" t="s">
        <v>204</v>
      </c>
      <c r="G24" s="90" t="s">
        <v>2147</v>
      </c>
      <c r="H24" s="110"/>
      <c r="I24" s="110"/>
      <c r="J24" s="110"/>
      <c r="K24" s="110"/>
      <c r="L24" s="110"/>
      <c r="M24" s="110"/>
      <c r="N24" s="110"/>
      <c r="O24" s="110"/>
      <c r="P24" s="110"/>
      <c r="Q24" s="110"/>
      <c r="R24" s="110"/>
      <c r="S24" s="110"/>
      <c r="T24" s="110"/>
      <c r="U24" s="110"/>
      <c r="V24" s="110"/>
    </row>
    <row r="25" customFormat="false" ht="31.5" hidden="false" customHeight="true" outlineLevel="0" collapsed="false">
      <c r="A25" s="110" t="s">
        <v>2267</v>
      </c>
      <c r="B25" s="110"/>
      <c r="C25" s="116" t="n">
        <v>5400</v>
      </c>
      <c r="D25" s="116" t="n">
        <v>5650</v>
      </c>
      <c r="E25" s="117" t="n">
        <f aca="false">'Japan expansion'!D33</f>
        <v>5400</v>
      </c>
      <c r="F25" s="110" t="s">
        <v>261</v>
      </c>
      <c r="G25" s="118" t="s">
        <v>2268</v>
      </c>
      <c r="H25" s="110"/>
      <c r="I25" s="110"/>
      <c r="J25" s="110"/>
      <c r="K25" s="110"/>
      <c r="L25" s="110"/>
      <c r="M25" s="110"/>
      <c r="N25" s="110"/>
      <c r="O25" s="110"/>
      <c r="P25" s="110"/>
      <c r="Q25" s="110"/>
      <c r="R25" s="110"/>
      <c r="S25" s="110"/>
      <c r="T25" s="110"/>
      <c r="U25" s="110"/>
      <c r="V25" s="110"/>
    </row>
    <row r="26" customFormat="false" ht="31.5" hidden="false" customHeight="true" outlineLevel="0" collapsed="false">
      <c r="A26" s="110" t="s">
        <v>2269</v>
      </c>
      <c r="B26" s="110"/>
      <c r="C26" s="116" t="n">
        <v>400</v>
      </c>
      <c r="D26" s="116" t="n">
        <v>400</v>
      </c>
      <c r="E26" s="117" t="n">
        <f aca="false">'Japan expansion'!D36</f>
        <v>400</v>
      </c>
      <c r="F26" s="110" t="s">
        <v>261</v>
      </c>
      <c r="G26" s="118" t="s">
        <v>2268</v>
      </c>
      <c r="H26" s="110"/>
      <c r="I26" s="110"/>
      <c r="J26" s="110"/>
      <c r="K26" s="110"/>
      <c r="L26" s="110"/>
      <c r="M26" s="110"/>
      <c r="N26" s="110"/>
      <c r="O26" s="110"/>
      <c r="P26" s="110"/>
      <c r="Q26" s="110"/>
      <c r="R26" s="110"/>
      <c r="S26" s="110"/>
      <c r="T26" s="110"/>
      <c r="U26" s="110"/>
      <c r="V26" s="110"/>
    </row>
    <row r="27" customFormat="false" ht="31.5" hidden="false" customHeight="true" outlineLevel="0" collapsed="false">
      <c r="A27" s="110" t="s">
        <v>2270</v>
      </c>
      <c r="B27" s="110"/>
      <c r="C27" s="119" t="n">
        <v>0.08</v>
      </c>
      <c r="D27" s="119" t="n">
        <v>0.08</v>
      </c>
      <c r="E27" s="120" t="n">
        <f aca="false">IF(Levers!$E$4=1,C27,D27)</f>
        <v>0.08</v>
      </c>
      <c r="F27" s="110" t="s">
        <v>223</v>
      </c>
      <c r="G27" s="118" t="s">
        <v>2271</v>
      </c>
      <c r="H27" s="110"/>
      <c r="I27" s="110"/>
      <c r="J27" s="110"/>
      <c r="K27" s="110"/>
      <c r="L27" s="110"/>
      <c r="M27" s="110"/>
      <c r="N27" s="110"/>
      <c r="O27" s="110"/>
      <c r="P27" s="110"/>
      <c r="Q27" s="110"/>
      <c r="R27" s="110"/>
      <c r="S27" s="110"/>
      <c r="T27" s="110"/>
      <c r="U27" s="110"/>
      <c r="V27" s="110"/>
    </row>
    <row r="28" customFormat="false" ht="31.5" hidden="false" customHeight="true" outlineLevel="0" collapsed="false">
      <c r="A28" s="110" t="s">
        <v>2272</v>
      </c>
      <c r="B28" s="110"/>
      <c r="C28" s="116" t="n">
        <v>600</v>
      </c>
      <c r="D28" s="116" t="n">
        <v>700</v>
      </c>
      <c r="E28" s="117" t="n">
        <f aca="false">IF(Levers!$E$4=1,C28,D28)</f>
        <v>600</v>
      </c>
      <c r="F28" s="110" t="s">
        <v>261</v>
      </c>
      <c r="G28" s="118" t="s">
        <v>2273</v>
      </c>
      <c r="H28" s="110"/>
      <c r="I28" s="110"/>
      <c r="J28" s="110"/>
      <c r="K28" s="110"/>
      <c r="L28" s="110"/>
      <c r="M28" s="110"/>
      <c r="N28" s="110"/>
      <c r="O28" s="110"/>
      <c r="P28" s="110"/>
      <c r="Q28" s="110"/>
      <c r="R28" s="110"/>
      <c r="S28" s="110"/>
      <c r="T28" s="110"/>
      <c r="U28" s="110"/>
      <c r="V28" s="110"/>
    </row>
    <row r="29" customFormat="false" ht="31.5" hidden="false" customHeight="true" outlineLevel="0" collapsed="false">
      <c r="A29" s="110" t="s">
        <v>2274</v>
      </c>
      <c r="B29" s="110"/>
      <c r="C29" s="116" t="n">
        <v>400</v>
      </c>
      <c r="D29" s="116" t="n">
        <v>600</v>
      </c>
      <c r="E29" s="117" t="n">
        <f aca="false">'Japan expansion'!D39</f>
        <v>400</v>
      </c>
      <c r="F29" s="110" t="s">
        <v>261</v>
      </c>
      <c r="G29" s="118" t="s">
        <v>2268</v>
      </c>
      <c r="H29" s="110"/>
      <c r="I29" s="110"/>
      <c r="J29" s="110"/>
      <c r="K29" s="110"/>
      <c r="L29" s="110"/>
      <c r="M29" s="110"/>
      <c r="N29" s="110"/>
      <c r="O29" s="110"/>
      <c r="P29" s="110"/>
      <c r="Q29" s="110"/>
      <c r="R29" s="110"/>
      <c r="S29" s="110"/>
      <c r="T29" s="110"/>
      <c r="U29" s="110"/>
      <c r="V29" s="110"/>
    </row>
    <row r="30" customFormat="false" ht="31.5" hidden="false" customHeight="true" outlineLevel="0" collapsed="false">
      <c r="A30" s="110" t="s">
        <v>2275</v>
      </c>
      <c r="B30" s="110"/>
      <c r="C30" s="116" t="n">
        <v>600</v>
      </c>
      <c r="D30" s="116" t="n">
        <v>600</v>
      </c>
      <c r="E30" s="117" t="n">
        <f aca="false">'Japan expansion'!D37</f>
        <v>600</v>
      </c>
      <c r="F30" s="110" t="s">
        <v>261</v>
      </c>
      <c r="G30" s="118" t="s">
        <v>2268</v>
      </c>
      <c r="H30" s="110"/>
      <c r="I30" s="110"/>
      <c r="J30" s="110"/>
      <c r="K30" s="110"/>
      <c r="L30" s="110"/>
      <c r="M30" s="110"/>
      <c r="N30" s="110"/>
      <c r="O30" s="110"/>
      <c r="P30" s="110"/>
      <c r="Q30" s="110"/>
      <c r="R30" s="110"/>
      <c r="S30" s="110"/>
      <c r="T30" s="110"/>
      <c r="U30" s="110"/>
      <c r="V30" s="110"/>
    </row>
    <row r="31" customFormat="false" ht="31.5" hidden="false" customHeight="true" outlineLevel="0" collapsed="false">
      <c r="A31" s="110" t="s">
        <v>2276</v>
      </c>
      <c r="B31" s="110"/>
      <c r="C31" s="116" t="n">
        <v>3700</v>
      </c>
      <c r="D31" s="116" t="n">
        <v>3700</v>
      </c>
      <c r="E31" s="117" t="n">
        <f aca="false">'Japan expansion'!D34</f>
        <v>3700</v>
      </c>
      <c r="F31" s="110" t="s">
        <v>261</v>
      </c>
      <c r="G31" s="118" t="s">
        <v>2268</v>
      </c>
      <c r="H31" s="110"/>
      <c r="I31" s="110"/>
      <c r="J31" s="110"/>
      <c r="K31" s="110"/>
      <c r="L31" s="110"/>
      <c r="M31" s="110"/>
      <c r="N31" s="110"/>
      <c r="O31" s="110"/>
      <c r="P31" s="110"/>
      <c r="Q31" s="110"/>
      <c r="R31" s="110"/>
      <c r="S31" s="110"/>
      <c r="T31" s="110"/>
      <c r="U31" s="110"/>
      <c r="V31" s="110"/>
    </row>
    <row r="32" customFormat="false" ht="31.5" hidden="false" customHeight="true" outlineLevel="0" collapsed="false">
      <c r="A32" s="110" t="s">
        <v>2277</v>
      </c>
      <c r="B32" s="110"/>
      <c r="C32" s="119" t="n">
        <v>0.35</v>
      </c>
      <c r="D32" s="119" t="n">
        <v>0.42</v>
      </c>
      <c r="E32" s="120" t="n">
        <f aca="false">IF(Levers!$E$4=1,C32,D32)</f>
        <v>0.35</v>
      </c>
      <c r="F32" s="110" t="s">
        <v>223</v>
      </c>
      <c r="G32" s="118" t="s">
        <v>2278</v>
      </c>
      <c r="H32" s="110"/>
      <c r="I32" s="110"/>
      <c r="J32" s="110"/>
      <c r="K32" s="110"/>
      <c r="L32" s="110"/>
      <c r="M32" s="110"/>
      <c r="N32" s="110"/>
      <c r="O32" s="110"/>
      <c r="P32" s="110"/>
      <c r="Q32" s="110"/>
      <c r="R32" s="110"/>
      <c r="S32" s="110"/>
      <c r="T32" s="110"/>
      <c r="U32" s="110"/>
      <c r="V32" s="110"/>
    </row>
    <row r="33" customFormat="false" ht="31.5" hidden="false" customHeight="true" outlineLevel="0" collapsed="false">
      <c r="A33" s="110" t="s">
        <v>2279</v>
      </c>
      <c r="B33" s="110"/>
      <c r="C33" s="116" t="n">
        <v>400</v>
      </c>
      <c r="D33" s="116" t="n">
        <v>400</v>
      </c>
      <c r="E33" s="117" t="n">
        <f aca="false">IF(Levers!$E$4=1,C33,D33)</f>
        <v>400</v>
      </c>
      <c r="F33" s="110" t="s">
        <v>261</v>
      </c>
      <c r="G33" s="118" t="s">
        <v>2280</v>
      </c>
      <c r="H33" s="110"/>
      <c r="I33" s="110"/>
      <c r="J33" s="110"/>
      <c r="K33" s="110"/>
      <c r="L33" s="110"/>
      <c r="M33" s="110"/>
      <c r="N33" s="110"/>
      <c r="O33" s="110"/>
      <c r="P33" s="110"/>
      <c r="Q33" s="110"/>
      <c r="R33" s="110"/>
      <c r="S33" s="110"/>
      <c r="T33" s="110"/>
      <c r="U33" s="110"/>
      <c r="V33" s="110"/>
    </row>
    <row r="34" customFormat="false" ht="31.5" hidden="false" customHeight="true" outlineLevel="0" collapsed="false">
      <c r="A34" s="110" t="s">
        <v>2281</v>
      </c>
      <c r="B34" s="110"/>
      <c r="C34" s="116" t="n">
        <v>700</v>
      </c>
      <c r="D34" s="116" t="n">
        <v>700</v>
      </c>
      <c r="E34" s="117" t="n">
        <f aca="false">IF(Levers!$E$4=1,C34,D34)</f>
        <v>700</v>
      </c>
      <c r="F34" s="110" t="s">
        <v>261</v>
      </c>
      <c r="G34" s="118" t="s">
        <v>2282</v>
      </c>
      <c r="H34" s="110"/>
      <c r="I34" s="110"/>
      <c r="J34" s="110"/>
      <c r="K34" s="110"/>
      <c r="L34" s="110"/>
      <c r="M34" s="110"/>
      <c r="N34" s="110"/>
      <c r="O34" s="110"/>
      <c r="P34" s="110"/>
      <c r="Q34" s="110"/>
      <c r="R34" s="110"/>
      <c r="S34" s="110"/>
      <c r="T34" s="110"/>
      <c r="U34" s="110"/>
      <c r="V34" s="110"/>
    </row>
    <row r="35" customFormat="false" ht="31.5" hidden="false" customHeight="true" outlineLevel="0" collapsed="false">
      <c r="A35" s="110" t="s">
        <v>2283</v>
      </c>
      <c r="B35" s="110"/>
      <c r="C35" s="119" t="n">
        <v>0.3</v>
      </c>
      <c r="D35" s="119" t="n">
        <v>0.45</v>
      </c>
      <c r="E35" s="120" t="n">
        <f aca="false">IF(Levers!$E$4=1,C35,D35)</f>
        <v>0.3</v>
      </c>
      <c r="F35" s="110" t="s">
        <v>223</v>
      </c>
      <c r="G35" s="118" t="s">
        <v>2284</v>
      </c>
      <c r="H35" s="110"/>
      <c r="I35" s="110"/>
      <c r="J35" s="110"/>
      <c r="K35" s="110"/>
      <c r="L35" s="110"/>
      <c r="M35" s="110"/>
      <c r="N35" s="110"/>
      <c r="O35" s="110"/>
      <c r="P35" s="110"/>
      <c r="Q35" s="110"/>
      <c r="R35" s="110"/>
      <c r="S35" s="110"/>
      <c r="T35" s="110"/>
      <c r="U35" s="110"/>
      <c r="V35" s="110"/>
    </row>
    <row r="36" customFormat="false" ht="31.5" hidden="false" customHeight="true" outlineLevel="0" collapsed="false">
      <c r="A36" s="110" t="s">
        <v>2285</v>
      </c>
      <c r="B36" s="110"/>
      <c r="C36" s="116" t="n">
        <v>1500</v>
      </c>
      <c r="D36" s="116" t="n">
        <v>1300</v>
      </c>
      <c r="E36" s="117" t="n">
        <f aca="false">IF(Levers!$E$4=1,C36,D36)</f>
        <v>1500</v>
      </c>
      <c r="F36" s="110" t="s">
        <v>261</v>
      </c>
      <c r="G36" s="118" t="s">
        <v>2286</v>
      </c>
      <c r="H36" s="110"/>
      <c r="I36" s="110"/>
      <c r="J36" s="110"/>
      <c r="K36" s="110"/>
      <c r="L36" s="110"/>
      <c r="M36" s="110"/>
      <c r="N36" s="110"/>
      <c r="O36" s="110"/>
      <c r="P36" s="110"/>
      <c r="Q36" s="110"/>
      <c r="R36" s="110"/>
      <c r="S36" s="110"/>
      <c r="T36" s="110"/>
      <c r="U36" s="110"/>
      <c r="V36" s="110"/>
    </row>
    <row r="37" customFormat="false" ht="31.5" hidden="false" customHeight="true" outlineLevel="0" collapsed="false">
      <c r="A37" s="110" t="s">
        <v>2287</v>
      </c>
      <c r="B37" s="110"/>
      <c r="C37" s="116" t="n">
        <v>1.5</v>
      </c>
      <c r="D37" s="116" t="n">
        <v>1.5</v>
      </c>
      <c r="E37" s="117" t="n">
        <f aca="false">IF(Levers!$E$4=1,C37,D37)</f>
        <v>1.5</v>
      </c>
      <c r="F37" s="110" t="s">
        <v>2288</v>
      </c>
      <c r="G37" s="118" t="s">
        <v>2289</v>
      </c>
      <c r="H37" s="110"/>
      <c r="I37" s="110"/>
      <c r="J37" s="110"/>
      <c r="K37" s="110"/>
      <c r="L37" s="110"/>
      <c r="M37" s="110"/>
      <c r="N37" s="110"/>
      <c r="O37" s="110"/>
      <c r="P37" s="110"/>
      <c r="Q37" s="110"/>
      <c r="R37" s="110"/>
      <c r="S37" s="110"/>
      <c r="T37" s="110"/>
      <c r="U37" s="110"/>
      <c r="V37" s="110"/>
    </row>
    <row r="38" customFormat="false" ht="31.5" hidden="false" customHeight="true" outlineLevel="0" collapsed="false">
      <c r="A38" s="110" t="s">
        <v>2290</v>
      </c>
      <c r="B38" s="110"/>
      <c r="C38" s="116" t="n">
        <v>300</v>
      </c>
      <c r="D38" s="116" t="n">
        <v>300</v>
      </c>
      <c r="E38" s="117" t="n">
        <f aca="false">'Japan expansion'!O65</f>
        <v>300</v>
      </c>
      <c r="F38" s="110" t="s">
        <v>261</v>
      </c>
      <c r="G38" s="118" t="s">
        <v>2268</v>
      </c>
      <c r="H38" s="110"/>
      <c r="I38" s="110"/>
      <c r="J38" s="110"/>
      <c r="K38" s="110"/>
      <c r="L38" s="110"/>
      <c r="M38" s="110"/>
      <c r="N38" s="110"/>
      <c r="O38" s="110"/>
      <c r="P38" s="110"/>
      <c r="Q38" s="110"/>
      <c r="R38" s="110"/>
      <c r="S38" s="110"/>
      <c r="T38" s="110"/>
      <c r="U38" s="110"/>
      <c r="V38" s="110"/>
    </row>
    <row r="39" customFormat="false" ht="31.5" hidden="false" customHeight="true" outlineLevel="0" collapsed="false">
      <c r="A39" s="110" t="s">
        <v>2291</v>
      </c>
      <c r="B39" s="110"/>
      <c r="C39" s="116" t="n">
        <v>2000</v>
      </c>
      <c r="D39" s="116" t="n">
        <v>2200</v>
      </c>
      <c r="E39" s="117" t="n">
        <f aca="false">'Japan expansion'!D35</f>
        <v>2000</v>
      </c>
      <c r="F39" s="110" t="s">
        <v>261</v>
      </c>
      <c r="G39" s="118" t="s">
        <v>2268</v>
      </c>
      <c r="H39" s="110"/>
      <c r="I39" s="110"/>
      <c r="J39" s="110"/>
      <c r="K39" s="110"/>
      <c r="L39" s="110"/>
      <c r="M39" s="110"/>
      <c r="N39" s="110"/>
      <c r="O39" s="110"/>
      <c r="P39" s="110"/>
      <c r="Q39" s="110"/>
      <c r="R39" s="110"/>
      <c r="S39" s="110"/>
      <c r="T39" s="110"/>
      <c r="U39" s="110"/>
      <c r="V39" s="110"/>
    </row>
    <row r="40" customFormat="false" ht="31.5" hidden="false" customHeight="true" outlineLevel="0" collapsed="false">
      <c r="A40" s="110" t="s">
        <v>2292</v>
      </c>
      <c r="B40" s="110"/>
      <c r="C40" s="119" t="n">
        <v>0.75</v>
      </c>
      <c r="D40" s="119" t="n">
        <v>0.9</v>
      </c>
      <c r="E40" s="120" t="n">
        <f aca="false">IF(Levers!$E$4=1,C40,D40)</f>
        <v>0.75</v>
      </c>
      <c r="F40" s="110" t="s">
        <v>223</v>
      </c>
      <c r="G40" s="118" t="s">
        <v>2293</v>
      </c>
      <c r="H40" s="110"/>
      <c r="I40" s="110"/>
      <c r="J40" s="110"/>
      <c r="K40" s="110"/>
      <c r="L40" s="110"/>
      <c r="M40" s="110"/>
      <c r="N40" s="110"/>
      <c r="O40" s="110"/>
      <c r="P40" s="110"/>
      <c r="Q40" s="110"/>
      <c r="R40" s="110"/>
      <c r="S40" s="110"/>
      <c r="T40" s="110"/>
      <c r="U40" s="110"/>
      <c r="V40" s="110"/>
    </row>
    <row r="41" customFormat="false" ht="31.5" hidden="false" customHeight="true" outlineLevel="0" collapsed="false">
      <c r="A41" s="110" t="s">
        <v>2294</v>
      </c>
      <c r="B41" s="110"/>
      <c r="C41" s="116" t="n">
        <v>750</v>
      </c>
      <c r="D41" s="116" t="n">
        <v>900</v>
      </c>
      <c r="E41" s="117" t="n">
        <f aca="false">IF(Levers!$E$4=1,C41,D41)</f>
        <v>750</v>
      </c>
      <c r="F41" s="110" t="s">
        <v>261</v>
      </c>
      <c r="G41" s="118" t="s">
        <v>2295</v>
      </c>
      <c r="H41" s="110"/>
      <c r="I41" s="110"/>
      <c r="J41" s="110"/>
      <c r="K41" s="110"/>
      <c r="L41" s="110"/>
      <c r="M41" s="110"/>
      <c r="N41" s="110"/>
      <c r="O41" s="110"/>
      <c r="P41" s="110"/>
      <c r="Q41" s="110"/>
      <c r="R41" s="110"/>
      <c r="S41" s="110"/>
      <c r="T41" s="110"/>
      <c r="U41" s="110"/>
      <c r="V41" s="110"/>
    </row>
    <row r="42" customFormat="false" ht="31.5" hidden="false" customHeight="true" outlineLevel="0" collapsed="false">
      <c r="A42" s="110" t="s">
        <v>2296</v>
      </c>
      <c r="B42" s="110"/>
      <c r="C42" s="116" t="n">
        <v>600</v>
      </c>
      <c r="D42" s="116" t="n">
        <v>450</v>
      </c>
      <c r="E42" s="117" t="n">
        <f aca="false">IF(Levers!$E$4=1,C42,D42)</f>
        <v>600</v>
      </c>
      <c r="F42" s="110" t="s">
        <v>261</v>
      </c>
      <c r="G42" s="118" t="s">
        <v>2297</v>
      </c>
      <c r="H42" s="110"/>
      <c r="I42" s="110"/>
      <c r="J42" s="110"/>
      <c r="K42" s="110"/>
      <c r="L42" s="110"/>
      <c r="M42" s="110"/>
      <c r="N42" s="110"/>
      <c r="O42" s="110"/>
      <c r="P42" s="110"/>
      <c r="Q42" s="110"/>
      <c r="R42" s="110"/>
      <c r="S42" s="110"/>
      <c r="T42" s="110"/>
      <c r="U42" s="110"/>
      <c r="V42" s="110"/>
    </row>
    <row r="43" customFormat="false" ht="31.5" hidden="false" customHeight="true" outlineLevel="0" collapsed="false">
      <c r="A43" s="110" t="s">
        <v>2298</v>
      </c>
      <c r="B43" s="110"/>
      <c r="C43" s="116" t="n">
        <v>500</v>
      </c>
      <c r="D43" s="116" t="n">
        <v>750</v>
      </c>
      <c r="E43" s="117" t="n">
        <f aca="false">IF(Levers!$E$4=1,C43,D43)</f>
        <v>500</v>
      </c>
      <c r="F43" s="110" t="s">
        <v>261</v>
      </c>
      <c r="G43" s="118" t="s">
        <v>2299</v>
      </c>
      <c r="H43" s="110"/>
      <c r="I43" s="110"/>
      <c r="J43" s="110"/>
      <c r="K43" s="110"/>
      <c r="L43" s="110"/>
      <c r="M43" s="110"/>
      <c r="N43" s="110"/>
      <c r="O43" s="110"/>
      <c r="P43" s="110"/>
      <c r="Q43" s="110"/>
      <c r="R43" s="110"/>
      <c r="S43" s="110"/>
      <c r="T43" s="110"/>
      <c r="U43" s="110"/>
      <c r="V43" s="110"/>
    </row>
    <row r="44" customFormat="false" ht="31.5" hidden="false" customHeight="true" outlineLevel="0" collapsed="false">
      <c r="A44" s="110" t="s">
        <v>2300</v>
      </c>
      <c r="B44" s="110"/>
      <c r="C44" s="116" t="n">
        <v>400</v>
      </c>
      <c r="D44" s="116" t="n">
        <v>350</v>
      </c>
      <c r="E44" s="117" t="n">
        <f aca="false">'Japan expansion'!D38</f>
        <v>400</v>
      </c>
      <c r="F44" s="110" t="s">
        <v>261</v>
      </c>
      <c r="G44" s="118" t="s">
        <v>2268</v>
      </c>
      <c r="H44" s="110"/>
      <c r="I44" s="110"/>
      <c r="J44" s="110"/>
      <c r="K44" s="110"/>
      <c r="L44" s="110"/>
      <c r="M44" s="110"/>
      <c r="N44" s="110"/>
      <c r="O44" s="110"/>
      <c r="P44" s="110"/>
      <c r="Q44" s="110"/>
      <c r="R44" s="110"/>
      <c r="S44" s="110"/>
      <c r="T44" s="110"/>
      <c r="U44" s="110"/>
      <c r="V44" s="110"/>
    </row>
    <row r="45" customFormat="false" ht="31.5" hidden="false" customHeight="true" outlineLevel="0" collapsed="false">
      <c r="A45" s="110" t="s">
        <v>2301</v>
      </c>
      <c r="B45" s="110"/>
      <c r="C45" s="116" t="n">
        <v>150</v>
      </c>
      <c r="D45" s="116" t="n">
        <v>150</v>
      </c>
      <c r="E45" s="117" t="n">
        <f aca="false">IF(Levers!$E$4=1,C45,D45)</f>
        <v>150</v>
      </c>
      <c r="F45" s="110" t="s">
        <v>261</v>
      </c>
      <c r="G45" s="118" t="s">
        <v>2302</v>
      </c>
      <c r="H45" s="110"/>
      <c r="I45" s="110"/>
      <c r="J45" s="110"/>
      <c r="K45" s="110"/>
      <c r="L45" s="110"/>
      <c r="M45" s="110"/>
      <c r="N45" s="110"/>
      <c r="O45" s="110"/>
      <c r="P45" s="110"/>
      <c r="Q45" s="110"/>
      <c r="R45" s="110"/>
      <c r="S45" s="110"/>
      <c r="T45" s="110"/>
      <c r="U45" s="110"/>
      <c r="V45" s="110"/>
    </row>
    <row r="46" customFormat="false" ht="31.5" hidden="false" customHeight="true" outlineLevel="0" collapsed="false">
      <c r="A46" s="110" t="s">
        <v>2303</v>
      </c>
      <c r="B46" s="110"/>
      <c r="C46" s="116" t="n">
        <v>600</v>
      </c>
      <c r="D46" s="116" t="n">
        <v>600</v>
      </c>
      <c r="E46" s="117" t="n">
        <f aca="false">IF(Levers!$E$4=1,C46,D46)</f>
        <v>600</v>
      </c>
      <c r="F46" s="110" t="s">
        <v>261</v>
      </c>
      <c r="G46" s="118" t="s">
        <v>2304</v>
      </c>
      <c r="H46" s="110"/>
      <c r="I46" s="110"/>
      <c r="J46" s="110"/>
      <c r="K46" s="110"/>
      <c r="L46" s="110"/>
      <c r="M46" s="110"/>
      <c r="N46" s="110"/>
      <c r="O46" s="110"/>
      <c r="P46" s="110"/>
      <c r="Q46" s="110"/>
      <c r="R46" s="110"/>
      <c r="S46" s="110"/>
      <c r="T46" s="110"/>
      <c r="U46" s="110"/>
      <c r="V46" s="110"/>
    </row>
    <row r="47" customFormat="false" ht="31.5" hidden="false" customHeight="true" outlineLevel="0" collapsed="false">
      <c r="A47" s="110" t="s">
        <v>2305</v>
      </c>
      <c r="B47" s="110"/>
      <c r="C47" s="119" t="n">
        <v>0.333333333333333</v>
      </c>
      <c r="D47" s="119" t="n">
        <v>0.333333333333333</v>
      </c>
      <c r="E47" s="120" t="n">
        <f aca="false">IF(Levers!$E$4=1,C47,D47)</f>
        <v>0.333333333333333</v>
      </c>
      <c r="F47" s="110" t="s">
        <v>223</v>
      </c>
      <c r="G47" s="118" t="s">
        <v>2306</v>
      </c>
      <c r="H47" s="110"/>
      <c r="I47" s="110"/>
      <c r="J47" s="110"/>
      <c r="K47" s="110"/>
      <c r="L47" s="110"/>
      <c r="M47" s="110"/>
      <c r="N47" s="110"/>
      <c r="O47" s="110"/>
      <c r="P47" s="110"/>
      <c r="Q47" s="110"/>
      <c r="R47" s="110"/>
      <c r="S47" s="110"/>
      <c r="T47" s="110"/>
      <c r="U47" s="110"/>
      <c r="V47" s="110"/>
    </row>
    <row r="48" customFormat="false" ht="31.5" hidden="false" customHeight="true" outlineLevel="0" collapsed="false">
      <c r="A48" s="110" t="s">
        <v>2307</v>
      </c>
      <c r="B48" s="110"/>
      <c r="C48" s="119" t="n">
        <v>0.4</v>
      </c>
      <c r="D48" s="119" t="n">
        <v>0.4</v>
      </c>
      <c r="E48" s="120" t="n">
        <f aca="false">IF(Levers!$E$4=1,C48,D48)</f>
        <v>0.4</v>
      </c>
      <c r="F48" s="110" t="s">
        <v>223</v>
      </c>
      <c r="G48" s="118" t="s">
        <v>2308</v>
      </c>
      <c r="H48" s="110"/>
      <c r="I48" s="110"/>
      <c r="J48" s="110"/>
      <c r="K48" s="110"/>
      <c r="L48" s="110"/>
      <c r="M48" s="110"/>
      <c r="N48" s="110"/>
      <c r="O48" s="110"/>
      <c r="P48" s="110"/>
      <c r="Q48" s="110"/>
      <c r="R48" s="110"/>
      <c r="S48" s="110"/>
      <c r="T48" s="110"/>
      <c r="U48" s="110"/>
      <c r="V48" s="110"/>
    </row>
    <row r="49" customFormat="false" ht="31.5" hidden="false" customHeight="true" outlineLevel="0" collapsed="false">
      <c r="A49" s="110" t="s">
        <v>2309</v>
      </c>
      <c r="B49" s="110"/>
      <c r="C49" s="119" t="n">
        <v>0.055</v>
      </c>
      <c r="D49" s="119" t="n">
        <v>0.065</v>
      </c>
      <c r="E49" s="120" t="n">
        <f aca="false">IF(Levers!$E$4=1,C49,D49)</f>
        <v>0.055</v>
      </c>
      <c r="F49" s="110" t="s">
        <v>223</v>
      </c>
      <c r="G49" s="118" t="s">
        <v>2310</v>
      </c>
      <c r="H49" s="110"/>
      <c r="I49" s="110"/>
      <c r="J49" s="110"/>
      <c r="K49" s="110"/>
      <c r="L49" s="110"/>
      <c r="M49" s="110"/>
      <c r="N49" s="110"/>
      <c r="O49" s="110"/>
      <c r="P49" s="110"/>
      <c r="Q49" s="110"/>
      <c r="R49" s="110"/>
      <c r="S49" s="110"/>
      <c r="T49" s="110"/>
      <c r="U49" s="110"/>
      <c r="V49" s="110"/>
    </row>
    <row r="50" customFormat="false" ht="31.5" hidden="false" customHeight="true" outlineLevel="0" collapsed="false">
      <c r="A50" s="110" t="s">
        <v>2311</v>
      </c>
      <c r="B50" s="110"/>
      <c r="C50" s="121" t="n">
        <v>1929</v>
      </c>
      <c r="D50" s="121" t="n">
        <v>1929</v>
      </c>
      <c r="E50" s="122" t="n">
        <f aca="false">IF(Levers!$E$4=1,C50,D50)</f>
        <v>1929</v>
      </c>
      <c r="F50" s="110" t="s">
        <v>315</v>
      </c>
      <c r="G50" s="118" t="s">
        <v>2312</v>
      </c>
      <c r="H50" s="110"/>
      <c r="I50" s="110"/>
      <c r="J50" s="110"/>
      <c r="K50" s="110"/>
      <c r="L50" s="110"/>
      <c r="M50" s="110"/>
      <c r="N50" s="110"/>
      <c r="O50" s="110"/>
      <c r="P50" s="110"/>
      <c r="Q50" s="110"/>
      <c r="R50" s="110"/>
      <c r="S50" s="110"/>
      <c r="T50" s="110"/>
      <c r="U50" s="110"/>
      <c r="V50" s="110"/>
    </row>
    <row r="51" customFormat="false" ht="31.5" hidden="false" customHeight="true" outlineLevel="0" collapsed="false">
      <c r="A51" s="110" t="s">
        <v>2313</v>
      </c>
      <c r="B51" s="110"/>
      <c r="C51" s="121" t="n">
        <v>5</v>
      </c>
      <c r="D51" s="121" t="n">
        <v>5</v>
      </c>
      <c r="E51" s="122" t="n">
        <f aca="false">IF(Levers!$E$4=1,C51,D51)</f>
        <v>5</v>
      </c>
      <c r="F51" s="110" t="s">
        <v>311</v>
      </c>
      <c r="G51" s="118" t="s">
        <v>2314</v>
      </c>
      <c r="H51" s="110"/>
      <c r="I51" s="110"/>
      <c r="J51" s="110"/>
      <c r="K51" s="110"/>
      <c r="L51" s="110"/>
      <c r="M51" s="110"/>
      <c r="N51" s="110"/>
      <c r="O51" s="110"/>
      <c r="P51" s="110"/>
      <c r="Q51" s="110"/>
      <c r="R51" s="110"/>
      <c r="S51" s="110"/>
      <c r="T51" s="110"/>
      <c r="U51" s="110"/>
      <c r="V51" s="110"/>
    </row>
    <row r="52" customFormat="false" ht="31.5" hidden="false" customHeight="true" outlineLevel="0" collapsed="false">
      <c r="A52" s="110" t="s">
        <v>2315</v>
      </c>
      <c r="B52" s="110"/>
      <c r="C52" s="116" t="n">
        <v>100</v>
      </c>
      <c r="D52" s="116" t="n">
        <v>75</v>
      </c>
      <c r="E52" s="117" t="n">
        <f aca="false">IF(Levers!$E$4=1,C52,D52)</f>
        <v>100</v>
      </c>
      <c r="F52" s="110" t="s">
        <v>2316</v>
      </c>
      <c r="G52" s="118" t="s">
        <v>2317</v>
      </c>
      <c r="H52" s="110"/>
      <c r="I52" s="110"/>
      <c r="J52" s="110"/>
      <c r="K52" s="110"/>
      <c r="L52" s="110"/>
      <c r="M52" s="110"/>
      <c r="N52" s="110"/>
      <c r="O52" s="110"/>
      <c r="P52" s="110"/>
      <c r="Q52" s="110"/>
      <c r="R52" s="110"/>
      <c r="S52" s="110"/>
      <c r="T52" s="110"/>
      <c r="U52" s="110"/>
      <c r="V52" s="110"/>
    </row>
    <row r="53" customFormat="false" ht="18.75" hidden="false" customHeight="true" outlineLevel="0" collapsed="false">
      <c r="A53" s="110"/>
      <c r="B53" s="110"/>
      <c r="C53" s="110"/>
      <c r="D53" s="110"/>
      <c r="E53" s="110"/>
      <c r="F53" s="110"/>
      <c r="G53" s="110"/>
      <c r="H53" s="110"/>
      <c r="I53" s="110"/>
      <c r="J53" s="110"/>
      <c r="K53" s="110"/>
      <c r="L53" s="110"/>
      <c r="M53" s="110"/>
      <c r="N53" s="110"/>
      <c r="O53" s="110"/>
      <c r="P53" s="110"/>
      <c r="Q53" s="110"/>
      <c r="R53" s="110"/>
      <c r="S53" s="110"/>
      <c r="T53" s="110"/>
      <c r="U53" s="110"/>
      <c r="V53" s="110"/>
    </row>
    <row r="54" customFormat="false" ht="18.75" hidden="false" customHeight="true" outlineLevel="0" collapsed="false">
      <c r="A54" s="114" t="s">
        <v>2318</v>
      </c>
      <c r="B54" s="115"/>
      <c r="C54" s="115"/>
      <c r="D54" s="115"/>
      <c r="E54" s="115"/>
      <c r="F54" s="115"/>
      <c r="G54" s="115"/>
      <c r="H54" s="110"/>
      <c r="I54" s="110"/>
      <c r="J54" s="110"/>
      <c r="K54" s="110"/>
      <c r="L54" s="110"/>
      <c r="M54" s="110"/>
      <c r="N54" s="110"/>
      <c r="O54" s="110"/>
      <c r="P54" s="110"/>
      <c r="Q54" s="110"/>
      <c r="R54" s="110"/>
      <c r="S54" s="110"/>
      <c r="T54" s="110"/>
      <c r="U54" s="110"/>
      <c r="V54" s="110"/>
    </row>
    <row r="55" customFormat="false" ht="18.75" hidden="false" customHeight="true" outlineLevel="0" collapsed="false">
      <c r="A55" s="110" t="s">
        <v>2319</v>
      </c>
      <c r="B55" s="110"/>
      <c r="C55" s="110"/>
      <c r="D55" s="113" t="n">
        <f aca="false">E26-E29</f>
        <v>0</v>
      </c>
      <c r="E55" s="110"/>
      <c r="F55" s="110"/>
      <c r="G55" s="110"/>
      <c r="H55" s="110"/>
      <c r="I55" s="110"/>
      <c r="J55" s="110"/>
      <c r="K55" s="110"/>
      <c r="L55" s="110"/>
      <c r="M55" s="110"/>
      <c r="N55" s="110"/>
      <c r="O55" s="110"/>
      <c r="P55" s="110"/>
      <c r="Q55" s="110"/>
      <c r="R55" s="110"/>
      <c r="S55" s="110"/>
      <c r="T55" s="110"/>
      <c r="U55" s="110"/>
      <c r="V55" s="110"/>
    </row>
    <row r="56" customFormat="false" ht="18.75" hidden="false" customHeight="true" outlineLevel="0" collapsed="false">
      <c r="A56" s="110" t="s">
        <v>2320</v>
      </c>
      <c r="B56" s="110"/>
      <c r="C56" s="110"/>
      <c r="D56" s="113" t="n">
        <f aca="false">MAX(0,E25-E29)</f>
        <v>5000</v>
      </c>
      <c r="E56" s="110"/>
      <c r="F56" s="110"/>
      <c r="G56" s="110"/>
      <c r="H56" s="110"/>
      <c r="I56" s="110"/>
      <c r="J56" s="110"/>
      <c r="K56" s="110"/>
      <c r="L56" s="110"/>
      <c r="M56" s="110"/>
      <c r="N56" s="110"/>
      <c r="O56" s="110"/>
      <c r="P56" s="110"/>
      <c r="Q56" s="110"/>
      <c r="R56" s="110"/>
      <c r="S56" s="110"/>
      <c r="T56" s="110"/>
      <c r="U56" s="110"/>
      <c r="V56" s="110"/>
    </row>
    <row r="57" customFormat="false" ht="18.75" hidden="false" customHeight="true" outlineLevel="0" collapsed="false">
      <c r="A57" s="110" t="s">
        <v>2321</v>
      </c>
      <c r="B57" s="110"/>
      <c r="C57" s="110"/>
      <c r="D57" s="113" t="n">
        <f aca="false">D56*E27</f>
        <v>400</v>
      </c>
      <c r="E57" s="110"/>
      <c r="F57" s="110"/>
      <c r="G57" s="110"/>
      <c r="H57" s="110"/>
      <c r="I57" s="110"/>
      <c r="J57" s="110"/>
      <c r="K57" s="110"/>
      <c r="L57" s="110"/>
      <c r="M57" s="110"/>
      <c r="N57" s="110"/>
      <c r="O57" s="110"/>
      <c r="P57" s="110"/>
      <c r="Q57" s="110"/>
      <c r="R57" s="110"/>
      <c r="S57" s="110"/>
      <c r="T57" s="110"/>
      <c r="U57" s="110"/>
      <c r="V57" s="110"/>
    </row>
    <row r="58" customFormat="false" ht="18.75" hidden="false" customHeight="true" outlineLevel="0" collapsed="false">
      <c r="A58" s="110" t="s">
        <v>2322</v>
      </c>
      <c r="B58" s="110"/>
      <c r="C58" s="110"/>
      <c r="D58" s="113" t="n">
        <f aca="false">MAX(0,D57-D55)</f>
        <v>400</v>
      </c>
      <c r="E58" s="110"/>
      <c r="F58" s="110"/>
      <c r="G58" s="110"/>
      <c r="H58" s="110"/>
      <c r="I58" s="110"/>
      <c r="J58" s="110"/>
      <c r="K58" s="110"/>
      <c r="L58" s="110"/>
      <c r="M58" s="110"/>
      <c r="N58" s="110"/>
      <c r="O58" s="110"/>
      <c r="P58" s="110"/>
      <c r="Q58" s="110"/>
      <c r="R58" s="110"/>
      <c r="S58" s="110"/>
      <c r="T58" s="110"/>
      <c r="U58" s="110"/>
      <c r="V58" s="110"/>
    </row>
    <row r="59" customFormat="false" ht="18.75" hidden="false" customHeight="true" outlineLevel="0" collapsed="false">
      <c r="A59" s="110" t="s">
        <v>2323</v>
      </c>
      <c r="B59" s="110"/>
      <c r="C59" s="110"/>
      <c r="D59" s="113" t="n">
        <f aca="false">MIN(D58,E28)</f>
        <v>400</v>
      </c>
      <c r="E59" s="110"/>
      <c r="F59" s="110"/>
      <c r="G59" s="110"/>
      <c r="H59" s="110"/>
      <c r="I59" s="110"/>
      <c r="J59" s="110"/>
      <c r="K59" s="110"/>
      <c r="L59" s="110"/>
      <c r="M59" s="110"/>
      <c r="N59" s="110"/>
      <c r="O59" s="110"/>
      <c r="P59" s="110"/>
      <c r="Q59" s="110"/>
      <c r="R59" s="110"/>
      <c r="S59" s="110"/>
      <c r="T59" s="110"/>
      <c r="U59" s="110"/>
      <c r="V59" s="110"/>
    </row>
    <row r="60" customFormat="false" ht="18.75" hidden="false" customHeight="true" outlineLevel="0" collapsed="false">
      <c r="A60" s="110" t="s">
        <v>2324</v>
      </c>
      <c r="B60" s="110"/>
      <c r="C60" s="110"/>
      <c r="D60" s="113" t="n">
        <f aca="false">MAX(0,D58-D59)</f>
        <v>0</v>
      </c>
      <c r="E60" s="110"/>
      <c r="F60" s="110"/>
      <c r="G60" s="110"/>
      <c r="H60" s="110"/>
      <c r="I60" s="110"/>
      <c r="J60" s="110"/>
      <c r="K60" s="110"/>
      <c r="L60" s="110"/>
      <c r="M60" s="110"/>
      <c r="N60" s="110"/>
      <c r="O60" s="110"/>
      <c r="P60" s="110"/>
      <c r="Q60" s="110"/>
      <c r="R60" s="110"/>
      <c r="S60" s="110"/>
      <c r="T60" s="110"/>
      <c r="U60" s="110"/>
      <c r="V60" s="110"/>
    </row>
    <row r="61" customFormat="false" ht="18.75" hidden="false" customHeight="true" outlineLevel="0" collapsed="false">
      <c r="A61" s="110" t="s">
        <v>2325</v>
      </c>
      <c r="B61" s="110"/>
      <c r="C61" s="110"/>
      <c r="D61" s="113" t="n">
        <f aca="false">E31*E32</f>
        <v>1295</v>
      </c>
      <c r="E61" s="110"/>
      <c r="F61" s="110"/>
      <c r="G61" s="110"/>
      <c r="H61" s="110"/>
      <c r="I61" s="110"/>
      <c r="J61" s="110"/>
      <c r="K61" s="110"/>
      <c r="L61" s="110"/>
      <c r="M61" s="110"/>
      <c r="N61" s="110"/>
      <c r="O61" s="110"/>
      <c r="P61" s="110"/>
      <c r="Q61" s="110"/>
      <c r="R61" s="110"/>
      <c r="S61" s="110"/>
      <c r="T61" s="110"/>
      <c r="U61" s="110"/>
      <c r="V61" s="110"/>
    </row>
    <row r="62" customFormat="false" ht="18.75" hidden="false" customHeight="true" outlineLevel="0" collapsed="false">
      <c r="A62" s="110" t="s">
        <v>2326</v>
      </c>
      <c r="B62" s="110"/>
      <c r="C62" s="110"/>
      <c r="D62" s="113" t="n">
        <f aca="false">E30</f>
        <v>600</v>
      </c>
      <c r="E62" s="110"/>
      <c r="F62" s="110"/>
      <c r="G62" s="110"/>
      <c r="H62" s="110"/>
      <c r="I62" s="110"/>
      <c r="J62" s="110"/>
      <c r="K62" s="110"/>
      <c r="L62" s="110"/>
      <c r="M62" s="110"/>
      <c r="N62" s="110"/>
      <c r="O62" s="110"/>
      <c r="P62" s="110"/>
      <c r="Q62" s="110"/>
      <c r="R62" s="110"/>
      <c r="S62" s="110"/>
      <c r="T62" s="110"/>
      <c r="U62" s="110"/>
      <c r="V62" s="110"/>
    </row>
    <row r="63" customFormat="false" ht="18.75" hidden="false" customHeight="true" outlineLevel="0" collapsed="false">
      <c r="A63" s="110" t="s">
        <v>2327</v>
      </c>
      <c r="B63" s="110"/>
      <c r="C63" s="110"/>
      <c r="D63" s="113" t="n">
        <f aca="false">D59</f>
        <v>400</v>
      </c>
      <c r="E63" s="110"/>
      <c r="F63" s="110"/>
      <c r="G63" s="110"/>
      <c r="H63" s="110"/>
      <c r="I63" s="110"/>
      <c r="J63" s="110"/>
      <c r="K63" s="110"/>
      <c r="L63" s="110"/>
      <c r="M63" s="110"/>
      <c r="N63" s="110"/>
      <c r="O63" s="110"/>
      <c r="P63" s="110"/>
      <c r="Q63" s="110"/>
      <c r="R63" s="110"/>
      <c r="S63" s="110"/>
      <c r="T63" s="110"/>
      <c r="U63" s="110"/>
      <c r="V63" s="110"/>
    </row>
    <row r="64" customFormat="false" ht="18.75" hidden="false" customHeight="true" outlineLevel="0" collapsed="false">
      <c r="A64" s="110" t="s">
        <v>2328</v>
      </c>
      <c r="B64" s="110"/>
      <c r="C64" s="110"/>
      <c r="D64" s="113" t="n">
        <f aca="false">MIN(E33,E34*(1-E35))</f>
        <v>400</v>
      </c>
      <c r="E64" s="110"/>
      <c r="F64" s="110"/>
      <c r="G64" s="110"/>
      <c r="H64" s="110"/>
      <c r="I64" s="110"/>
      <c r="J64" s="110"/>
      <c r="K64" s="110"/>
      <c r="L64" s="110"/>
      <c r="M64" s="110"/>
      <c r="N64" s="110"/>
      <c r="O64" s="110"/>
      <c r="P64" s="110"/>
      <c r="Q64" s="110"/>
      <c r="R64" s="110"/>
      <c r="S64" s="110"/>
      <c r="T64" s="110"/>
      <c r="U64" s="110"/>
      <c r="V64" s="110"/>
    </row>
    <row r="65" customFormat="false" ht="18.75" hidden="false" customHeight="true" outlineLevel="0" collapsed="false">
      <c r="A65" s="110" t="s">
        <v>2329</v>
      </c>
      <c r="B65" s="110"/>
      <c r="C65" s="110"/>
      <c r="D65" s="113" t="n">
        <f aca="false">MIN(D64,MAX(0,D61-D62-D63))</f>
        <v>295</v>
      </c>
      <c r="E65" s="110"/>
      <c r="F65" s="110"/>
      <c r="G65" s="110"/>
      <c r="H65" s="110"/>
      <c r="I65" s="110"/>
      <c r="J65" s="110"/>
      <c r="K65" s="110"/>
      <c r="L65" s="110"/>
      <c r="M65" s="110"/>
      <c r="N65" s="110"/>
      <c r="O65" s="110"/>
      <c r="P65" s="110"/>
      <c r="Q65" s="110"/>
      <c r="R65" s="110"/>
      <c r="S65" s="110"/>
      <c r="T65" s="110"/>
      <c r="U65" s="110"/>
      <c r="V65" s="110"/>
    </row>
    <row r="66" customFormat="false" ht="18.75" hidden="false" customHeight="true" outlineLevel="0" collapsed="false">
      <c r="A66" s="110" t="s">
        <v>2330</v>
      </c>
      <c r="B66" s="110"/>
      <c r="C66" s="110"/>
      <c r="D66" s="113" t="n">
        <f aca="false">MAX(0,D61-D62-D63-D65)</f>
        <v>0</v>
      </c>
      <c r="E66" s="110"/>
      <c r="F66" s="110"/>
      <c r="G66" s="110"/>
      <c r="H66" s="110"/>
      <c r="I66" s="110"/>
      <c r="J66" s="110"/>
      <c r="K66" s="110"/>
      <c r="L66" s="110"/>
      <c r="M66" s="110"/>
      <c r="N66" s="110"/>
      <c r="O66" s="110"/>
      <c r="P66" s="110"/>
      <c r="Q66" s="110"/>
      <c r="R66" s="110"/>
      <c r="S66" s="110"/>
      <c r="T66" s="110"/>
      <c r="U66" s="110"/>
      <c r="V66" s="110"/>
    </row>
    <row r="67" customFormat="false" ht="18.75" hidden="false" customHeight="true" outlineLevel="0" collapsed="false">
      <c r="A67" s="110"/>
      <c r="B67" s="110"/>
      <c r="C67" s="110"/>
      <c r="D67" s="113"/>
      <c r="E67" s="110"/>
      <c r="F67" s="110"/>
      <c r="G67" s="110"/>
      <c r="H67" s="110"/>
      <c r="I67" s="110"/>
      <c r="J67" s="110"/>
      <c r="K67" s="110"/>
      <c r="L67" s="110"/>
      <c r="M67" s="110"/>
      <c r="N67" s="110"/>
      <c r="O67" s="110"/>
      <c r="P67" s="110"/>
      <c r="Q67" s="110"/>
      <c r="R67" s="110"/>
      <c r="S67" s="110"/>
      <c r="T67" s="110"/>
      <c r="U67" s="110"/>
      <c r="V67" s="110"/>
    </row>
    <row r="68" customFormat="false" ht="18.75" hidden="false" customHeight="true" outlineLevel="0" collapsed="false">
      <c r="A68" s="110"/>
      <c r="B68" s="110"/>
      <c r="C68" s="110"/>
      <c r="D68" s="113"/>
      <c r="E68" s="110"/>
      <c r="F68" s="110"/>
      <c r="G68" s="110"/>
      <c r="H68" s="110"/>
      <c r="I68" s="110"/>
      <c r="J68" s="110"/>
      <c r="K68" s="110"/>
      <c r="L68" s="110"/>
      <c r="M68" s="110"/>
      <c r="N68" s="110"/>
      <c r="O68" s="110"/>
      <c r="P68" s="110"/>
      <c r="Q68" s="110"/>
      <c r="R68" s="110"/>
      <c r="S68" s="110"/>
      <c r="T68" s="110"/>
      <c r="U68" s="110"/>
      <c r="V68" s="110"/>
    </row>
    <row r="69" customFormat="false" ht="48" hidden="false" customHeight="true" outlineLevel="0" collapsed="false">
      <c r="A69" s="90" t="s">
        <v>2331</v>
      </c>
      <c r="B69" s="90" t="s">
        <v>2332</v>
      </c>
      <c r="C69" s="90" t="s">
        <v>2333</v>
      </c>
      <c r="D69" s="123" t="s">
        <v>2334</v>
      </c>
      <c r="E69" s="90" t="s">
        <v>2335</v>
      </c>
      <c r="F69" s="90" t="s">
        <v>2336</v>
      </c>
      <c r="G69" s="90" t="s">
        <v>2337</v>
      </c>
      <c r="H69" s="90" t="s">
        <v>2338</v>
      </c>
      <c r="I69" s="90" t="s">
        <v>2339</v>
      </c>
      <c r="J69" s="90" t="s">
        <v>2340</v>
      </c>
      <c r="K69" s="90" t="s">
        <v>2341</v>
      </c>
      <c r="L69" s="90" t="s">
        <v>2342</v>
      </c>
      <c r="M69" s="90" t="s">
        <v>2343</v>
      </c>
      <c r="N69" s="90" t="s">
        <v>2344</v>
      </c>
      <c r="O69" s="90" t="s">
        <v>2345</v>
      </c>
      <c r="P69" s="90" t="s">
        <v>2346</v>
      </c>
      <c r="Q69" s="90" t="s">
        <v>2347</v>
      </c>
      <c r="R69" s="90" t="s">
        <v>2348</v>
      </c>
      <c r="S69" s="90" t="s">
        <v>2349</v>
      </c>
      <c r="T69" s="90" t="s">
        <v>2350</v>
      </c>
      <c r="U69" s="90" t="s">
        <v>2351</v>
      </c>
      <c r="V69" s="90" t="s">
        <v>2352</v>
      </c>
    </row>
    <row r="70" customFormat="false" ht="18.75" hidden="false" customHeight="true" outlineLevel="0" collapsed="false">
      <c r="A70" s="124" t="n">
        <v>1</v>
      </c>
      <c r="B70" s="125" t="n">
        <f aca="false">IF(AND(A70&gt;=4,A70&lt;=6),$E$39*$E$40*CHOOSE(A70-3,0.4,0.35,0.25),0)</f>
        <v>0</v>
      </c>
      <c r="C70" s="125" t="n">
        <f aca="false">IF(AND(A70&gt;=4,A70&lt;=6),$E$41/3,0)</f>
        <v>0</v>
      </c>
      <c r="D70" s="125" t="n">
        <f aca="false">IF(AND(A70&gt;=4,A70&lt;=6),$E$43*CHOOSE(A70-3,0.5,0.35,0.15),0)</f>
        <v>0</v>
      </c>
      <c r="E70" s="125" t="n">
        <f aca="false">Japan!$X$86*(jp_coupon+jp_foreign_repay)/12+IF(A70=12,$J$89,0)</f>
        <v>3.68322249126965</v>
      </c>
      <c r="F70" s="125" t="n">
        <f aca="false">IF(AND(A70&gt;=4,A70&lt;=6),$E$42/3,IF(A70&gt;=7,$E$52,0))</f>
        <v>0</v>
      </c>
      <c r="G70" s="125" t="n">
        <f aca="false">SUM(B70:E70)-F70</f>
        <v>3.68322249126965</v>
      </c>
      <c r="H70" s="125" t="n">
        <f aca="false">$E$44+$E$45</f>
        <v>550</v>
      </c>
      <c r="I70" s="125" t="n">
        <f aca="false">MIN(H70,MAX(0,G70))</f>
        <v>3.68322249126965</v>
      </c>
      <c r="J70" s="125" t="n">
        <f aca="false">H70-I70</f>
        <v>546.31677750873</v>
      </c>
      <c r="K70" s="125" t="n">
        <f aca="false">$E$36</f>
        <v>1500</v>
      </c>
      <c r="L70" s="125" t="n">
        <f aca="false">$E$41/3*$E$37</f>
        <v>375</v>
      </c>
      <c r="M70" s="125" t="n">
        <f aca="false">G70-I70</f>
        <v>0</v>
      </c>
      <c r="N70" s="125" t="n">
        <f aca="false">$E$36-M70</f>
        <v>1500</v>
      </c>
      <c r="O70" s="125" t="n">
        <f aca="false">MAX(0,L70-K70+M70)</f>
        <v>0</v>
      </c>
      <c r="P70" s="125" t="n">
        <f aca="false">IF(AND(A70&gt;=4,A70&lt;=6),MIN(O70,MAX(0,$D$21-SUM(P$69:P69))),0)</f>
        <v>0</v>
      </c>
      <c r="Q70" s="125" t="n">
        <f aca="false">K70-M70+P70</f>
        <v>1500</v>
      </c>
      <c r="R70" s="125" t="n">
        <f aca="false">Q70-L70</f>
        <v>1125</v>
      </c>
      <c r="S70" s="125" t="n">
        <f aca="false">MAX(0,-R70)</f>
        <v>0</v>
      </c>
      <c r="T70" s="125" t="n">
        <f aca="false">SUM(P$70:P70)</f>
        <v>0</v>
      </c>
      <c r="U70" s="125" t="n">
        <f aca="false">IF(A70&gt;=4,$D$65,0)</f>
        <v>0</v>
      </c>
      <c r="V70" s="125" t="n">
        <f aca="false">N70-L70</f>
        <v>1125</v>
      </c>
    </row>
    <row r="71" customFormat="false" ht="18.75" hidden="false" customHeight="true" outlineLevel="0" collapsed="false">
      <c r="A71" s="124" t="n">
        <v>2</v>
      </c>
      <c r="B71" s="125" t="n">
        <f aca="false">IF(AND(A71&gt;=4,A71&lt;=6),$E$39*$E$40*CHOOSE(A71-3,0.4,0.35,0.25),0)</f>
        <v>0</v>
      </c>
      <c r="C71" s="125" t="n">
        <f aca="false">IF(AND(A71&gt;=4,A71&lt;=6),$E$41/3,0)</f>
        <v>0</v>
      </c>
      <c r="D71" s="125" t="n">
        <f aca="false">IF(AND(A71&gt;=4,A71&lt;=6),$E$43*CHOOSE(A71-3,0.5,0.35,0.15),0)</f>
        <v>0</v>
      </c>
      <c r="E71" s="125" t="n">
        <f aca="false">Japan!$X$86*(jp_coupon+jp_foreign_repay)/12+IF(A71=12,$J$89,0)</f>
        <v>3.68322249126965</v>
      </c>
      <c r="F71" s="125" t="n">
        <f aca="false">IF(AND(A71&gt;=4,A71&lt;=6),$E$42/3,IF(A71&gt;=7,$E$52,0))</f>
        <v>0</v>
      </c>
      <c r="G71" s="125" t="n">
        <f aca="false">SUM(B71:E71)-F71</f>
        <v>3.68322249126965</v>
      </c>
      <c r="H71" s="125" t="n">
        <f aca="false">J70</f>
        <v>546.31677750873</v>
      </c>
      <c r="I71" s="125" t="n">
        <f aca="false">MIN(H71,MAX(0,G71))</f>
        <v>3.68322249126965</v>
      </c>
      <c r="J71" s="125" t="n">
        <f aca="false">H71-I71</f>
        <v>542.633555017461</v>
      </c>
      <c r="K71" s="125" t="n">
        <f aca="false">Q70</f>
        <v>1500</v>
      </c>
      <c r="L71" s="125" t="n">
        <f aca="false">$E$41/3*$E$37</f>
        <v>375</v>
      </c>
      <c r="M71" s="125" t="n">
        <f aca="false">G71-I71</f>
        <v>0</v>
      </c>
      <c r="N71" s="125" t="n">
        <f aca="false">N70-M71</f>
        <v>1500</v>
      </c>
      <c r="O71" s="125" t="n">
        <f aca="false">MAX(0,L71-K71+M71)</f>
        <v>0</v>
      </c>
      <c r="P71" s="125" t="n">
        <f aca="false">IF(AND(A71&gt;=4,A71&lt;=6),MIN(O71,MAX(0,$D$21-SUM(P$69:P70))),0)</f>
        <v>0</v>
      </c>
      <c r="Q71" s="125" t="n">
        <f aca="false">K71-M71+P71</f>
        <v>1500</v>
      </c>
      <c r="R71" s="125" t="n">
        <f aca="false">Q71-L71</f>
        <v>1125</v>
      </c>
      <c r="S71" s="125" t="n">
        <f aca="false">MAX(0,-R71)</f>
        <v>0</v>
      </c>
      <c r="T71" s="125" t="n">
        <f aca="false">SUM(P$70:P71)</f>
        <v>0</v>
      </c>
      <c r="U71" s="125" t="n">
        <f aca="false">IF(A71&gt;=4,$D$65,0)</f>
        <v>0</v>
      </c>
      <c r="V71" s="125" t="n">
        <f aca="false">N71-L71</f>
        <v>1125</v>
      </c>
    </row>
    <row r="72" customFormat="false" ht="18.75" hidden="false" customHeight="true" outlineLevel="0" collapsed="false">
      <c r="A72" s="124" t="n">
        <v>3</v>
      </c>
      <c r="B72" s="125" t="n">
        <f aca="false">IF(AND(A72&gt;=4,A72&lt;=6),$E$39*$E$40*CHOOSE(A72-3,0.4,0.35,0.25),0)</f>
        <v>0</v>
      </c>
      <c r="C72" s="125" t="n">
        <f aca="false">IF(AND(A72&gt;=4,A72&lt;=6),$E$41/3,0)</f>
        <v>0</v>
      </c>
      <c r="D72" s="125" t="n">
        <f aca="false">IF(AND(A72&gt;=4,A72&lt;=6),$E$43*CHOOSE(A72-3,0.5,0.35,0.15),0)</f>
        <v>0</v>
      </c>
      <c r="E72" s="125" t="n">
        <f aca="false">Japan!$X$86*(jp_coupon+jp_foreign_repay)/12+IF(A72=12,$J$89,0)</f>
        <v>3.68322249126965</v>
      </c>
      <c r="F72" s="125" t="n">
        <f aca="false">IF(AND(A72&gt;=4,A72&lt;=6),$E$42/3,IF(A72&gt;=7,$E$52,0))</f>
        <v>0</v>
      </c>
      <c r="G72" s="125" t="n">
        <f aca="false">SUM(B72:E72)-F72</f>
        <v>3.68322249126965</v>
      </c>
      <c r="H72" s="125" t="n">
        <f aca="false">J71</f>
        <v>542.633555017461</v>
      </c>
      <c r="I72" s="125" t="n">
        <f aca="false">MIN(H72,MAX(0,G72))</f>
        <v>3.68322249126965</v>
      </c>
      <c r="J72" s="125" t="n">
        <f aca="false">H72-I72</f>
        <v>538.950332526191</v>
      </c>
      <c r="K72" s="125" t="n">
        <f aca="false">Q71</f>
        <v>1500</v>
      </c>
      <c r="L72" s="125" t="n">
        <f aca="false">$E$41/3*$E$37</f>
        <v>375</v>
      </c>
      <c r="M72" s="125" t="n">
        <f aca="false">G72-I72</f>
        <v>0</v>
      </c>
      <c r="N72" s="125" t="n">
        <f aca="false">N71-M72</f>
        <v>1500</v>
      </c>
      <c r="O72" s="125" t="n">
        <f aca="false">MAX(0,L72-K72+M72)</f>
        <v>0</v>
      </c>
      <c r="P72" s="125" t="n">
        <f aca="false">IF(AND(A72&gt;=4,A72&lt;=6),MIN(O72,MAX(0,$D$21-SUM(P$69:P71))),0)</f>
        <v>0</v>
      </c>
      <c r="Q72" s="125" t="n">
        <f aca="false">K72-M72+P72</f>
        <v>1500</v>
      </c>
      <c r="R72" s="125" t="n">
        <f aca="false">Q72-L72</f>
        <v>1125</v>
      </c>
      <c r="S72" s="125" t="n">
        <f aca="false">MAX(0,-R72)</f>
        <v>0</v>
      </c>
      <c r="T72" s="125" t="n">
        <f aca="false">SUM(P$70:P72)</f>
        <v>0</v>
      </c>
      <c r="U72" s="125" t="n">
        <f aca="false">IF(A72&gt;=4,$D$65,0)</f>
        <v>0</v>
      </c>
      <c r="V72" s="125" t="n">
        <f aca="false">N72-L72</f>
        <v>1125</v>
      </c>
    </row>
    <row r="73" customFormat="false" ht="18.75" hidden="false" customHeight="true" outlineLevel="0" collapsed="false">
      <c r="A73" s="124" t="n">
        <v>4</v>
      </c>
      <c r="B73" s="125" t="n">
        <f aca="false">IF(AND(A73&gt;=4,A73&lt;=6),$E$39*$E$40*CHOOSE(A73-3,0.4,0.35,0.25),0)</f>
        <v>600</v>
      </c>
      <c r="C73" s="125" t="n">
        <f aca="false">IF(AND(A73&gt;=4,A73&lt;=6),$E$41/3,0)</f>
        <v>250</v>
      </c>
      <c r="D73" s="125" t="n">
        <f aca="false">IF(AND(A73&gt;=4,A73&lt;=6),$E$43*CHOOSE(A73-3,0.5,0.35,0.15),0)</f>
        <v>250</v>
      </c>
      <c r="E73" s="125" t="n">
        <f aca="false">Japan!$X$86*(jp_coupon+jp_foreign_repay)/12+IF(A73=12,$J$89,0)</f>
        <v>3.68322249126965</v>
      </c>
      <c r="F73" s="125" t="n">
        <f aca="false">IF(AND(A73&gt;=4,A73&lt;=6),$E$42/3,IF(A73&gt;=7,$E$52,0))</f>
        <v>200</v>
      </c>
      <c r="G73" s="125" t="n">
        <f aca="false">SUM(B73:E73)-F73</f>
        <v>903.68322249127</v>
      </c>
      <c r="H73" s="125" t="n">
        <f aca="false">J72</f>
        <v>538.950332526191</v>
      </c>
      <c r="I73" s="125" t="n">
        <f aca="false">MIN(H73,MAX(0,G73))</f>
        <v>538.950332526191</v>
      </c>
      <c r="J73" s="125" t="n">
        <f aca="false">H73-I73</f>
        <v>0</v>
      </c>
      <c r="K73" s="125" t="n">
        <f aca="false">Q72</f>
        <v>1500</v>
      </c>
      <c r="L73" s="125" t="n">
        <f aca="false">$E$41/3*$E$37</f>
        <v>375</v>
      </c>
      <c r="M73" s="125" t="n">
        <f aca="false">G73-I73</f>
        <v>364.732889965079</v>
      </c>
      <c r="N73" s="125" t="n">
        <f aca="false">N72-M73</f>
        <v>1135.26711003492</v>
      </c>
      <c r="O73" s="125" t="n">
        <f aca="false">MAX(0,L73-K73+M73)</f>
        <v>0</v>
      </c>
      <c r="P73" s="125" t="n">
        <f aca="false">IF(AND(A73&gt;=4,A73&lt;=6),MIN(O73,MAX(0,$D$21-SUM(P$69:P72))),0)</f>
        <v>0</v>
      </c>
      <c r="Q73" s="125" t="n">
        <f aca="false">K73-M73+P73</f>
        <v>1135.26711003492</v>
      </c>
      <c r="R73" s="125" t="n">
        <f aca="false">Q73-L73</f>
        <v>760.267110034921</v>
      </c>
      <c r="S73" s="125" t="n">
        <f aca="false">MAX(0,-R73)</f>
        <v>0</v>
      </c>
      <c r="T73" s="125" t="n">
        <f aca="false">SUM(P$70:P73)</f>
        <v>0</v>
      </c>
      <c r="U73" s="125" t="n">
        <f aca="false">IF(A73&gt;=4,$D$65,0)</f>
        <v>295</v>
      </c>
      <c r="V73" s="125" t="n">
        <f aca="false">N73-L73</f>
        <v>760.267110034921</v>
      </c>
    </row>
    <row r="74" customFormat="false" ht="18.75" hidden="false" customHeight="true" outlineLevel="0" collapsed="false">
      <c r="A74" s="124" t="n">
        <v>5</v>
      </c>
      <c r="B74" s="125" t="n">
        <f aca="false">IF(AND(A74&gt;=4,A74&lt;=6),$E$39*$E$40*CHOOSE(A74-3,0.4,0.35,0.25),0)</f>
        <v>525</v>
      </c>
      <c r="C74" s="125" t="n">
        <f aca="false">IF(AND(A74&gt;=4,A74&lt;=6),$E$41/3,0)</f>
        <v>250</v>
      </c>
      <c r="D74" s="125" t="n">
        <f aca="false">IF(AND(A74&gt;=4,A74&lt;=6),$E$43*CHOOSE(A74-3,0.5,0.35,0.15),0)</f>
        <v>175</v>
      </c>
      <c r="E74" s="125" t="n">
        <f aca="false">Japan!$X$86*(jp_coupon+jp_foreign_repay)/12+IF(A74=12,$J$89,0)</f>
        <v>3.68322249126965</v>
      </c>
      <c r="F74" s="125" t="n">
        <f aca="false">IF(AND(A74&gt;=4,A74&lt;=6),$E$42/3,IF(A74&gt;=7,$E$52,0))</f>
        <v>200</v>
      </c>
      <c r="G74" s="125" t="n">
        <f aca="false">SUM(B74:E74)-F74</f>
        <v>753.68322249127</v>
      </c>
      <c r="H74" s="125" t="n">
        <f aca="false">J73</f>
        <v>0</v>
      </c>
      <c r="I74" s="125" t="n">
        <f aca="false">MIN(H74,MAX(0,G74))</f>
        <v>0</v>
      </c>
      <c r="J74" s="125" t="n">
        <f aca="false">H74-I74</f>
        <v>0</v>
      </c>
      <c r="K74" s="125" t="n">
        <f aca="false">Q73</f>
        <v>1135.26711003492</v>
      </c>
      <c r="L74" s="125" t="n">
        <f aca="false">$E$41/3*$E$37</f>
        <v>375</v>
      </c>
      <c r="M74" s="125" t="n">
        <f aca="false">G74-I74</f>
        <v>753.68322249127</v>
      </c>
      <c r="N74" s="125" t="n">
        <f aca="false">N73-M74</f>
        <v>381.583887543652</v>
      </c>
      <c r="O74" s="125" t="n">
        <f aca="false">MAX(0,L74-K74+M74)</f>
        <v>0</v>
      </c>
      <c r="P74" s="125" t="n">
        <f aca="false">IF(AND(A74&gt;=4,A74&lt;=6),MIN(O74,MAX(0,$D$21-SUM(P$69:P73))),0)</f>
        <v>0</v>
      </c>
      <c r="Q74" s="125" t="n">
        <f aca="false">K74-M74+P74</f>
        <v>381.583887543652</v>
      </c>
      <c r="R74" s="125" t="n">
        <f aca="false">Q74-L74</f>
        <v>6.58388754365149</v>
      </c>
      <c r="S74" s="125" t="n">
        <f aca="false">MAX(0,-R74)</f>
        <v>0</v>
      </c>
      <c r="T74" s="125" t="n">
        <f aca="false">SUM(P$70:P74)</f>
        <v>0</v>
      </c>
      <c r="U74" s="125" t="n">
        <f aca="false">IF(A74&gt;=4,$D$65,0)</f>
        <v>295</v>
      </c>
      <c r="V74" s="125" t="n">
        <f aca="false">N74-L74</f>
        <v>6.58388754365149</v>
      </c>
    </row>
    <row r="75" customFormat="false" ht="18.75" hidden="false" customHeight="true" outlineLevel="0" collapsed="false">
      <c r="A75" s="124" t="n">
        <v>6</v>
      </c>
      <c r="B75" s="125" t="n">
        <f aca="false">IF(AND(A75&gt;=4,A75&lt;=6),$E$39*$E$40*CHOOSE(A75-3,0.4,0.35,0.25),0)</f>
        <v>375</v>
      </c>
      <c r="C75" s="125" t="n">
        <f aca="false">IF(AND(A75&gt;=4,A75&lt;=6),$E$41/3,0)</f>
        <v>250</v>
      </c>
      <c r="D75" s="125" t="n">
        <f aca="false">IF(AND(A75&gt;=4,A75&lt;=6),$E$43*CHOOSE(A75-3,0.5,0.35,0.15),0)</f>
        <v>75</v>
      </c>
      <c r="E75" s="125" t="n">
        <f aca="false">Japan!$X$86*(jp_coupon+jp_foreign_repay)/12+IF(A75=12,$J$89,0)</f>
        <v>3.68322249126965</v>
      </c>
      <c r="F75" s="125" t="n">
        <f aca="false">IF(AND(A75&gt;=4,A75&lt;=6),$E$42/3,IF(A75&gt;=7,$E$52,0))</f>
        <v>200</v>
      </c>
      <c r="G75" s="125" t="n">
        <f aca="false">SUM(B75:E75)-F75</f>
        <v>503.68322249127</v>
      </c>
      <c r="H75" s="125" t="n">
        <f aca="false">J74</f>
        <v>0</v>
      </c>
      <c r="I75" s="125" t="n">
        <f aca="false">MIN(H75,MAX(0,G75))</f>
        <v>0</v>
      </c>
      <c r="J75" s="125" t="n">
        <f aca="false">H75-I75</f>
        <v>0</v>
      </c>
      <c r="K75" s="125" t="n">
        <f aca="false">Q74</f>
        <v>381.583887543652</v>
      </c>
      <c r="L75" s="125" t="n">
        <f aca="false">$E$41/3*$E$37</f>
        <v>375</v>
      </c>
      <c r="M75" s="125" t="n">
        <f aca="false">G75-I75</f>
        <v>503.68322249127</v>
      </c>
      <c r="N75" s="125" t="n">
        <f aca="false">N74-M75</f>
        <v>-122.099334947618</v>
      </c>
      <c r="O75" s="125" t="n">
        <f aca="false">MAX(0,L75-K75+M75)</f>
        <v>497.099334947618</v>
      </c>
      <c r="P75" s="125" t="n">
        <f aca="false">IF(AND(A75&gt;=4,A75&lt;=6),MIN(O75,MAX(0,$D$21-SUM(P$69:P74))),0)</f>
        <v>497.099334947618</v>
      </c>
      <c r="Q75" s="125" t="n">
        <f aca="false">K75-M75+P75</f>
        <v>375</v>
      </c>
      <c r="R75" s="125" t="n">
        <f aca="false">Q75-L75</f>
        <v>0</v>
      </c>
      <c r="S75" s="125" t="n">
        <f aca="false">MAX(0,-R75)</f>
        <v>-0</v>
      </c>
      <c r="T75" s="125" t="n">
        <f aca="false">SUM(P$70:P75)</f>
        <v>497.099334947618</v>
      </c>
      <c r="U75" s="125" t="n">
        <f aca="false">IF(A75&gt;=4,$D$65,0)</f>
        <v>295</v>
      </c>
      <c r="V75" s="125" t="n">
        <f aca="false">N75-L75</f>
        <v>-497.099334947618</v>
      </c>
    </row>
    <row r="76" customFormat="false" ht="18.75" hidden="false" customHeight="true" outlineLevel="0" collapsed="false">
      <c r="A76" s="124" t="n">
        <v>7</v>
      </c>
      <c r="B76" s="125" t="n">
        <f aca="false">IF(AND(A76&gt;=4,A76&lt;=6),$E$39*$E$40*CHOOSE(A76-3,0.4,0.35,0.25),0)</f>
        <v>0</v>
      </c>
      <c r="C76" s="125" t="n">
        <f aca="false">IF(AND(A76&gt;=4,A76&lt;=6),$E$41/3,0)</f>
        <v>0</v>
      </c>
      <c r="D76" s="125" t="n">
        <f aca="false">IF(AND(A76&gt;=4,A76&lt;=6),$E$43*CHOOSE(A76-3,0.5,0.35,0.15),0)</f>
        <v>0</v>
      </c>
      <c r="E76" s="125" t="n">
        <f aca="false">Japan!$X$86*(jp_coupon+jp_foreign_repay)/12+IF(A76=12,$J$89,0)</f>
        <v>3.68322249126965</v>
      </c>
      <c r="F76" s="125" t="n">
        <f aca="false">IF(AND(A76&gt;=4,A76&lt;=6),$E$42/3,IF(A76&gt;=7,$E$52,0))</f>
        <v>100</v>
      </c>
      <c r="G76" s="125" t="n">
        <f aca="false">SUM(B76:E76)-F76</f>
        <v>-96.3167775087304</v>
      </c>
      <c r="H76" s="125" t="n">
        <f aca="false">J75</f>
        <v>0</v>
      </c>
      <c r="I76" s="125" t="n">
        <f aca="false">MIN(H76,MAX(0,G76))</f>
        <v>0</v>
      </c>
      <c r="J76" s="125" t="n">
        <f aca="false">H76-I76</f>
        <v>0</v>
      </c>
      <c r="K76" s="125" t="n">
        <f aca="false">Q75</f>
        <v>375</v>
      </c>
      <c r="L76" s="125" t="n">
        <f aca="false">$E$41/3*$E$37</f>
        <v>375</v>
      </c>
      <c r="M76" s="125" t="n">
        <f aca="false">G76-I76</f>
        <v>-96.3167775087304</v>
      </c>
      <c r="N76" s="125" t="n">
        <f aca="false">N75-M76</f>
        <v>-25.7825574388879</v>
      </c>
      <c r="O76" s="125" t="n">
        <f aca="false">MAX(0,L76-K76+M76)</f>
        <v>0</v>
      </c>
      <c r="P76" s="125" t="n">
        <f aca="false">IF(AND(A76&gt;=4,A76&lt;=6),MIN(O76,MAX(0,$D$21-SUM(P$69:P75))),0)</f>
        <v>0</v>
      </c>
      <c r="Q76" s="125" t="n">
        <f aca="false">K76-M76+P76</f>
        <v>471.31677750873</v>
      </c>
      <c r="R76" s="125" t="n">
        <f aca="false">Q76-L76</f>
        <v>96.3167775087304</v>
      </c>
      <c r="S76" s="125" t="n">
        <f aca="false">MAX(0,-R76)</f>
        <v>0</v>
      </c>
      <c r="T76" s="125" t="n">
        <f aca="false">SUM(P$70:P76)</f>
        <v>497.099334947618</v>
      </c>
      <c r="U76" s="125" t="n">
        <f aca="false">IF(A76&gt;=4,$D$65,0)</f>
        <v>295</v>
      </c>
      <c r="V76" s="125" t="n">
        <f aca="false">N76-L76</f>
        <v>-400.782557438888</v>
      </c>
    </row>
    <row r="77" customFormat="false" ht="18.75" hidden="false" customHeight="true" outlineLevel="0" collapsed="false">
      <c r="A77" s="124" t="n">
        <v>8</v>
      </c>
      <c r="B77" s="125" t="n">
        <f aca="false">IF(AND(A77&gt;=4,A77&lt;=6),$E$39*$E$40*CHOOSE(A77-3,0.4,0.35,0.25),0)</f>
        <v>0</v>
      </c>
      <c r="C77" s="125" t="n">
        <f aca="false">IF(AND(A77&gt;=4,A77&lt;=6),$E$41/3,0)</f>
        <v>0</v>
      </c>
      <c r="D77" s="125" t="n">
        <f aca="false">IF(AND(A77&gt;=4,A77&lt;=6),$E$43*CHOOSE(A77-3,0.5,0.35,0.15),0)</f>
        <v>0</v>
      </c>
      <c r="E77" s="125" t="n">
        <f aca="false">Japan!$X$86*(jp_coupon+jp_foreign_repay)/12+IF(A77=12,$J$89,0)</f>
        <v>3.68322249126965</v>
      </c>
      <c r="F77" s="125" t="n">
        <f aca="false">IF(AND(A77&gt;=4,A77&lt;=6),$E$42/3,IF(A77&gt;=7,$E$52,0))</f>
        <v>100</v>
      </c>
      <c r="G77" s="125" t="n">
        <f aca="false">SUM(B77:E77)-F77</f>
        <v>-96.3167775087304</v>
      </c>
      <c r="H77" s="125" t="n">
        <f aca="false">J76</f>
        <v>0</v>
      </c>
      <c r="I77" s="125" t="n">
        <f aca="false">MIN(H77,MAX(0,G77))</f>
        <v>0</v>
      </c>
      <c r="J77" s="125" t="n">
        <f aca="false">H77-I77</f>
        <v>0</v>
      </c>
      <c r="K77" s="125" t="n">
        <f aca="false">Q76</f>
        <v>471.31677750873</v>
      </c>
      <c r="L77" s="125" t="n">
        <f aca="false">$E$41/3*$E$37</f>
        <v>375</v>
      </c>
      <c r="M77" s="125" t="n">
        <f aca="false">G77-I77</f>
        <v>-96.3167775087304</v>
      </c>
      <c r="N77" s="125" t="n">
        <f aca="false">N76-M77</f>
        <v>70.5342200698425</v>
      </c>
      <c r="O77" s="125" t="n">
        <f aca="false">MAX(0,L77-K77+M77)</f>
        <v>0</v>
      </c>
      <c r="P77" s="125" t="n">
        <f aca="false">IF(AND(A77&gt;=4,A77&lt;=6),MIN(O77,MAX(0,$D$21-SUM(P$69:P76))),0)</f>
        <v>0</v>
      </c>
      <c r="Q77" s="125" t="n">
        <f aca="false">K77-M77+P77</f>
        <v>567.633555017461</v>
      </c>
      <c r="R77" s="125" t="n">
        <f aca="false">Q77-L77</f>
        <v>192.633555017461</v>
      </c>
      <c r="S77" s="125" t="n">
        <f aca="false">MAX(0,-R77)</f>
        <v>0</v>
      </c>
      <c r="T77" s="125" t="n">
        <f aca="false">SUM(P$70:P77)</f>
        <v>497.099334947618</v>
      </c>
      <c r="U77" s="125" t="n">
        <f aca="false">IF(A77&gt;=4,$D$65,0)</f>
        <v>295</v>
      </c>
      <c r="V77" s="125" t="n">
        <f aca="false">N77-L77</f>
        <v>-304.465779930158</v>
      </c>
    </row>
    <row r="78" customFormat="false" ht="18.75" hidden="false" customHeight="true" outlineLevel="0" collapsed="false">
      <c r="A78" s="124" t="n">
        <v>9</v>
      </c>
      <c r="B78" s="125" t="n">
        <f aca="false">IF(AND(A78&gt;=4,A78&lt;=6),$E$39*$E$40*CHOOSE(A78-3,0.4,0.35,0.25),0)</f>
        <v>0</v>
      </c>
      <c r="C78" s="125" t="n">
        <f aca="false">IF(AND(A78&gt;=4,A78&lt;=6),$E$41/3,0)</f>
        <v>0</v>
      </c>
      <c r="D78" s="125" t="n">
        <f aca="false">IF(AND(A78&gt;=4,A78&lt;=6),$E$43*CHOOSE(A78-3,0.5,0.35,0.15),0)</f>
        <v>0</v>
      </c>
      <c r="E78" s="125" t="n">
        <f aca="false">Japan!$X$86*(jp_coupon+jp_foreign_repay)/12+IF(A78=12,$J$89,0)</f>
        <v>3.68322249126965</v>
      </c>
      <c r="F78" s="125" t="n">
        <f aca="false">IF(AND(A78&gt;=4,A78&lt;=6),$E$42/3,IF(A78&gt;=7,$E$52,0))</f>
        <v>100</v>
      </c>
      <c r="G78" s="125" t="n">
        <f aca="false">SUM(B78:E78)-F78</f>
        <v>-96.3167775087304</v>
      </c>
      <c r="H78" s="125" t="n">
        <f aca="false">J77</f>
        <v>0</v>
      </c>
      <c r="I78" s="125" t="n">
        <f aca="false">MIN(H78,MAX(0,G78))</f>
        <v>0</v>
      </c>
      <c r="J78" s="125" t="n">
        <f aca="false">H78-I78</f>
        <v>0</v>
      </c>
      <c r="K78" s="125" t="n">
        <f aca="false">Q77</f>
        <v>567.633555017461</v>
      </c>
      <c r="L78" s="125" t="n">
        <f aca="false">$E$41/3*$E$37</f>
        <v>375</v>
      </c>
      <c r="M78" s="125" t="n">
        <f aca="false">G78-I78</f>
        <v>-96.3167775087304</v>
      </c>
      <c r="N78" s="125" t="n">
        <f aca="false">N77-M78</f>
        <v>166.850997578573</v>
      </c>
      <c r="O78" s="125" t="n">
        <f aca="false">MAX(0,L78-K78+M78)</f>
        <v>0</v>
      </c>
      <c r="P78" s="125" t="n">
        <f aca="false">IF(AND(A78&gt;=4,A78&lt;=6),MIN(O78,MAX(0,$D$21-SUM(P$69:P77))),0)</f>
        <v>0</v>
      </c>
      <c r="Q78" s="125" t="n">
        <f aca="false">K78-M78+P78</f>
        <v>663.950332526191</v>
      </c>
      <c r="R78" s="125" t="n">
        <f aca="false">Q78-L78</f>
        <v>288.950332526191</v>
      </c>
      <c r="S78" s="125" t="n">
        <f aca="false">MAX(0,-R78)</f>
        <v>0</v>
      </c>
      <c r="T78" s="125" t="n">
        <f aca="false">SUM(P$70:P78)</f>
        <v>497.099334947618</v>
      </c>
      <c r="U78" s="125" t="n">
        <f aca="false">IF(A78&gt;=4,$D$65,0)</f>
        <v>295</v>
      </c>
      <c r="V78" s="125" t="n">
        <f aca="false">N78-L78</f>
        <v>-208.149002421427</v>
      </c>
    </row>
    <row r="79" customFormat="false" ht="18.75" hidden="false" customHeight="true" outlineLevel="0" collapsed="false">
      <c r="A79" s="124" t="n">
        <v>10</v>
      </c>
      <c r="B79" s="125" t="n">
        <f aca="false">IF(AND(A79&gt;=4,A79&lt;=6),$E$39*$E$40*CHOOSE(A79-3,0.4,0.35,0.25),0)</f>
        <v>0</v>
      </c>
      <c r="C79" s="125" t="n">
        <f aca="false">IF(AND(A79&gt;=4,A79&lt;=6),$E$41/3,0)</f>
        <v>0</v>
      </c>
      <c r="D79" s="125" t="n">
        <f aca="false">IF(AND(A79&gt;=4,A79&lt;=6),$E$43*CHOOSE(A79-3,0.5,0.35,0.15),0)</f>
        <v>0</v>
      </c>
      <c r="E79" s="125" t="n">
        <f aca="false">Japan!$X$86*(jp_coupon+jp_foreign_repay)/12+IF(A79=12,$J$89,0)</f>
        <v>3.68322249126965</v>
      </c>
      <c r="F79" s="125" t="n">
        <f aca="false">IF(AND(A79&gt;=4,A79&lt;=6),$E$42/3,IF(A79&gt;=7,$E$52,0))</f>
        <v>100</v>
      </c>
      <c r="G79" s="125" t="n">
        <f aca="false">SUM(B79:E79)-F79</f>
        <v>-96.3167775087304</v>
      </c>
      <c r="H79" s="125" t="n">
        <f aca="false">J78</f>
        <v>0</v>
      </c>
      <c r="I79" s="125" t="n">
        <f aca="false">MIN(H79,MAX(0,G79))</f>
        <v>0</v>
      </c>
      <c r="J79" s="125" t="n">
        <f aca="false">H79-I79</f>
        <v>0</v>
      </c>
      <c r="K79" s="125" t="n">
        <f aca="false">Q78</f>
        <v>663.950332526191</v>
      </c>
      <c r="L79" s="125" t="n">
        <f aca="false">$E$41/3*$E$37</f>
        <v>375</v>
      </c>
      <c r="M79" s="125" t="n">
        <f aca="false">G79-I79</f>
        <v>-96.3167775087304</v>
      </c>
      <c r="N79" s="125" t="n">
        <f aca="false">N78-M79</f>
        <v>263.167775087303</v>
      </c>
      <c r="O79" s="125" t="n">
        <f aca="false">MAX(0,L79-K79+M79)</f>
        <v>0</v>
      </c>
      <c r="P79" s="125" t="n">
        <f aca="false">IF(AND(A79&gt;=4,A79&lt;=6),MIN(O79,MAX(0,$D$21-SUM(P$69:P78))),0)</f>
        <v>0</v>
      </c>
      <c r="Q79" s="125" t="n">
        <f aca="false">K79-M79+P79</f>
        <v>760.267110034921</v>
      </c>
      <c r="R79" s="125" t="n">
        <f aca="false">Q79-L79</f>
        <v>385.267110034921</v>
      </c>
      <c r="S79" s="125" t="n">
        <f aca="false">MAX(0,-R79)</f>
        <v>0</v>
      </c>
      <c r="T79" s="125" t="n">
        <f aca="false">SUM(P$70:P79)</f>
        <v>497.099334947618</v>
      </c>
      <c r="U79" s="125" t="n">
        <f aca="false">IF(A79&gt;=4,$D$65,0)</f>
        <v>295</v>
      </c>
      <c r="V79" s="125" t="n">
        <f aca="false">N79-L79</f>
        <v>-111.832224912697</v>
      </c>
    </row>
    <row r="80" customFormat="false" ht="18.75" hidden="false" customHeight="true" outlineLevel="0" collapsed="false">
      <c r="A80" s="124" t="n">
        <v>11</v>
      </c>
      <c r="B80" s="125" t="n">
        <f aca="false">IF(AND(A80&gt;=4,A80&lt;=6),$E$39*$E$40*CHOOSE(A80-3,0.4,0.35,0.25),0)</f>
        <v>0</v>
      </c>
      <c r="C80" s="125" t="n">
        <f aca="false">IF(AND(A80&gt;=4,A80&lt;=6),$E$41/3,0)</f>
        <v>0</v>
      </c>
      <c r="D80" s="125" t="n">
        <f aca="false">IF(AND(A80&gt;=4,A80&lt;=6),$E$43*CHOOSE(A80-3,0.5,0.35,0.15),0)</f>
        <v>0</v>
      </c>
      <c r="E80" s="125" t="n">
        <f aca="false">Japan!$X$86*(jp_coupon+jp_foreign_repay)/12+IF(A80=12,$J$89,0)</f>
        <v>3.68322249126965</v>
      </c>
      <c r="F80" s="125" t="n">
        <f aca="false">IF(AND(A80&gt;=4,A80&lt;=6),$E$42/3,IF(A80&gt;=7,$E$52,0))</f>
        <v>100</v>
      </c>
      <c r="G80" s="125" t="n">
        <f aca="false">SUM(B80:E80)-F80</f>
        <v>-96.3167775087304</v>
      </c>
      <c r="H80" s="125" t="n">
        <f aca="false">J79</f>
        <v>0</v>
      </c>
      <c r="I80" s="125" t="n">
        <f aca="false">MIN(H80,MAX(0,G80))</f>
        <v>0</v>
      </c>
      <c r="J80" s="125" t="n">
        <f aca="false">H80-I80</f>
        <v>0</v>
      </c>
      <c r="K80" s="125" t="n">
        <f aca="false">Q79</f>
        <v>760.267110034921</v>
      </c>
      <c r="L80" s="125" t="n">
        <f aca="false">$E$41/3*$E$37</f>
        <v>375</v>
      </c>
      <c r="M80" s="125" t="n">
        <f aca="false">G80-I80</f>
        <v>-96.3167775087304</v>
      </c>
      <c r="N80" s="125" t="n">
        <f aca="false">N79-M80</f>
        <v>359.484552596034</v>
      </c>
      <c r="O80" s="125" t="n">
        <f aca="false">MAX(0,L80-K80+M80)</f>
        <v>0</v>
      </c>
      <c r="P80" s="125" t="n">
        <f aca="false">IF(AND(A80&gt;=4,A80&lt;=6),MIN(O80,MAX(0,$D$21-SUM(P$69:P79))),0)</f>
        <v>0</v>
      </c>
      <c r="Q80" s="125" t="n">
        <f aca="false">K80-M80+P80</f>
        <v>856.583887543652</v>
      </c>
      <c r="R80" s="125" t="n">
        <f aca="false">Q80-L80</f>
        <v>481.583887543652</v>
      </c>
      <c r="S80" s="125" t="n">
        <f aca="false">MAX(0,-R80)</f>
        <v>0</v>
      </c>
      <c r="T80" s="125" t="n">
        <f aca="false">SUM(P$70:P80)</f>
        <v>497.099334947618</v>
      </c>
      <c r="U80" s="125" t="n">
        <f aca="false">IF(A80&gt;=4,$D$65,0)</f>
        <v>295</v>
      </c>
      <c r="V80" s="125" t="n">
        <f aca="false">N80-L80</f>
        <v>-15.5154474039664</v>
      </c>
    </row>
    <row r="81" customFormat="false" ht="18.75" hidden="false" customHeight="true" outlineLevel="0" collapsed="false">
      <c r="A81" s="124" t="n">
        <v>12</v>
      </c>
      <c r="B81" s="125" t="n">
        <f aca="false">IF(AND(A81&gt;=4,A81&lt;=6),$E$39*$E$40*CHOOSE(A81-3,0.4,0.35,0.25),0)</f>
        <v>0</v>
      </c>
      <c r="C81" s="125" t="n">
        <f aca="false">IF(AND(A81&gt;=4,A81&lt;=6),$E$41/3,0)</f>
        <v>0</v>
      </c>
      <c r="D81" s="125" t="n">
        <f aca="false">IF(AND(A81&gt;=4,A81&lt;=6),$E$43*CHOOSE(A81-3,0.5,0.35,0.15),0)</f>
        <v>0</v>
      </c>
      <c r="E81" s="125" t="n">
        <f aca="false">Japan!$X$86*(jp_coupon+jp_foreign_repay)/12+IF(A81=12,$J$89,0)</f>
        <v>19.6318261541724</v>
      </c>
      <c r="F81" s="125" t="n">
        <f aca="false">IF(AND(A81&gt;=4,A81&lt;=6),$E$42/3,IF(A81&gt;=7,$E$52,0))</f>
        <v>100</v>
      </c>
      <c r="G81" s="125" t="n">
        <f aca="false">SUM(B81:E81)-F81</f>
        <v>-80.3681738458276</v>
      </c>
      <c r="H81" s="125" t="n">
        <f aca="false">J80</f>
        <v>0</v>
      </c>
      <c r="I81" s="125" t="n">
        <f aca="false">MIN(H81,MAX(0,G81))</f>
        <v>0</v>
      </c>
      <c r="J81" s="125" t="n">
        <f aca="false">H81-I81</f>
        <v>0</v>
      </c>
      <c r="K81" s="125" t="n">
        <f aca="false">Q80</f>
        <v>856.583887543652</v>
      </c>
      <c r="L81" s="125" t="n">
        <f aca="false">$E$41/3*$E$37</f>
        <v>375</v>
      </c>
      <c r="M81" s="125" t="n">
        <f aca="false">G81-I81</f>
        <v>-80.3681738458276</v>
      </c>
      <c r="N81" s="125" t="n">
        <f aca="false">N80-M81</f>
        <v>439.852726441861</v>
      </c>
      <c r="O81" s="125" t="n">
        <f aca="false">MAX(0,L81-K81+M81)</f>
        <v>0</v>
      </c>
      <c r="P81" s="125" t="n">
        <f aca="false">IF(AND(A81&gt;=4,A81&lt;=6),MIN(O81,MAX(0,$D$21-SUM(P$69:P80))),0)</f>
        <v>0</v>
      </c>
      <c r="Q81" s="125" t="n">
        <f aca="false">K81-M81+P81</f>
        <v>936.95206138948</v>
      </c>
      <c r="R81" s="125" t="n">
        <f aca="false">Q81-L81</f>
        <v>561.95206138948</v>
      </c>
      <c r="S81" s="125" t="n">
        <f aca="false">MAX(0,-R81)</f>
        <v>0</v>
      </c>
      <c r="T81" s="125" t="n">
        <f aca="false">SUM(P$70:P81)</f>
        <v>497.099334947618</v>
      </c>
      <c r="U81" s="125" t="n">
        <f aca="false">IF(A81&gt;=4,$D$65,0)</f>
        <v>295</v>
      </c>
      <c r="V81" s="125" t="n">
        <f aca="false">N81-L81</f>
        <v>64.8527264418611</v>
      </c>
    </row>
    <row r="82" customFormat="false" ht="18.75" hidden="false" customHeight="true" outlineLevel="0" collapsed="false">
      <c r="A82" s="110"/>
      <c r="B82" s="110"/>
      <c r="C82" s="110"/>
      <c r="D82" s="113"/>
      <c r="E82" s="110"/>
      <c r="F82" s="110"/>
      <c r="G82" s="110"/>
      <c r="H82" s="110"/>
      <c r="I82" s="110"/>
      <c r="J82" s="110"/>
      <c r="K82" s="110"/>
      <c r="L82" s="110"/>
      <c r="M82" s="110"/>
      <c r="N82" s="110"/>
      <c r="O82" s="110"/>
      <c r="P82" s="110"/>
      <c r="Q82" s="110"/>
      <c r="R82" s="110"/>
      <c r="S82" s="110"/>
      <c r="T82" s="110"/>
      <c r="U82" s="110"/>
      <c r="V82" s="110"/>
    </row>
    <row r="83" customFormat="false" ht="18.75" hidden="false" customHeight="true" outlineLevel="0" collapsed="false">
      <c r="A83" s="110"/>
      <c r="B83" s="110"/>
      <c r="C83" s="110"/>
      <c r="D83" s="113"/>
      <c r="E83" s="110"/>
      <c r="F83" s="110"/>
      <c r="G83" s="110"/>
      <c r="H83" s="110"/>
      <c r="I83" s="110"/>
      <c r="J83" s="110"/>
      <c r="K83" s="110"/>
      <c r="L83" s="110"/>
      <c r="M83" s="110"/>
      <c r="N83" s="110"/>
      <c r="O83" s="110"/>
      <c r="P83" s="110"/>
      <c r="Q83" s="110"/>
      <c r="R83" s="110"/>
      <c r="S83" s="110"/>
      <c r="T83" s="110"/>
      <c r="U83" s="110"/>
      <c r="V83" s="110"/>
    </row>
    <row r="84" customFormat="false" ht="18.75" hidden="false" customHeight="true" outlineLevel="0" collapsed="false">
      <c r="A84" s="110" t="s">
        <v>2353</v>
      </c>
      <c r="B84" s="110"/>
      <c r="C84" s="110"/>
      <c r="D84" s="113"/>
      <c r="E84" s="110"/>
      <c r="F84" s="110"/>
      <c r="G84" s="110"/>
      <c r="H84" s="110"/>
      <c r="I84" s="110"/>
      <c r="J84" s="110"/>
      <c r="K84" s="110"/>
      <c r="L84" s="110"/>
      <c r="M84" s="110"/>
      <c r="N84" s="110"/>
      <c r="O84" s="110"/>
      <c r="P84" s="110"/>
      <c r="Q84" s="110"/>
      <c r="R84" s="110"/>
      <c r="S84" s="110"/>
      <c r="T84" s="110"/>
      <c r="U84" s="110"/>
      <c r="V84" s="110"/>
    </row>
    <row r="85" customFormat="false" ht="18.75" hidden="false" customHeight="true" outlineLevel="0" collapsed="false">
      <c r="A85" s="110" t="s">
        <v>2354</v>
      </c>
      <c r="B85" s="110"/>
      <c r="C85" s="110"/>
      <c r="D85" s="113"/>
      <c r="E85" s="110"/>
      <c r="F85" s="110"/>
      <c r="G85" s="110"/>
      <c r="H85" s="110"/>
      <c r="I85" s="110"/>
      <c r="J85" s="110"/>
      <c r="K85" s="110"/>
      <c r="L85" s="110"/>
      <c r="M85" s="110"/>
      <c r="N85" s="110"/>
      <c r="O85" s="110"/>
      <c r="P85" s="110"/>
      <c r="Q85" s="110"/>
      <c r="R85" s="110"/>
      <c r="S85" s="110"/>
      <c r="T85" s="110"/>
      <c r="U85" s="110"/>
      <c r="V85" s="110"/>
    </row>
    <row r="86" customFormat="false" ht="18.75" hidden="false" customHeight="true" outlineLevel="0" collapsed="false">
      <c r="A86" s="110" t="s">
        <v>2355</v>
      </c>
      <c r="B86" s="110"/>
      <c r="C86" s="110"/>
      <c r="D86" s="113"/>
      <c r="E86" s="110"/>
      <c r="F86" s="110"/>
      <c r="G86" s="110"/>
      <c r="H86" s="110"/>
      <c r="I86" s="110"/>
      <c r="J86" s="110"/>
      <c r="K86" s="110"/>
      <c r="L86" s="110"/>
      <c r="M86" s="110"/>
      <c r="N86" s="110"/>
      <c r="O86" s="110"/>
      <c r="P86" s="110"/>
      <c r="Q86" s="110"/>
      <c r="R86" s="110"/>
      <c r="S86" s="110"/>
      <c r="T86" s="110"/>
      <c r="U86" s="110"/>
      <c r="V86" s="110"/>
    </row>
    <row r="87" customFormat="false" ht="18.75" hidden="false" customHeight="true" outlineLevel="0" collapsed="false">
      <c r="A87" s="110"/>
      <c r="B87" s="110"/>
      <c r="C87" s="110"/>
      <c r="D87" s="113"/>
      <c r="E87" s="110"/>
      <c r="F87" s="110"/>
      <c r="G87" s="110"/>
      <c r="H87" s="110"/>
      <c r="I87" s="110"/>
      <c r="J87" s="110"/>
      <c r="K87" s="110"/>
      <c r="L87" s="110"/>
      <c r="M87" s="110"/>
      <c r="N87" s="110"/>
      <c r="O87" s="110"/>
      <c r="P87" s="110"/>
      <c r="Q87" s="110"/>
      <c r="R87" s="110"/>
      <c r="S87" s="110"/>
      <c r="T87" s="110"/>
      <c r="U87" s="110"/>
      <c r="V87" s="110"/>
    </row>
    <row r="88" customFormat="false" ht="48" hidden="false" customHeight="true" outlineLevel="0" collapsed="false">
      <c r="A88" s="90" t="s">
        <v>103</v>
      </c>
      <c r="B88" s="90" t="s">
        <v>2356</v>
      </c>
      <c r="C88" s="90" t="s">
        <v>2357</v>
      </c>
      <c r="D88" s="123" t="s">
        <v>2358</v>
      </c>
      <c r="E88" s="90" t="s">
        <v>2359</v>
      </c>
      <c r="F88" s="90" t="s">
        <v>2360</v>
      </c>
      <c r="G88" s="90" t="s">
        <v>2361</v>
      </c>
      <c r="H88" s="90" t="s">
        <v>2362</v>
      </c>
      <c r="I88" s="90" t="s">
        <v>2363</v>
      </c>
      <c r="J88" s="90" t="s">
        <v>2364</v>
      </c>
      <c r="K88" s="90" t="s">
        <v>2365</v>
      </c>
      <c r="L88" s="90" t="s">
        <v>2366</v>
      </c>
      <c r="M88" s="90" t="s">
        <v>2367</v>
      </c>
      <c r="N88" s="90" t="s">
        <v>2368</v>
      </c>
      <c r="O88" s="90" t="s">
        <v>2369</v>
      </c>
      <c r="P88" s="90" t="s">
        <v>2370</v>
      </c>
      <c r="Q88" s="90" t="s">
        <v>2371</v>
      </c>
      <c r="R88" s="110"/>
      <c r="S88" s="110"/>
      <c r="T88" s="110"/>
      <c r="U88" s="110"/>
      <c r="V88" s="110"/>
    </row>
    <row r="89" customFormat="false" ht="18.75" hidden="false" customHeight="true" outlineLevel="0" collapsed="false">
      <c r="A89" s="126" t="n">
        <v>1927</v>
      </c>
      <c r="B89" s="113" t="n">
        <f aca="false">0</f>
        <v>0</v>
      </c>
      <c r="C89" s="113" t="n">
        <f aca="false">SUM(P70:P81)</f>
        <v>497.099334947618</v>
      </c>
      <c r="D89" s="113" t="n">
        <f aca="false">C89*$E$47</f>
        <v>165.699778315873</v>
      </c>
      <c r="E89" s="113" t="n">
        <f aca="false">C89-D89</f>
        <v>331.399556631746</v>
      </c>
      <c r="F89" s="113" t="n">
        <f aca="false">IF(AND(A89&gt;=$E$50,A89&lt;$E$50+$E$51),$C$89/$E$51,0)</f>
        <v>0</v>
      </c>
      <c r="G89" s="113" t="n">
        <f aca="false">F89*$E$47</f>
        <v>0</v>
      </c>
      <c r="H89" s="113" t="n">
        <f aca="false">B89+C89-F89</f>
        <v>497.099334947618</v>
      </c>
      <c r="I89" s="113" t="n">
        <f aca="false">H89*$E$47</f>
        <v>165.699778315873</v>
      </c>
      <c r="J89" s="113" t="n">
        <f aca="false">$E$49*(P73*9/12+P74*8/12+P75*7/12)</f>
        <v>15.9486036629028</v>
      </c>
      <c r="K89" s="113" t="n">
        <f aca="false">J89*$E$47</f>
        <v>5.31620122096758</v>
      </c>
      <c r="L89" s="113" t="n">
        <f aca="false">J89-K89</f>
        <v>10.6324024419352</v>
      </c>
      <c r="M89" s="113" t="n">
        <f aca="false">H89-I89</f>
        <v>331.399556631746</v>
      </c>
      <c r="N89" s="113" t="n">
        <f aca="false">F89-G89</f>
        <v>0</v>
      </c>
      <c r="O89" s="113" t="n">
        <f aca="false">C89-D89-E89</f>
        <v>0</v>
      </c>
      <c r="P89" s="113" t="n">
        <f aca="false">H89-I89-M89</f>
        <v>0</v>
      </c>
      <c r="Q89" s="113" t="n">
        <f aca="false">J89-K89-L89</f>
        <v>0</v>
      </c>
      <c r="R89" s="110"/>
      <c r="S89" s="110"/>
      <c r="T89" s="110"/>
      <c r="U89" s="110"/>
      <c r="V89" s="110"/>
    </row>
    <row r="90" customFormat="false" ht="18.75" hidden="false" customHeight="true" outlineLevel="0" collapsed="false">
      <c r="A90" s="126" t="n">
        <v>1928</v>
      </c>
      <c r="B90" s="113" t="n">
        <f aca="false">H89</f>
        <v>497.099334947618</v>
      </c>
      <c r="C90" s="113" t="n">
        <f aca="false">0</f>
        <v>0</v>
      </c>
      <c r="D90" s="113" t="n">
        <f aca="false">C90*$E$47</f>
        <v>0</v>
      </c>
      <c r="E90" s="113" t="n">
        <f aca="false">C90-D90</f>
        <v>0</v>
      </c>
      <c r="F90" s="113" t="n">
        <f aca="false">IF(AND(A90&gt;=$E$50,A90&lt;$E$50+$E$51),$C$89/$E$51,0)</f>
        <v>0</v>
      </c>
      <c r="G90" s="113" t="n">
        <f aca="false">F90*$E$47</f>
        <v>0</v>
      </c>
      <c r="H90" s="113" t="n">
        <f aca="false">B90+C90-F90</f>
        <v>497.099334947618</v>
      </c>
      <c r="I90" s="113" t="n">
        <f aca="false">H90*$E$47</f>
        <v>165.699778315873</v>
      </c>
      <c r="J90" s="113" t="n">
        <f aca="false">B90*$E$49</f>
        <v>27.340463422119</v>
      </c>
      <c r="K90" s="113" t="n">
        <f aca="false">J90*$E$47</f>
        <v>9.11348780737299</v>
      </c>
      <c r="L90" s="113" t="n">
        <f aca="false">J90-K90</f>
        <v>18.226975614746</v>
      </c>
      <c r="M90" s="113" t="n">
        <f aca="false">H90-I90</f>
        <v>331.399556631746</v>
      </c>
      <c r="N90" s="113" t="n">
        <f aca="false">F90-G90</f>
        <v>0</v>
      </c>
      <c r="O90" s="113" t="n">
        <f aca="false">C90-D90-E90</f>
        <v>0</v>
      </c>
      <c r="P90" s="113" t="n">
        <f aca="false">H90-I90-M90</f>
        <v>0</v>
      </c>
      <c r="Q90" s="113" t="n">
        <f aca="false">J90-K90-L90</f>
        <v>0</v>
      </c>
      <c r="R90" s="110"/>
      <c r="S90" s="110"/>
      <c r="T90" s="110"/>
      <c r="U90" s="110"/>
      <c r="V90" s="110"/>
    </row>
    <row r="91" customFormat="false" ht="18.75" hidden="false" customHeight="true" outlineLevel="0" collapsed="false">
      <c r="A91" s="126" t="n">
        <v>1929</v>
      </c>
      <c r="B91" s="113" t="n">
        <f aca="false">H90</f>
        <v>497.099334947618</v>
      </c>
      <c r="C91" s="113" t="n">
        <f aca="false">0</f>
        <v>0</v>
      </c>
      <c r="D91" s="113" t="n">
        <f aca="false">C91*$E$47</f>
        <v>0</v>
      </c>
      <c r="E91" s="113" t="n">
        <f aca="false">C91-D91</f>
        <v>0</v>
      </c>
      <c r="F91" s="113" t="n">
        <f aca="false">IF(AND(A91&gt;=$E$50,A91&lt;$E$50+$E$51),$C$89/$E$51,0)</f>
        <v>99.4198669895236</v>
      </c>
      <c r="G91" s="113" t="n">
        <f aca="false">F91*$E$47</f>
        <v>33.1399556631745</v>
      </c>
      <c r="H91" s="113" t="n">
        <f aca="false">B91+C91-F91</f>
        <v>397.679467958095</v>
      </c>
      <c r="I91" s="113" t="n">
        <f aca="false">H91*$E$47</f>
        <v>132.559822652698</v>
      </c>
      <c r="J91" s="113" t="n">
        <f aca="false">B91*$E$49</f>
        <v>27.340463422119</v>
      </c>
      <c r="K91" s="113" t="n">
        <f aca="false">J91*$E$47</f>
        <v>9.11348780737299</v>
      </c>
      <c r="L91" s="113" t="n">
        <f aca="false">J91-K91</f>
        <v>18.226975614746</v>
      </c>
      <c r="M91" s="113" t="n">
        <f aca="false">H91-I91</f>
        <v>265.119645305397</v>
      </c>
      <c r="N91" s="113" t="n">
        <f aca="false">F91-G91</f>
        <v>66.2799113263491</v>
      </c>
      <c r="O91" s="113" t="n">
        <f aca="false">C91-D91-E91</f>
        <v>0</v>
      </c>
      <c r="P91" s="113" t="n">
        <f aca="false">H91-I91-M91</f>
        <v>0</v>
      </c>
      <c r="Q91" s="113" t="n">
        <f aca="false">J91-K91-L91</f>
        <v>0</v>
      </c>
      <c r="R91" s="110"/>
      <c r="S91" s="110"/>
      <c r="T91" s="110"/>
      <c r="U91" s="110"/>
      <c r="V91" s="110"/>
    </row>
    <row r="92" customFormat="false" ht="18.75" hidden="false" customHeight="true" outlineLevel="0" collapsed="false">
      <c r="A92" s="126" t="n">
        <v>1930</v>
      </c>
      <c r="B92" s="113" t="n">
        <f aca="false">H91</f>
        <v>397.679467958095</v>
      </c>
      <c r="C92" s="113" t="n">
        <f aca="false">0</f>
        <v>0</v>
      </c>
      <c r="D92" s="113" t="n">
        <f aca="false">C92*$E$47</f>
        <v>0</v>
      </c>
      <c r="E92" s="113" t="n">
        <f aca="false">C92-D92</f>
        <v>0</v>
      </c>
      <c r="F92" s="113" t="n">
        <f aca="false">IF(AND(A92&gt;=$E$50,A92&lt;$E$50+$E$51),$C$89/$E$51,0)</f>
        <v>99.4198669895236</v>
      </c>
      <c r="G92" s="113" t="n">
        <f aca="false">F92*$E$47</f>
        <v>33.1399556631745</v>
      </c>
      <c r="H92" s="113" t="n">
        <f aca="false">B92+C92-F92</f>
        <v>298.259600968571</v>
      </c>
      <c r="I92" s="113" t="n">
        <f aca="false">H92*$E$47</f>
        <v>99.4198669895235</v>
      </c>
      <c r="J92" s="113" t="n">
        <f aca="false">B92*$E$49</f>
        <v>21.8723707376952</v>
      </c>
      <c r="K92" s="113" t="n">
        <f aca="false">J92*$E$47</f>
        <v>7.29079024589839</v>
      </c>
      <c r="L92" s="113" t="n">
        <f aca="false">J92-K92</f>
        <v>14.5815804917968</v>
      </c>
      <c r="M92" s="113" t="n">
        <f aca="false">H92-I92</f>
        <v>198.839733979047</v>
      </c>
      <c r="N92" s="113" t="n">
        <f aca="false">F92-G92</f>
        <v>66.2799113263491</v>
      </c>
      <c r="O92" s="113" t="n">
        <f aca="false">C92-D92-E92</f>
        <v>0</v>
      </c>
      <c r="P92" s="113" t="n">
        <f aca="false">H92-I92-M92</f>
        <v>0</v>
      </c>
      <c r="Q92" s="113" t="n">
        <f aca="false">J92-K92-L92</f>
        <v>0</v>
      </c>
      <c r="R92" s="110"/>
      <c r="S92" s="110"/>
      <c r="T92" s="110"/>
      <c r="U92" s="110"/>
      <c r="V92" s="110"/>
    </row>
    <row r="93" customFormat="false" ht="18.75" hidden="false" customHeight="true" outlineLevel="0" collapsed="false">
      <c r="A93" s="126" t="n">
        <v>1931</v>
      </c>
      <c r="B93" s="113" t="n">
        <f aca="false">H92</f>
        <v>298.259600968571</v>
      </c>
      <c r="C93" s="113" t="n">
        <f aca="false">0</f>
        <v>0</v>
      </c>
      <c r="D93" s="113" t="n">
        <f aca="false">C93*$E$47</f>
        <v>0</v>
      </c>
      <c r="E93" s="113" t="n">
        <f aca="false">C93-D93</f>
        <v>0</v>
      </c>
      <c r="F93" s="113" t="n">
        <f aca="false">IF(AND(A93&gt;=$E$50,A93&lt;$E$50+$E$51),$C$89/$E$51,0)</f>
        <v>99.4198669895236</v>
      </c>
      <c r="G93" s="113" t="n">
        <f aca="false">F93*$E$47</f>
        <v>33.1399556631745</v>
      </c>
      <c r="H93" s="113" t="n">
        <f aca="false">B93+C93-F93</f>
        <v>198.839733979047</v>
      </c>
      <c r="I93" s="113" t="n">
        <f aca="false">H93*$E$47</f>
        <v>66.279911326349</v>
      </c>
      <c r="J93" s="113" t="n">
        <f aca="false">B93*$E$49</f>
        <v>16.4042780532714</v>
      </c>
      <c r="K93" s="113" t="n">
        <f aca="false">J93*$E$47</f>
        <v>5.46809268442379</v>
      </c>
      <c r="L93" s="113" t="n">
        <f aca="false">J93-K93</f>
        <v>10.9361853688476</v>
      </c>
      <c r="M93" s="113" t="n">
        <f aca="false">H93-I93</f>
        <v>132.559822652698</v>
      </c>
      <c r="N93" s="113" t="n">
        <f aca="false">F93-G93</f>
        <v>66.2799113263491</v>
      </c>
      <c r="O93" s="113" t="n">
        <f aca="false">C93-D93-E93</f>
        <v>0</v>
      </c>
      <c r="P93" s="113" t="n">
        <f aca="false">H93-I93-M93</f>
        <v>0</v>
      </c>
      <c r="Q93" s="113" t="n">
        <f aca="false">J93-K93-L93</f>
        <v>0</v>
      </c>
      <c r="R93" s="110"/>
      <c r="S93" s="110"/>
      <c r="T93" s="110"/>
      <c r="U93" s="110"/>
      <c r="V93" s="110"/>
    </row>
    <row r="94" customFormat="false" ht="18.75" hidden="false" customHeight="true" outlineLevel="0" collapsed="false">
      <c r="A94" s="126" t="n">
        <v>1932</v>
      </c>
      <c r="B94" s="113" t="n">
        <f aca="false">H93</f>
        <v>198.839733979047</v>
      </c>
      <c r="C94" s="113" t="n">
        <f aca="false">0</f>
        <v>0</v>
      </c>
      <c r="D94" s="113" t="n">
        <f aca="false">C94*$E$47</f>
        <v>0</v>
      </c>
      <c r="E94" s="113" t="n">
        <f aca="false">C94-D94</f>
        <v>0</v>
      </c>
      <c r="F94" s="113" t="n">
        <f aca="false">IF(AND(A94&gt;=$E$50,A94&lt;$E$50+$E$51),$C$89/$E$51,0)</f>
        <v>99.4198669895236</v>
      </c>
      <c r="G94" s="113" t="n">
        <f aca="false">F94*$E$47</f>
        <v>33.1399556631745</v>
      </c>
      <c r="H94" s="113" t="n">
        <f aca="false">B94+C94-F94</f>
        <v>99.4198669895236</v>
      </c>
      <c r="I94" s="113" t="n">
        <f aca="false">H94*$E$47</f>
        <v>33.1399556631745</v>
      </c>
      <c r="J94" s="113" t="n">
        <f aca="false">B94*$E$49</f>
        <v>10.9361853688476</v>
      </c>
      <c r="K94" s="113" t="n">
        <f aca="false">J94*$E$47</f>
        <v>3.6453951229492</v>
      </c>
      <c r="L94" s="113" t="n">
        <f aca="false">J94-K94</f>
        <v>7.2907902458984</v>
      </c>
      <c r="M94" s="113" t="n">
        <f aca="false">H94-I94</f>
        <v>66.2799113263491</v>
      </c>
      <c r="N94" s="113" t="n">
        <f aca="false">F94-G94</f>
        <v>66.2799113263491</v>
      </c>
      <c r="O94" s="113" t="n">
        <f aca="false">C94-D94-E94</f>
        <v>0</v>
      </c>
      <c r="P94" s="113" t="n">
        <f aca="false">H94-I94-M94</f>
        <v>0</v>
      </c>
      <c r="Q94" s="113" t="n">
        <f aca="false">J94-K94-L94</f>
        <v>0</v>
      </c>
      <c r="R94" s="110"/>
      <c r="S94" s="110"/>
      <c r="T94" s="110"/>
      <c r="U94" s="110"/>
      <c r="V94" s="110"/>
    </row>
    <row r="95" customFormat="false" ht="18.75" hidden="false" customHeight="true" outlineLevel="0" collapsed="false">
      <c r="A95" s="126" t="n">
        <v>1933</v>
      </c>
      <c r="B95" s="113" t="n">
        <f aca="false">H94</f>
        <v>99.4198669895236</v>
      </c>
      <c r="C95" s="113" t="n">
        <f aca="false">0</f>
        <v>0</v>
      </c>
      <c r="D95" s="113" t="n">
        <f aca="false">C95*$E$47</f>
        <v>0</v>
      </c>
      <c r="E95" s="113" t="n">
        <f aca="false">C95-D95</f>
        <v>0</v>
      </c>
      <c r="F95" s="113" t="n">
        <f aca="false">IF(AND(A95&gt;=$E$50,A95&lt;$E$50+$E$51),$C$89/$E$51,0)</f>
        <v>99.4198669895236</v>
      </c>
      <c r="G95" s="113" t="n">
        <f aca="false">F95*$E$47</f>
        <v>33.1399556631745</v>
      </c>
      <c r="H95" s="113" t="n">
        <f aca="false">B95+C95-F95</f>
        <v>0</v>
      </c>
      <c r="I95" s="113" t="n">
        <f aca="false">H95*$E$47</f>
        <v>0</v>
      </c>
      <c r="J95" s="113" t="n">
        <f aca="false">B95*$E$49</f>
        <v>5.4680926844238</v>
      </c>
      <c r="K95" s="113" t="n">
        <f aca="false">J95*$E$47</f>
        <v>1.8226975614746</v>
      </c>
      <c r="L95" s="113" t="n">
        <f aca="false">J95-K95</f>
        <v>3.6453951229492</v>
      </c>
      <c r="M95" s="113" t="n">
        <f aca="false">H95-I95</f>
        <v>0</v>
      </c>
      <c r="N95" s="113" t="n">
        <f aca="false">F95-G95</f>
        <v>66.2799113263491</v>
      </c>
      <c r="O95" s="113" t="n">
        <f aca="false">C95-D95-E95</f>
        <v>0</v>
      </c>
      <c r="P95" s="113" t="n">
        <f aca="false">H95-I95-M95</f>
        <v>0</v>
      </c>
      <c r="Q95" s="113" t="n">
        <f aca="false">J95-K95-L95</f>
        <v>0</v>
      </c>
      <c r="R95" s="110"/>
      <c r="S95" s="110"/>
      <c r="T95" s="110"/>
      <c r="U95" s="110"/>
      <c r="V95" s="110"/>
    </row>
    <row r="96" customFormat="false" ht="18.75" hidden="false" customHeight="true" outlineLevel="0" collapsed="false">
      <c r="A96" s="110"/>
      <c r="B96" s="110"/>
      <c r="C96" s="110"/>
      <c r="D96" s="113"/>
      <c r="E96" s="110"/>
      <c r="F96" s="110"/>
      <c r="G96" s="110"/>
      <c r="H96" s="110"/>
      <c r="I96" s="110"/>
      <c r="J96" s="110"/>
      <c r="K96" s="110"/>
      <c r="L96" s="110"/>
      <c r="M96" s="110"/>
      <c r="N96" s="110"/>
      <c r="O96" s="110"/>
      <c r="P96" s="110"/>
      <c r="Q96" s="110"/>
      <c r="R96" s="110"/>
      <c r="S96" s="110"/>
      <c r="T96" s="110"/>
      <c r="U96" s="110"/>
      <c r="V96" s="110"/>
    </row>
    <row r="97" customFormat="false" ht="18.75" hidden="false" customHeight="true" outlineLevel="0" collapsed="false">
      <c r="A97" s="110"/>
      <c r="B97" s="110"/>
      <c r="C97" s="110"/>
      <c r="D97" s="113"/>
      <c r="E97" s="110"/>
      <c r="F97" s="110"/>
      <c r="G97" s="110"/>
      <c r="H97" s="110"/>
      <c r="I97" s="110"/>
      <c r="J97" s="110"/>
      <c r="K97" s="110"/>
      <c r="L97" s="110"/>
      <c r="M97" s="110"/>
      <c r="N97" s="110"/>
      <c r="O97" s="110"/>
      <c r="P97" s="110"/>
      <c r="Q97" s="110"/>
      <c r="R97" s="110"/>
      <c r="S97" s="110"/>
      <c r="T97" s="110"/>
      <c r="U97" s="110"/>
      <c r="V97" s="110"/>
    </row>
    <row r="98" customFormat="false" ht="18.75" hidden="false" customHeight="true" outlineLevel="0" collapsed="false">
      <c r="A98" s="110" t="s">
        <v>2372</v>
      </c>
      <c r="B98" s="110"/>
      <c r="C98" s="110"/>
      <c r="D98" s="113"/>
      <c r="E98" s="110"/>
      <c r="F98" s="110"/>
      <c r="G98" s="110"/>
      <c r="H98" s="110"/>
      <c r="I98" s="110"/>
      <c r="J98" s="110"/>
      <c r="K98" s="110"/>
      <c r="L98" s="110"/>
      <c r="M98" s="110"/>
      <c r="N98" s="110"/>
      <c r="O98" s="110"/>
      <c r="P98" s="110"/>
      <c r="Q98" s="110"/>
      <c r="R98" s="110"/>
      <c r="S98" s="110"/>
      <c r="T98" s="110"/>
      <c r="U98" s="110"/>
      <c r="V98" s="110"/>
    </row>
    <row r="99" customFormat="false" ht="18.75" hidden="false" customHeight="true" outlineLevel="0" collapsed="false">
      <c r="A99" s="110"/>
      <c r="B99" s="110"/>
      <c r="C99" s="110"/>
      <c r="D99" s="113"/>
      <c r="E99" s="110"/>
      <c r="F99" s="110"/>
      <c r="G99" s="110"/>
      <c r="H99" s="110"/>
      <c r="I99" s="110"/>
      <c r="J99" s="110"/>
      <c r="K99" s="110"/>
      <c r="L99" s="110"/>
      <c r="M99" s="110"/>
      <c r="N99" s="110"/>
      <c r="O99" s="110"/>
      <c r="P99" s="110"/>
      <c r="Q99" s="110"/>
      <c r="R99" s="110"/>
      <c r="S99" s="110"/>
      <c r="T99" s="110"/>
      <c r="U99" s="110"/>
      <c r="V99" s="110"/>
    </row>
    <row r="100" customFormat="false" ht="18.75" hidden="false" customHeight="true" outlineLevel="0" collapsed="false">
      <c r="A100" s="114" t="s">
        <v>2373</v>
      </c>
      <c r="B100" s="115"/>
      <c r="C100" s="115"/>
      <c r="D100" s="127"/>
      <c r="E100" s="115"/>
      <c r="F100" s="115"/>
      <c r="G100" s="115"/>
      <c r="H100" s="110"/>
      <c r="I100" s="110"/>
      <c r="J100" s="110"/>
      <c r="K100" s="110"/>
      <c r="L100" s="110"/>
      <c r="M100" s="110"/>
      <c r="N100" s="110"/>
      <c r="O100" s="110"/>
      <c r="P100" s="110"/>
      <c r="Q100" s="110"/>
      <c r="R100" s="110"/>
      <c r="S100" s="110"/>
      <c r="T100" s="110"/>
      <c r="U100" s="110"/>
      <c r="V100" s="110"/>
    </row>
    <row r="101" customFormat="false" ht="18.75" hidden="false" customHeight="true" outlineLevel="0" collapsed="false">
      <c r="A101" s="110" t="s">
        <v>2374</v>
      </c>
      <c r="B101" s="110"/>
      <c r="C101" s="110"/>
      <c r="D101" s="113" t="n">
        <f aca="false">E25+E30+E44</f>
        <v>6400</v>
      </c>
      <c r="E101" s="110"/>
      <c r="F101" s="110"/>
      <c r="G101" s="110"/>
      <c r="H101" s="110"/>
      <c r="I101" s="110"/>
      <c r="J101" s="110"/>
      <c r="K101" s="110"/>
      <c r="L101" s="110"/>
      <c r="M101" s="110"/>
      <c r="N101" s="110"/>
      <c r="O101" s="110"/>
      <c r="P101" s="110"/>
      <c r="Q101" s="110"/>
      <c r="R101" s="110"/>
      <c r="S101" s="110"/>
      <c r="T101" s="110"/>
      <c r="U101" s="110"/>
      <c r="V101" s="110"/>
    </row>
    <row r="102" customFormat="false" ht="18.75" hidden="false" customHeight="true" outlineLevel="0" collapsed="false">
      <c r="A102" s="110" t="s">
        <v>2375</v>
      </c>
      <c r="B102" s="110"/>
      <c r="C102" s="110"/>
      <c r="D102" s="113" t="n">
        <f aca="false">E31+E39+E38+E26</f>
        <v>6400</v>
      </c>
      <c r="E102" s="110"/>
      <c r="F102" s="110"/>
      <c r="G102" s="110"/>
      <c r="H102" s="110"/>
      <c r="I102" s="110"/>
      <c r="J102" s="110"/>
      <c r="K102" s="110"/>
      <c r="L102" s="110"/>
      <c r="M102" s="110"/>
      <c r="N102" s="110"/>
      <c r="O102" s="110"/>
      <c r="P102" s="110"/>
      <c r="Q102" s="110"/>
      <c r="R102" s="110"/>
      <c r="S102" s="110"/>
      <c r="T102" s="110"/>
      <c r="U102" s="110"/>
      <c r="V102" s="110"/>
    </row>
    <row r="103" customFormat="false" ht="18.75" hidden="false" customHeight="true" outlineLevel="0" collapsed="false">
      <c r="A103" s="110" t="s">
        <v>2376</v>
      </c>
      <c r="B103" s="110"/>
      <c r="C103" s="110"/>
      <c r="D103" s="113" t="n">
        <f aca="false">D101-D102</f>
        <v>0</v>
      </c>
      <c r="E103" s="110"/>
      <c r="F103" s="110"/>
      <c r="G103" s="110"/>
      <c r="H103" s="110"/>
      <c r="I103" s="110"/>
      <c r="J103" s="110"/>
      <c r="K103" s="110"/>
      <c r="L103" s="110"/>
      <c r="M103" s="110"/>
      <c r="N103" s="110"/>
      <c r="O103" s="110"/>
      <c r="P103" s="110"/>
      <c r="Q103" s="110"/>
      <c r="R103" s="110"/>
      <c r="S103" s="110"/>
      <c r="T103" s="110"/>
      <c r="U103" s="110"/>
      <c r="V103" s="110"/>
    </row>
    <row r="104" customFormat="false" ht="18.75" hidden="false" customHeight="true" outlineLevel="0" collapsed="false">
      <c r="A104" s="110" t="s">
        <v>2377</v>
      </c>
      <c r="B104" s="110"/>
      <c r="C104" s="110"/>
      <c r="D104" s="113" t="n">
        <f aca="false">D55+D59</f>
        <v>400</v>
      </c>
      <c r="E104" s="110"/>
      <c r="F104" s="110"/>
      <c r="G104" s="110"/>
      <c r="H104" s="110"/>
      <c r="I104" s="110"/>
      <c r="J104" s="110"/>
      <c r="K104" s="110"/>
      <c r="L104" s="110"/>
      <c r="M104" s="110"/>
      <c r="N104" s="110"/>
      <c r="O104" s="110"/>
      <c r="P104" s="110"/>
      <c r="Q104" s="110"/>
      <c r="R104" s="110"/>
      <c r="S104" s="110"/>
      <c r="T104" s="110"/>
      <c r="U104" s="110"/>
      <c r="V104" s="110"/>
    </row>
    <row r="105" customFormat="false" ht="18.75" hidden="false" customHeight="true" outlineLevel="0" collapsed="false">
      <c r="A105" s="110" t="s">
        <v>2378</v>
      </c>
      <c r="B105" s="110"/>
      <c r="C105" s="110"/>
      <c r="D105" s="128" t="n">
        <f aca="false">D104/D56</f>
        <v>0.08</v>
      </c>
      <c r="E105" s="110"/>
      <c r="F105" s="110"/>
      <c r="G105" s="110"/>
      <c r="H105" s="110"/>
      <c r="I105" s="110"/>
      <c r="J105" s="110"/>
      <c r="K105" s="110"/>
      <c r="L105" s="110"/>
      <c r="M105" s="110"/>
      <c r="N105" s="110"/>
      <c r="O105" s="110"/>
      <c r="P105" s="110"/>
      <c r="Q105" s="110"/>
      <c r="R105" s="110"/>
      <c r="S105" s="110"/>
      <c r="T105" s="110"/>
      <c r="U105" s="110"/>
      <c r="V105" s="110"/>
    </row>
    <row r="106" customFormat="false" ht="18.75" hidden="false" customHeight="true" outlineLevel="0" collapsed="false">
      <c r="A106" s="110" t="s">
        <v>2379</v>
      </c>
      <c r="B106" s="110"/>
      <c r="C106" s="110"/>
      <c r="D106" s="113" t="n">
        <f aca="false">D56*0.07</f>
        <v>350</v>
      </c>
      <c r="E106" s="110"/>
      <c r="F106" s="110"/>
      <c r="G106" s="110"/>
      <c r="H106" s="110"/>
      <c r="I106" s="110"/>
      <c r="J106" s="110"/>
      <c r="K106" s="110"/>
      <c r="L106" s="110"/>
      <c r="M106" s="110"/>
      <c r="N106" s="110"/>
      <c r="O106" s="110"/>
      <c r="P106" s="110"/>
      <c r="Q106" s="110"/>
      <c r="R106" s="110"/>
      <c r="S106" s="110"/>
      <c r="T106" s="110"/>
      <c r="U106" s="110"/>
      <c r="V106" s="110"/>
    </row>
    <row r="107" customFormat="false" ht="18.75" hidden="false" customHeight="true" outlineLevel="0" collapsed="false">
      <c r="A107" s="110" t="s">
        <v>2380</v>
      </c>
      <c r="B107" s="110"/>
      <c r="C107" s="110"/>
      <c r="D107" s="113" t="n">
        <f aca="false">MIN(D65,D106)</f>
        <v>295</v>
      </c>
      <c r="E107" s="110"/>
      <c r="F107" s="110"/>
      <c r="G107" s="110"/>
      <c r="H107" s="110"/>
      <c r="I107" s="110"/>
      <c r="J107" s="110"/>
      <c r="K107" s="110"/>
      <c r="L107" s="110"/>
      <c r="M107" s="110"/>
      <c r="N107" s="110"/>
      <c r="O107" s="110"/>
      <c r="P107" s="110"/>
      <c r="Q107" s="110"/>
      <c r="R107" s="110"/>
      <c r="S107" s="110"/>
      <c r="T107" s="110"/>
      <c r="U107" s="110"/>
      <c r="V107" s="110"/>
    </row>
    <row r="108" customFormat="false" ht="18.75" hidden="false" customHeight="true" outlineLevel="0" collapsed="false">
      <c r="A108" s="110" t="s">
        <v>2381</v>
      </c>
      <c r="B108" s="110"/>
      <c r="C108" s="110"/>
      <c r="D108" s="113" t="n">
        <f aca="false">D65-D107</f>
        <v>0</v>
      </c>
      <c r="E108" s="110"/>
      <c r="F108" s="110"/>
      <c r="G108" s="110"/>
      <c r="H108" s="110"/>
      <c r="I108" s="110"/>
      <c r="J108" s="110"/>
      <c r="K108" s="110"/>
      <c r="L108" s="110"/>
      <c r="M108" s="110"/>
      <c r="N108" s="110"/>
      <c r="O108" s="110"/>
      <c r="P108" s="110"/>
      <c r="Q108" s="110"/>
      <c r="R108" s="110"/>
      <c r="S108" s="110"/>
      <c r="T108" s="110"/>
      <c r="U108" s="110"/>
      <c r="V108" s="110"/>
    </row>
    <row r="109" customFormat="false" ht="18.75" hidden="false" customHeight="true" outlineLevel="0" collapsed="false">
      <c r="A109" s="110" t="s">
        <v>2382</v>
      </c>
      <c r="B109" s="110"/>
      <c r="C109" s="110"/>
      <c r="D109" s="113" t="n">
        <f aca="false">MIN(E46*(1-E47),Abroad!C87*E48)</f>
        <v>400</v>
      </c>
      <c r="E109" s="110"/>
      <c r="F109" s="110"/>
      <c r="G109" s="110"/>
      <c r="H109" s="110"/>
      <c r="I109" s="110"/>
      <c r="J109" s="110"/>
      <c r="K109" s="110"/>
      <c r="L109" s="110"/>
      <c r="M109" s="110"/>
      <c r="N109" s="110"/>
      <c r="O109" s="110"/>
      <c r="P109" s="110"/>
      <c r="Q109" s="110"/>
      <c r="R109" s="110"/>
      <c r="S109" s="110"/>
      <c r="T109" s="110"/>
      <c r="U109" s="110"/>
      <c r="V109" s="110"/>
    </row>
    <row r="110" customFormat="false" ht="18.75" hidden="false" customHeight="true" outlineLevel="0" collapsed="false">
      <c r="A110" s="110" t="s">
        <v>2383</v>
      </c>
      <c r="B110" s="110"/>
      <c r="C110" s="110"/>
      <c r="D110" s="113" t="n">
        <f aca="false">MIN(E46*E47,'Debt &amp; cash'!S86)</f>
        <v>200</v>
      </c>
      <c r="E110" s="110"/>
      <c r="F110" s="110"/>
      <c r="G110" s="110"/>
      <c r="H110" s="110"/>
      <c r="I110" s="110"/>
      <c r="J110" s="110"/>
      <c r="K110" s="110"/>
      <c r="L110" s="110"/>
      <c r="M110" s="110"/>
      <c r="N110" s="110"/>
      <c r="O110" s="110"/>
      <c r="P110" s="110"/>
      <c r="Q110" s="110"/>
      <c r="R110" s="110"/>
      <c r="S110" s="110"/>
      <c r="T110" s="110"/>
      <c r="U110" s="110"/>
      <c r="V110" s="110"/>
    </row>
    <row r="111" customFormat="false" ht="18.75" hidden="false" customHeight="true" outlineLevel="0" collapsed="false">
      <c r="A111" s="110" t="s">
        <v>2384</v>
      </c>
      <c r="B111" s="110"/>
      <c r="C111" s="110"/>
      <c r="D111" s="113" t="n">
        <f aca="false">D56*0.05</f>
        <v>250</v>
      </c>
      <c r="E111" s="110"/>
      <c r="F111" s="110"/>
      <c r="G111" s="110"/>
      <c r="H111" s="110"/>
      <c r="I111" s="110"/>
      <c r="J111" s="110"/>
      <c r="K111" s="110"/>
      <c r="L111" s="110"/>
      <c r="M111" s="110"/>
      <c r="N111" s="110"/>
      <c r="O111" s="110"/>
      <c r="P111" s="110"/>
      <c r="Q111" s="110"/>
      <c r="R111" s="110"/>
      <c r="S111" s="110"/>
      <c r="T111" s="110"/>
      <c r="U111" s="110"/>
      <c r="V111" s="110"/>
    </row>
    <row r="112" customFormat="false" ht="18.75" hidden="false" customHeight="true" outlineLevel="0" collapsed="false">
      <c r="A112" s="110" t="s">
        <v>2385</v>
      </c>
      <c r="B112" s="110"/>
      <c r="C112" s="110"/>
      <c r="D112" s="113" t="n">
        <f aca="false">MAX(0,E31-D61)*0.025</f>
        <v>60.125</v>
      </c>
      <c r="E112" s="110"/>
      <c r="F112" s="110"/>
      <c r="G112" s="110"/>
      <c r="H112" s="110"/>
      <c r="I112" s="110"/>
      <c r="J112" s="110"/>
      <c r="K112" s="110"/>
      <c r="L112" s="110"/>
      <c r="M112" s="110"/>
      <c r="N112" s="110"/>
      <c r="O112" s="110"/>
      <c r="P112" s="110"/>
      <c r="Q112" s="110"/>
      <c r="R112" s="110"/>
      <c r="S112" s="110"/>
      <c r="T112" s="110"/>
      <c r="U112" s="110"/>
      <c r="V112" s="110"/>
    </row>
    <row r="113" customFormat="false" ht="18.75" hidden="false" customHeight="true" outlineLevel="0" collapsed="false">
      <c r="A113" s="110" t="s">
        <v>2386</v>
      </c>
      <c r="B113" s="110"/>
      <c r="C113" s="110"/>
      <c r="D113" s="113" t="n">
        <f aca="false">(E39-E39*E40)*0.055</f>
        <v>27.5</v>
      </c>
      <c r="E113" s="110"/>
      <c r="F113" s="110"/>
      <c r="G113" s="110"/>
      <c r="H113" s="110"/>
      <c r="I113" s="110"/>
      <c r="J113" s="110"/>
      <c r="K113" s="110"/>
      <c r="L113" s="110"/>
      <c r="M113" s="110"/>
      <c r="N113" s="110"/>
      <c r="O113" s="110"/>
      <c r="P113" s="110"/>
      <c r="Q113" s="110"/>
      <c r="R113" s="110"/>
      <c r="S113" s="110"/>
      <c r="T113" s="110"/>
      <c r="U113" s="110"/>
      <c r="V113" s="110"/>
    </row>
    <row r="114" customFormat="false" ht="18.75" hidden="false" customHeight="true" outlineLevel="0" collapsed="false">
      <c r="A114" s="110" t="s">
        <v>2387</v>
      </c>
      <c r="B114" s="110"/>
      <c r="C114" s="110"/>
      <c r="D114" s="113" t="n">
        <f aca="false">D65*0.055*9/12</f>
        <v>12.16875</v>
      </c>
      <c r="E114" s="110"/>
      <c r="F114" s="110"/>
      <c r="G114" s="110"/>
      <c r="H114" s="110"/>
      <c r="I114" s="110"/>
      <c r="J114" s="110"/>
      <c r="K114" s="110"/>
      <c r="L114" s="110"/>
      <c r="M114" s="110"/>
      <c r="N114" s="110"/>
      <c r="O114" s="110"/>
      <c r="P114" s="110"/>
      <c r="Q114" s="110"/>
      <c r="R114" s="110"/>
      <c r="S114" s="110"/>
      <c r="T114" s="110"/>
      <c r="U114" s="110"/>
      <c r="V114" s="110"/>
    </row>
    <row r="115" customFormat="false" ht="18.75" hidden="false" customHeight="true" outlineLevel="0" collapsed="false">
      <c r="A115" s="110" t="s">
        <v>2388</v>
      </c>
      <c r="B115" s="110"/>
      <c r="C115" s="110"/>
      <c r="D115" s="113" t="n">
        <f aca="false">80</f>
        <v>80</v>
      </c>
      <c r="E115" s="110"/>
      <c r="F115" s="110"/>
      <c r="G115" s="110"/>
      <c r="H115" s="110"/>
      <c r="I115" s="110"/>
      <c r="J115" s="110"/>
      <c r="K115" s="110"/>
      <c r="L115" s="110"/>
      <c r="M115" s="110"/>
      <c r="N115" s="110"/>
      <c r="O115" s="110"/>
      <c r="P115" s="110"/>
      <c r="Q115" s="110"/>
      <c r="R115" s="110"/>
      <c r="S115" s="110"/>
      <c r="T115" s="110"/>
      <c r="U115" s="110"/>
      <c r="V115" s="110"/>
    </row>
    <row r="116" customFormat="false" ht="18.75" hidden="false" customHeight="true" outlineLevel="0" collapsed="false">
      <c r="A116" s="110" t="s">
        <v>2389</v>
      </c>
      <c r="B116" s="110"/>
      <c r="C116" s="110"/>
      <c r="D116" s="113" t="n">
        <f aca="false">D111-D112-D113-D114-D115-J89</f>
        <v>54.2576463370973</v>
      </c>
      <c r="E116" s="110"/>
      <c r="F116" s="110"/>
      <c r="G116" s="110"/>
      <c r="H116" s="110"/>
      <c r="I116" s="110"/>
      <c r="J116" s="110"/>
      <c r="K116" s="110"/>
      <c r="L116" s="110"/>
      <c r="M116" s="110"/>
      <c r="N116" s="110"/>
      <c r="O116" s="110"/>
      <c r="P116" s="110"/>
      <c r="Q116" s="110"/>
      <c r="R116" s="110"/>
      <c r="S116" s="110"/>
      <c r="T116" s="110"/>
      <c r="U116" s="110"/>
      <c r="V116" s="110"/>
    </row>
    <row r="117" customFormat="false" ht="18.75" hidden="false" customHeight="true" outlineLevel="0" collapsed="false">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row>
    <row r="118" customFormat="false" ht="18.75" hidden="false" customHeight="true" outlineLevel="0" collapsed="false">
      <c r="A118" s="110" t="s">
        <v>2390</v>
      </c>
      <c r="B118" s="110"/>
      <c r="C118" s="110"/>
      <c r="D118" s="110"/>
      <c r="E118" s="110"/>
      <c r="F118" s="110"/>
      <c r="G118" s="110"/>
      <c r="H118" s="110"/>
      <c r="I118" s="110"/>
      <c r="J118" s="110"/>
      <c r="K118" s="110"/>
      <c r="L118" s="110"/>
      <c r="M118" s="110"/>
      <c r="N118" s="110"/>
      <c r="O118" s="110"/>
      <c r="P118" s="110"/>
      <c r="Q118" s="110"/>
      <c r="R118" s="110"/>
      <c r="S118" s="110"/>
      <c r="T118" s="110"/>
      <c r="U118" s="110"/>
      <c r="V118" s="110"/>
    </row>
    <row r="119" customFormat="false" ht="18.75" hidden="false" customHeight="true" outlineLevel="0" collapsed="false">
      <c r="A119" s="110" t="s">
        <v>2391</v>
      </c>
      <c r="B119" s="110"/>
      <c r="C119" s="110"/>
      <c r="D119" s="110"/>
      <c r="E119" s="110"/>
      <c r="F119" s="110"/>
      <c r="G119" s="110"/>
      <c r="H119" s="110"/>
      <c r="I119" s="110"/>
      <c r="J119" s="110"/>
      <c r="K119" s="110"/>
      <c r="L119" s="110"/>
      <c r="M119" s="110"/>
      <c r="N119" s="110"/>
      <c r="O119" s="110"/>
      <c r="P119" s="110"/>
      <c r="Q119" s="110"/>
      <c r="R119" s="110"/>
      <c r="S119" s="110"/>
      <c r="T119" s="110"/>
      <c r="U119" s="110"/>
      <c r="V119" s="110"/>
    </row>
    <row r="120" customFormat="false" ht="18.75" hidden="false" customHeight="true" outlineLevel="0" collapsed="false">
      <c r="A120" s="110" t="s">
        <v>2392</v>
      </c>
      <c r="B120" s="110"/>
      <c r="C120" s="110"/>
      <c r="D120" s="110"/>
      <c r="E120" s="110"/>
      <c r="F120" s="110"/>
      <c r="G120" s="110"/>
      <c r="H120" s="110"/>
      <c r="I120" s="110"/>
      <c r="J120" s="110"/>
      <c r="K120" s="110"/>
      <c r="L120" s="110"/>
      <c r="M120" s="110"/>
      <c r="N120" s="110"/>
      <c r="O120" s="110"/>
      <c r="P120" s="110"/>
      <c r="Q120" s="110"/>
      <c r="R120" s="110"/>
      <c r="S120" s="110"/>
      <c r="T120" s="110"/>
      <c r="U120" s="110"/>
      <c r="V120" s="110"/>
    </row>
    <row r="121" customFormat="false" ht="18.75" hidden="false" customHeight="true" outlineLevel="0" collapsed="false">
      <c r="A121" s="110" t="s">
        <v>2393</v>
      </c>
      <c r="B121" s="110"/>
      <c r="C121" s="110"/>
      <c r="D121" s="110"/>
      <c r="E121" s="110"/>
      <c r="F121" s="110"/>
      <c r="G121" s="110"/>
      <c r="H121" s="110"/>
      <c r="I121" s="110"/>
      <c r="J121" s="110"/>
      <c r="K121" s="110"/>
      <c r="L121" s="110"/>
      <c r="M121" s="110"/>
      <c r="N121" s="110"/>
      <c r="O121" s="110"/>
      <c r="P121" s="110"/>
      <c r="Q121" s="110"/>
      <c r="R121" s="110"/>
      <c r="S121" s="110"/>
      <c r="T121" s="110"/>
      <c r="U121" s="110"/>
      <c r="V121" s="110"/>
    </row>
    <row r="122" customFormat="false" ht="18.75" hidden="false" customHeight="true" outlineLevel="0" collapsed="false">
      <c r="A122" s="110" t="s">
        <v>2394</v>
      </c>
      <c r="B122" s="110"/>
      <c r="C122" s="110"/>
      <c r="D122" s="110"/>
      <c r="E122" s="110"/>
      <c r="F122" s="110"/>
      <c r="G122" s="110"/>
      <c r="H122" s="110"/>
      <c r="I122" s="110"/>
      <c r="J122" s="110"/>
      <c r="K122" s="110"/>
      <c r="L122" s="110"/>
      <c r="M122" s="110"/>
      <c r="N122" s="110"/>
      <c r="O122" s="110"/>
      <c r="P122" s="110"/>
      <c r="Q122" s="110"/>
      <c r="R122" s="110"/>
      <c r="S122" s="110"/>
      <c r="T122" s="110"/>
      <c r="U122" s="110"/>
      <c r="V122" s="110"/>
    </row>
    <row r="123" customFormat="false" ht="18.75" hidden="false" customHeight="true" outlineLevel="0" collapsed="false">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row>
    <row r="124" customFormat="false" ht="18.75" hidden="false" customHeight="true" outlineLevel="0" collapsed="false">
      <c r="A124" s="114" t="s">
        <v>2395</v>
      </c>
      <c r="B124" s="115"/>
      <c r="C124" s="115"/>
      <c r="D124" s="115"/>
      <c r="E124" s="115"/>
      <c r="F124" s="115"/>
      <c r="G124" s="115"/>
      <c r="H124" s="110"/>
      <c r="I124" s="110"/>
      <c r="J124" s="110"/>
      <c r="K124" s="110"/>
      <c r="L124" s="110"/>
      <c r="M124" s="110"/>
      <c r="N124" s="110"/>
      <c r="O124" s="110"/>
      <c r="P124" s="110"/>
      <c r="Q124" s="110"/>
      <c r="R124" s="110"/>
      <c r="S124" s="110"/>
      <c r="T124" s="110"/>
      <c r="U124" s="110"/>
      <c r="V124" s="110"/>
    </row>
    <row r="125" customFormat="false" ht="34.5" hidden="false" customHeight="true" outlineLevel="0" collapsed="false">
      <c r="A125" s="110" t="s">
        <v>2396</v>
      </c>
      <c r="B125" s="110"/>
      <c r="C125" s="119" t="n">
        <v>0.5</v>
      </c>
      <c r="D125" s="119" t="n">
        <v>0.7</v>
      </c>
      <c r="E125" s="128" t="n">
        <f aca="false">IF(Levers!$E$4=1,C125,D125)</f>
        <v>0.5</v>
      </c>
      <c r="F125" s="110"/>
      <c r="G125" s="118" t="s">
        <v>2397</v>
      </c>
      <c r="H125" s="110"/>
      <c r="I125" s="110"/>
      <c r="J125" s="110"/>
      <c r="K125" s="110"/>
      <c r="L125" s="110"/>
      <c r="M125" s="110"/>
      <c r="N125" s="110"/>
      <c r="O125" s="110"/>
      <c r="P125" s="110"/>
      <c r="Q125" s="110"/>
      <c r="R125" s="110"/>
      <c r="S125" s="110"/>
      <c r="T125" s="110"/>
      <c r="U125" s="110"/>
      <c r="V125" s="110"/>
    </row>
    <row r="126" customFormat="false" ht="18.75" hidden="false" customHeight="true" outlineLevel="0" collapsed="false">
      <c r="A126" s="110" t="s">
        <v>2398</v>
      </c>
      <c r="B126" s="110"/>
      <c r="C126" s="110"/>
      <c r="D126" s="113" t="n">
        <f aca="false">C89*E125</f>
        <v>248.549667473809</v>
      </c>
      <c r="E126" s="110"/>
      <c r="F126" s="110"/>
      <c r="G126" s="110"/>
      <c r="H126" s="110"/>
      <c r="I126" s="110"/>
      <c r="J126" s="110"/>
      <c r="K126" s="110"/>
      <c r="L126" s="110"/>
      <c r="M126" s="110"/>
      <c r="N126" s="110"/>
      <c r="O126" s="110"/>
      <c r="P126" s="110"/>
      <c r="Q126" s="110"/>
      <c r="R126" s="110"/>
      <c r="S126" s="110"/>
      <c r="T126" s="110"/>
      <c r="U126" s="110"/>
      <c r="V126" s="110"/>
    </row>
    <row r="127" customFormat="false" ht="18.75" hidden="false" customHeight="true" outlineLevel="0" collapsed="false">
      <c r="A127" s="110" t="s">
        <v>2399</v>
      </c>
      <c r="B127" s="110"/>
      <c r="C127" s="110"/>
      <c r="D127" s="113" t="n">
        <f aca="false">D89+E89</f>
        <v>497.099334947618</v>
      </c>
      <c r="E127" s="110"/>
      <c r="F127" s="110"/>
      <c r="G127" s="110"/>
      <c r="H127" s="110"/>
      <c r="I127" s="110"/>
      <c r="J127" s="110"/>
      <c r="K127" s="110"/>
      <c r="L127" s="110"/>
      <c r="M127" s="110"/>
      <c r="N127" s="110"/>
      <c r="O127" s="110"/>
      <c r="P127" s="110"/>
      <c r="Q127" s="110"/>
      <c r="R127" s="110"/>
      <c r="S127" s="110"/>
      <c r="T127" s="110"/>
      <c r="U127" s="110"/>
      <c r="V127" s="110"/>
    </row>
    <row r="128" customFormat="false" ht="18.75" hidden="false" customHeight="true" outlineLevel="0" collapsed="false">
      <c r="A128" s="110" t="s">
        <v>2400</v>
      </c>
      <c r="B128" s="110"/>
      <c r="C128" s="110"/>
      <c r="D128" s="113" t="n">
        <f aca="false">C89-D127</f>
        <v>0</v>
      </c>
      <c r="E128" s="110"/>
      <c r="F128" s="110"/>
      <c r="G128" s="110"/>
      <c r="H128" s="110"/>
      <c r="I128" s="110"/>
      <c r="J128" s="110"/>
      <c r="K128" s="110"/>
      <c r="L128" s="110"/>
      <c r="M128" s="110"/>
      <c r="N128" s="110"/>
      <c r="O128" s="110"/>
      <c r="P128" s="110"/>
      <c r="Q128" s="110"/>
      <c r="R128" s="110"/>
      <c r="S128" s="110"/>
      <c r="T128" s="110"/>
      <c r="U128" s="110"/>
      <c r="V128" s="110"/>
    </row>
    <row r="129" customFormat="false" ht="18.75" hidden="false" customHeight="true" outlineLevel="0" collapsed="false">
      <c r="A129" s="110" t="s">
        <v>2401</v>
      </c>
      <c r="B129" s="110"/>
      <c r="C129" s="110"/>
      <c r="D129" s="113" t="n">
        <f aca="false">Abroad!C87-E89</f>
        <v>1805.92355239308</v>
      </c>
      <c r="E129" s="110"/>
      <c r="F129" s="110"/>
      <c r="G129" s="110"/>
      <c r="H129" s="110"/>
      <c r="I129" s="110"/>
      <c r="J129" s="110"/>
      <c r="K129" s="110"/>
      <c r="L129" s="110"/>
      <c r="M129" s="110"/>
      <c r="N129" s="110"/>
      <c r="O129" s="110"/>
      <c r="P129" s="110"/>
      <c r="Q129" s="110"/>
      <c r="R129" s="110"/>
      <c r="S129" s="110"/>
      <c r="T129" s="110"/>
      <c r="U129" s="110"/>
      <c r="V129" s="110"/>
    </row>
    <row r="130" customFormat="false" ht="18.75" hidden="false" customHeight="true" outlineLevel="0" collapsed="false">
      <c r="A130" s="110" t="s">
        <v>2402</v>
      </c>
      <c r="B130" s="110"/>
      <c r="C130" s="110"/>
      <c r="D130" s="113" t="n">
        <f aca="false">C89-D126</f>
        <v>248.549667473809</v>
      </c>
      <c r="E130" s="110"/>
      <c r="F130" s="110"/>
      <c r="G130" s="110"/>
      <c r="H130" s="110"/>
      <c r="I130" s="110"/>
      <c r="J130" s="110"/>
      <c r="K130" s="110"/>
      <c r="L130" s="110"/>
      <c r="M130" s="110"/>
      <c r="N130" s="110"/>
      <c r="O130" s="110"/>
      <c r="P130" s="110"/>
      <c r="Q130" s="110"/>
      <c r="R130" s="110"/>
      <c r="S130" s="110"/>
      <c r="T130" s="110"/>
      <c r="U130" s="110"/>
      <c r="V130" s="110"/>
    </row>
    <row r="131" customFormat="false" ht="18.75" hidden="false" customHeight="true" outlineLevel="0" collapsed="false">
      <c r="A131" s="110" t="s">
        <v>2403</v>
      </c>
      <c r="B131" s="110"/>
      <c r="C131" s="110"/>
      <c r="D131" s="113" t="n">
        <f aca="false">D130</f>
        <v>248.549667473809</v>
      </c>
      <c r="E131" s="110"/>
      <c r="F131" s="110"/>
      <c r="G131" s="110"/>
      <c r="H131" s="110"/>
      <c r="I131" s="110"/>
      <c r="J131" s="110"/>
      <c r="K131" s="110"/>
      <c r="L131" s="110"/>
      <c r="M131" s="110"/>
      <c r="N131" s="110"/>
      <c r="O131" s="110"/>
      <c r="P131" s="110"/>
      <c r="Q131" s="110"/>
      <c r="R131" s="110"/>
      <c r="S131" s="110"/>
      <c r="T131" s="110"/>
      <c r="U131" s="110"/>
      <c r="V131" s="110"/>
    </row>
    <row r="132" customFormat="false" ht="18.75" hidden="false" customHeight="true" outlineLevel="0" collapsed="false">
      <c r="A132" s="110" t="s">
        <v>2404</v>
      </c>
      <c r="B132" s="110"/>
      <c r="C132" s="110"/>
      <c r="D132" s="113" t="n">
        <f aca="false">D131*gold_cover</f>
        <v>99.4198669895237</v>
      </c>
      <c r="E132" s="110"/>
      <c r="F132" s="110"/>
      <c r="G132" s="110"/>
      <c r="H132" s="110"/>
      <c r="I132" s="110"/>
      <c r="J132" s="110"/>
      <c r="K132" s="110"/>
      <c r="L132" s="110"/>
      <c r="M132" s="110"/>
      <c r="N132" s="110"/>
      <c r="O132" s="110"/>
      <c r="P132" s="110"/>
      <c r="Q132" s="110"/>
      <c r="R132" s="110"/>
      <c r="S132" s="110"/>
      <c r="T132" s="110"/>
      <c r="U132" s="110"/>
      <c r="V132" s="110"/>
    </row>
    <row r="133" customFormat="false" ht="18.75" hidden="false" customHeight="true" outlineLevel="0" collapsed="false">
      <c r="A133" s="110" t="s">
        <v>2405</v>
      </c>
      <c r="B133" s="110"/>
      <c r="C133" s="110"/>
      <c r="D133" s="113" t="n">
        <f aca="false">D126+D132</f>
        <v>347.969534463333</v>
      </c>
      <c r="E133" s="110"/>
      <c r="F133" s="110"/>
      <c r="G133" s="110"/>
      <c r="H133" s="110"/>
      <c r="I133" s="110"/>
      <c r="J133" s="110"/>
      <c r="K133" s="110"/>
      <c r="L133" s="110"/>
      <c r="M133" s="110"/>
      <c r="N133" s="110"/>
      <c r="O133" s="110"/>
      <c r="P133" s="110"/>
      <c r="Q133" s="110"/>
      <c r="R133" s="110"/>
      <c r="S133" s="110"/>
      <c r="T133" s="110"/>
      <c r="U133" s="110"/>
      <c r="V133" s="110"/>
    </row>
    <row r="134" customFormat="false" ht="18.75" hidden="false" customHeight="true" outlineLevel="0" collapsed="false">
      <c r="A134" s="110" t="s">
        <v>2406</v>
      </c>
      <c r="B134" s="110"/>
      <c r="C134" s="110"/>
      <c r="D134" s="110"/>
      <c r="E134" s="110"/>
      <c r="F134" s="110"/>
      <c r="G134" s="110"/>
      <c r="H134" s="110"/>
      <c r="I134" s="110"/>
      <c r="J134" s="110"/>
      <c r="K134" s="110"/>
      <c r="L134" s="110"/>
      <c r="M134" s="110"/>
      <c r="N134" s="110"/>
      <c r="O134" s="110"/>
      <c r="P134" s="110"/>
      <c r="Q134" s="110"/>
      <c r="R134" s="110"/>
      <c r="S134" s="110"/>
      <c r="T134" s="110"/>
      <c r="U134" s="110"/>
      <c r="V134" s="110"/>
    </row>
  </sheetData>
  <conditionalFormatting sqref="D16:D18">
    <cfRule type="cellIs" priority="2" operator="greaterThan" aboveAverage="0" equalAverage="0" bottom="0" percent="0" rank="0" text="" dxfId="2">
      <formula>0.001</formula>
    </cfRule>
  </conditionalFormatting>
  <conditionalFormatting sqref="S70:S81">
    <cfRule type="cellIs" priority="3" operator="greaterThan" aboveAverage="0" equalAverage="0" bottom="0" percent="0" rank="0" text="" dxfId="2">
      <formula>0.001</formula>
    </cfRule>
  </conditionalFormatting>
  <conditionalFormatting sqref="D60">
    <cfRule type="cellIs" priority="4" operator="greaterThan" aboveAverage="0" equalAverage="0" bottom="0" percent="0" rank="0" text="" dxfId="2">
      <formula>0.001</formula>
    </cfRule>
  </conditionalFormatting>
  <conditionalFormatting sqref="D66">
    <cfRule type="cellIs" priority="5" operator="greaterThan" aboveAverage="0" equalAverage="0" bottom="0" percent="0" rank="0" text="" dxfId="2">
      <formula>0.001</formula>
    </cfRule>
  </conditionalFormatting>
  <conditionalFormatting sqref="R70:R81">
    <cfRule type="cellIs" priority="6" operator="lessThan" aboveAverage="0" equalAverage="0" bottom="0" percent="0" rank="0" text="" dxfId="2">
      <formula>-0.001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8671875" defaultRowHeight="14.25" zeroHeight="false" outlineLevelRow="0" outlineLevelCol="0"/>
  <cols>
    <col collapsed="false" customWidth="true" hidden="false" outlineLevel="0" max="1" min="1" style="1" width="48"/>
    <col collapsed="false" customWidth="true" hidden="false" outlineLevel="0" max="5" min="2" style="1" width="17"/>
    <col collapsed="false" customWidth="true" hidden="false" outlineLevel="0" max="6" min="6" style="1" width="45"/>
    <col collapsed="false" customWidth="true" hidden="false" outlineLevel="0" max="19" min="7" style="1" width="17"/>
  </cols>
  <sheetData>
    <row r="1" customFormat="false" ht="19.5" hidden="false" customHeight="true" outlineLevel="0" collapsed="false">
      <c r="A1" s="109" t="s">
        <v>2407</v>
      </c>
      <c r="B1" s="110"/>
      <c r="C1" s="110"/>
      <c r="D1" s="110"/>
      <c r="E1" s="110"/>
      <c r="F1" s="110"/>
      <c r="G1" s="110"/>
      <c r="H1" s="110"/>
      <c r="I1" s="110"/>
      <c r="J1" s="110"/>
      <c r="K1" s="110"/>
      <c r="L1" s="110"/>
      <c r="M1" s="110"/>
      <c r="N1" s="110"/>
      <c r="O1" s="110"/>
      <c r="P1" s="110"/>
      <c r="Q1" s="110"/>
      <c r="R1" s="110"/>
      <c r="S1" s="110"/>
    </row>
    <row r="2" customFormat="false" ht="19.5" hidden="false" customHeight="true" outlineLevel="0" collapsed="false">
      <c r="A2" s="111" t="s">
        <v>2408</v>
      </c>
      <c r="B2" s="110"/>
      <c r="C2" s="110"/>
      <c r="D2" s="110"/>
      <c r="E2" s="110"/>
      <c r="F2" s="110"/>
      <c r="G2" s="110"/>
      <c r="H2" s="110"/>
      <c r="I2" s="110"/>
      <c r="J2" s="110"/>
      <c r="K2" s="110"/>
      <c r="L2" s="110"/>
      <c r="M2" s="110"/>
      <c r="N2" s="110"/>
      <c r="O2" s="110"/>
      <c r="P2" s="110"/>
      <c r="Q2" s="110"/>
      <c r="R2" s="110"/>
      <c r="S2" s="110"/>
    </row>
    <row r="3" customFormat="false" ht="19.5" hidden="false" customHeight="true" outlineLevel="0" collapsed="false">
      <c r="A3" s="110" t="s">
        <v>2246</v>
      </c>
      <c r="B3" s="110"/>
      <c r="C3" s="110"/>
      <c r="D3" s="110"/>
      <c r="E3" s="129" t="str">
        <f aca="false">Levers!F4</f>
        <v>Story case</v>
      </c>
      <c r="F3" s="110"/>
      <c r="G3" s="110"/>
      <c r="H3" s="110"/>
      <c r="I3" s="110"/>
      <c r="J3" s="110"/>
      <c r="K3" s="110"/>
      <c r="L3" s="110"/>
      <c r="M3" s="110"/>
      <c r="N3" s="110"/>
      <c r="O3" s="110"/>
      <c r="P3" s="110"/>
      <c r="Q3" s="110"/>
      <c r="R3" s="110"/>
      <c r="S3" s="110"/>
    </row>
    <row r="4" customFormat="false" ht="19.5" hidden="false" customHeight="true" outlineLevel="0" collapsed="false">
      <c r="A4" s="110"/>
      <c r="B4" s="110"/>
      <c r="C4" s="110"/>
      <c r="D4" s="110"/>
      <c r="E4" s="110"/>
      <c r="F4" s="110"/>
      <c r="G4" s="110"/>
      <c r="H4" s="110"/>
      <c r="I4" s="110"/>
      <c r="J4" s="110"/>
      <c r="K4" s="110"/>
      <c r="L4" s="110"/>
      <c r="M4" s="110"/>
      <c r="N4" s="110"/>
      <c r="O4" s="110"/>
      <c r="P4" s="110"/>
      <c r="Q4" s="110"/>
      <c r="R4" s="110"/>
      <c r="S4" s="110"/>
    </row>
    <row r="5" customFormat="false" ht="19.5" hidden="false" customHeight="true" outlineLevel="0" collapsed="false">
      <c r="A5" s="110" t="s">
        <v>2409</v>
      </c>
      <c r="B5" s="113"/>
      <c r="C5" s="113"/>
      <c r="D5" s="113" t="n">
        <f aca="false">SUM('War credit'!B74:B78)</f>
        <v>8500</v>
      </c>
      <c r="E5" s="113"/>
      <c r="F5" s="113"/>
      <c r="G5" s="113"/>
      <c r="H5" s="113"/>
      <c r="I5" s="113"/>
      <c r="J5" s="113"/>
      <c r="K5" s="113"/>
      <c r="L5" s="113"/>
      <c r="M5" s="113"/>
      <c r="N5" s="113"/>
      <c r="O5" s="113"/>
      <c r="P5" s="113"/>
      <c r="Q5" s="113"/>
      <c r="R5" s="113"/>
      <c r="S5" s="113"/>
    </row>
    <row r="6" customFormat="false" ht="19.5" hidden="false" customHeight="true" outlineLevel="0" collapsed="false">
      <c r="A6" s="110" t="s">
        <v>2410</v>
      </c>
      <c r="B6" s="113"/>
      <c r="C6" s="113"/>
      <c r="D6" s="113" t="n">
        <f aca="false">SUM('War credit'!C74:C78)</f>
        <v>1700</v>
      </c>
      <c r="E6" s="113"/>
      <c r="F6" s="113"/>
      <c r="G6" s="113"/>
      <c r="H6" s="113"/>
      <c r="I6" s="113"/>
      <c r="J6" s="113"/>
      <c r="K6" s="113"/>
      <c r="L6" s="113"/>
      <c r="M6" s="113"/>
      <c r="N6" s="113"/>
      <c r="O6" s="113"/>
      <c r="P6" s="113"/>
      <c r="Q6" s="113"/>
      <c r="R6" s="113"/>
      <c r="S6" s="113"/>
    </row>
    <row r="7" customFormat="false" ht="19.5" hidden="false" customHeight="true" outlineLevel="0" collapsed="false">
      <c r="A7" s="110" t="s">
        <v>2411</v>
      </c>
      <c r="B7" s="113"/>
      <c r="C7" s="113"/>
      <c r="D7" s="113" t="n">
        <f aca="false">SUM('War credit'!D74:D78)</f>
        <v>2850</v>
      </c>
      <c r="E7" s="113"/>
      <c r="F7" s="113"/>
      <c r="G7" s="113"/>
      <c r="H7" s="113"/>
      <c r="I7" s="113"/>
      <c r="J7" s="113"/>
      <c r="K7" s="113"/>
      <c r="L7" s="113"/>
      <c r="M7" s="113"/>
      <c r="N7" s="113"/>
      <c r="O7" s="113"/>
      <c r="P7" s="113"/>
      <c r="Q7" s="113"/>
      <c r="R7" s="113"/>
      <c r="S7" s="113"/>
    </row>
    <row r="8" customFormat="false" ht="19.5" hidden="false" customHeight="true" outlineLevel="0" collapsed="false">
      <c r="A8" s="110" t="s">
        <v>2412</v>
      </c>
      <c r="B8" s="113"/>
      <c r="C8" s="113"/>
      <c r="D8" s="113" t="n">
        <f aca="false">SUM('War credit'!E74:E78)</f>
        <v>3950</v>
      </c>
      <c r="E8" s="113"/>
      <c r="F8" s="113"/>
      <c r="G8" s="113"/>
      <c r="H8" s="113"/>
      <c r="I8" s="113"/>
      <c r="J8" s="113"/>
      <c r="K8" s="113"/>
      <c r="L8" s="113"/>
      <c r="M8" s="113"/>
      <c r="N8" s="113"/>
      <c r="O8" s="113"/>
      <c r="P8" s="113"/>
      <c r="Q8" s="113"/>
      <c r="R8" s="113"/>
      <c r="S8" s="113"/>
    </row>
    <row r="9" customFormat="false" ht="19.5" hidden="false" customHeight="true" outlineLevel="0" collapsed="false">
      <c r="A9" s="110" t="s">
        <v>2413</v>
      </c>
      <c r="B9" s="113"/>
      <c r="C9" s="113"/>
      <c r="D9" s="113" t="n">
        <f aca="false">MAX('War credit'!E74:E78)</f>
        <v>1200</v>
      </c>
      <c r="E9" s="113"/>
      <c r="F9" s="113"/>
      <c r="G9" s="113"/>
      <c r="H9" s="113"/>
      <c r="I9" s="113"/>
      <c r="J9" s="113"/>
      <c r="K9" s="113"/>
      <c r="L9" s="113"/>
      <c r="M9" s="113"/>
      <c r="N9" s="113"/>
      <c r="O9" s="113"/>
      <c r="P9" s="113"/>
      <c r="Q9" s="113"/>
      <c r="R9" s="113"/>
      <c r="S9" s="113"/>
    </row>
    <row r="10" customFormat="false" ht="19.5" hidden="false" customHeight="true" outlineLevel="0" collapsed="false">
      <c r="A10" s="110" t="s">
        <v>2414</v>
      </c>
      <c r="B10" s="113"/>
      <c r="C10" s="113"/>
      <c r="D10" s="113" t="n">
        <f aca="false">'Japan expansion'!D25</f>
        <v>1657.5</v>
      </c>
      <c r="E10" s="113"/>
      <c r="F10" s="113"/>
      <c r="G10" s="113"/>
      <c r="H10" s="113"/>
      <c r="I10" s="113"/>
      <c r="J10" s="113"/>
      <c r="K10" s="113"/>
      <c r="L10" s="113"/>
      <c r="M10" s="113"/>
      <c r="N10" s="113"/>
      <c r="O10" s="113"/>
      <c r="P10" s="113"/>
      <c r="Q10" s="113"/>
      <c r="R10" s="113"/>
      <c r="S10" s="113"/>
    </row>
    <row r="11" customFormat="false" ht="19.5" hidden="false" customHeight="true" outlineLevel="0" collapsed="false">
      <c r="A11" s="110" t="s">
        <v>2415</v>
      </c>
      <c r="B11" s="113"/>
      <c r="C11" s="113"/>
      <c r="D11" s="113" t="n">
        <f aca="false">'Japan expansion'!D31</f>
        <v>1201.6875</v>
      </c>
      <c r="E11" s="113"/>
      <c r="F11" s="113"/>
      <c r="G11" s="113"/>
      <c r="H11" s="113"/>
      <c r="I11" s="113"/>
      <c r="J11" s="113"/>
      <c r="K11" s="113"/>
      <c r="L11" s="113"/>
      <c r="M11" s="113"/>
      <c r="N11" s="113"/>
      <c r="O11" s="113"/>
      <c r="P11" s="113"/>
      <c r="Q11" s="113"/>
      <c r="R11" s="113"/>
      <c r="S11" s="113"/>
    </row>
    <row r="12" customFormat="false" ht="19.5" hidden="false" customHeight="true" outlineLevel="0" collapsed="false">
      <c r="A12" s="110" t="s">
        <v>2416</v>
      </c>
      <c r="B12" s="113"/>
      <c r="C12" s="113"/>
      <c r="D12" s="113" t="n">
        <f aca="false">'Japan expansion'!D35</f>
        <v>2000</v>
      </c>
      <c r="E12" s="113"/>
      <c r="F12" s="113"/>
      <c r="G12" s="113"/>
      <c r="H12" s="113"/>
      <c r="I12" s="113"/>
      <c r="J12" s="113"/>
      <c r="K12" s="113"/>
      <c r="L12" s="113"/>
      <c r="M12" s="113"/>
      <c r="N12" s="113"/>
      <c r="O12" s="113"/>
      <c r="P12" s="113"/>
      <c r="Q12" s="113"/>
      <c r="R12" s="113"/>
      <c r="S12" s="113"/>
    </row>
    <row r="13" customFormat="false" ht="19.5" hidden="false" customHeight="true" outlineLevel="0" collapsed="false">
      <c r="A13" s="110" t="s">
        <v>2417</v>
      </c>
      <c r="B13" s="113"/>
      <c r="C13" s="113"/>
      <c r="D13" s="113" t="n">
        <f aca="false">'Japan rescue'!D10</f>
        <v>497.099334947618</v>
      </c>
      <c r="E13" s="113"/>
      <c r="F13" s="113"/>
      <c r="G13" s="113"/>
      <c r="H13" s="113"/>
      <c r="I13" s="113"/>
      <c r="J13" s="113"/>
      <c r="K13" s="113"/>
      <c r="L13" s="113"/>
      <c r="M13" s="113"/>
      <c r="N13" s="113"/>
      <c r="O13" s="113"/>
      <c r="P13" s="113"/>
      <c r="Q13" s="113"/>
      <c r="R13" s="113"/>
      <c r="S13" s="113"/>
    </row>
    <row r="14" customFormat="false" ht="19.5" hidden="false" customHeight="true" outlineLevel="0" collapsed="false">
      <c r="A14" s="110" t="s">
        <v>2418</v>
      </c>
      <c r="B14" s="113"/>
      <c r="C14" s="113"/>
      <c r="D14" s="113" t="n">
        <f aca="false">S123</f>
        <v>21.3035536248884</v>
      </c>
      <c r="E14" s="113"/>
      <c r="F14" s="113"/>
      <c r="G14" s="113"/>
      <c r="H14" s="113"/>
      <c r="I14" s="113"/>
      <c r="J14" s="113"/>
      <c r="K14" s="113"/>
      <c r="L14" s="113"/>
      <c r="M14" s="113"/>
      <c r="N14" s="113"/>
      <c r="O14" s="113"/>
      <c r="P14" s="113"/>
      <c r="Q14" s="113"/>
      <c r="R14" s="113"/>
      <c r="S14" s="113"/>
    </row>
    <row r="15" customFormat="false" ht="19.5" hidden="false" customHeight="true" outlineLevel="0" collapsed="false">
      <c r="A15" s="110" t="s">
        <v>2419</v>
      </c>
      <c r="B15" s="113"/>
      <c r="C15" s="113"/>
      <c r="D15" s="113" t="n">
        <f aca="false">MAX(M135:M221)</f>
        <v>0</v>
      </c>
      <c r="E15" s="113"/>
      <c r="F15" s="113"/>
      <c r="G15" s="113"/>
      <c r="H15" s="113"/>
      <c r="I15" s="113"/>
      <c r="J15" s="113"/>
      <c r="K15" s="113"/>
      <c r="L15" s="113"/>
      <c r="M15" s="113"/>
      <c r="N15" s="113"/>
      <c r="O15" s="113"/>
      <c r="P15" s="113"/>
      <c r="Q15" s="113"/>
      <c r="R15" s="113"/>
      <c r="S15" s="113"/>
    </row>
    <row r="16" customFormat="false" ht="19.5" hidden="false" customHeight="true" outlineLevel="0" collapsed="false">
      <c r="A16" s="110" t="s">
        <v>2420</v>
      </c>
      <c r="B16" s="113"/>
      <c r="C16" s="113"/>
      <c r="D16" s="113" t="n">
        <f aca="false">SUM('Capital accounts'!L6:L92)</f>
        <v>0</v>
      </c>
      <c r="E16" s="113"/>
      <c r="F16" s="113"/>
      <c r="G16" s="113"/>
      <c r="H16" s="113"/>
      <c r="I16" s="113"/>
      <c r="J16" s="113"/>
      <c r="K16" s="113"/>
      <c r="L16" s="113"/>
      <c r="M16" s="113"/>
      <c r="N16" s="113"/>
      <c r="O16" s="113"/>
      <c r="P16" s="113"/>
      <c r="Q16" s="113"/>
      <c r="R16" s="113"/>
      <c r="S16" s="113"/>
    </row>
    <row r="17" customFormat="false" ht="19.5" hidden="false" customHeight="true" outlineLevel="0" collapsed="false">
      <c r="A17" s="110" t="s">
        <v>2421</v>
      </c>
      <c r="B17" s="113"/>
      <c r="C17" s="113"/>
      <c r="D17" s="113" t="n">
        <f aca="false">'Japan expansion'!D42</f>
        <v>800</v>
      </c>
      <c r="E17" s="113"/>
      <c r="F17" s="113"/>
      <c r="G17" s="113"/>
      <c r="H17" s="113"/>
      <c r="I17" s="113"/>
      <c r="J17" s="113"/>
      <c r="K17" s="113"/>
      <c r="L17" s="113"/>
      <c r="M17" s="113"/>
      <c r="N17" s="113"/>
      <c r="O17" s="113"/>
      <c r="P17" s="113"/>
      <c r="Q17" s="113"/>
      <c r="R17" s="113"/>
      <c r="S17" s="113"/>
    </row>
    <row r="18" customFormat="false" ht="19.5" hidden="false" customHeight="true" outlineLevel="0" collapsed="false">
      <c r="A18" s="110" t="s">
        <v>2422</v>
      </c>
      <c r="B18" s="113"/>
      <c r="C18" s="113"/>
      <c r="D18" s="117" t="str">
        <f aca="false">IF(SUM('Entente subscribers'!I6:I10)&lt;0.001,"Named subscribers cover every year (MODEL)","Subscriber gap: see Entente subscribers")</f>
        <v>Named subscribers cover every year (MODEL)</v>
      </c>
      <c r="E18" s="113"/>
      <c r="F18" s="113"/>
      <c r="G18" s="113"/>
      <c r="H18" s="113"/>
      <c r="I18" s="113"/>
      <c r="J18" s="113"/>
      <c r="K18" s="113"/>
      <c r="L18" s="113"/>
      <c r="M18" s="113"/>
      <c r="N18" s="113"/>
      <c r="O18" s="113"/>
      <c r="P18" s="113"/>
      <c r="Q18" s="113"/>
      <c r="R18" s="113"/>
      <c r="S18" s="113"/>
    </row>
    <row r="19" customFormat="false" ht="19.5" hidden="false" customHeight="true" outlineLevel="0" collapsed="false">
      <c r="A19" s="110"/>
      <c r="B19" s="113"/>
      <c r="C19" s="113"/>
      <c r="D19" s="113"/>
      <c r="E19" s="113"/>
      <c r="F19" s="113"/>
      <c r="G19" s="113"/>
      <c r="H19" s="113"/>
      <c r="I19" s="113"/>
      <c r="J19" s="113"/>
      <c r="K19" s="113"/>
      <c r="L19" s="113"/>
      <c r="M19" s="113"/>
      <c r="N19" s="113"/>
      <c r="O19" s="113"/>
      <c r="P19" s="113"/>
      <c r="Q19" s="113"/>
      <c r="R19" s="113"/>
      <c r="S19" s="113"/>
    </row>
    <row r="20" customFormat="false" ht="19.5" hidden="false" customHeight="true" outlineLevel="0" collapsed="false">
      <c r="A20" s="110"/>
      <c r="B20" s="113"/>
      <c r="C20" s="113"/>
      <c r="D20" s="113"/>
      <c r="E20" s="113"/>
      <c r="F20" s="113"/>
      <c r="G20" s="113"/>
      <c r="H20" s="113"/>
      <c r="I20" s="113"/>
      <c r="J20" s="113"/>
      <c r="K20" s="113"/>
      <c r="L20" s="113"/>
      <c r="M20" s="113"/>
      <c r="N20" s="113"/>
      <c r="O20" s="113"/>
      <c r="P20" s="113"/>
      <c r="Q20" s="113"/>
      <c r="R20" s="113"/>
      <c r="S20" s="113"/>
    </row>
    <row r="21" customFormat="false" ht="19.5" hidden="false" customHeight="true" outlineLevel="0" collapsed="false">
      <c r="A21" s="110"/>
      <c r="B21" s="113"/>
      <c r="C21" s="113"/>
      <c r="D21" s="113"/>
      <c r="E21" s="113"/>
      <c r="F21" s="113"/>
      <c r="G21" s="113"/>
      <c r="H21" s="113"/>
      <c r="I21" s="113"/>
      <c r="J21" s="113"/>
      <c r="K21" s="113"/>
      <c r="L21" s="113"/>
      <c r="M21" s="113"/>
      <c r="N21" s="113"/>
      <c r="O21" s="113"/>
      <c r="P21" s="113"/>
      <c r="Q21" s="113"/>
      <c r="R21" s="113"/>
      <c r="S21" s="113"/>
    </row>
    <row r="22" customFormat="false" ht="19.5" hidden="false" customHeight="true" outlineLevel="0" collapsed="false">
      <c r="A22" s="110"/>
      <c r="B22" s="113"/>
      <c r="C22" s="113"/>
      <c r="D22" s="113"/>
      <c r="E22" s="113"/>
      <c r="F22" s="113"/>
      <c r="G22" s="113"/>
      <c r="H22" s="113"/>
      <c r="I22" s="113"/>
      <c r="J22" s="113"/>
      <c r="K22" s="113"/>
      <c r="L22" s="113"/>
      <c r="M22" s="113"/>
      <c r="N22" s="113"/>
      <c r="O22" s="113"/>
      <c r="P22" s="113"/>
      <c r="Q22" s="113"/>
      <c r="R22" s="113"/>
      <c r="S22" s="113"/>
    </row>
    <row r="23" customFormat="false" ht="19.5" hidden="false" customHeight="true" outlineLevel="0" collapsed="false">
      <c r="A23" s="110"/>
      <c r="B23" s="113"/>
      <c r="C23" s="113"/>
      <c r="D23" s="113"/>
      <c r="E23" s="113"/>
      <c r="F23" s="113"/>
      <c r="G23" s="113"/>
      <c r="H23" s="113"/>
      <c r="I23" s="113"/>
      <c r="J23" s="113"/>
      <c r="K23" s="113"/>
      <c r="L23" s="113"/>
      <c r="M23" s="113"/>
      <c r="N23" s="113"/>
      <c r="O23" s="113"/>
      <c r="P23" s="113"/>
      <c r="Q23" s="113"/>
      <c r="R23" s="113"/>
      <c r="S23" s="113"/>
    </row>
    <row r="24" customFormat="false" ht="57.75" hidden="false" customHeight="true" outlineLevel="0" collapsed="false">
      <c r="A24" s="90" t="s">
        <v>2264</v>
      </c>
      <c r="B24" s="123"/>
      <c r="C24" s="123" t="s">
        <v>2265</v>
      </c>
      <c r="D24" s="123" t="s">
        <v>2266</v>
      </c>
      <c r="E24" s="123" t="s">
        <v>203</v>
      </c>
      <c r="F24" s="123" t="s">
        <v>2147</v>
      </c>
      <c r="G24" s="113"/>
      <c r="H24" s="113"/>
      <c r="I24" s="113"/>
      <c r="J24" s="113"/>
      <c r="K24" s="113"/>
      <c r="L24" s="113"/>
      <c r="M24" s="113"/>
      <c r="N24" s="113"/>
      <c r="O24" s="113"/>
      <c r="P24" s="113"/>
      <c r="Q24" s="113"/>
      <c r="R24" s="113"/>
      <c r="S24" s="113"/>
    </row>
    <row r="25" customFormat="false" ht="37.5" hidden="false" customHeight="true" outlineLevel="0" collapsed="false">
      <c r="A25" s="110" t="s">
        <v>2423</v>
      </c>
      <c r="B25" s="113"/>
      <c r="C25" s="119" t="n">
        <v>0.22</v>
      </c>
      <c r="D25" s="119" t="n">
        <v>0.18</v>
      </c>
      <c r="E25" s="130" t="n">
        <f aca="false">IF(Levers!$E$4=1,IF(ISNUMBER(C25),C25,"n.a."),IF(ISNUMBER(D25),D25,"n.a."))</f>
        <v>0.22</v>
      </c>
      <c r="F25" s="131" t="s">
        <v>2424</v>
      </c>
      <c r="G25" s="113"/>
      <c r="H25" s="113"/>
      <c r="I25" s="113"/>
      <c r="J25" s="113"/>
      <c r="K25" s="113"/>
      <c r="L25" s="113"/>
      <c r="M25" s="113"/>
      <c r="N25" s="113"/>
      <c r="O25" s="113"/>
      <c r="P25" s="113"/>
      <c r="Q25" s="113"/>
      <c r="R25" s="113"/>
      <c r="S25" s="113"/>
    </row>
    <row r="26" customFormat="false" ht="37.5" hidden="false" customHeight="true" outlineLevel="0" collapsed="false">
      <c r="A26" s="110" t="s">
        <v>2425</v>
      </c>
      <c r="B26" s="113"/>
      <c r="C26" s="119" t="n">
        <v>0.15</v>
      </c>
      <c r="D26" s="119" t="n">
        <v>0.15</v>
      </c>
      <c r="E26" s="130" t="n">
        <f aca="false">IF(Levers!$E$4=1,IF(ISNUMBER(C26),C26,"n.a."),IF(ISNUMBER(D26),D26,"n.a."))</f>
        <v>0.15</v>
      </c>
      <c r="F26" s="131" t="s">
        <v>2426</v>
      </c>
      <c r="G26" s="113"/>
      <c r="H26" s="113"/>
      <c r="I26" s="113"/>
      <c r="J26" s="113"/>
      <c r="K26" s="113"/>
      <c r="L26" s="113"/>
      <c r="M26" s="113"/>
      <c r="N26" s="113"/>
      <c r="O26" s="113"/>
      <c r="P26" s="113"/>
      <c r="Q26" s="113"/>
      <c r="R26" s="113"/>
      <c r="S26" s="113"/>
    </row>
    <row r="27" customFormat="false" ht="37.5" hidden="false" customHeight="true" outlineLevel="0" collapsed="false">
      <c r="A27" s="110" t="s">
        <v>2427</v>
      </c>
      <c r="B27" s="113"/>
      <c r="C27" s="119" t="n">
        <v>0.5</v>
      </c>
      <c r="D27" s="119" t="n">
        <v>0.5</v>
      </c>
      <c r="E27" s="130" t="n">
        <f aca="false">IF(Levers!$E$4=1,IF(ISNUMBER(C27),C27,"n.a."),IF(ISNUMBER(D27),D27,"n.a."))</f>
        <v>0.5</v>
      </c>
      <c r="F27" s="131" t="s">
        <v>2428</v>
      </c>
      <c r="G27" s="113"/>
      <c r="H27" s="113"/>
      <c r="I27" s="113"/>
      <c r="J27" s="113"/>
      <c r="K27" s="113"/>
      <c r="L27" s="113"/>
      <c r="M27" s="113"/>
      <c r="N27" s="113"/>
      <c r="O27" s="113"/>
      <c r="P27" s="113"/>
      <c r="Q27" s="113"/>
      <c r="R27" s="113"/>
      <c r="S27" s="113"/>
    </row>
    <row r="28" customFormat="false" ht="37.5" hidden="false" customHeight="true" outlineLevel="0" collapsed="false">
      <c r="A28" s="110" t="s">
        <v>2429</v>
      </c>
      <c r="B28" s="113"/>
      <c r="C28" s="119" t="n">
        <v>0.5</v>
      </c>
      <c r="D28" s="119" t="n">
        <v>0.5</v>
      </c>
      <c r="E28" s="130" t="n">
        <f aca="false">IF(Levers!$E$4=1,IF(ISNUMBER(C28),C28,"n.a."),IF(ISNUMBER(D28),D28,"n.a."))</f>
        <v>0.5</v>
      </c>
      <c r="F28" s="131" t="s">
        <v>2430</v>
      </c>
      <c r="G28" s="113"/>
      <c r="H28" s="113"/>
      <c r="I28" s="113"/>
      <c r="J28" s="113"/>
      <c r="K28" s="113"/>
      <c r="L28" s="113"/>
      <c r="M28" s="113"/>
      <c r="N28" s="113"/>
      <c r="O28" s="113"/>
      <c r="P28" s="113"/>
      <c r="Q28" s="113"/>
      <c r="R28" s="113"/>
      <c r="S28" s="113"/>
    </row>
    <row r="29" customFormat="false" ht="37.5" hidden="false" customHeight="true" outlineLevel="0" collapsed="false">
      <c r="A29" s="110" t="s">
        <v>2431</v>
      </c>
      <c r="B29" s="113"/>
      <c r="C29" s="113" t="n">
        <f aca="false">SUM('Entente subscribers'!B6:F10)</f>
        <v>3950</v>
      </c>
      <c r="D29" s="113" t="n">
        <f aca="false">SUM('Entente subscribers'!B6:F10)*'Entente subscribers'!C13</f>
        <v>3357.5</v>
      </c>
      <c r="E29" s="132" t="n">
        <f aca="false">IF(Levers!$E$4=1,IF(ISNUMBER(C29),C29,"n.a."),IF(ISNUMBER(D29),D29,"n.a."))</f>
        <v>3950</v>
      </c>
      <c r="F29" s="131" t="s">
        <v>2432</v>
      </c>
      <c r="G29" s="113"/>
      <c r="H29" s="113"/>
      <c r="I29" s="113"/>
      <c r="J29" s="113"/>
      <c r="K29" s="113"/>
      <c r="L29" s="113"/>
      <c r="M29" s="113"/>
      <c r="N29" s="113"/>
      <c r="O29" s="113"/>
      <c r="P29" s="113"/>
      <c r="Q29" s="113"/>
      <c r="R29" s="113"/>
      <c r="S29" s="113"/>
    </row>
    <row r="30" customFormat="false" ht="37.5" hidden="false" customHeight="true" outlineLevel="0" collapsed="false">
      <c r="A30" s="110" t="s">
        <v>2433</v>
      </c>
      <c r="B30" s="113"/>
      <c r="C30" s="113" t="n">
        <f aca="false">'Japan expansion'!C50</f>
        <v>800</v>
      </c>
      <c r="D30" s="113" t="n">
        <f aca="false">'Japan expansion'!D50</f>
        <v>800</v>
      </c>
      <c r="E30" s="132" t="n">
        <f aca="false">IF(Levers!$E$4=1,IF(ISNUMBER(C30),C30,"n.a."),IF(ISNUMBER(D30),D30,"n.a."))</f>
        <v>800</v>
      </c>
      <c r="F30" s="131" t="s">
        <v>2434</v>
      </c>
      <c r="G30" s="113"/>
      <c r="H30" s="113"/>
      <c r="I30" s="113"/>
      <c r="J30" s="113"/>
      <c r="K30" s="113"/>
      <c r="L30" s="113"/>
      <c r="M30" s="113"/>
      <c r="N30" s="113"/>
      <c r="O30" s="113"/>
      <c r="P30" s="113"/>
      <c r="Q30" s="113"/>
      <c r="R30" s="113"/>
      <c r="S30" s="113"/>
    </row>
    <row r="31" customFormat="false" ht="37.5" hidden="false" customHeight="true" outlineLevel="0" collapsed="false">
      <c r="A31" s="110" t="s">
        <v>2435</v>
      </c>
      <c r="B31" s="113"/>
      <c r="C31" s="119" t="n">
        <v>0.2</v>
      </c>
      <c r="D31" s="119" t="n">
        <v>0.15</v>
      </c>
      <c r="E31" s="130" t="n">
        <f aca="false">IF(Levers!$E$4=1,IF(ISNUMBER(C31),C31,"n.a."),IF(ISNUMBER(D31),D31,"n.a."))</f>
        <v>0.2</v>
      </c>
      <c r="F31" s="131" t="s">
        <v>2436</v>
      </c>
      <c r="G31" s="113"/>
      <c r="H31" s="113"/>
      <c r="I31" s="113"/>
      <c r="J31" s="113"/>
      <c r="K31" s="113"/>
      <c r="L31" s="113"/>
      <c r="M31" s="113"/>
      <c r="N31" s="113"/>
      <c r="O31" s="113"/>
      <c r="P31" s="113"/>
      <c r="Q31" s="113"/>
      <c r="R31" s="113"/>
      <c r="S31" s="113"/>
    </row>
    <row r="32" customFormat="false" ht="37.5" hidden="false" customHeight="true" outlineLevel="0" collapsed="false">
      <c r="A32" s="110" t="s">
        <v>2437</v>
      </c>
      <c r="B32" s="113"/>
      <c r="C32" s="119" t="n">
        <v>0.35</v>
      </c>
      <c r="D32" s="119" t="n">
        <v>0.35</v>
      </c>
      <c r="E32" s="130" t="n">
        <f aca="false">IF(Levers!$E$4=1,IF(ISNUMBER(C32),C32,"n.a."),IF(ISNUMBER(D32),D32,"n.a."))</f>
        <v>0.35</v>
      </c>
      <c r="F32" s="131" t="s">
        <v>2438</v>
      </c>
      <c r="G32" s="113"/>
      <c r="H32" s="113"/>
      <c r="I32" s="113"/>
      <c r="J32" s="113"/>
      <c r="K32" s="113"/>
      <c r="L32" s="113"/>
      <c r="M32" s="113"/>
      <c r="N32" s="113"/>
      <c r="O32" s="113"/>
      <c r="P32" s="113"/>
      <c r="Q32" s="113"/>
      <c r="R32" s="113"/>
      <c r="S32" s="113"/>
    </row>
    <row r="33" customFormat="false" ht="37.5" hidden="false" customHeight="true" outlineLevel="0" collapsed="false">
      <c r="A33" s="110" t="s">
        <v>2439</v>
      </c>
      <c r="B33" s="113"/>
      <c r="C33" s="119" t="n">
        <v>0.5</v>
      </c>
      <c r="D33" s="119" t="n">
        <v>0.5</v>
      </c>
      <c r="E33" s="130" t="n">
        <f aca="false">IF(Levers!$E$4=1,IF(ISNUMBER(C33),C33,"n.a."),IF(ISNUMBER(D33),D33,"n.a."))</f>
        <v>0.5</v>
      </c>
      <c r="F33" s="131" t="s">
        <v>2440</v>
      </c>
      <c r="G33" s="113"/>
      <c r="H33" s="113"/>
      <c r="I33" s="113"/>
      <c r="J33" s="113"/>
      <c r="K33" s="113"/>
      <c r="L33" s="113"/>
      <c r="M33" s="113"/>
      <c r="N33" s="113"/>
      <c r="O33" s="113"/>
      <c r="P33" s="113"/>
      <c r="Q33" s="113"/>
      <c r="R33" s="113"/>
      <c r="S33" s="113"/>
    </row>
    <row r="34" customFormat="false" ht="37.5" hidden="false" customHeight="true" outlineLevel="0" collapsed="false">
      <c r="A34" s="110" t="s">
        <v>2441</v>
      </c>
      <c r="B34" s="113"/>
      <c r="C34" s="119" t="n">
        <v>0.5</v>
      </c>
      <c r="D34" s="119" t="n">
        <v>0.5</v>
      </c>
      <c r="E34" s="130" t="n">
        <f aca="false">IF(Levers!$E$4=1,IF(ISNUMBER(C34),C34,"n.a."),IF(ISNUMBER(D34),D34,"n.a."))</f>
        <v>0.5</v>
      </c>
      <c r="F34" s="131" t="s">
        <v>2442</v>
      </c>
      <c r="G34" s="113"/>
      <c r="H34" s="113"/>
      <c r="I34" s="113"/>
      <c r="J34" s="113"/>
      <c r="K34" s="113"/>
      <c r="L34" s="113"/>
      <c r="M34" s="113"/>
      <c r="N34" s="113"/>
      <c r="O34" s="113"/>
      <c r="P34" s="113"/>
      <c r="Q34" s="113"/>
      <c r="R34" s="113"/>
      <c r="S34" s="113"/>
    </row>
    <row r="35" customFormat="false" ht="37.5" hidden="false" customHeight="true" outlineLevel="0" collapsed="false">
      <c r="A35" s="110" t="s">
        <v>2443</v>
      </c>
      <c r="B35" s="113"/>
      <c r="C35" s="119" t="n">
        <v>0.8</v>
      </c>
      <c r="D35" s="119" t="n">
        <v>0.8</v>
      </c>
      <c r="E35" s="130" t="n">
        <f aca="false">IF(Levers!$E$4=1,IF(ISNUMBER(C35),C35,"n.a."),IF(ISNUMBER(D35),D35,"n.a."))</f>
        <v>0.8</v>
      </c>
      <c r="F35" s="131" t="s">
        <v>2444</v>
      </c>
      <c r="G35" s="113"/>
      <c r="H35" s="113"/>
      <c r="I35" s="113"/>
      <c r="J35" s="113"/>
      <c r="K35" s="113"/>
      <c r="L35" s="113"/>
      <c r="M35" s="113"/>
      <c r="N35" s="113"/>
      <c r="O35" s="113"/>
      <c r="P35" s="113"/>
      <c r="Q35" s="113"/>
      <c r="R35" s="113"/>
      <c r="S35" s="113"/>
    </row>
    <row r="36" customFormat="false" ht="37.5" hidden="false" customHeight="true" outlineLevel="0" collapsed="false">
      <c r="A36" s="110" t="s">
        <v>2445</v>
      </c>
      <c r="B36" s="113"/>
      <c r="C36" s="119" t="n">
        <v>0.6</v>
      </c>
      <c r="D36" s="119" t="n">
        <v>0.5</v>
      </c>
      <c r="E36" s="130" t="n">
        <f aca="false">IF(Levers!$E$4=1,IF(ISNUMBER(C36),C36,"n.a."),IF(ISNUMBER(D36),D36,"n.a."))</f>
        <v>0.6</v>
      </c>
      <c r="F36" s="131" t="s">
        <v>2446</v>
      </c>
      <c r="G36" s="113"/>
      <c r="H36" s="113"/>
      <c r="I36" s="113"/>
      <c r="J36" s="113"/>
      <c r="K36" s="113"/>
      <c r="L36" s="113"/>
      <c r="M36" s="113"/>
      <c r="N36" s="113"/>
      <c r="O36" s="113"/>
      <c r="P36" s="113"/>
      <c r="Q36" s="113"/>
      <c r="R36" s="113"/>
      <c r="S36" s="113"/>
    </row>
    <row r="37" customFormat="false" ht="19.5" hidden="false" customHeight="true" outlineLevel="0" collapsed="false">
      <c r="A37" s="110" t="s">
        <v>2447</v>
      </c>
      <c r="B37" s="113"/>
      <c r="C37" s="113" t="n">
        <v>0.13</v>
      </c>
      <c r="D37" s="113" t="n">
        <v>0.13</v>
      </c>
      <c r="E37" s="113" t="n">
        <f aca="false">IF(Levers!$E$4=1,IF(ISNUMBER(C37),C37,"n.a."),IF(ISNUMBER(D37),D37,"n.a."))</f>
        <v>0.13</v>
      </c>
      <c r="F37" s="113" t="s">
        <v>2448</v>
      </c>
      <c r="G37" s="113"/>
      <c r="H37" s="113"/>
      <c r="I37" s="113"/>
      <c r="J37" s="113"/>
      <c r="K37" s="113"/>
      <c r="L37" s="113"/>
      <c r="M37" s="113"/>
      <c r="N37" s="113"/>
      <c r="O37" s="113"/>
      <c r="P37" s="113"/>
      <c r="Q37" s="113"/>
      <c r="R37" s="113"/>
      <c r="S37" s="113"/>
    </row>
    <row r="38" customFormat="false" ht="19.5" hidden="false" customHeight="true" outlineLevel="0" collapsed="false">
      <c r="A38" s="110" t="s">
        <v>2449</v>
      </c>
      <c r="B38" s="113"/>
      <c r="C38" s="113" t="n">
        <v>0.123</v>
      </c>
      <c r="D38" s="113" t="n">
        <v>0.123</v>
      </c>
      <c r="E38" s="113" t="n">
        <f aca="false">IF(Levers!$E$4=1,IF(ISNUMBER(C38),C38,"n.a."),IF(ISNUMBER(D38),D38,"n.a."))</f>
        <v>0.123</v>
      </c>
      <c r="F38" s="113" t="s">
        <v>2450</v>
      </c>
      <c r="G38" s="113"/>
      <c r="H38" s="113"/>
      <c r="I38" s="113"/>
      <c r="J38" s="113"/>
      <c r="K38" s="113"/>
      <c r="L38" s="113"/>
      <c r="M38" s="113"/>
      <c r="N38" s="113"/>
      <c r="O38" s="113"/>
      <c r="P38" s="113"/>
      <c r="Q38" s="113"/>
      <c r="R38" s="113"/>
      <c r="S38" s="113"/>
    </row>
    <row r="39" customFormat="false" ht="57.75" hidden="false" customHeight="true" outlineLevel="0" collapsed="false">
      <c r="A39" s="90" t="s">
        <v>103</v>
      </c>
      <c r="B39" s="123" t="s">
        <v>2451</v>
      </c>
      <c r="C39" s="123" t="s">
        <v>2452</v>
      </c>
      <c r="D39" s="123" t="s">
        <v>2453</v>
      </c>
      <c r="E39" s="123" t="s">
        <v>2454</v>
      </c>
      <c r="F39" s="123" t="s">
        <v>2455</v>
      </c>
      <c r="G39" s="123" t="s">
        <v>2456</v>
      </c>
      <c r="H39" s="123" t="s">
        <v>2457</v>
      </c>
      <c r="I39" s="123" t="s">
        <v>2458</v>
      </c>
      <c r="J39" s="123" t="s">
        <v>2459</v>
      </c>
      <c r="K39" s="123" t="s">
        <v>2460</v>
      </c>
      <c r="L39" s="123" t="s">
        <v>2461</v>
      </c>
      <c r="M39" s="123" t="s">
        <v>1510</v>
      </c>
      <c r="N39" s="123" t="s">
        <v>2462</v>
      </c>
      <c r="O39" s="123" t="s">
        <v>2463</v>
      </c>
      <c r="P39" s="123" t="s">
        <v>2464</v>
      </c>
      <c r="Q39" s="123" t="s">
        <v>2465</v>
      </c>
      <c r="R39" s="123" t="s">
        <v>2466</v>
      </c>
      <c r="S39" s="123" t="s">
        <v>2467</v>
      </c>
    </row>
    <row r="40" customFormat="false" ht="19.5" hidden="false" customHeight="true" outlineLevel="0" collapsed="false">
      <c r="A40" s="121" t="n">
        <v>1846</v>
      </c>
      <c r="B40" s="132" t="n">
        <f aca="false">Levers!E33</f>
        <v>0.05</v>
      </c>
      <c r="C40" s="117" t="n">
        <f aca="false">0</f>
        <v>0</v>
      </c>
      <c r="D40" s="132" t="n">
        <f aca="false">Budget!M6</f>
        <v>0.8891079648705</v>
      </c>
      <c r="E40" s="132" t="n">
        <f aca="false">Loans!W6</f>
        <v>0</v>
      </c>
      <c r="F40" s="132" t="n">
        <f aca="false">('Debt &amp; cash'!H6+'Debt &amp; cash'!Q6)*issue_price</f>
        <v>0.088485778287125</v>
      </c>
      <c r="G40" s="117" t="n">
        <f aca="false">SUM(B40:F40)</f>
        <v>1.02759374315763</v>
      </c>
      <c r="H40" s="132" t="n">
        <f aca="false">Budget!Y6</f>
        <v>0.80531675194</v>
      </c>
      <c r="I40" s="132" t="n">
        <f aca="false">Loans!V6</f>
        <v>0</v>
      </c>
      <c r="J40" s="132" t="n">
        <f aca="false">'Debt &amp; cash'!C6</f>
        <v>0</v>
      </c>
      <c r="K40" s="132" t="n">
        <f aca="false">'Debt &amp; cash'!K6</f>
        <v>0</v>
      </c>
      <c r="L40" s="132" t="n">
        <f aca="false">'Debt &amp; cash'!I6+'Debt &amp; cash'!J6+'Debt &amp; cash'!Q6*issue_price*dev_bonds</f>
        <v>0</v>
      </c>
      <c r="M40" s="132" t="n">
        <f aca="false">'Debt &amp; cash'!M6</f>
        <v>0.222276991217625</v>
      </c>
      <c r="N40" s="132" t="n">
        <f aca="false">'Debt &amp; cash'!S6</f>
        <v>0</v>
      </c>
      <c r="O40" s="117" t="n">
        <f aca="false">SUM(H40:N40)</f>
        <v>1.02759374315763</v>
      </c>
      <c r="P40" s="133" t="n">
        <f aca="false">G40-O40</f>
        <v>0</v>
      </c>
      <c r="Q40" s="132" t="n">
        <f aca="false">'Debt &amp; cash'!Q6</f>
        <v>0</v>
      </c>
      <c r="R40" s="117" t="n">
        <f aca="false">Q40*issue_price</f>
        <v>0</v>
      </c>
      <c r="S40" s="117" t="n">
        <f aca="false">Q40-R40</f>
        <v>0</v>
      </c>
    </row>
    <row r="41" customFormat="false" ht="19.5" hidden="false" customHeight="true" outlineLevel="0" collapsed="false">
      <c r="A41" s="121" t="n">
        <v>1847</v>
      </c>
      <c r="B41" s="132" t="n">
        <f aca="false">'Debt &amp; cash'!M6</f>
        <v>0.222276991217625</v>
      </c>
      <c r="C41" s="132" t="n">
        <f aca="false">'Debt &amp; cash'!S6</f>
        <v>0</v>
      </c>
      <c r="D41" s="132" t="n">
        <f aca="false">Budget!M7</f>
        <v>0.923712432319375</v>
      </c>
      <c r="E41" s="132" t="n">
        <f aca="false">Loans!W7</f>
        <v>0</v>
      </c>
      <c r="F41" s="132" t="n">
        <f aca="false">('Debt &amp; cash'!H7+'Debt &amp; cash'!Q7)*issue_price</f>
        <v>0.49400195456864</v>
      </c>
      <c r="G41" s="117" t="n">
        <f aca="false">SUM(B41:F41)</f>
        <v>1.63999137810564</v>
      </c>
      <c r="H41" s="132" t="n">
        <f aca="false">Budget!Y7</f>
        <v>1.40723882098895</v>
      </c>
      <c r="I41" s="132" t="n">
        <f aca="false">Loans!V7</f>
        <v>0</v>
      </c>
      <c r="J41" s="132" t="n">
        <f aca="false">'Debt &amp; cash'!C7</f>
        <v>0.00182444903684794</v>
      </c>
      <c r="K41" s="132" t="n">
        <f aca="false">'Debt &amp; cash'!K7</f>
        <v>0</v>
      </c>
      <c r="L41" s="132" t="n">
        <f aca="false">'Debt &amp; cash'!I7+'Debt &amp; cash'!J7+'Debt &amp; cash'!Q7*issue_price*dev_bonds</f>
        <v>0</v>
      </c>
      <c r="M41" s="132" t="n">
        <f aca="false">'Debt &amp; cash'!M7</f>
        <v>0.230928108079844</v>
      </c>
      <c r="N41" s="132" t="n">
        <f aca="false">'Debt &amp; cash'!S7</f>
        <v>0</v>
      </c>
      <c r="O41" s="117" t="n">
        <f aca="false">SUM(H41:N41)</f>
        <v>1.63999137810564</v>
      </c>
      <c r="P41" s="133" t="n">
        <f aca="false">G41-O41</f>
        <v>0</v>
      </c>
      <c r="Q41" s="132" t="n">
        <f aca="false">'Debt &amp; cash'!Q7</f>
        <v>0</v>
      </c>
      <c r="R41" s="117" t="n">
        <f aca="false">Q41*issue_price</f>
        <v>0</v>
      </c>
      <c r="S41" s="117" t="n">
        <f aca="false">Q41-R41</f>
        <v>0</v>
      </c>
    </row>
    <row r="42" customFormat="false" ht="19.5" hidden="false" customHeight="true" outlineLevel="0" collapsed="false">
      <c r="A42" s="121" t="n">
        <v>1848</v>
      </c>
      <c r="B42" s="132" t="n">
        <f aca="false">'Debt &amp; cash'!M7</f>
        <v>0.230928108079844</v>
      </c>
      <c r="C42" s="132" t="n">
        <f aca="false">'Debt &amp; cash'!S7</f>
        <v>0</v>
      </c>
      <c r="D42" s="132" t="n">
        <f aca="false">Budget!M8</f>
        <v>1.25913554582103</v>
      </c>
      <c r="E42" s="132" t="n">
        <f aca="false">Loans!W8</f>
        <v>0</v>
      </c>
      <c r="F42" s="132" t="n">
        <f aca="false">('Debt &amp; cash'!H8+'Debt &amp; cash'!Q8)*issue_price</f>
        <v>0.71152850865995</v>
      </c>
      <c r="G42" s="117" t="n">
        <f aca="false">SUM(B42:F42)</f>
        <v>2.20159216256083</v>
      </c>
      <c r="H42" s="132" t="n">
        <f aca="false">Budget!Y8</f>
        <v>1.87483470873876</v>
      </c>
      <c r="I42" s="132" t="n">
        <f aca="false">Loans!V8</f>
        <v>0</v>
      </c>
      <c r="J42" s="132" t="n">
        <f aca="false">'Debt &amp; cash'!C8</f>
        <v>0.0119735673668046</v>
      </c>
      <c r="K42" s="132" t="n">
        <f aca="false">'Debt &amp; cash'!K8</f>
        <v>0</v>
      </c>
      <c r="L42" s="132" t="n">
        <f aca="false">'Debt &amp; cash'!I8+'Debt &amp; cash'!J8+'Debt &amp; cash'!Q8*issue_price*dev_bonds</f>
        <v>0</v>
      </c>
      <c r="M42" s="132" t="n">
        <f aca="false">'Debt &amp; cash'!M8</f>
        <v>0.314783886455258</v>
      </c>
      <c r="N42" s="132" t="n">
        <f aca="false">'Debt &amp; cash'!S8</f>
        <v>0</v>
      </c>
      <c r="O42" s="117" t="n">
        <f aca="false">SUM(H42:N42)</f>
        <v>2.20159216256083</v>
      </c>
      <c r="P42" s="133" t="n">
        <f aca="false">G42-O42</f>
        <v>0</v>
      </c>
      <c r="Q42" s="132" t="n">
        <f aca="false">'Debt &amp; cash'!Q8</f>
        <v>0</v>
      </c>
      <c r="R42" s="117" t="n">
        <f aca="false">Q42*issue_price</f>
        <v>0</v>
      </c>
      <c r="S42" s="117" t="n">
        <f aca="false">Q42-R42</f>
        <v>0</v>
      </c>
    </row>
    <row r="43" customFormat="false" ht="19.5" hidden="false" customHeight="true" outlineLevel="0" collapsed="false">
      <c r="A43" s="121" t="n">
        <v>1849</v>
      </c>
      <c r="B43" s="132" t="n">
        <f aca="false">'Debt &amp; cash'!M8</f>
        <v>0.314783886455258</v>
      </c>
      <c r="C43" s="132" t="n">
        <f aca="false">'Debt &amp; cash'!S8</f>
        <v>0</v>
      </c>
      <c r="D43" s="132" t="n">
        <f aca="false">Budget!M9</f>
        <v>6.74083028827802</v>
      </c>
      <c r="E43" s="132" t="n">
        <f aca="false">Loans!W9</f>
        <v>0</v>
      </c>
      <c r="F43" s="132" t="n">
        <f aca="false">('Debt &amp; cash'!H9+'Debt &amp; cash'!Q9)*issue_price</f>
        <v>1.36468404365096</v>
      </c>
      <c r="G43" s="117" t="n">
        <f aca="false">SUM(B43:F43)</f>
        <v>8.42029821838424</v>
      </c>
      <c r="H43" s="132" t="n">
        <f aca="false">Budget!Y9</f>
        <v>6.41668585939506</v>
      </c>
      <c r="I43" s="132" t="n">
        <f aca="false">Loans!V9</f>
        <v>0</v>
      </c>
      <c r="J43" s="132" t="n">
        <f aca="false">'Debt &amp; cash'!C9</f>
        <v>0.318404786919674</v>
      </c>
      <c r="K43" s="132" t="n">
        <f aca="false">'Debt &amp; cash'!K9</f>
        <v>0</v>
      </c>
      <c r="L43" s="132" t="n">
        <f aca="false">'Debt &amp; cash'!I9+'Debt &amp; cash'!J9+'Debt &amp; cash'!Q9*issue_price*dev_bonds</f>
        <v>0</v>
      </c>
      <c r="M43" s="132" t="n">
        <f aca="false">'Debt &amp; cash'!M9</f>
        <v>1.6852075720695</v>
      </c>
      <c r="N43" s="132" t="n">
        <f aca="false">'Debt &amp; cash'!S9</f>
        <v>0</v>
      </c>
      <c r="O43" s="117" t="n">
        <f aca="false">SUM(H43:N43)</f>
        <v>8.42029821838424</v>
      </c>
      <c r="P43" s="133" t="n">
        <f aca="false">G43-O43</f>
        <v>0</v>
      </c>
      <c r="Q43" s="132" t="n">
        <f aca="false">'Debt &amp; cash'!Q9</f>
        <v>0</v>
      </c>
      <c r="R43" s="117" t="n">
        <f aca="false">Q43*issue_price</f>
        <v>0</v>
      </c>
      <c r="S43" s="117" t="n">
        <f aca="false">Q43-R43</f>
        <v>0</v>
      </c>
    </row>
    <row r="44" customFormat="false" ht="19.5" hidden="false" customHeight="true" outlineLevel="0" collapsed="false">
      <c r="A44" s="121" t="n">
        <v>1850</v>
      </c>
      <c r="B44" s="132" t="n">
        <f aca="false">'Debt &amp; cash'!M9</f>
        <v>1.6852075720695</v>
      </c>
      <c r="C44" s="132" t="n">
        <f aca="false">'Debt &amp; cash'!S9</f>
        <v>0</v>
      </c>
      <c r="D44" s="132" t="n">
        <f aca="false">Budget!M10</f>
        <v>7.77424560093084</v>
      </c>
      <c r="E44" s="132" t="n">
        <f aca="false">Loans!W10</f>
        <v>0</v>
      </c>
      <c r="F44" s="132" t="n">
        <f aca="false">('Debt &amp; cash'!H10+'Debt &amp; cash'!Q10)*issue_price</f>
        <v>0.339330711850276</v>
      </c>
      <c r="G44" s="117" t="n">
        <f aca="false">SUM(B44:F44)</f>
        <v>9.79878388485062</v>
      </c>
      <c r="H44" s="132" t="n">
        <f aca="false">Budget!Y10</f>
        <v>7.51504797810362</v>
      </c>
      <c r="I44" s="132" t="n">
        <f aca="false">Loans!V10</f>
        <v>0</v>
      </c>
      <c r="J44" s="132" t="n">
        <f aca="false">'Debt &amp; cash'!C10</f>
        <v>0.34017450651429</v>
      </c>
      <c r="K44" s="132" t="n">
        <f aca="false">'Debt &amp; cash'!K10</f>
        <v>0</v>
      </c>
      <c r="L44" s="132" t="n">
        <f aca="false">'Debt &amp; cash'!I10+'Debt &amp; cash'!J10+'Debt &amp; cash'!Q10*issue_price*dev_bonds</f>
        <v>0</v>
      </c>
      <c r="M44" s="132" t="n">
        <f aca="false">'Debt &amp; cash'!M10</f>
        <v>1.94356140023271</v>
      </c>
      <c r="N44" s="132" t="n">
        <f aca="false">'Debt &amp; cash'!S10</f>
        <v>0</v>
      </c>
      <c r="O44" s="117" t="n">
        <f aca="false">SUM(H44:N44)</f>
        <v>9.79878388485062</v>
      </c>
      <c r="P44" s="133" t="n">
        <f aca="false">G44-O44</f>
        <v>0</v>
      </c>
      <c r="Q44" s="132" t="n">
        <f aca="false">'Debt &amp; cash'!Q10</f>
        <v>0</v>
      </c>
      <c r="R44" s="117" t="n">
        <f aca="false">Q44*issue_price</f>
        <v>0</v>
      </c>
      <c r="S44" s="117" t="n">
        <f aca="false">Q44-R44</f>
        <v>0</v>
      </c>
    </row>
    <row r="45" customFormat="false" ht="19.5" hidden="false" customHeight="true" outlineLevel="0" collapsed="false">
      <c r="A45" s="121" t="n">
        <v>1851</v>
      </c>
      <c r="B45" s="132" t="n">
        <f aca="false">'Debt &amp; cash'!M10</f>
        <v>1.94356140023271</v>
      </c>
      <c r="C45" s="132" t="n">
        <f aca="false">'Debt &amp; cash'!S10</f>
        <v>0</v>
      </c>
      <c r="D45" s="132" t="n">
        <f aca="false">Budget!M11</f>
        <v>10.5413522026931</v>
      </c>
      <c r="E45" s="132" t="n">
        <f aca="false">Loans!W11</f>
        <v>0</v>
      </c>
      <c r="F45" s="132" t="n">
        <f aca="false">('Debt &amp; cash'!H11+'Debt &amp; cash'!Q11)*issue_price</f>
        <v>0</v>
      </c>
      <c r="G45" s="117" t="n">
        <f aca="false">SUM(B45:F45)</f>
        <v>12.4849136029258</v>
      </c>
      <c r="H45" s="132" t="n">
        <f aca="false">Budget!Y11</f>
        <v>9.13413790281793</v>
      </c>
      <c r="I45" s="132" t="n">
        <f aca="false">Loans!V11</f>
        <v>0</v>
      </c>
      <c r="J45" s="132" t="n">
        <f aca="false">'Debt &amp; cash'!C11</f>
        <v>0.34036752590669</v>
      </c>
      <c r="K45" s="132" t="n">
        <f aca="false">'Debt &amp; cash'!K11</f>
        <v>0.3000560988223</v>
      </c>
      <c r="L45" s="132" t="n">
        <f aca="false">'Debt &amp; cash'!I11+'Debt &amp; cash'!J11+'Debt &amp; cash'!Q11*issue_price*dev_bonds</f>
        <v>0</v>
      </c>
      <c r="M45" s="132" t="n">
        <f aca="false">'Debt &amp; cash'!M11</f>
        <v>2.63533805067326</v>
      </c>
      <c r="N45" s="132" t="n">
        <f aca="false">'Debt &amp; cash'!S11</f>
        <v>0.0750140247055749</v>
      </c>
      <c r="O45" s="117" t="n">
        <f aca="false">SUM(H45:N45)</f>
        <v>12.4849136029258</v>
      </c>
      <c r="P45" s="133" t="n">
        <f aca="false">G45-O45</f>
        <v>0</v>
      </c>
      <c r="Q45" s="132" t="n">
        <f aca="false">'Debt &amp; cash'!Q11</f>
        <v>0</v>
      </c>
      <c r="R45" s="117" t="n">
        <f aca="false">Q45*issue_price</f>
        <v>0</v>
      </c>
      <c r="S45" s="117" t="n">
        <f aca="false">Q45-R45</f>
        <v>0</v>
      </c>
    </row>
    <row r="46" customFormat="false" ht="19.5" hidden="false" customHeight="true" outlineLevel="0" collapsed="false">
      <c r="A46" s="121" t="n">
        <v>1852</v>
      </c>
      <c r="B46" s="132" t="n">
        <f aca="false">'Debt &amp; cash'!M11</f>
        <v>2.63533805067326</v>
      </c>
      <c r="C46" s="132" t="n">
        <f aca="false">'Debt &amp; cash'!S11</f>
        <v>0.0750140247055749</v>
      </c>
      <c r="D46" s="132" t="n">
        <f aca="false">Budget!M12</f>
        <v>14.3958735620023</v>
      </c>
      <c r="E46" s="132" t="n">
        <f aca="false">Loans!W12</f>
        <v>0</v>
      </c>
      <c r="F46" s="132" t="n">
        <f aca="false">('Debt &amp; cash'!H12+'Debt &amp; cash'!Q12)*issue_price</f>
        <v>0.0590204131802245</v>
      </c>
      <c r="G46" s="117" t="n">
        <f aca="false">SUM(B46:F46)</f>
        <v>17.1652460505614</v>
      </c>
      <c r="H46" s="132" t="n">
        <f aca="false">Budget!Y12</f>
        <v>13.2387186066487</v>
      </c>
      <c r="I46" s="132" t="n">
        <f aca="false">Loans!V12</f>
        <v>0</v>
      </c>
      <c r="J46" s="132" t="n">
        <f aca="false">'Debt &amp; cash'!C12</f>
        <v>0.32755905341211</v>
      </c>
      <c r="K46" s="132" t="n">
        <f aca="false">'Debt &amp; cash'!K12</f>
        <v>0</v>
      </c>
      <c r="L46" s="132" t="n">
        <f aca="false">'Debt &amp; cash'!I12+'Debt &amp; cash'!J12+'Debt &amp; cash'!Q12*issue_price*dev_bonds</f>
        <v>0</v>
      </c>
      <c r="M46" s="132" t="n">
        <f aca="false">'Debt &amp; cash'!M12</f>
        <v>3.59896839050057</v>
      </c>
      <c r="N46" s="132" t="n">
        <f aca="false">'Debt &amp; cash'!S12</f>
        <v>0</v>
      </c>
      <c r="O46" s="117" t="n">
        <f aca="false">SUM(H46:N46)</f>
        <v>17.1652460505614</v>
      </c>
      <c r="P46" s="133" t="n">
        <f aca="false">G46-O46</f>
        <v>0</v>
      </c>
      <c r="Q46" s="132" t="n">
        <f aca="false">'Debt &amp; cash'!Q12</f>
        <v>0</v>
      </c>
      <c r="R46" s="117" t="n">
        <f aca="false">Q46*issue_price</f>
        <v>0</v>
      </c>
      <c r="S46" s="117" t="n">
        <f aca="false">Q46-R46</f>
        <v>0</v>
      </c>
    </row>
    <row r="47" customFormat="false" ht="19.5" hidden="false" customHeight="true" outlineLevel="0" collapsed="false">
      <c r="A47" s="121" t="n">
        <v>1853</v>
      </c>
      <c r="B47" s="132" t="n">
        <f aca="false">'Debt &amp; cash'!M12</f>
        <v>3.59896839050057</v>
      </c>
      <c r="C47" s="132" t="n">
        <f aca="false">'Debt &amp; cash'!S12</f>
        <v>0</v>
      </c>
      <c r="D47" s="132" t="n">
        <f aca="false">Budget!M13</f>
        <v>15.3843678467902</v>
      </c>
      <c r="E47" s="132" t="n">
        <f aca="false">Loans!W13</f>
        <v>0</v>
      </c>
      <c r="F47" s="132" t="n">
        <f aca="false">('Debt &amp; cash'!H13+'Debt &amp; cash'!Q13)*issue_price</f>
        <v>0</v>
      </c>
      <c r="G47" s="117" t="n">
        <f aca="false">SUM(B47:F47)</f>
        <v>18.9833362372908</v>
      </c>
      <c r="H47" s="132" t="n">
        <f aca="false">Budget!Y13</f>
        <v>12.9625452113231</v>
      </c>
      <c r="I47" s="132" t="n">
        <f aca="false">Loans!V13</f>
        <v>0</v>
      </c>
      <c r="J47" s="132" t="n">
        <f aca="false">'Debt &amp; cash'!C13</f>
        <v>0.322224788079543</v>
      </c>
      <c r="K47" s="132" t="n">
        <f aca="false">'Debt &amp; cash'!K13</f>
        <v>1.4819794209525</v>
      </c>
      <c r="L47" s="132" t="n">
        <f aca="false">'Debt &amp; cash'!I13+'Debt &amp; cash'!J13+'Debt &amp; cash'!Q13*issue_price*dev_bonds</f>
        <v>0</v>
      </c>
      <c r="M47" s="132" t="n">
        <f aca="false">'Debt &amp; cash'!M13</f>
        <v>3.84609196169756</v>
      </c>
      <c r="N47" s="132" t="n">
        <f aca="false">'Debt &amp; cash'!S13</f>
        <v>0.370494855238124</v>
      </c>
      <c r="O47" s="117" t="n">
        <f aca="false">SUM(H47:N47)</f>
        <v>18.9833362372908</v>
      </c>
      <c r="P47" s="133" t="n">
        <f aca="false">G47-O47</f>
        <v>0</v>
      </c>
      <c r="Q47" s="132" t="n">
        <f aca="false">'Debt &amp; cash'!Q13</f>
        <v>0</v>
      </c>
      <c r="R47" s="117" t="n">
        <f aca="false">Q47*issue_price</f>
        <v>0</v>
      </c>
      <c r="S47" s="117" t="n">
        <f aca="false">Q47-R47</f>
        <v>0</v>
      </c>
    </row>
    <row r="48" customFormat="false" ht="19.5" hidden="false" customHeight="true" outlineLevel="0" collapsed="false">
      <c r="A48" s="121" t="n">
        <v>1854</v>
      </c>
      <c r="B48" s="132" t="n">
        <f aca="false">'Debt &amp; cash'!M13</f>
        <v>3.84609196169756</v>
      </c>
      <c r="C48" s="132" t="n">
        <f aca="false">'Debt &amp; cash'!S13</f>
        <v>0.370494855238124</v>
      </c>
      <c r="D48" s="132" t="n">
        <f aca="false">Budget!M14</f>
        <v>17.046240753077</v>
      </c>
      <c r="E48" s="132" t="n">
        <f aca="false">Loans!W14</f>
        <v>0</v>
      </c>
      <c r="F48" s="132" t="n">
        <f aca="false">('Debt &amp; cash'!H14+'Debt &amp; cash'!Q14)*issue_price</f>
        <v>0</v>
      </c>
      <c r="G48" s="117" t="n">
        <f aca="false">SUM(B48:F48)</f>
        <v>21.2628275700127</v>
      </c>
      <c r="H48" s="132" t="n">
        <f aca="false">Budget!Y14</f>
        <v>14.0952886617912</v>
      </c>
      <c r="I48" s="132" t="n">
        <f aca="false">Loans!V14</f>
        <v>0</v>
      </c>
      <c r="J48" s="132" t="n">
        <f aca="false">'Debt &amp; cash'!C14</f>
        <v>0.286140703898902</v>
      </c>
      <c r="K48" s="132" t="n">
        <f aca="false">'Debt &amp; cash'!K14</f>
        <v>1.79947452865222</v>
      </c>
      <c r="L48" s="132" t="n">
        <f aca="false">'Debt &amp; cash'!I14+'Debt &amp; cash'!J14+'Debt &amp; cash'!Q14*issue_price*dev_bonds</f>
        <v>0</v>
      </c>
      <c r="M48" s="132" t="n">
        <f aca="false">'Debt &amp; cash'!M14</f>
        <v>4.26156018826926</v>
      </c>
      <c r="N48" s="132" t="n">
        <f aca="false">'Debt &amp; cash'!S14</f>
        <v>0.820363487401179</v>
      </c>
      <c r="O48" s="117" t="n">
        <f aca="false">SUM(H48:N48)</f>
        <v>21.2628275700127</v>
      </c>
      <c r="P48" s="133" t="n">
        <f aca="false">G48-O48</f>
        <v>0</v>
      </c>
      <c r="Q48" s="132" t="n">
        <f aca="false">'Debt &amp; cash'!Q14</f>
        <v>0</v>
      </c>
      <c r="R48" s="117" t="n">
        <f aca="false">Q48*issue_price</f>
        <v>0</v>
      </c>
      <c r="S48" s="117" t="n">
        <f aca="false">Q48-R48</f>
        <v>0</v>
      </c>
    </row>
    <row r="49" customFormat="false" ht="19.5" hidden="false" customHeight="true" outlineLevel="0" collapsed="false">
      <c r="A49" s="121" t="n">
        <v>1855</v>
      </c>
      <c r="B49" s="132" t="n">
        <f aca="false">'Debt &amp; cash'!M14</f>
        <v>4.26156018826926</v>
      </c>
      <c r="C49" s="132" t="n">
        <f aca="false">'Debt &amp; cash'!S14</f>
        <v>0.820363487401179</v>
      </c>
      <c r="D49" s="132" t="n">
        <f aca="false">Budget!M15</f>
        <v>18.8190619594517</v>
      </c>
      <c r="E49" s="132" t="n">
        <f aca="false">Loans!W15</f>
        <v>0</v>
      </c>
      <c r="F49" s="132" t="n">
        <f aca="false">('Debt &amp; cash'!H15+'Debt &amp; cash'!Q15)*issue_price</f>
        <v>0</v>
      </c>
      <c r="G49" s="117" t="n">
        <f aca="false">SUM(B49:F49)</f>
        <v>23.9009856351222</v>
      </c>
      <c r="H49" s="132" t="n">
        <f aca="false">Budget!Y15</f>
        <v>15.0337273811649</v>
      </c>
      <c r="I49" s="132" t="n">
        <f aca="false">Loans!V15</f>
        <v>0</v>
      </c>
      <c r="J49" s="132" t="n">
        <f aca="false">'Debt &amp; cash'!C15</f>
        <v>0.24442839924788</v>
      </c>
      <c r="K49" s="132" t="n">
        <f aca="false">'Debt &amp; cash'!K15</f>
        <v>2.47816070195623</v>
      </c>
      <c r="L49" s="132" t="n">
        <f aca="false">'Debt &amp; cash'!I15+'Debt &amp; cash'!J15+'Debt &amp; cash'!Q15*issue_price*dev_bonds</f>
        <v>0</v>
      </c>
      <c r="M49" s="132" t="n">
        <f aca="false">'Debt &amp; cash'!M15</f>
        <v>4.70476548986293</v>
      </c>
      <c r="N49" s="132" t="n">
        <f aca="false">'Debt &amp; cash'!S15</f>
        <v>1.43990366289024</v>
      </c>
      <c r="O49" s="117" t="n">
        <f aca="false">SUM(H49:N49)</f>
        <v>23.9009856351222</v>
      </c>
      <c r="P49" s="133" t="n">
        <f aca="false">G49-O49</f>
        <v>0</v>
      </c>
      <c r="Q49" s="132" t="n">
        <f aca="false">'Debt &amp; cash'!Q15</f>
        <v>0</v>
      </c>
      <c r="R49" s="117" t="n">
        <f aca="false">Q49*issue_price</f>
        <v>0</v>
      </c>
      <c r="S49" s="117" t="n">
        <f aca="false">Q49-R49</f>
        <v>0</v>
      </c>
    </row>
    <row r="50" customFormat="false" ht="19.5" hidden="false" customHeight="true" outlineLevel="0" collapsed="false">
      <c r="A50" s="121" t="n">
        <v>1856</v>
      </c>
      <c r="B50" s="132" t="n">
        <f aca="false">'Debt &amp; cash'!M15</f>
        <v>4.70476548986293</v>
      </c>
      <c r="C50" s="132" t="n">
        <f aca="false">'Debt &amp; cash'!S15</f>
        <v>1.43990366289024</v>
      </c>
      <c r="D50" s="132" t="n">
        <f aca="false">Budget!M16</f>
        <v>21.33012399866</v>
      </c>
      <c r="E50" s="132" t="n">
        <f aca="false">Loans!W16</f>
        <v>0</v>
      </c>
      <c r="F50" s="132" t="n">
        <f aca="false">('Debt &amp; cash'!H16+'Debt &amp; cash'!Q16)*issue_price</f>
        <v>0</v>
      </c>
      <c r="G50" s="117" t="n">
        <f aca="false">SUM(B50:F50)</f>
        <v>27.4747931514132</v>
      </c>
      <c r="H50" s="132" t="n">
        <f aca="false">Budget!Y16</f>
        <v>17.7630564125456</v>
      </c>
      <c r="I50" s="132" t="n">
        <f aca="false">Loans!V16</f>
        <v>0</v>
      </c>
      <c r="J50" s="132" t="n">
        <f aca="false">'Debt &amp; cash'!C16</f>
        <v>0.189976617223797</v>
      </c>
      <c r="K50" s="132" t="n">
        <f aca="false">'Debt &amp; cash'!K16</f>
        <v>2.19946036727085</v>
      </c>
      <c r="L50" s="132" t="n">
        <f aca="false">'Debt &amp; cash'!I16+'Debt &amp; cash'!J16+'Debt &amp; cash'!Q16*issue_price*dev_bonds</f>
        <v>0</v>
      </c>
      <c r="M50" s="132" t="n">
        <f aca="false">'Debt &amp; cash'!M16</f>
        <v>5.33253099966501</v>
      </c>
      <c r="N50" s="132" t="n">
        <f aca="false">'Debt &amp; cash'!S16</f>
        <v>1.98976875470795</v>
      </c>
      <c r="O50" s="117" t="n">
        <f aca="false">SUM(H50:N50)</f>
        <v>27.4747931514132</v>
      </c>
      <c r="P50" s="133" t="n">
        <f aca="false">G50-O50</f>
        <v>0</v>
      </c>
      <c r="Q50" s="132" t="n">
        <f aca="false">'Debt &amp; cash'!Q16</f>
        <v>0</v>
      </c>
      <c r="R50" s="117" t="n">
        <f aca="false">Q50*issue_price</f>
        <v>0</v>
      </c>
      <c r="S50" s="117" t="n">
        <f aca="false">Q50-R50</f>
        <v>0</v>
      </c>
    </row>
    <row r="51" customFormat="false" ht="19.5" hidden="false" customHeight="true" outlineLevel="0" collapsed="false">
      <c r="A51" s="121" t="n">
        <v>1857</v>
      </c>
      <c r="B51" s="132" t="n">
        <f aca="false">'Debt &amp; cash'!M16</f>
        <v>5.33253099966501</v>
      </c>
      <c r="C51" s="132" t="n">
        <f aca="false">'Debt &amp; cash'!S16</f>
        <v>1.98976875470795</v>
      </c>
      <c r="D51" s="132" t="n">
        <f aca="false">Budget!M17</f>
        <v>22.5981777112768</v>
      </c>
      <c r="E51" s="132" t="n">
        <f aca="false">Loans!W17</f>
        <v>0</v>
      </c>
      <c r="F51" s="132" t="n">
        <f aca="false">('Debt &amp; cash'!H17+'Debt &amp; cash'!Q17)*issue_price</f>
        <v>0</v>
      </c>
      <c r="G51" s="117" t="n">
        <f aca="false">SUM(B51:F51)</f>
        <v>29.9204774656498</v>
      </c>
      <c r="H51" s="132" t="n">
        <f aca="false">Budget!Y17</f>
        <v>19.9078105733492</v>
      </c>
      <c r="I51" s="132" t="n">
        <f aca="false">Loans!V17</f>
        <v>0</v>
      </c>
      <c r="J51" s="132" t="n">
        <f aca="false">'Debt &amp; cash'!C17</f>
        <v>0.142187877533904</v>
      </c>
      <c r="K51" s="132" t="n">
        <f aca="false">'Debt &amp; cash'!K17</f>
        <v>1.78493266579157</v>
      </c>
      <c r="L51" s="132" t="n">
        <f aca="false">'Debt &amp; cash'!I17+'Debt &amp; cash'!J17+'Debt &amp; cash'!Q17*issue_price*dev_bonds</f>
        <v>0</v>
      </c>
      <c r="M51" s="132" t="n">
        <f aca="false">'Debt &amp; cash'!M17</f>
        <v>5.6495444278192</v>
      </c>
      <c r="N51" s="132" t="n">
        <f aca="false">'Debt &amp; cash'!S17</f>
        <v>2.43600192115584</v>
      </c>
      <c r="O51" s="117" t="n">
        <f aca="false">SUM(H51:N51)</f>
        <v>29.9204774656498</v>
      </c>
      <c r="P51" s="133" t="n">
        <f aca="false">G51-O51</f>
        <v>0</v>
      </c>
      <c r="Q51" s="132" t="n">
        <f aca="false">'Debt &amp; cash'!Q17</f>
        <v>0</v>
      </c>
      <c r="R51" s="117" t="n">
        <f aca="false">Q51*issue_price</f>
        <v>0</v>
      </c>
      <c r="S51" s="117" t="n">
        <f aca="false">Q51-R51</f>
        <v>0</v>
      </c>
    </row>
    <row r="52" customFormat="false" ht="19.5" hidden="false" customHeight="true" outlineLevel="0" collapsed="false">
      <c r="A52" s="121" t="n">
        <v>1858</v>
      </c>
      <c r="B52" s="132" t="n">
        <f aca="false">'Debt &amp; cash'!M17</f>
        <v>5.6495444278192</v>
      </c>
      <c r="C52" s="132" t="n">
        <f aca="false">'Debt &amp; cash'!S17</f>
        <v>2.43600192115584</v>
      </c>
      <c r="D52" s="132" t="n">
        <f aca="false">Budget!M18</f>
        <v>25.1461339936494</v>
      </c>
      <c r="E52" s="132" t="n">
        <f aca="false">Loans!W18</f>
        <v>0</v>
      </c>
      <c r="F52" s="132" t="n">
        <f aca="false">('Debt &amp; cash'!H18+'Debt &amp; cash'!Q18)*issue_price</f>
        <v>0</v>
      </c>
      <c r="G52" s="117" t="n">
        <f aca="false">SUM(B52:F52)</f>
        <v>33.2316803426245</v>
      </c>
      <c r="H52" s="132" t="n">
        <f aca="false">Budget!Y18</f>
        <v>22.307859951662</v>
      </c>
      <c r="I52" s="132" t="n">
        <f aca="false">Loans!V18</f>
        <v>0</v>
      </c>
      <c r="J52" s="132" t="n">
        <f aca="false">'Debt &amp; cash'!C18</f>
        <v>0.103645466667395</v>
      </c>
      <c r="K52" s="132" t="n">
        <f aca="false">'Debt &amp; cash'!K18</f>
        <v>1.67811160378148</v>
      </c>
      <c r="L52" s="132" t="n">
        <f aca="false">'Debt &amp; cash'!I18+'Debt &amp; cash'!J18+'Debt &amp; cash'!Q18*issue_price*dev_bonds</f>
        <v>0</v>
      </c>
      <c r="M52" s="132" t="n">
        <f aca="false">'Debt &amp; cash'!M18</f>
        <v>6.28653349841236</v>
      </c>
      <c r="N52" s="132" t="n">
        <f aca="false">'Debt &amp; cash'!S18</f>
        <v>2.85552982210121</v>
      </c>
      <c r="O52" s="117" t="n">
        <f aca="false">SUM(H52:N52)</f>
        <v>33.2316803426245</v>
      </c>
      <c r="P52" s="133" t="n">
        <f aca="false">G52-O52</f>
        <v>0</v>
      </c>
      <c r="Q52" s="132" t="n">
        <f aca="false">'Debt &amp; cash'!Q18</f>
        <v>0</v>
      </c>
      <c r="R52" s="117" t="n">
        <f aca="false">Q52*issue_price</f>
        <v>0</v>
      </c>
      <c r="S52" s="117" t="n">
        <f aca="false">Q52-R52</f>
        <v>0</v>
      </c>
    </row>
    <row r="53" customFormat="false" ht="19.5" hidden="false" customHeight="true" outlineLevel="0" collapsed="false">
      <c r="A53" s="121" t="n">
        <v>1859</v>
      </c>
      <c r="B53" s="132" t="n">
        <f aca="false">'Debt &amp; cash'!M18</f>
        <v>6.28653349841236</v>
      </c>
      <c r="C53" s="132" t="n">
        <f aca="false">'Debt &amp; cash'!S18</f>
        <v>2.85552982210121</v>
      </c>
      <c r="D53" s="132" t="n">
        <f aca="false">Budget!M19</f>
        <v>27.8162724589113</v>
      </c>
      <c r="E53" s="132" t="n">
        <f aca="false">Loans!W19</f>
        <v>0</v>
      </c>
      <c r="F53" s="132" t="n">
        <f aca="false">('Debt &amp; cash'!H19+'Debt &amp; cash'!Q19)*issue_price</f>
        <v>0</v>
      </c>
      <c r="G53" s="117" t="n">
        <f aca="false">SUM(B53:F53)</f>
        <v>36.9583357794249</v>
      </c>
      <c r="H53" s="132" t="n">
        <f aca="false">Budget!Y19</f>
        <v>24.906655736296</v>
      </c>
      <c r="I53" s="132" t="n">
        <f aca="false">Loans!V19</f>
        <v>0</v>
      </c>
      <c r="J53" s="132" t="n">
        <f aca="false">'Debt &amp; cash'!C19</f>
        <v>0.0680103252584175</v>
      </c>
      <c r="K53" s="132" t="n">
        <f aca="false">'Debt &amp; cash'!K19</f>
        <v>1.73925742483315</v>
      </c>
      <c r="L53" s="132" t="n">
        <f aca="false">'Debt &amp; cash'!I19+'Debt &amp; cash'!J19+'Debt &amp; cash'!Q19*issue_price*dev_bonds</f>
        <v>0</v>
      </c>
      <c r="M53" s="132" t="n">
        <f aca="false">'Debt &amp; cash'!M19</f>
        <v>6.95406811472783</v>
      </c>
      <c r="N53" s="132" t="n">
        <f aca="false">'Debt &amp; cash'!S19</f>
        <v>3.2903441783095</v>
      </c>
      <c r="O53" s="117" t="n">
        <f aca="false">SUM(H53:N53)</f>
        <v>36.9583357794249</v>
      </c>
      <c r="P53" s="133" t="n">
        <f aca="false">G53-O53</f>
        <v>0</v>
      </c>
      <c r="Q53" s="132" t="n">
        <f aca="false">'Debt &amp; cash'!Q19</f>
        <v>0</v>
      </c>
      <c r="R53" s="117" t="n">
        <f aca="false">Q53*issue_price</f>
        <v>0</v>
      </c>
      <c r="S53" s="117" t="n">
        <f aca="false">Q53-R53</f>
        <v>0</v>
      </c>
    </row>
    <row r="54" customFormat="false" ht="19.5" hidden="false" customHeight="true" outlineLevel="0" collapsed="false">
      <c r="A54" s="121" t="n">
        <v>1860</v>
      </c>
      <c r="B54" s="132" t="n">
        <f aca="false">'Debt &amp; cash'!M19</f>
        <v>6.95406811472783</v>
      </c>
      <c r="C54" s="132" t="n">
        <f aca="false">'Debt &amp; cash'!S19</f>
        <v>3.2903441783095</v>
      </c>
      <c r="D54" s="132" t="n">
        <f aca="false">Budget!M20</f>
        <v>30.270096715873</v>
      </c>
      <c r="E54" s="132" t="n">
        <f aca="false">Loans!W20</f>
        <v>0</v>
      </c>
      <c r="F54" s="132" t="n">
        <f aca="false">('Debt &amp; cash'!H20+'Debt &amp; cash'!Q20)*issue_price</f>
        <v>0</v>
      </c>
      <c r="G54" s="117" t="n">
        <f aca="false">SUM(B54:F54)</f>
        <v>40.5145090089103</v>
      </c>
      <c r="H54" s="132" t="n">
        <f aca="false">Budget!Y20</f>
        <v>29.4668530100616</v>
      </c>
      <c r="I54" s="132" t="n">
        <f aca="false">Loans!V20</f>
        <v>0</v>
      </c>
      <c r="J54" s="132" t="n">
        <f aca="false">'Debt &amp; cash'!C20</f>
        <v>0.0318649702565863</v>
      </c>
      <c r="K54" s="132" t="n">
        <f aca="false">'Debt &amp; cash'!K20</f>
        <v>0.126338137051475</v>
      </c>
      <c r="L54" s="132" t="n">
        <f aca="false">'Debt &amp; cash'!I20+'Debt &amp; cash'!J20+'Debt &amp; cash'!Q20*issue_price*dev_bonds</f>
        <v>0</v>
      </c>
      <c r="M54" s="132" t="n">
        <f aca="false">'Debt &amp; cash'!M20</f>
        <v>7.56752417896824</v>
      </c>
      <c r="N54" s="132" t="n">
        <f aca="false">'Debt &amp; cash'!S20</f>
        <v>3.32192871257237</v>
      </c>
      <c r="O54" s="117" t="n">
        <f aca="false">SUM(H54:N54)</f>
        <v>40.5145090089103</v>
      </c>
      <c r="P54" s="133" t="n">
        <f aca="false">G54-O54</f>
        <v>0</v>
      </c>
      <c r="Q54" s="132" t="n">
        <f aca="false">'Debt &amp; cash'!Q20</f>
        <v>0</v>
      </c>
      <c r="R54" s="117" t="n">
        <f aca="false">Q54*issue_price</f>
        <v>0</v>
      </c>
      <c r="S54" s="117" t="n">
        <f aca="false">Q54-R54</f>
        <v>0</v>
      </c>
    </row>
    <row r="55" customFormat="false" ht="19.5" hidden="false" customHeight="true" outlineLevel="0" collapsed="false">
      <c r="A55" s="121" t="n">
        <v>1861</v>
      </c>
      <c r="B55" s="132" t="n">
        <f aca="false">'Debt &amp; cash'!M20</f>
        <v>7.56752417896824</v>
      </c>
      <c r="C55" s="132" t="n">
        <f aca="false">'Debt &amp; cash'!S20</f>
        <v>3.32192871257237</v>
      </c>
      <c r="D55" s="132" t="n">
        <f aca="false">Budget!M21</f>
        <v>40.3910305998613</v>
      </c>
      <c r="E55" s="132" t="n">
        <f aca="false">Loans!W21</f>
        <v>0</v>
      </c>
      <c r="F55" s="132" t="n">
        <f aca="false">('Debt &amp; cash'!H21+'Debt &amp; cash'!Q21)*issue_price</f>
        <v>0</v>
      </c>
      <c r="G55" s="117" t="n">
        <f aca="false">SUM(B55:F55)</f>
        <v>51.2804834914019</v>
      </c>
      <c r="H55" s="132" t="n">
        <f aca="false">Budget!Y21</f>
        <v>38.8555029527127</v>
      </c>
      <c r="I55" s="132" t="n">
        <f aca="false">Loans!V21</f>
        <v>0</v>
      </c>
      <c r="J55" s="132" t="n">
        <f aca="false">'Debt &amp; cash'!C21</f>
        <v>0.028700908110425</v>
      </c>
      <c r="K55" s="132" t="n">
        <f aca="false">'Debt &amp; cash'!K21</f>
        <v>0</v>
      </c>
      <c r="L55" s="132" t="n">
        <f aca="false">'Debt &amp; cash'!I21+'Debt &amp; cash'!J21+'Debt &amp; cash'!Q21*issue_price*dev_bonds</f>
        <v>0</v>
      </c>
      <c r="M55" s="132" t="n">
        <f aca="false">'Debt &amp; cash'!M21</f>
        <v>10.0977576499653</v>
      </c>
      <c r="N55" s="132" t="n">
        <f aca="false">'Debt &amp; cash'!S21</f>
        <v>2.29852198061348</v>
      </c>
      <c r="O55" s="117" t="n">
        <f aca="false">SUM(H55:N55)</f>
        <v>51.2804834914019</v>
      </c>
      <c r="P55" s="133" t="n">
        <f aca="false">G55-O55</f>
        <v>0</v>
      </c>
      <c r="Q55" s="132" t="n">
        <f aca="false">'Debt &amp; cash'!Q21</f>
        <v>0</v>
      </c>
      <c r="R55" s="117" t="n">
        <f aca="false">Q55*issue_price</f>
        <v>0</v>
      </c>
      <c r="S55" s="117" t="n">
        <f aca="false">Q55-R55</f>
        <v>0</v>
      </c>
    </row>
    <row r="56" customFormat="false" ht="19.5" hidden="false" customHeight="true" outlineLevel="0" collapsed="false">
      <c r="A56" s="121" t="n">
        <v>1862</v>
      </c>
      <c r="B56" s="132" t="n">
        <f aca="false">'Debt &amp; cash'!M21</f>
        <v>10.0977576499653</v>
      </c>
      <c r="C56" s="132" t="n">
        <f aca="false">'Debt &amp; cash'!S21</f>
        <v>2.29852198061348</v>
      </c>
      <c r="D56" s="132" t="n">
        <f aca="false">Budget!M22</f>
        <v>45.2787002127065</v>
      </c>
      <c r="E56" s="132" t="n">
        <f aca="false">Loans!W22</f>
        <v>0</v>
      </c>
      <c r="F56" s="132" t="n">
        <f aca="false">('Debt &amp; cash'!H22+'Debt &amp; cash'!Q22)*issue_price</f>
        <v>5.47932342886633</v>
      </c>
      <c r="G56" s="117" t="n">
        <f aca="false">SUM(B56:F56)</f>
        <v>63.1543032721516</v>
      </c>
      <c r="H56" s="132" t="n">
        <f aca="false">Budget!Y22</f>
        <v>51.8065013290268</v>
      </c>
      <c r="I56" s="132" t="n">
        <f aca="false">Loans!V22</f>
        <v>0</v>
      </c>
      <c r="J56" s="132" t="n">
        <f aca="false">'Debt &amp; cash'!C22</f>
        <v>0.0281268899482165</v>
      </c>
      <c r="K56" s="132" t="n">
        <f aca="false">'Debt &amp; cash'!K22</f>
        <v>0</v>
      </c>
      <c r="L56" s="132" t="n">
        <f aca="false">'Debt &amp; cash'!I22+'Debt &amp; cash'!J22+'Debt &amp; cash'!Q22*issue_price*dev_bonds</f>
        <v>0</v>
      </c>
      <c r="M56" s="132" t="n">
        <f aca="false">'Debt &amp; cash'!M22</f>
        <v>11.3196750531766</v>
      </c>
      <c r="N56" s="132" t="n">
        <f aca="false">'Debt &amp; cash'!S22</f>
        <v>0</v>
      </c>
      <c r="O56" s="117" t="n">
        <f aca="false">SUM(H56:N56)</f>
        <v>63.1543032721516</v>
      </c>
      <c r="P56" s="133" t="n">
        <f aca="false">G56-O56</f>
        <v>0</v>
      </c>
      <c r="Q56" s="132" t="n">
        <f aca="false">'Debt &amp; cash'!Q22</f>
        <v>0</v>
      </c>
      <c r="R56" s="117" t="n">
        <f aca="false">Q56*issue_price</f>
        <v>0</v>
      </c>
      <c r="S56" s="117" t="n">
        <f aca="false">Q56-R56</f>
        <v>0</v>
      </c>
    </row>
    <row r="57" customFormat="false" ht="19.5" hidden="false" customHeight="true" outlineLevel="0" collapsed="false">
      <c r="A57" s="121" t="n">
        <v>1863</v>
      </c>
      <c r="B57" s="132" t="n">
        <f aca="false">'Debt &amp; cash'!M22</f>
        <v>11.3196750531766</v>
      </c>
      <c r="C57" s="132" t="n">
        <f aca="false">'Debt &amp; cash'!S22</f>
        <v>0</v>
      </c>
      <c r="D57" s="132" t="n">
        <f aca="false">Budget!M23</f>
        <v>53.8978082081451</v>
      </c>
      <c r="E57" s="132" t="n">
        <f aca="false">Loans!W23</f>
        <v>0</v>
      </c>
      <c r="F57" s="132" t="n">
        <f aca="false">('Debt &amp; cash'!H23+'Debt &amp; cash'!Q23)*issue_price</f>
        <v>8.35313507624701</v>
      </c>
      <c r="G57" s="117" t="n">
        <f aca="false">SUM(B57:F57)</f>
        <v>73.5706183375688</v>
      </c>
      <c r="H57" s="132" t="n">
        <f aca="false">Budget!Y23</f>
        <v>59.9556261925819</v>
      </c>
      <c r="I57" s="132" t="n">
        <f aca="false">Loans!V23</f>
        <v>0</v>
      </c>
      <c r="J57" s="132" t="n">
        <f aca="false">'Debt &amp; cash'!C23</f>
        <v>0.14054009295062</v>
      </c>
      <c r="K57" s="132" t="n">
        <f aca="false">'Debt &amp; cash'!K23</f>
        <v>0</v>
      </c>
      <c r="L57" s="132" t="n">
        <f aca="false">'Debt &amp; cash'!I23+'Debt &amp; cash'!J23+'Debt &amp; cash'!Q23*issue_price*dev_bonds</f>
        <v>0</v>
      </c>
      <c r="M57" s="132" t="n">
        <f aca="false">'Debt &amp; cash'!M23</f>
        <v>13.4744520520363</v>
      </c>
      <c r="N57" s="132" t="n">
        <f aca="false">'Debt &amp; cash'!S23</f>
        <v>0</v>
      </c>
      <c r="O57" s="117" t="n">
        <f aca="false">SUM(H57:N57)</f>
        <v>73.5706183375688</v>
      </c>
      <c r="P57" s="133" t="n">
        <f aca="false">G57-O57</f>
        <v>0</v>
      </c>
      <c r="Q57" s="132" t="n">
        <f aca="false">'Debt &amp; cash'!Q23</f>
        <v>0</v>
      </c>
      <c r="R57" s="117" t="n">
        <f aca="false">Q57*issue_price</f>
        <v>0</v>
      </c>
      <c r="S57" s="117" t="n">
        <f aca="false">Q57-R57</f>
        <v>0</v>
      </c>
    </row>
    <row r="58" customFormat="false" ht="19.5" hidden="false" customHeight="true" outlineLevel="0" collapsed="false">
      <c r="A58" s="121" t="n">
        <v>1864</v>
      </c>
      <c r="B58" s="132" t="n">
        <f aca="false">'Debt &amp; cash'!M23</f>
        <v>13.4744520520363</v>
      </c>
      <c r="C58" s="132" t="n">
        <f aca="false">'Debt &amp; cash'!S23</f>
        <v>0</v>
      </c>
      <c r="D58" s="132" t="n">
        <f aca="false">Budget!M24</f>
        <v>62.749435110994</v>
      </c>
      <c r="E58" s="132" t="n">
        <f aca="false">Loans!W24</f>
        <v>0</v>
      </c>
      <c r="F58" s="132" t="n">
        <f aca="false">('Debt &amp; cash'!H24+'Debt &amp; cash'!Q24)*issue_price</f>
        <v>5.23662474000567</v>
      </c>
      <c r="G58" s="117" t="n">
        <f aca="false">SUM(B58:F58)</f>
        <v>81.4605119030359</v>
      </c>
      <c r="H58" s="132" t="n">
        <f aca="false">Budget!Y24</f>
        <v>65.4631942449949</v>
      </c>
      <c r="I58" s="132" t="n">
        <f aca="false">Loans!V24</f>
        <v>0</v>
      </c>
      <c r="J58" s="132" t="n">
        <f aca="false">'Debt &amp; cash'!C24</f>
        <v>0.309958880292577</v>
      </c>
      <c r="K58" s="132" t="n">
        <f aca="false">'Debt &amp; cash'!K24</f>
        <v>0</v>
      </c>
      <c r="L58" s="132" t="n">
        <f aca="false">'Debt &amp; cash'!I24+'Debt &amp; cash'!J24+'Debt &amp; cash'!Q24*issue_price*dev_bonds</f>
        <v>0</v>
      </c>
      <c r="M58" s="132" t="n">
        <f aca="false">'Debt &amp; cash'!M24</f>
        <v>15.6873587777485</v>
      </c>
      <c r="N58" s="132" t="n">
        <f aca="false">'Debt &amp; cash'!S24</f>
        <v>0</v>
      </c>
      <c r="O58" s="117" t="n">
        <f aca="false">SUM(H58:N58)</f>
        <v>81.4605119030359</v>
      </c>
      <c r="P58" s="133" t="n">
        <f aca="false">G58-O58</f>
        <v>0</v>
      </c>
      <c r="Q58" s="132" t="n">
        <f aca="false">'Debt &amp; cash'!Q24</f>
        <v>0</v>
      </c>
      <c r="R58" s="117" t="n">
        <f aca="false">Q58*issue_price</f>
        <v>0</v>
      </c>
      <c r="S58" s="117" t="n">
        <f aca="false">Q58-R58</f>
        <v>0</v>
      </c>
    </row>
    <row r="59" customFormat="false" ht="19.5" hidden="false" customHeight="true" outlineLevel="0" collapsed="false">
      <c r="A59" s="121" t="n">
        <v>1865</v>
      </c>
      <c r="B59" s="132" t="n">
        <f aca="false">'Debt &amp; cash'!M24</f>
        <v>15.6873587777485</v>
      </c>
      <c r="C59" s="132" t="n">
        <f aca="false">'Debt &amp; cash'!S24</f>
        <v>0</v>
      </c>
      <c r="D59" s="132" t="n">
        <f aca="false">Budget!M25</f>
        <v>68.560763363681</v>
      </c>
      <c r="E59" s="132" t="n">
        <f aca="false">Loans!W25</f>
        <v>0</v>
      </c>
      <c r="F59" s="132" t="n">
        <f aca="false">('Debt &amp; cash'!H25+'Debt &amp; cash'!Q25)*issue_price</f>
        <v>0</v>
      </c>
      <c r="G59" s="117" t="n">
        <f aca="false">SUM(B59:F59)</f>
        <v>84.2481221414295</v>
      </c>
      <c r="H59" s="132" t="n">
        <f aca="false">Budget!Y25</f>
        <v>58.0746345189341</v>
      </c>
      <c r="I59" s="132" t="n">
        <f aca="false">Loans!V25</f>
        <v>0</v>
      </c>
      <c r="J59" s="132" t="n">
        <f aca="false">'Debt &amp; cash'!C25</f>
        <v>0.411731346810553</v>
      </c>
      <c r="K59" s="132" t="n">
        <f aca="false">'Debt &amp; cash'!K25</f>
        <v>6.89725234781168</v>
      </c>
      <c r="L59" s="132" t="n">
        <f aca="false">'Debt &amp; cash'!I25+'Debt &amp; cash'!J25+'Debt &amp; cash'!Q25*issue_price*dev_bonds</f>
        <v>0</v>
      </c>
      <c r="M59" s="132" t="n">
        <f aca="false">'Debt &amp; cash'!M25</f>
        <v>17.1401908409203</v>
      </c>
      <c r="N59" s="132" t="n">
        <f aca="false">'Debt &amp; cash'!S25</f>
        <v>1.72431308695292</v>
      </c>
      <c r="O59" s="117" t="n">
        <f aca="false">SUM(H59:N59)</f>
        <v>84.2481221414295</v>
      </c>
      <c r="P59" s="133" t="n">
        <f aca="false">G59-O59</f>
        <v>0</v>
      </c>
      <c r="Q59" s="132" t="n">
        <f aca="false">'Debt &amp; cash'!Q25</f>
        <v>0</v>
      </c>
      <c r="R59" s="117" t="n">
        <f aca="false">Q59*issue_price</f>
        <v>0</v>
      </c>
      <c r="S59" s="117" t="n">
        <f aca="false">Q59-R59</f>
        <v>0</v>
      </c>
    </row>
    <row r="60" customFormat="false" ht="19.5" hidden="false" customHeight="true" outlineLevel="0" collapsed="false">
      <c r="A60" s="121" t="n">
        <v>1866</v>
      </c>
      <c r="B60" s="132" t="n">
        <f aca="false">'Debt &amp; cash'!M25</f>
        <v>17.1401908409203</v>
      </c>
      <c r="C60" s="132" t="n">
        <f aca="false">'Debt &amp; cash'!S25</f>
        <v>1.72431308695292</v>
      </c>
      <c r="D60" s="132" t="n">
        <f aca="false">Budget!M26</f>
        <v>71.3042394811271</v>
      </c>
      <c r="E60" s="132" t="n">
        <f aca="false">Loans!W26</f>
        <v>0</v>
      </c>
      <c r="F60" s="132" t="n">
        <f aca="false">('Debt &amp; cash'!H26+'Debt &amp; cash'!Q26)*issue_price</f>
        <v>0</v>
      </c>
      <c r="G60" s="117" t="n">
        <f aca="false">SUM(B60:F60)</f>
        <v>90.1687434090003</v>
      </c>
      <c r="H60" s="132" t="n">
        <f aca="false">Budget!Y26</f>
        <v>58.0786370414641</v>
      </c>
      <c r="I60" s="132" t="n">
        <f aca="false">Loans!V26</f>
        <v>0</v>
      </c>
      <c r="J60" s="132" t="n">
        <f aca="false">'Debt &amp; cash'!C26</f>
        <v>0.265551672918109</v>
      </c>
      <c r="K60" s="132" t="n">
        <f aca="false">'Debt &amp; cash'!K26</f>
        <v>9.81934538990671</v>
      </c>
      <c r="L60" s="132" t="n">
        <f aca="false">'Debt &amp; cash'!I26+'Debt &amp; cash'!J26+'Debt &amp; cash'!Q26*issue_price*dev_bonds</f>
        <v>0</v>
      </c>
      <c r="M60" s="132" t="n">
        <f aca="false">'Debt &amp; cash'!M26</f>
        <v>17.8260598702818</v>
      </c>
      <c r="N60" s="132" t="n">
        <f aca="false">'Debt &amp; cash'!S26</f>
        <v>4.17914943442959</v>
      </c>
      <c r="O60" s="117" t="n">
        <f aca="false">SUM(H60:N60)</f>
        <v>90.1687434090003</v>
      </c>
      <c r="P60" s="133" t="n">
        <f aca="false">G60-O60</f>
        <v>0</v>
      </c>
      <c r="Q60" s="132" t="n">
        <f aca="false">'Debt &amp; cash'!Q26</f>
        <v>0</v>
      </c>
      <c r="R60" s="117" t="n">
        <f aca="false">Q60*issue_price</f>
        <v>0</v>
      </c>
      <c r="S60" s="117" t="n">
        <f aca="false">Q60-R60</f>
        <v>0</v>
      </c>
    </row>
    <row r="61" customFormat="false" ht="19.5" hidden="false" customHeight="true" outlineLevel="0" collapsed="false">
      <c r="A61" s="121" t="n">
        <v>1867</v>
      </c>
      <c r="B61" s="132" t="n">
        <f aca="false">'Debt &amp; cash'!M26</f>
        <v>17.8260598702818</v>
      </c>
      <c r="C61" s="132" t="n">
        <f aca="false">'Debt &amp; cash'!S26</f>
        <v>4.17914943442959</v>
      </c>
      <c r="D61" s="132" t="n">
        <f aca="false">Budget!M27</f>
        <v>77.5118813697038</v>
      </c>
      <c r="E61" s="132" t="n">
        <f aca="false">Loans!W27</f>
        <v>0</v>
      </c>
      <c r="F61" s="132" t="n">
        <f aca="false">('Debt &amp; cash'!H27+'Debt &amp; cash'!Q27)*issue_price</f>
        <v>0</v>
      </c>
      <c r="G61" s="117" t="n">
        <f aca="false">SUM(B61:F61)</f>
        <v>99.5170906744151</v>
      </c>
      <c r="H61" s="132" t="n">
        <f aca="false">Budget!Y27</f>
        <v>67.4561275938249</v>
      </c>
      <c r="I61" s="132" t="n">
        <f aca="false">Loans!V27</f>
        <v>10</v>
      </c>
      <c r="J61" s="132" t="n">
        <f aca="false">'Debt &amp; cash'!C27</f>
        <v>0.0638537316616123</v>
      </c>
      <c r="K61" s="132" t="n">
        <f aca="false">'Debt &amp; cash'!K27</f>
        <v>0</v>
      </c>
      <c r="L61" s="132" t="n">
        <f aca="false">'Debt &amp; cash'!I27+'Debt &amp; cash'!J27+'Debt &amp; cash'!Q27*issue_price*dev_bonds</f>
        <v>0</v>
      </c>
      <c r="M61" s="132" t="n">
        <f aca="false">'Debt &amp; cash'!M27</f>
        <v>19.3779703424259</v>
      </c>
      <c r="N61" s="132" t="n">
        <f aca="false">'Debt &amp; cash'!S27</f>
        <v>2.61913900650271</v>
      </c>
      <c r="O61" s="117" t="n">
        <f aca="false">SUM(H61:N61)</f>
        <v>99.5170906744151</v>
      </c>
      <c r="P61" s="133" t="n">
        <f aca="false">G61-O61</f>
        <v>0</v>
      </c>
      <c r="Q61" s="132" t="n">
        <f aca="false">'Debt &amp; cash'!Q27</f>
        <v>0</v>
      </c>
      <c r="R61" s="117" t="n">
        <f aca="false">Q61*issue_price</f>
        <v>0</v>
      </c>
      <c r="S61" s="117" t="n">
        <f aca="false">Q61-R61</f>
        <v>0</v>
      </c>
    </row>
    <row r="62" customFormat="false" ht="19.5" hidden="false" customHeight="true" outlineLevel="0" collapsed="false">
      <c r="A62" s="121" t="n">
        <v>1868</v>
      </c>
      <c r="B62" s="132" t="n">
        <f aca="false">'Debt &amp; cash'!M27</f>
        <v>19.3779703424259</v>
      </c>
      <c r="C62" s="132" t="n">
        <f aca="false">'Debt &amp; cash'!S27</f>
        <v>2.61913900650271</v>
      </c>
      <c r="D62" s="132" t="n">
        <f aca="false">Budget!M28</f>
        <v>84.3944508276792</v>
      </c>
      <c r="E62" s="132" t="n">
        <f aca="false">Loans!W28</f>
        <v>0.4</v>
      </c>
      <c r="F62" s="132" t="n">
        <f aca="false">('Debt &amp; cash'!H28+'Debt &amp; cash'!Q28)*issue_price</f>
        <v>0</v>
      </c>
      <c r="G62" s="117" t="n">
        <f aca="false">SUM(B62:F62)</f>
        <v>106.791560176608</v>
      </c>
      <c r="H62" s="132" t="n">
        <f aca="false">Budget!Y28</f>
        <v>65.021096498209</v>
      </c>
      <c r="I62" s="132" t="n">
        <f aca="false">Loans!V28</f>
        <v>0</v>
      </c>
      <c r="J62" s="132" t="n">
        <f aca="false">'Debt &amp; cash'!C28</f>
        <v>0.0625766570283801</v>
      </c>
      <c r="K62" s="132" t="n">
        <f aca="false">'Debt &amp; cash'!K28</f>
        <v>3.06625619439062</v>
      </c>
      <c r="L62" s="132" t="n">
        <f aca="false">'Debt &amp; cash'!I28+'Debt &amp; cash'!J28+'Debt &amp; cash'!Q28*issue_price*dev_bonds</f>
        <v>0</v>
      </c>
      <c r="M62" s="132" t="n">
        <f aca="false">'Debt &amp; cash'!M28</f>
        <v>21.0986127069198</v>
      </c>
      <c r="N62" s="132" t="n">
        <f aca="false">'Debt &amp; cash'!S28</f>
        <v>17.5430181200601</v>
      </c>
      <c r="O62" s="117" t="n">
        <f aca="false">SUM(H62:N62)</f>
        <v>106.791560176608</v>
      </c>
      <c r="P62" s="133" t="n">
        <f aca="false">G62-O62</f>
        <v>0</v>
      </c>
      <c r="Q62" s="132" t="n">
        <f aca="false">'Debt &amp; cash'!Q28</f>
        <v>0</v>
      </c>
      <c r="R62" s="117" t="n">
        <f aca="false">Q62*issue_price</f>
        <v>0</v>
      </c>
      <c r="S62" s="117" t="n">
        <f aca="false">Q62-R62</f>
        <v>0</v>
      </c>
    </row>
    <row r="63" customFormat="false" ht="19.5" hidden="false" customHeight="true" outlineLevel="0" collapsed="false">
      <c r="A63" s="121" t="n">
        <v>1869</v>
      </c>
      <c r="B63" s="132" t="n">
        <f aca="false">'Debt &amp; cash'!M28</f>
        <v>21.0986127069198</v>
      </c>
      <c r="C63" s="132" t="n">
        <f aca="false">'Debt &amp; cash'!S28</f>
        <v>17.5430181200601</v>
      </c>
      <c r="D63" s="132" t="n">
        <f aca="false">Budget!M29</f>
        <v>91.3506627920309</v>
      </c>
      <c r="E63" s="132" t="n">
        <f aca="false">Loans!W29</f>
        <v>0.384</v>
      </c>
      <c r="F63" s="132" t="n">
        <f aca="false">('Debt &amp; cash'!H29+'Debt &amp; cash'!Q29)*issue_price</f>
        <v>0</v>
      </c>
      <c r="G63" s="117" t="n">
        <f aca="false">SUM(B63:F63)</f>
        <v>130.376293619011</v>
      </c>
      <c r="H63" s="132" t="n">
        <f aca="false">Budget!Y29</f>
        <v>68.7491666099008</v>
      </c>
      <c r="I63" s="132" t="n">
        <f aca="false">Loans!V29</f>
        <v>0</v>
      </c>
      <c r="J63" s="132" t="n">
        <f aca="false">'Debt &amp; cash'!C29</f>
        <v>0</v>
      </c>
      <c r="K63" s="132" t="n">
        <f aca="false">'Debt &amp; cash'!K29</f>
        <v>0</v>
      </c>
      <c r="L63" s="132" t="n">
        <f aca="false">'Debt &amp; cash'!I29+'Debt &amp; cash'!J29+'Debt &amp; cash'!Q29*issue_price*dev_bonds</f>
        <v>0</v>
      </c>
      <c r="M63" s="132" t="n">
        <f aca="false">'Debt &amp; cash'!M29</f>
        <v>22.8376656980077</v>
      </c>
      <c r="N63" s="132" t="n">
        <f aca="false">'Debt &amp; cash'!S29</f>
        <v>38.7894613111023</v>
      </c>
      <c r="O63" s="117" t="n">
        <f aca="false">SUM(H63:N63)</f>
        <v>130.376293619011</v>
      </c>
      <c r="P63" s="133" t="n">
        <f aca="false">G63-O63</f>
        <v>0</v>
      </c>
      <c r="Q63" s="132" t="n">
        <f aca="false">'Debt &amp; cash'!Q29</f>
        <v>0</v>
      </c>
      <c r="R63" s="117" t="n">
        <f aca="false">Q63*issue_price</f>
        <v>0</v>
      </c>
      <c r="S63" s="117" t="n">
        <f aca="false">Q63-R63</f>
        <v>0</v>
      </c>
    </row>
    <row r="64" customFormat="false" ht="19.5" hidden="false" customHeight="true" outlineLevel="0" collapsed="false">
      <c r="A64" s="121" t="n">
        <v>1870</v>
      </c>
      <c r="B64" s="132" t="n">
        <f aca="false">'Debt &amp; cash'!M29</f>
        <v>22.8376656980077</v>
      </c>
      <c r="C64" s="132" t="n">
        <f aca="false">'Debt &amp; cash'!S29</f>
        <v>38.7894613111023</v>
      </c>
      <c r="D64" s="132" t="n">
        <f aca="false">Budget!M30</f>
        <v>99.4600483675694</v>
      </c>
      <c r="E64" s="132" t="n">
        <f aca="false">Loans!W30</f>
        <v>0.36864</v>
      </c>
      <c r="F64" s="132" t="n">
        <f aca="false">('Debt &amp; cash'!H30+'Debt &amp; cash'!Q30)*issue_price</f>
        <v>0</v>
      </c>
      <c r="G64" s="117" t="n">
        <f aca="false">SUM(B64:F64)</f>
        <v>161.455815376679</v>
      </c>
      <c r="H64" s="132" t="n">
        <f aca="false">Budget!Y30</f>
        <v>77.4291581538983</v>
      </c>
      <c r="I64" s="132" t="n">
        <f aca="false">Loans!V30</f>
        <v>5</v>
      </c>
      <c r="J64" s="132" t="n">
        <f aca="false">'Debt &amp; cash'!C30</f>
        <v>0</v>
      </c>
      <c r="K64" s="132" t="n">
        <f aca="false">'Debt &amp; cash'!K30</f>
        <v>0</v>
      </c>
      <c r="L64" s="132" t="n">
        <f aca="false">'Debt &amp; cash'!I30+'Debt &amp; cash'!J30+'Debt &amp; cash'!Q30*issue_price*dev_bonds</f>
        <v>0</v>
      </c>
      <c r="M64" s="132" t="n">
        <f aca="false">'Debt &amp; cash'!M30</f>
        <v>24.8650120918924</v>
      </c>
      <c r="N64" s="132" t="n">
        <f aca="false">'Debt &amp; cash'!S30</f>
        <v>54.1616451308887</v>
      </c>
      <c r="O64" s="117" t="n">
        <f aca="false">SUM(H64:N64)</f>
        <v>161.455815376679</v>
      </c>
      <c r="P64" s="133" t="n">
        <f aca="false">G64-O64</f>
        <v>0</v>
      </c>
      <c r="Q64" s="132" t="n">
        <f aca="false">'Debt &amp; cash'!Q30</f>
        <v>0</v>
      </c>
      <c r="R64" s="117" t="n">
        <f aca="false">Q64*issue_price</f>
        <v>0</v>
      </c>
      <c r="S64" s="117" t="n">
        <f aca="false">Q64-R64</f>
        <v>0</v>
      </c>
    </row>
    <row r="65" customFormat="false" ht="19.5" hidden="false" customHeight="true" outlineLevel="0" collapsed="false">
      <c r="A65" s="121" t="n">
        <v>1871</v>
      </c>
      <c r="B65" s="132" t="n">
        <f aca="false">'Debt &amp; cash'!M30</f>
        <v>24.8650120918924</v>
      </c>
      <c r="C65" s="132" t="n">
        <f aca="false">'Debt &amp; cash'!S30</f>
        <v>54.1616451308887</v>
      </c>
      <c r="D65" s="132" t="n">
        <f aca="false">Budget!M31</f>
        <v>107.340888966401</v>
      </c>
      <c r="E65" s="132" t="n">
        <f aca="false">Loans!W31</f>
        <v>0.5538944</v>
      </c>
      <c r="F65" s="132" t="n">
        <f aca="false">('Debt &amp; cash'!H31+'Debt &amp; cash'!Q31)*issue_price</f>
        <v>0</v>
      </c>
      <c r="G65" s="117" t="n">
        <f aca="false">SUM(B65:F65)</f>
        <v>186.921440589183</v>
      </c>
      <c r="H65" s="132" t="n">
        <f aca="false">Budget!Y31</f>
        <v>81.6331272192238</v>
      </c>
      <c r="I65" s="132" t="n">
        <f aca="false">Loans!V31</f>
        <v>12.5</v>
      </c>
      <c r="J65" s="132" t="n">
        <f aca="false">'Debt &amp; cash'!C31</f>
        <v>0</v>
      </c>
      <c r="K65" s="132" t="n">
        <f aca="false">'Debt &amp; cash'!K31</f>
        <v>0</v>
      </c>
      <c r="L65" s="132" t="n">
        <f aca="false">'Debt &amp; cash'!I31+'Debt &amp; cash'!J31+'Debt &amp; cash'!Q31*issue_price*dev_bonds</f>
        <v>0</v>
      </c>
      <c r="M65" s="132" t="n">
        <f aca="false">'Debt &amp; cash'!M31</f>
        <v>26.8352222416004</v>
      </c>
      <c r="N65" s="132" t="n">
        <f aca="false">'Debt &amp; cash'!S31</f>
        <v>65.9530911283584</v>
      </c>
      <c r="O65" s="117" t="n">
        <f aca="false">SUM(H65:N65)</f>
        <v>186.921440589183</v>
      </c>
      <c r="P65" s="133" t="n">
        <f aca="false">G65-O65</f>
        <v>0</v>
      </c>
      <c r="Q65" s="132" t="n">
        <f aca="false">'Debt &amp; cash'!Q31</f>
        <v>0</v>
      </c>
      <c r="R65" s="117" t="n">
        <f aca="false">Q65*issue_price</f>
        <v>0</v>
      </c>
      <c r="S65" s="117" t="n">
        <f aca="false">Q65-R65</f>
        <v>0</v>
      </c>
    </row>
    <row r="66" customFormat="false" ht="19.5" hidden="false" customHeight="true" outlineLevel="0" collapsed="false">
      <c r="A66" s="121" t="n">
        <v>1872</v>
      </c>
      <c r="B66" s="132" t="n">
        <f aca="false">'Debt &amp; cash'!M31</f>
        <v>26.8352222416004</v>
      </c>
      <c r="C66" s="132" t="n">
        <f aca="false">'Debt &amp; cash'!S31</f>
        <v>65.9530911283584</v>
      </c>
      <c r="D66" s="132" t="n">
        <f aca="false">Budget!M32</f>
        <v>115.45425391775</v>
      </c>
      <c r="E66" s="132" t="n">
        <f aca="false">Loans!W32</f>
        <v>1.031738624</v>
      </c>
      <c r="F66" s="132" t="n">
        <f aca="false">('Debt &amp; cash'!H32+'Debt &amp; cash'!Q32)*issue_price</f>
        <v>0</v>
      </c>
      <c r="G66" s="117" t="n">
        <f aca="false">SUM(B66:F66)</f>
        <v>209.274305911709</v>
      </c>
      <c r="H66" s="132" t="n">
        <f aca="false">Budget!Y32</f>
        <v>78.470893133347</v>
      </c>
      <c r="I66" s="132" t="n">
        <f aca="false">Loans!V32</f>
        <v>16.5</v>
      </c>
      <c r="J66" s="132" t="n">
        <f aca="false">'Debt &amp; cash'!C32</f>
        <v>0</v>
      </c>
      <c r="K66" s="132" t="n">
        <f aca="false">'Debt &amp; cash'!K32</f>
        <v>0</v>
      </c>
      <c r="L66" s="132" t="n">
        <f aca="false">'Debt &amp; cash'!I32+'Debt &amp; cash'!J32+'Debt &amp; cash'!Q32*issue_price*dev_bonds</f>
        <v>0</v>
      </c>
      <c r="M66" s="132" t="n">
        <f aca="false">'Debt &amp; cash'!M32</f>
        <v>28.8635634794375</v>
      </c>
      <c r="N66" s="132" t="n">
        <f aca="false">'Debt &amp; cash'!S32</f>
        <v>85.4398492989244</v>
      </c>
      <c r="O66" s="117" t="n">
        <f aca="false">SUM(H66:N66)</f>
        <v>209.274305911709</v>
      </c>
      <c r="P66" s="133" t="n">
        <f aca="false">G66-O66</f>
        <v>0</v>
      </c>
      <c r="Q66" s="132" t="n">
        <f aca="false">'Debt &amp; cash'!Q32</f>
        <v>0</v>
      </c>
      <c r="R66" s="117" t="n">
        <f aca="false">Q66*issue_price</f>
        <v>0</v>
      </c>
      <c r="S66" s="117" t="n">
        <f aca="false">Q66-R66</f>
        <v>0</v>
      </c>
    </row>
    <row r="67" customFormat="false" ht="19.5" hidden="false" customHeight="true" outlineLevel="0" collapsed="false">
      <c r="A67" s="121" t="n">
        <v>1873</v>
      </c>
      <c r="B67" s="132" t="n">
        <f aca="false">'Debt &amp; cash'!M32</f>
        <v>28.8635634794375</v>
      </c>
      <c r="C67" s="132" t="n">
        <f aca="false">'Debt &amp; cash'!S32</f>
        <v>85.4398492989244</v>
      </c>
      <c r="D67" s="132" t="n">
        <f aca="false">Budget!M33</f>
        <v>115.217179750254</v>
      </c>
      <c r="E67" s="132" t="n">
        <f aca="false">Loans!W33</f>
        <v>1.65046907904</v>
      </c>
      <c r="F67" s="132" t="n">
        <f aca="false">('Debt &amp; cash'!H33+'Debt &amp; cash'!Q33)*issue_price</f>
        <v>0</v>
      </c>
      <c r="G67" s="117" t="n">
        <f aca="false">SUM(B67:F67)</f>
        <v>231.171061607656</v>
      </c>
      <c r="H67" s="132" t="n">
        <f aca="false">Budget!Y33</f>
        <v>76.7584674688434</v>
      </c>
      <c r="I67" s="132" t="n">
        <f aca="false">Loans!V33</f>
        <v>0</v>
      </c>
      <c r="J67" s="132" t="n">
        <f aca="false">'Debt &amp; cash'!C33</f>
        <v>0</v>
      </c>
      <c r="K67" s="132" t="n">
        <f aca="false">'Debt &amp; cash'!K33</f>
        <v>0</v>
      </c>
      <c r="L67" s="132" t="n">
        <f aca="false">'Debt &amp; cash'!I33+'Debt &amp; cash'!J33+'Debt &amp; cash'!Q33*issue_price*dev_bonds</f>
        <v>0</v>
      </c>
      <c r="M67" s="132" t="n">
        <f aca="false">'Debt &amp; cash'!M33</f>
        <v>28.8042949375635</v>
      </c>
      <c r="N67" s="132" t="n">
        <f aca="false">'Debt &amp; cash'!S33</f>
        <v>125.608299201249</v>
      </c>
      <c r="O67" s="117" t="n">
        <f aca="false">SUM(H67:N67)</f>
        <v>231.171061607656</v>
      </c>
      <c r="P67" s="133" t="n">
        <f aca="false">G67-O67</f>
        <v>0</v>
      </c>
      <c r="Q67" s="132" t="n">
        <f aca="false">'Debt &amp; cash'!Q33</f>
        <v>0</v>
      </c>
      <c r="R67" s="117" t="n">
        <f aca="false">Q67*issue_price</f>
        <v>0</v>
      </c>
      <c r="S67" s="117" t="n">
        <f aca="false">Q67-R67</f>
        <v>0</v>
      </c>
    </row>
    <row r="68" customFormat="false" ht="19.5" hidden="false" customHeight="true" outlineLevel="0" collapsed="false">
      <c r="A68" s="121" t="n">
        <v>1874</v>
      </c>
      <c r="B68" s="132" t="n">
        <f aca="false">'Debt &amp; cash'!M33</f>
        <v>28.8042949375635</v>
      </c>
      <c r="C68" s="132" t="n">
        <f aca="false">'Debt &amp; cash'!S33</f>
        <v>125.608299201249</v>
      </c>
      <c r="D68" s="132" t="n">
        <f aca="false">Budget!M34</f>
        <v>123.358565295096</v>
      </c>
      <c r="E68" s="132" t="n">
        <f aca="false">Loans!W34</f>
        <v>1.5844503158784</v>
      </c>
      <c r="F68" s="132" t="n">
        <f aca="false">('Debt &amp; cash'!H34+'Debt &amp; cash'!Q34)*issue_price</f>
        <v>0</v>
      </c>
      <c r="G68" s="117" t="n">
        <f aca="false">SUM(B68:F68)</f>
        <v>279.355609749787</v>
      </c>
      <c r="H68" s="132" t="n">
        <f aca="false">Budget!Y34</f>
        <v>81.4766049078576</v>
      </c>
      <c r="I68" s="132" t="n">
        <f aca="false">Loans!V34</f>
        <v>3</v>
      </c>
      <c r="J68" s="132" t="n">
        <f aca="false">'Debt &amp; cash'!C34</f>
        <v>0</v>
      </c>
      <c r="K68" s="132" t="n">
        <f aca="false">'Debt &amp; cash'!K34</f>
        <v>0</v>
      </c>
      <c r="L68" s="132" t="n">
        <f aca="false">'Debt &amp; cash'!I34+'Debt &amp; cash'!J34+'Debt &amp; cash'!Q34*issue_price*dev_bonds</f>
        <v>0</v>
      </c>
      <c r="M68" s="132" t="n">
        <f aca="false">'Debt &amp; cash'!M34</f>
        <v>30.8396413237741</v>
      </c>
      <c r="N68" s="132" t="n">
        <f aca="false">'Debt &amp; cash'!S34</f>
        <v>164.039363518156</v>
      </c>
      <c r="O68" s="117" t="n">
        <f aca="false">SUM(H68:N68)</f>
        <v>279.355609749787</v>
      </c>
      <c r="P68" s="133" t="n">
        <f aca="false">G68-O68</f>
        <v>0</v>
      </c>
      <c r="Q68" s="132" t="n">
        <f aca="false">'Debt &amp; cash'!Q34</f>
        <v>0</v>
      </c>
      <c r="R68" s="117" t="n">
        <f aca="false">Q68*issue_price</f>
        <v>0</v>
      </c>
      <c r="S68" s="117" t="n">
        <f aca="false">Q68-R68</f>
        <v>0</v>
      </c>
    </row>
    <row r="69" customFormat="false" ht="19.5" hidden="false" customHeight="true" outlineLevel="0" collapsed="false">
      <c r="A69" s="121" t="n">
        <v>1875</v>
      </c>
      <c r="B69" s="132" t="n">
        <f aca="false">'Debt &amp; cash'!M34</f>
        <v>30.8396413237741</v>
      </c>
      <c r="C69" s="132" t="n">
        <f aca="false">'Debt &amp; cash'!S34</f>
        <v>164.039363518156</v>
      </c>
      <c r="D69" s="132" t="n">
        <f aca="false">Budget!M35</f>
        <v>134.007196171847</v>
      </c>
      <c r="E69" s="132" t="n">
        <f aca="false">Loans!W35</f>
        <v>1.61107230324326</v>
      </c>
      <c r="F69" s="132" t="n">
        <f aca="false">('Debt &amp; cash'!H35+'Debt &amp; cash'!Q35)*issue_price</f>
        <v>0</v>
      </c>
      <c r="G69" s="117" t="n">
        <f aca="false">SUM(B69:F69)</f>
        <v>330.49727331702</v>
      </c>
      <c r="H69" s="132" t="n">
        <f aca="false">Budget!Y35</f>
        <v>86.1315386538571</v>
      </c>
      <c r="I69" s="132" t="n">
        <f aca="false">Loans!V35</f>
        <v>3</v>
      </c>
      <c r="J69" s="132" t="n">
        <f aca="false">'Debt &amp; cash'!C35</f>
        <v>0</v>
      </c>
      <c r="K69" s="132" t="n">
        <f aca="false">'Debt &amp; cash'!K35</f>
        <v>0</v>
      </c>
      <c r="L69" s="132" t="n">
        <f aca="false">'Debt &amp; cash'!I35+'Debt &amp; cash'!J35+'Debt &amp; cash'!Q35*issue_price*dev_bonds</f>
        <v>0</v>
      </c>
      <c r="M69" s="132" t="n">
        <f aca="false">'Debt &amp; cash'!M35</f>
        <v>33.5017990429619</v>
      </c>
      <c r="N69" s="132" t="n">
        <f aca="false">'Debt &amp; cash'!S35</f>
        <v>207.863935620201</v>
      </c>
      <c r="O69" s="117" t="n">
        <f aca="false">SUM(H69:N69)</f>
        <v>330.49727331702</v>
      </c>
      <c r="P69" s="133" t="n">
        <f aca="false">G69-O69</f>
        <v>0</v>
      </c>
      <c r="Q69" s="132" t="n">
        <f aca="false">'Debt &amp; cash'!Q35</f>
        <v>0</v>
      </c>
      <c r="R69" s="117" t="n">
        <f aca="false">Q69*issue_price</f>
        <v>0</v>
      </c>
      <c r="S69" s="117" t="n">
        <f aca="false">Q69-R69</f>
        <v>0</v>
      </c>
    </row>
    <row r="70" customFormat="false" ht="19.5" hidden="false" customHeight="true" outlineLevel="0" collapsed="false">
      <c r="A70" s="121" t="n">
        <v>1876</v>
      </c>
      <c r="B70" s="132" t="n">
        <f aca="false">'Debt &amp; cash'!M35</f>
        <v>33.5017990429619</v>
      </c>
      <c r="C70" s="132" t="n">
        <f aca="false">'Debt &amp; cash'!S35</f>
        <v>207.863935620201</v>
      </c>
      <c r="D70" s="132" t="n">
        <f aca="false">Budget!M36</f>
        <v>146.351178006214</v>
      </c>
      <c r="E70" s="132" t="n">
        <f aca="false">Loans!W36</f>
        <v>1.63752941111353</v>
      </c>
      <c r="F70" s="132" t="n">
        <f aca="false">('Debt &amp; cash'!H36+'Debt &amp; cash'!Q36)*issue_price</f>
        <v>0</v>
      </c>
      <c r="G70" s="117" t="n">
        <f aca="false">SUM(B70:F70)</f>
        <v>389.354442080491</v>
      </c>
      <c r="H70" s="132" t="n">
        <f aca="false">Budget!Y36</f>
        <v>94.295374865011</v>
      </c>
      <c r="I70" s="132" t="n">
        <f aca="false">Loans!V36</f>
        <v>-5.733</v>
      </c>
      <c r="J70" s="132" t="n">
        <f aca="false">'Debt &amp; cash'!C36</f>
        <v>0</v>
      </c>
      <c r="K70" s="132" t="n">
        <f aca="false">'Debt &amp; cash'!K36</f>
        <v>0</v>
      </c>
      <c r="L70" s="132" t="n">
        <f aca="false">'Debt &amp; cash'!I36+'Debt &amp; cash'!J36+'Debt &amp; cash'!Q36*issue_price*dev_bonds</f>
        <v>0</v>
      </c>
      <c r="M70" s="132" t="n">
        <f aca="false">'Debt &amp; cash'!M36</f>
        <v>36.5877945015535</v>
      </c>
      <c r="N70" s="132" t="n">
        <f aca="false">'Debt &amp; cash'!S36</f>
        <v>264.204272713926</v>
      </c>
      <c r="O70" s="117" t="n">
        <f aca="false">SUM(H70:N70)</f>
        <v>389.354442080491</v>
      </c>
      <c r="P70" s="133" t="n">
        <f aca="false">G70-O70</f>
        <v>0</v>
      </c>
      <c r="Q70" s="132" t="n">
        <f aca="false">'Debt &amp; cash'!Q36</f>
        <v>0</v>
      </c>
      <c r="R70" s="117" t="n">
        <f aca="false">Q70*issue_price</f>
        <v>0</v>
      </c>
      <c r="S70" s="117" t="n">
        <f aca="false">Q70-R70</f>
        <v>0</v>
      </c>
    </row>
    <row r="71" customFormat="false" ht="19.5" hidden="false" customHeight="true" outlineLevel="0" collapsed="false">
      <c r="A71" s="121" t="n">
        <v>1877</v>
      </c>
      <c r="B71" s="132" t="n">
        <f aca="false">'Debt &amp; cash'!M36</f>
        <v>36.5877945015535</v>
      </c>
      <c r="C71" s="132" t="n">
        <f aca="false">'Debt &amp; cash'!S36</f>
        <v>264.204272713926</v>
      </c>
      <c r="D71" s="132" t="n">
        <f aca="false">Budget!M37</f>
        <v>153.882876010435</v>
      </c>
      <c r="E71" s="132" t="n">
        <f aca="false">Loans!W37</f>
        <v>1.40181123466899</v>
      </c>
      <c r="F71" s="132" t="n">
        <f aca="false">('Debt &amp; cash'!H37+'Debt &amp; cash'!Q37)*issue_price</f>
        <v>0</v>
      </c>
      <c r="G71" s="117" t="n">
        <f aca="false">SUM(B71:F71)</f>
        <v>456.076754460584</v>
      </c>
      <c r="H71" s="132" t="n">
        <f aca="false">Budget!Y37</f>
        <v>99.7330960722258</v>
      </c>
      <c r="I71" s="132" t="n">
        <f aca="false">Loans!V37</f>
        <v>0</v>
      </c>
      <c r="J71" s="132" t="n">
        <f aca="false">'Debt &amp; cash'!C37</f>
        <v>0</v>
      </c>
      <c r="K71" s="132" t="n">
        <f aca="false">'Debt &amp; cash'!K37</f>
        <v>0</v>
      </c>
      <c r="L71" s="132" t="n">
        <f aca="false">'Debt &amp; cash'!I37+'Debt &amp; cash'!J37+'Debt &amp; cash'!Q37*issue_price*dev_bonds</f>
        <v>0</v>
      </c>
      <c r="M71" s="132" t="n">
        <f aca="false">'Debt &amp; cash'!M37</f>
        <v>38.4707190026088</v>
      </c>
      <c r="N71" s="132" t="n">
        <f aca="false">'Debt &amp; cash'!S37</f>
        <v>317.872939385749</v>
      </c>
      <c r="O71" s="117" t="n">
        <f aca="false">SUM(H71:N71)</f>
        <v>456.076754460584</v>
      </c>
      <c r="P71" s="133" t="n">
        <f aca="false">G71-O71</f>
        <v>0</v>
      </c>
      <c r="Q71" s="132" t="n">
        <f aca="false">'Debt &amp; cash'!Q37</f>
        <v>0</v>
      </c>
      <c r="R71" s="117" t="n">
        <f aca="false">Q71*issue_price</f>
        <v>0</v>
      </c>
      <c r="S71" s="117" t="n">
        <f aca="false">Q71-R71</f>
        <v>0</v>
      </c>
    </row>
    <row r="72" customFormat="false" ht="19.5" hidden="false" customHeight="true" outlineLevel="0" collapsed="false">
      <c r="A72" s="121" t="n">
        <v>1878</v>
      </c>
      <c r="B72" s="132" t="n">
        <f aca="false">'Debt &amp; cash'!M37</f>
        <v>38.4707190026088</v>
      </c>
      <c r="C72" s="132" t="n">
        <f aca="false">'Debt &amp; cash'!S37</f>
        <v>317.872939385749</v>
      </c>
      <c r="D72" s="132" t="n">
        <f aca="false">Budget!M38</f>
        <v>167.586794994943</v>
      </c>
      <c r="E72" s="132" t="n">
        <f aca="false">Loans!W38</f>
        <v>1.34573869528223</v>
      </c>
      <c r="F72" s="132" t="n">
        <f aca="false">('Debt &amp; cash'!H38+'Debt &amp; cash'!Q38)*issue_price</f>
        <v>0</v>
      </c>
      <c r="G72" s="117" t="n">
        <f aca="false">SUM(B72:F72)</f>
        <v>525.276192078583</v>
      </c>
      <c r="H72" s="132" t="n">
        <f aca="false">Budget!Y38</f>
        <v>112.496077793914</v>
      </c>
      <c r="I72" s="132" t="n">
        <f aca="false">Loans!V38</f>
        <v>0</v>
      </c>
      <c r="J72" s="132" t="n">
        <f aca="false">'Debt &amp; cash'!C38</f>
        <v>0</v>
      </c>
      <c r="K72" s="132" t="n">
        <f aca="false">'Debt &amp; cash'!K38</f>
        <v>0</v>
      </c>
      <c r="L72" s="132" t="n">
        <f aca="false">'Debt &amp; cash'!I38+'Debt &amp; cash'!J38+'Debt &amp; cash'!Q38*issue_price*dev_bonds</f>
        <v>0</v>
      </c>
      <c r="M72" s="132" t="n">
        <f aca="false">'Debt &amp; cash'!M38</f>
        <v>41.8966987487357</v>
      </c>
      <c r="N72" s="132" t="n">
        <f aca="false">'Debt &amp; cash'!S38</f>
        <v>370.883415535933</v>
      </c>
      <c r="O72" s="117" t="n">
        <f aca="false">SUM(H72:N72)</f>
        <v>525.276192078583</v>
      </c>
      <c r="P72" s="133" t="n">
        <f aca="false">G72-O72</f>
        <v>0</v>
      </c>
      <c r="Q72" s="132" t="n">
        <f aca="false">'Debt &amp; cash'!Q38</f>
        <v>0</v>
      </c>
      <c r="R72" s="117" t="n">
        <f aca="false">Q72*issue_price</f>
        <v>0</v>
      </c>
      <c r="S72" s="117" t="n">
        <f aca="false">Q72-R72</f>
        <v>0</v>
      </c>
    </row>
    <row r="73" customFormat="false" ht="19.5" hidden="false" customHeight="true" outlineLevel="0" collapsed="false">
      <c r="A73" s="121" t="n">
        <v>1879</v>
      </c>
      <c r="B73" s="132" t="n">
        <f aca="false">'Debt &amp; cash'!M38</f>
        <v>41.8966987487357</v>
      </c>
      <c r="C73" s="132" t="n">
        <f aca="false">'Debt &amp; cash'!S38</f>
        <v>370.883415535933</v>
      </c>
      <c r="D73" s="132" t="n">
        <f aca="false">Budget!M39</f>
        <v>176.532095384397</v>
      </c>
      <c r="E73" s="132" t="n">
        <f aca="false">Loans!W39</f>
        <v>1.29190906017094</v>
      </c>
      <c r="F73" s="132" t="n">
        <f aca="false">('Debt &amp; cash'!H39+'Debt &amp; cash'!Q39)*issue_price</f>
        <v>0</v>
      </c>
      <c r="G73" s="117" t="n">
        <f aca="false">SUM(B73:F73)</f>
        <v>590.604118729237</v>
      </c>
      <c r="H73" s="132" t="n">
        <f aca="false">Budget!Y39</f>
        <v>107.281588418761</v>
      </c>
      <c r="I73" s="132" t="n">
        <f aca="false">Loans!V39</f>
        <v>0</v>
      </c>
      <c r="J73" s="132" t="n">
        <f aca="false">'Debt &amp; cash'!C39</f>
        <v>0</v>
      </c>
      <c r="K73" s="132" t="n">
        <f aca="false">'Debt &amp; cash'!K39</f>
        <v>0</v>
      </c>
      <c r="L73" s="132" t="n">
        <f aca="false">'Debt &amp; cash'!I39+'Debt &amp; cash'!J39+'Debt &amp; cash'!Q39*issue_price*dev_bonds</f>
        <v>0</v>
      </c>
      <c r="M73" s="132" t="n">
        <f aca="false">'Debt &amp; cash'!M39</f>
        <v>44.1330238460992</v>
      </c>
      <c r="N73" s="132" t="n">
        <f aca="false">'Debt &amp; cash'!S39</f>
        <v>439.189506464376</v>
      </c>
      <c r="O73" s="117" t="n">
        <f aca="false">SUM(H73:N73)</f>
        <v>590.604118729237</v>
      </c>
      <c r="P73" s="133" t="n">
        <f aca="false">G73-O73</f>
        <v>0</v>
      </c>
      <c r="Q73" s="132" t="n">
        <f aca="false">'Debt &amp; cash'!Q39</f>
        <v>0</v>
      </c>
      <c r="R73" s="117" t="n">
        <f aca="false">Q73*issue_price</f>
        <v>0</v>
      </c>
      <c r="S73" s="117" t="n">
        <f aca="false">Q73-R73</f>
        <v>0</v>
      </c>
    </row>
    <row r="74" customFormat="false" ht="19.5" hidden="false" customHeight="true" outlineLevel="0" collapsed="false">
      <c r="A74" s="121" t="n">
        <v>1880</v>
      </c>
      <c r="B74" s="132" t="n">
        <f aca="false">'Debt &amp; cash'!M39</f>
        <v>44.1330238460992</v>
      </c>
      <c r="C74" s="132" t="n">
        <f aca="false">'Debt &amp; cash'!S39</f>
        <v>439.189506464376</v>
      </c>
      <c r="D74" s="132" t="n">
        <f aca="false">Budget!M40</f>
        <v>187.920184367224</v>
      </c>
      <c r="E74" s="132" t="n">
        <f aca="false">Loans!W40</f>
        <v>1.24023261308311</v>
      </c>
      <c r="F74" s="132" t="n">
        <f aca="false">('Debt &amp; cash'!H40+'Debt &amp; cash'!Q40)*issue_price</f>
        <v>0</v>
      </c>
      <c r="G74" s="117" t="n">
        <f aca="false">SUM(B74:F74)</f>
        <v>672.482947290782</v>
      </c>
      <c r="H74" s="132" t="n">
        <f aca="false">Budget!Y40</f>
        <v>119.948031189571</v>
      </c>
      <c r="I74" s="132" t="n">
        <f aca="false">Loans!V40</f>
        <v>0</v>
      </c>
      <c r="J74" s="132" t="n">
        <f aca="false">'Debt &amp; cash'!C40</f>
        <v>0</v>
      </c>
      <c r="K74" s="132" t="n">
        <f aca="false">'Debt &amp; cash'!K40</f>
        <v>0</v>
      </c>
      <c r="L74" s="132" t="n">
        <f aca="false">'Debt &amp; cash'!I40+'Debt &amp; cash'!J40+'Debt &amp; cash'!Q40*issue_price*dev_bonds</f>
        <v>443.529017315273</v>
      </c>
      <c r="M74" s="132" t="n">
        <f aca="false">'Debt &amp; cash'!M40</f>
        <v>46.9800460918059</v>
      </c>
      <c r="N74" s="132" t="n">
        <f aca="false">'Debt &amp; cash'!S40</f>
        <v>62.0258526941328</v>
      </c>
      <c r="O74" s="117" t="n">
        <f aca="false">SUM(H74:N74)</f>
        <v>672.482947290782</v>
      </c>
      <c r="P74" s="133" t="n">
        <f aca="false">G74-O74</f>
        <v>0</v>
      </c>
      <c r="Q74" s="132" t="n">
        <f aca="false">'Debt &amp; cash'!Q40</f>
        <v>0</v>
      </c>
      <c r="R74" s="117" t="n">
        <f aca="false">Q74*issue_price</f>
        <v>0</v>
      </c>
      <c r="S74" s="117" t="n">
        <f aca="false">Q74-R74</f>
        <v>0</v>
      </c>
    </row>
    <row r="75" customFormat="false" ht="19.5" hidden="false" customHeight="true" outlineLevel="0" collapsed="false">
      <c r="A75" s="121" t="n">
        <v>1881</v>
      </c>
      <c r="B75" s="132" t="n">
        <f aca="false">'Debt &amp; cash'!M40</f>
        <v>46.9800460918059</v>
      </c>
      <c r="C75" s="132" t="n">
        <f aca="false">'Debt &amp; cash'!S40</f>
        <v>62.0258526941328</v>
      </c>
      <c r="D75" s="132" t="n">
        <f aca="false">Budget!M41</f>
        <v>161.962533160775</v>
      </c>
      <c r="E75" s="132" t="n">
        <f aca="false">Loans!W41</f>
        <v>1.19062322641921</v>
      </c>
      <c r="F75" s="132" t="n">
        <f aca="false">('Debt &amp; cash'!H41+'Debt &amp; cash'!Q41)*issue_price</f>
        <v>0</v>
      </c>
      <c r="G75" s="117" t="n">
        <f aca="false">SUM(B75:F75)</f>
        <v>272.159055173133</v>
      </c>
      <c r="H75" s="132" t="n">
        <f aca="false">Budget!Y41</f>
        <v>115.314689628461</v>
      </c>
      <c r="I75" s="132" t="n">
        <f aca="false">Loans!V41</f>
        <v>0</v>
      </c>
      <c r="J75" s="132" t="n">
        <f aca="false">'Debt &amp; cash'!C41</f>
        <v>0</v>
      </c>
      <c r="K75" s="132" t="n">
        <f aca="false">'Debt &amp; cash'!K41</f>
        <v>0</v>
      </c>
      <c r="L75" s="132" t="n">
        <f aca="false">'Debt &amp; cash'!I41+'Debt &amp; cash'!J41+'Debt &amp; cash'!Q41*issue_price*dev_bonds</f>
        <v>55.4561272265269</v>
      </c>
      <c r="M75" s="132" t="n">
        <f aca="false">'Debt &amp; cash'!M41</f>
        <v>40.4906332901938</v>
      </c>
      <c r="N75" s="132" t="n">
        <f aca="false">'Debt &amp; cash'!S41</f>
        <v>60.8976050279512</v>
      </c>
      <c r="O75" s="117" t="n">
        <f aca="false">SUM(H75:N75)</f>
        <v>272.159055173133</v>
      </c>
      <c r="P75" s="133" t="n">
        <f aca="false">G75-O75</f>
        <v>0</v>
      </c>
      <c r="Q75" s="132" t="n">
        <f aca="false">'Debt &amp; cash'!Q41</f>
        <v>0</v>
      </c>
      <c r="R75" s="117" t="n">
        <f aca="false">Q75*issue_price</f>
        <v>0</v>
      </c>
      <c r="S75" s="117" t="n">
        <f aca="false">Q75-R75</f>
        <v>0</v>
      </c>
    </row>
    <row r="76" customFormat="false" ht="19.5" hidden="false" customHeight="true" outlineLevel="0" collapsed="false">
      <c r="A76" s="121" t="n">
        <v>1882</v>
      </c>
      <c r="B76" s="132" t="n">
        <f aca="false">'Debt &amp; cash'!M41</f>
        <v>40.4906332901938</v>
      </c>
      <c r="C76" s="132" t="n">
        <f aca="false">'Debt &amp; cash'!S41</f>
        <v>60.8976050279512</v>
      </c>
      <c r="D76" s="132" t="n">
        <f aca="false">Budget!M42</f>
        <v>170.586915001017</v>
      </c>
      <c r="E76" s="132" t="n">
        <f aca="false">Loans!W42</f>
        <v>1.14299821768609</v>
      </c>
      <c r="F76" s="132" t="n">
        <f aca="false">('Debt &amp; cash'!H42+'Debt &amp; cash'!Q42)*issue_price</f>
        <v>0</v>
      </c>
      <c r="G76" s="117" t="n">
        <f aca="false">SUM(B76:F76)</f>
        <v>273.118151536848</v>
      </c>
      <c r="H76" s="132" t="n">
        <f aca="false">Budget!Y42</f>
        <v>119.659176998086</v>
      </c>
      <c r="I76" s="132" t="n">
        <f aca="false">Loans!V42</f>
        <v>0</v>
      </c>
      <c r="J76" s="132" t="n">
        <f aca="false">'Debt &amp; cash'!C42</f>
        <v>0</v>
      </c>
      <c r="K76" s="132" t="n">
        <f aca="false">'Debt &amp; cash'!K42</f>
        <v>0</v>
      </c>
      <c r="L76" s="132" t="n">
        <f aca="false">'Debt &amp; cash'!I42+'Debt &amp; cash'!J42+'Debt &amp; cash'!Q42*issue_price*dev_bonds</f>
        <v>48.7207973215292</v>
      </c>
      <c r="M76" s="132" t="n">
        <f aca="false">'Debt &amp; cash'!M42</f>
        <v>42.6467287502542</v>
      </c>
      <c r="N76" s="132" t="n">
        <f aca="false">'Debt &amp; cash'!S42</f>
        <v>62.0914484669786</v>
      </c>
      <c r="O76" s="117" t="n">
        <f aca="false">SUM(H76:N76)</f>
        <v>273.118151536848</v>
      </c>
      <c r="P76" s="133" t="n">
        <f aca="false">G76-O76</f>
        <v>0</v>
      </c>
      <c r="Q76" s="132" t="n">
        <f aca="false">'Debt &amp; cash'!Q42</f>
        <v>0</v>
      </c>
      <c r="R76" s="117" t="n">
        <f aca="false">Q76*issue_price</f>
        <v>0</v>
      </c>
      <c r="S76" s="117" t="n">
        <f aca="false">Q76-R76</f>
        <v>0</v>
      </c>
    </row>
    <row r="77" customFormat="false" ht="19.5" hidden="false" customHeight="true" outlineLevel="0" collapsed="false">
      <c r="A77" s="121" t="n">
        <v>1883</v>
      </c>
      <c r="B77" s="132" t="n">
        <f aca="false">'Debt &amp; cash'!M42</f>
        <v>42.6467287502542</v>
      </c>
      <c r="C77" s="132" t="n">
        <f aca="false">'Debt &amp; cash'!S42</f>
        <v>62.0914484669786</v>
      </c>
      <c r="D77" s="132" t="n">
        <f aca="false">Budget!M43</f>
        <v>179.415038186411</v>
      </c>
      <c r="E77" s="132" t="n">
        <f aca="false">Loans!W43</f>
        <v>1.09727821169258</v>
      </c>
      <c r="F77" s="132" t="n">
        <f aca="false">('Debt &amp; cash'!H43+'Debt &amp; cash'!Q43)*issue_price</f>
        <v>0</v>
      </c>
      <c r="G77" s="117" t="n">
        <f aca="false">SUM(B77:F77)</f>
        <v>285.250493615337</v>
      </c>
      <c r="H77" s="132" t="n">
        <f aca="false">Budget!Y43</f>
        <v>127.002447575795</v>
      </c>
      <c r="I77" s="132" t="n">
        <f aca="false">Loans!V43</f>
        <v>0</v>
      </c>
      <c r="J77" s="132" t="n">
        <f aca="false">'Debt &amp; cash'!C43</f>
        <v>0</v>
      </c>
      <c r="K77" s="132" t="n">
        <f aca="false">'Debt &amp; cash'!K43</f>
        <v>0</v>
      </c>
      <c r="L77" s="132" t="n">
        <f aca="false">'Debt &amp; cash'!I43+'Debt &amp; cash'!J43+'Debt &amp; cash'!Q43*issue_price*dev_bonds</f>
        <v>48.2943527191384</v>
      </c>
      <c r="M77" s="132" t="n">
        <f aca="false">'Debt &amp; cash'!M43</f>
        <v>44.8537595466029</v>
      </c>
      <c r="N77" s="132" t="n">
        <f aca="false">'Debt &amp; cash'!S43</f>
        <v>65.0999337738009</v>
      </c>
      <c r="O77" s="117" t="n">
        <f aca="false">SUM(H77:N77)</f>
        <v>285.250493615337</v>
      </c>
      <c r="P77" s="133" t="n">
        <f aca="false">G77-O77</f>
        <v>0</v>
      </c>
      <c r="Q77" s="132" t="n">
        <f aca="false">'Debt &amp; cash'!Q43</f>
        <v>0</v>
      </c>
      <c r="R77" s="117" t="n">
        <f aca="false">Q77*issue_price</f>
        <v>0</v>
      </c>
      <c r="S77" s="117" t="n">
        <f aca="false">Q77-R77</f>
        <v>0</v>
      </c>
    </row>
    <row r="78" customFormat="false" ht="19.5" hidden="false" customHeight="true" outlineLevel="0" collapsed="false">
      <c r="A78" s="121" t="n">
        <v>1884</v>
      </c>
      <c r="B78" s="132" t="n">
        <f aca="false">'Debt &amp; cash'!M43</f>
        <v>44.8537595466029</v>
      </c>
      <c r="C78" s="132" t="n">
        <f aca="false">'Debt &amp; cash'!S43</f>
        <v>65.0999337738009</v>
      </c>
      <c r="D78" s="132" t="n">
        <f aca="false">Budget!M44</f>
        <v>185.239337399868</v>
      </c>
      <c r="E78" s="132" t="n">
        <f aca="false">Loans!W44</f>
        <v>1.0533870082574</v>
      </c>
      <c r="F78" s="132" t="n">
        <f aca="false">('Debt &amp; cash'!H44+'Debt &amp; cash'!Q44)*issue_price</f>
        <v>0</v>
      </c>
      <c r="G78" s="117" t="n">
        <f aca="false">SUM(B78:F78)</f>
        <v>296.246417728529</v>
      </c>
      <c r="H78" s="132" t="n">
        <f aca="false">Budget!Y44</f>
        <v>133.335780385612</v>
      </c>
      <c r="I78" s="132" t="n">
        <f aca="false">Loans!V44</f>
        <v>0</v>
      </c>
      <c r="J78" s="132" t="n">
        <f aca="false">'Debt &amp; cash'!C44</f>
        <v>0</v>
      </c>
      <c r="K78" s="132" t="n">
        <f aca="false">'Debt &amp; cash'!K44</f>
        <v>0</v>
      </c>
      <c r="L78" s="132" t="n">
        <f aca="false">'Debt &amp; cash'!I44+'Debt &amp; cash'!J44+'Debt &amp; cash'!Q44*issue_price*dev_bonds</f>
        <v>49.7917497057031</v>
      </c>
      <c r="M78" s="132" t="n">
        <f aca="false">'Debt &amp; cash'!M44</f>
        <v>46.309834349967</v>
      </c>
      <c r="N78" s="132" t="n">
        <f aca="false">'Debt &amp; cash'!S44</f>
        <v>66.8090532872465</v>
      </c>
      <c r="O78" s="117" t="n">
        <f aca="false">SUM(H78:N78)</f>
        <v>296.246417728529</v>
      </c>
      <c r="P78" s="133" t="n">
        <f aca="false">G78-O78</f>
        <v>0</v>
      </c>
      <c r="Q78" s="132" t="n">
        <f aca="false">'Debt &amp; cash'!Q44</f>
        <v>0</v>
      </c>
      <c r="R78" s="117" t="n">
        <f aca="false">Q78*issue_price</f>
        <v>0</v>
      </c>
      <c r="S78" s="117" t="n">
        <f aca="false">Q78-R78</f>
        <v>0</v>
      </c>
    </row>
    <row r="79" customFormat="false" ht="19.5" hidden="false" customHeight="true" outlineLevel="0" collapsed="false">
      <c r="A79" s="121" t="n">
        <v>1885</v>
      </c>
      <c r="B79" s="132" t="n">
        <f aca="false">'Debt &amp; cash'!M44</f>
        <v>46.309834349967</v>
      </c>
      <c r="C79" s="132" t="n">
        <f aca="false">'Debt &amp; cash'!S44</f>
        <v>66.8090532872465</v>
      </c>
      <c r="D79" s="132" t="n">
        <f aca="false">Budget!M45</f>
        <v>194.945934517259</v>
      </c>
      <c r="E79" s="132" t="n">
        <f aca="false">Loans!W45</f>
        <v>1.01125145520865</v>
      </c>
      <c r="F79" s="132" t="n">
        <f aca="false">('Debt &amp; cash'!H45+'Debt &amp; cash'!Q45)*issue_price</f>
        <v>0</v>
      </c>
      <c r="G79" s="117" t="n">
        <f aca="false">SUM(B79:F79)</f>
        <v>309.076073609681</v>
      </c>
      <c r="H79" s="132" t="n">
        <f aca="false">Budget!Y45</f>
        <v>140.709222636854</v>
      </c>
      <c r="I79" s="132" t="n">
        <f aca="false">Loans!V45</f>
        <v>0.6</v>
      </c>
      <c r="J79" s="132" t="n">
        <f aca="false">'Debt &amp; cash'!C45</f>
        <v>0</v>
      </c>
      <c r="K79" s="132" t="n">
        <f aca="false">'Debt &amp; cash'!K45</f>
        <v>0</v>
      </c>
      <c r="L79" s="132" t="n">
        <f aca="false">'Debt &amp; cash'!I45+'Debt &amp; cash'!J45+'Debt &amp; cash'!Q45*issue_price*dev_bonds</f>
        <v>49.2210889219462</v>
      </c>
      <c r="M79" s="132" t="n">
        <f aca="false">'Debt &amp; cash'!M45</f>
        <v>48.7364836293148</v>
      </c>
      <c r="N79" s="132" t="n">
        <f aca="false">'Debt &amp; cash'!S45</f>
        <v>69.8092784215663</v>
      </c>
      <c r="O79" s="117" t="n">
        <f aca="false">SUM(H79:N79)</f>
        <v>309.076073609681</v>
      </c>
      <c r="P79" s="133" t="n">
        <f aca="false">G79-O79</f>
        <v>0</v>
      </c>
      <c r="Q79" s="132" t="n">
        <f aca="false">'Debt &amp; cash'!Q45</f>
        <v>0</v>
      </c>
      <c r="R79" s="117" t="n">
        <f aca="false">Q79*issue_price</f>
        <v>0</v>
      </c>
      <c r="S79" s="117" t="n">
        <f aca="false">Q79-R79</f>
        <v>0</v>
      </c>
    </row>
    <row r="80" customFormat="false" ht="19.5" hidden="false" customHeight="true" outlineLevel="0" collapsed="false">
      <c r="A80" s="121" t="n">
        <v>1886</v>
      </c>
      <c r="B80" s="132" t="n">
        <f aca="false">'Debt &amp; cash'!M45</f>
        <v>48.7364836293148</v>
      </c>
      <c r="C80" s="132" t="n">
        <f aca="false">'Debt &amp; cash'!S45</f>
        <v>69.8092784215663</v>
      </c>
      <c r="D80" s="132" t="n">
        <f aca="false">Budget!M46</f>
        <v>211.767599712369</v>
      </c>
      <c r="E80" s="132" t="n">
        <f aca="false">Loans!W46</f>
        <v>0.9948013264634</v>
      </c>
      <c r="F80" s="132" t="n">
        <f aca="false">('Debt &amp; cash'!H46+'Debt &amp; cash'!Q46)*issue_price</f>
        <v>0</v>
      </c>
      <c r="G80" s="117" t="n">
        <f aca="false">SUM(B80:F80)</f>
        <v>331.308163089714</v>
      </c>
      <c r="H80" s="132" t="n">
        <f aca="false">Budget!Y46</f>
        <v>151.150314728032</v>
      </c>
      <c r="I80" s="132" t="n">
        <f aca="false">Loans!V46</f>
        <v>0</v>
      </c>
      <c r="J80" s="132" t="n">
        <f aca="false">'Debt &amp; cash'!C46</f>
        <v>0</v>
      </c>
      <c r="K80" s="132" t="n">
        <f aca="false">'Debt &amp; cash'!K46</f>
        <v>0</v>
      </c>
      <c r="L80" s="132" t="n">
        <f aca="false">'Debt &amp; cash'!I46+'Debt &amp; cash'!J46+'Debt &amp; cash'!Q46*issue_price*dev_bonds</f>
        <v>51.0924867223827</v>
      </c>
      <c r="M80" s="132" t="n">
        <f aca="false">'Debt &amp; cash'!M46</f>
        <v>52.9418999280923</v>
      </c>
      <c r="N80" s="132" t="n">
        <f aca="false">'Debt &amp; cash'!S46</f>
        <v>76.1234617112068</v>
      </c>
      <c r="O80" s="117" t="n">
        <f aca="false">SUM(H80:N80)</f>
        <v>331.308163089714</v>
      </c>
      <c r="P80" s="133" t="n">
        <f aca="false">G80-O80</f>
        <v>0</v>
      </c>
      <c r="Q80" s="132" t="n">
        <f aca="false">'Debt &amp; cash'!Q46</f>
        <v>0</v>
      </c>
      <c r="R80" s="117" t="n">
        <f aca="false">Q80*issue_price</f>
        <v>0</v>
      </c>
      <c r="S80" s="117" t="n">
        <f aca="false">Q80-R80</f>
        <v>0</v>
      </c>
    </row>
    <row r="81" customFormat="false" ht="19.5" hidden="false" customHeight="true" outlineLevel="0" collapsed="false">
      <c r="A81" s="121" t="n">
        <v>1887</v>
      </c>
      <c r="B81" s="132" t="n">
        <f aca="false">'Debt &amp; cash'!M46</f>
        <v>52.9418999280923</v>
      </c>
      <c r="C81" s="132" t="n">
        <f aca="false">'Debt &amp; cash'!S46</f>
        <v>76.1234617112068</v>
      </c>
      <c r="D81" s="132" t="n">
        <f aca="false">Budget!M47</f>
        <v>225.691533036028</v>
      </c>
      <c r="E81" s="132" t="n">
        <f aca="false">Loans!W47</f>
        <v>0.955009204984069</v>
      </c>
      <c r="F81" s="132" t="n">
        <f aca="false">('Debt &amp; cash'!H47+'Debt &amp; cash'!Q47)*issue_price</f>
        <v>101.683559068664</v>
      </c>
      <c r="G81" s="117" t="n">
        <f aca="false">SUM(B81:F81)</f>
        <v>457.395462948976</v>
      </c>
      <c r="H81" s="132" t="n">
        <f aca="false">Budget!Y47</f>
        <v>161.731647172367</v>
      </c>
      <c r="I81" s="132" t="n">
        <f aca="false">Loans!V47</f>
        <v>0</v>
      </c>
      <c r="J81" s="132" t="n">
        <f aca="false">'Debt &amp; cash'!C47</f>
        <v>0</v>
      </c>
      <c r="K81" s="132" t="n">
        <f aca="false">'Debt &amp; cash'!K47</f>
        <v>0</v>
      </c>
      <c r="L81" s="132" t="n">
        <f aca="false">'Debt &amp; cash'!I47+'Debt &amp; cash'!J47+'Debt &amp; cash'!Q47*issue_price*dev_bonds</f>
        <v>157.913712149686</v>
      </c>
      <c r="M81" s="132" t="n">
        <f aca="false">'Debt &amp; cash'!M47</f>
        <v>56.422883259007</v>
      </c>
      <c r="N81" s="132" t="n">
        <f aca="false">'Debt &amp; cash'!S47</f>
        <v>81.3272203679155</v>
      </c>
      <c r="O81" s="117" t="n">
        <f aca="false">SUM(H81:N81)</f>
        <v>457.395462948975</v>
      </c>
      <c r="P81" s="133" t="n">
        <f aca="false">G81-O81</f>
        <v>0</v>
      </c>
      <c r="Q81" s="132" t="n">
        <f aca="false">'Debt &amp; cash'!Q47</f>
        <v>104.828411410994</v>
      </c>
      <c r="R81" s="117" t="n">
        <f aca="false">Q81*issue_price</f>
        <v>101.683559068664</v>
      </c>
      <c r="S81" s="117" t="n">
        <f aca="false">Q81-R81</f>
        <v>3.14485234232983</v>
      </c>
    </row>
    <row r="82" customFormat="false" ht="19.5" hidden="false" customHeight="true" outlineLevel="0" collapsed="false">
      <c r="A82" s="121" t="n">
        <v>1888</v>
      </c>
      <c r="B82" s="132" t="n">
        <f aca="false">'Debt &amp; cash'!M47</f>
        <v>56.422883259007</v>
      </c>
      <c r="C82" s="132" t="n">
        <f aca="false">'Debt &amp; cash'!S47</f>
        <v>81.3272203679155</v>
      </c>
      <c r="D82" s="132" t="n">
        <f aca="false">Budget!M48</f>
        <v>231.963167918638</v>
      </c>
      <c r="E82" s="132" t="n">
        <f aca="false">Loans!W48</f>
        <v>0.916808770416535</v>
      </c>
      <c r="F82" s="132" t="n">
        <f aca="false">('Debt &amp; cash'!H48+'Debt &amp; cash'!Q48)*issue_price</f>
        <v>21.5666827050816</v>
      </c>
      <c r="G82" s="117" t="n">
        <f aca="false">SUM(B82:F82)</f>
        <v>392.196763021058</v>
      </c>
      <c r="H82" s="132" t="n">
        <f aca="false">Budget!Y48</f>
        <v>173.348997761864</v>
      </c>
      <c r="I82" s="132" t="n">
        <f aca="false">Loans!V48</f>
        <v>3</v>
      </c>
      <c r="J82" s="132" t="n">
        <f aca="false">'Debt &amp; cash'!C48</f>
        <v>2.09656822821989</v>
      </c>
      <c r="K82" s="132" t="n">
        <f aca="false">'Debt &amp; cash'!K48</f>
        <v>12.6879604747963</v>
      </c>
      <c r="L82" s="132" t="n">
        <f aca="false">'Debt &amp; cash'!I48+'Debt &amp; cash'!J48+'Debt &amp; cash'!Q48*issue_price*dev_bonds</f>
        <v>72.5339087267966</v>
      </c>
      <c r="M82" s="132" t="n">
        <f aca="false">'Debt &amp; cash'!M48</f>
        <v>57.9907919796594</v>
      </c>
      <c r="N82" s="132" t="n">
        <f aca="false">'Debt &amp; cash'!S48</f>
        <v>70.538535849722</v>
      </c>
      <c r="O82" s="117" t="n">
        <f aca="false">SUM(H82:N82)</f>
        <v>392.196763021058</v>
      </c>
      <c r="P82" s="133" t="n">
        <f aca="false">G82-O82</f>
        <v>0</v>
      </c>
      <c r="Q82" s="132" t="n">
        <f aca="false">'Debt &amp; cash'!Q48</f>
        <v>22.2336935103935</v>
      </c>
      <c r="R82" s="117" t="n">
        <f aca="false">Q82*issue_price</f>
        <v>21.5666827050816</v>
      </c>
      <c r="S82" s="117" t="n">
        <f aca="false">Q82-R82</f>
        <v>0.667010805311804</v>
      </c>
    </row>
    <row r="83" customFormat="false" ht="19.5" hidden="false" customHeight="true" outlineLevel="0" collapsed="false">
      <c r="A83" s="121" t="n">
        <v>1889</v>
      </c>
      <c r="B83" s="132" t="n">
        <f aca="false">'Debt &amp; cash'!M48</f>
        <v>57.9907919796594</v>
      </c>
      <c r="C83" s="132" t="n">
        <f aca="false">'Debt &amp; cash'!S48</f>
        <v>70.538535849722</v>
      </c>
      <c r="D83" s="132" t="n">
        <f aca="false">Budget!M49</f>
        <v>246.544445342841</v>
      </c>
      <c r="E83" s="132" t="n">
        <f aca="false">Loans!W49</f>
        <v>1.00013635522275</v>
      </c>
      <c r="F83" s="132" t="n">
        <f aca="false">('Debt &amp; cash'!H49+'Debt &amp; cash'!Q49)*issue_price</f>
        <v>15.2247706082069</v>
      </c>
      <c r="G83" s="117" t="n">
        <f aca="false">SUM(B83:F83)</f>
        <v>391.298680135652</v>
      </c>
      <c r="H83" s="132" t="n">
        <f aca="false">Budget!Y49</f>
        <v>214.113678143336</v>
      </c>
      <c r="I83" s="132" t="n">
        <f aca="false">Loans!V49</f>
        <v>3</v>
      </c>
      <c r="J83" s="132" t="n">
        <f aca="false">'Debt &amp; cash'!C49</f>
        <v>2.24555152436743</v>
      </c>
      <c r="K83" s="132" t="n">
        <f aca="false">'Debt &amp; cash'!K49</f>
        <v>5.88960784183433</v>
      </c>
      <c r="L83" s="132" t="n">
        <f aca="false">'Debt &amp; cash'!I49+'Debt &amp; cash'!J49+'Debt &amp; cash'!Q49*issue_price*dev_bonds</f>
        <v>32.4027934802237</v>
      </c>
      <c r="M83" s="132" t="n">
        <f aca="false">'Debt &amp; cash'!M49</f>
        <v>61.6361113357102</v>
      </c>
      <c r="N83" s="132" t="n">
        <f aca="false">'Debt &amp; cash'!S49</f>
        <v>72.0109378101806</v>
      </c>
      <c r="O83" s="117" t="n">
        <f aca="false">SUM(H83:N83)</f>
        <v>391.298680135652</v>
      </c>
      <c r="P83" s="133" t="n">
        <f aca="false">G83-O83</f>
        <v>0</v>
      </c>
      <c r="Q83" s="132" t="n">
        <f aca="false">'Debt &amp; cash'!Q49</f>
        <v>15.6956398022752</v>
      </c>
      <c r="R83" s="117" t="n">
        <f aca="false">Q83*issue_price</f>
        <v>15.2247706082069</v>
      </c>
      <c r="S83" s="117" t="n">
        <f aca="false">Q83-R83</f>
        <v>0.470869194068255</v>
      </c>
    </row>
    <row r="84" customFormat="false" ht="19.5" hidden="false" customHeight="true" outlineLevel="0" collapsed="false">
      <c r="A84" s="121" t="n">
        <v>1890</v>
      </c>
      <c r="B84" s="132" t="n">
        <f aca="false">'Debt &amp; cash'!M49</f>
        <v>61.6361113357102</v>
      </c>
      <c r="C84" s="132" t="n">
        <f aca="false">'Debt &amp; cash'!S49</f>
        <v>72.0109378101806</v>
      </c>
      <c r="D84" s="132" t="n">
        <f aca="false">Budget!M50</f>
        <v>276.044943822378</v>
      </c>
      <c r="E84" s="132" t="n">
        <f aca="false">Loans!W50</f>
        <v>1.08013083856802</v>
      </c>
      <c r="F84" s="132" t="n">
        <f aca="false">('Debt &amp; cash'!H50+'Debt &amp; cash'!Q50)*issue_price</f>
        <v>23.1949676023956</v>
      </c>
      <c r="G84" s="117" t="n">
        <f aca="false">SUM(B84:F84)</f>
        <v>433.967091409232</v>
      </c>
      <c r="H84" s="132" t="n">
        <f aca="false">Budget!Y50</f>
        <v>219.345850946603</v>
      </c>
      <c r="I84" s="132" t="n">
        <f aca="false">Loans!V50</f>
        <v>1.5</v>
      </c>
      <c r="J84" s="132" t="n">
        <f aca="false">'Debt &amp; cash'!C50</f>
        <v>2.3967611330889</v>
      </c>
      <c r="K84" s="132" t="n">
        <f aca="false">'Debt &amp; cash'!K50</f>
        <v>11.1617611107287</v>
      </c>
      <c r="L84" s="132" t="n">
        <f aca="false">'Debt &amp; cash'!I50+'Debt &amp; cash'!J50+'Debt &amp; cash'!Q50*issue_price*dev_bonds</f>
        <v>55.7501041753543</v>
      </c>
      <c r="M84" s="132" t="n">
        <f aca="false">'Debt &amp; cash'!M50</f>
        <v>69.0112359555944</v>
      </c>
      <c r="N84" s="132" t="n">
        <f aca="false">'Debt &amp; cash'!S50</f>
        <v>74.8013780878628</v>
      </c>
      <c r="O84" s="117" t="n">
        <f aca="false">SUM(H84:N84)</f>
        <v>433.967091409232</v>
      </c>
      <c r="P84" s="133" t="n">
        <f aca="false">G84-O84</f>
        <v>0</v>
      </c>
      <c r="Q84" s="132" t="n">
        <f aca="false">'Debt &amp; cash'!Q50</f>
        <v>23.9123377344285</v>
      </c>
      <c r="R84" s="117" t="n">
        <f aca="false">Q84*issue_price</f>
        <v>23.1949676023956</v>
      </c>
      <c r="S84" s="117" t="n">
        <f aca="false">Q84-R84</f>
        <v>0.717370132032855</v>
      </c>
    </row>
    <row r="85" customFormat="false" ht="19.5" hidden="false" customHeight="true" outlineLevel="0" collapsed="false">
      <c r="A85" s="121" t="n">
        <v>1891</v>
      </c>
      <c r="B85" s="132" t="n">
        <f aca="false">'Debt &amp; cash'!M50</f>
        <v>69.0112359555944</v>
      </c>
      <c r="C85" s="132" t="n">
        <f aca="false">'Debt &amp; cash'!S50</f>
        <v>74.8013780878628</v>
      </c>
      <c r="D85" s="132" t="n">
        <f aca="false">Budget!M51</f>
        <v>301.035227957774</v>
      </c>
      <c r="E85" s="132" t="n">
        <f aca="false">Loans!W51</f>
        <v>1.08192554445287</v>
      </c>
      <c r="F85" s="132" t="n">
        <f aca="false">('Debt &amp; cash'!H51+'Debt &amp; cash'!Q51)*issue_price</f>
        <v>25.142358708144</v>
      </c>
      <c r="G85" s="117" t="n">
        <f aca="false">SUM(B85:F85)</f>
        <v>471.072126253828</v>
      </c>
      <c r="H85" s="132" t="n">
        <f aca="false">Budget!Y51</f>
        <v>233.858273459037</v>
      </c>
      <c r="I85" s="132" t="n">
        <f aca="false">Loans!V51</f>
        <v>1.5</v>
      </c>
      <c r="J85" s="132" t="n">
        <f aca="false">'Debt &amp; cash'!C51</f>
        <v>2.60383744290112</v>
      </c>
      <c r="K85" s="132" t="n">
        <f aca="false">'Debt &amp; cash'!K51</f>
        <v>13.8977931759455</v>
      </c>
      <c r="L85" s="132" t="n">
        <f aca="false">'Debt &amp; cash'!I51+'Debt &amp; cash'!J51+'Debt &amp; cash'!Q51*issue_price*dev_bonds</f>
        <v>65.6775888046518</v>
      </c>
      <c r="M85" s="132" t="n">
        <f aca="false">'Debt &amp; cash'!M51</f>
        <v>75.2588069894435</v>
      </c>
      <c r="N85" s="132" t="n">
        <f aca="false">'Debt &amp; cash'!S51</f>
        <v>78.2758263818492</v>
      </c>
      <c r="O85" s="117" t="n">
        <f aca="false">SUM(H85:N85)</f>
        <v>471.072126253828</v>
      </c>
      <c r="P85" s="133" t="n">
        <f aca="false">G85-O85</f>
        <v>0</v>
      </c>
      <c r="Q85" s="132" t="n">
        <f aca="false">'Debt &amp; cash'!Q51</f>
        <v>25.9199574310763</v>
      </c>
      <c r="R85" s="117" t="n">
        <f aca="false">Q85*issue_price</f>
        <v>25.142358708144</v>
      </c>
      <c r="S85" s="117" t="n">
        <f aca="false">Q85-R85</f>
        <v>0.777598722932289</v>
      </c>
    </row>
    <row r="86" customFormat="false" ht="19.5" hidden="false" customHeight="true" outlineLevel="0" collapsed="false">
      <c r="A86" s="121" t="n">
        <v>1892</v>
      </c>
      <c r="B86" s="132" t="n">
        <f aca="false">'Debt &amp; cash'!M51</f>
        <v>75.2588069894435</v>
      </c>
      <c r="C86" s="132" t="n">
        <f aca="false">'Debt &amp; cash'!S51</f>
        <v>78.2758263818492</v>
      </c>
      <c r="D86" s="132" t="n">
        <f aca="false">Budget!M52</f>
        <v>324.696790868119</v>
      </c>
      <c r="E86" s="132" t="n">
        <f aca="false">Loans!W52</f>
        <v>1.08409846391949</v>
      </c>
      <c r="F86" s="132" t="n">
        <f aca="false">('Debt &amp; cash'!H52+'Debt &amp; cash'!Q52)*issue_price</f>
        <v>28.020413988607</v>
      </c>
      <c r="G86" s="117" t="n">
        <f aca="false">SUM(B86:F86)</f>
        <v>507.335936691938</v>
      </c>
      <c r="H86" s="132" t="n">
        <f aca="false">Budget!Y52</f>
        <v>248.713406817222</v>
      </c>
      <c r="I86" s="132" t="n">
        <f aca="false">Loans!V52</f>
        <v>0</v>
      </c>
      <c r="J86" s="132" t="n">
        <f aca="false">'Debt &amp; cash'!C52</f>
        <v>2.79220397914571</v>
      </c>
      <c r="K86" s="132" t="n">
        <f aca="false">'Debt &amp; cash'!K52</f>
        <v>16.4063730739403</v>
      </c>
      <c r="L86" s="132" t="n">
        <f aca="false">'Debt &amp; cash'!I52+'Debt &amp; cash'!J52+'Debt &amp; cash'!Q52*issue_price*dev_bonds</f>
        <v>75.8723354542662</v>
      </c>
      <c r="M86" s="132" t="n">
        <f aca="false">'Debt &amp; cash'!M52</f>
        <v>81.1741977170298</v>
      </c>
      <c r="N86" s="132" t="n">
        <f aca="false">'Debt &amp; cash'!S52</f>
        <v>82.3774196503342</v>
      </c>
      <c r="O86" s="117" t="n">
        <f aca="false">SUM(H86:N86)</f>
        <v>507.335936691938</v>
      </c>
      <c r="P86" s="133" t="n">
        <f aca="false">G86-O86</f>
        <v>0</v>
      </c>
      <c r="Q86" s="132" t="n">
        <f aca="false">'Debt &amp; cash'!Q52</f>
        <v>28.8870247305226</v>
      </c>
      <c r="R86" s="117" t="n">
        <f aca="false">Q86*issue_price</f>
        <v>28.020413988607</v>
      </c>
      <c r="S86" s="117" t="n">
        <f aca="false">Q86-R86</f>
        <v>0.866610741915679</v>
      </c>
    </row>
    <row r="87" customFormat="false" ht="19.5" hidden="false" customHeight="true" outlineLevel="0" collapsed="false">
      <c r="A87" s="121" t="n">
        <v>1893</v>
      </c>
      <c r="B87" s="132" t="n">
        <f aca="false">'Debt &amp; cash'!M52</f>
        <v>81.1741977170298</v>
      </c>
      <c r="C87" s="132" t="n">
        <f aca="false">'Debt &amp; cash'!S52</f>
        <v>82.3774196503342</v>
      </c>
      <c r="D87" s="132" t="n">
        <f aca="false">Budget!M53</f>
        <v>329.765464302775</v>
      </c>
      <c r="E87" s="132" t="n">
        <f aca="false">Loans!W53</f>
        <v>1.0416209683701</v>
      </c>
      <c r="F87" s="132" t="n">
        <f aca="false">('Debt &amp; cash'!H53+'Debt &amp; cash'!Q53)*issue_price</f>
        <v>21.3327218793512</v>
      </c>
      <c r="G87" s="117" t="n">
        <f aca="false">SUM(B87:F87)</f>
        <v>515.69142451786</v>
      </c>
      <c r="H87" s="132" t="n">
        <f aca="false">Budget!Y53</f>
        <v>255.642570422417</v>
      </c>
      <c r="I87" s="132" t="n">
        <f aca="false">Loans!V53</f>
        <v>0</v>
      </c>
      <c r="J87" s="132" t="n">
        <f aca="false">'Debt &amp; cash'!C53</f>
        <v>2.98597293269444</v>
      </c>
      <c r="K87" s="132" t="n">
        <f aca="false">'Debt &amp; cash'!K53</f>
        <v>17.0187296537687</v>
      </c>
      <c r="L87" s="132" t="n">
        <f aca="false">'Debt &amp; cash'!I53+'Debt &amp; cash'!J53+'Debt &amp; cash'!Q53*issue_price*dev_bonds</f>
        <v>70.9706833695098</v>
      </c>
      <c r="M87" s="132" t="n">
        <f aca="false">'Debt &amp; cash'!M53</f>
        <v>82.4413660756937</v>
      </c>
      <c r="N87" s="132" t="n">
        <f aca="false">'Debt &amp; cash'!S53</f>
        <v>86.6321020637764</v>
      </c>
      <c r="O87" s="117" t="n">
        <f aca="false">SUM(H87:N87)</f>
        <v>515.69142451786</v>
      </c>
      <c r="P87" s="133" t="n">
        <f aca="false">G87-O87</f>
        <v>0</v>
      </c>
      <c r="Q87" s="132" t="n">
        <f aca="false">'Debt &amp; cash'!Q53</f>
        <v>21.9924967828363</v>
      </c>
      <c r="R87" s="117" t="n">
        <f aca="false">Q87*issue_price</f>
        <v>21.3327218793512</v>
      </c>
      <c r="S87" s="117" t="n">
        <f aca="false">Q87-R87</f>
        <v>0.65977490348509</v>
      </c>
    </row>
    <row r="88" customFormat="false" ht="19.5" hidden="false" customHeight="true" outlineLevel="0" collapsed="false">
      <c r="A88" s="121" t="n">
        <v>1894</v>
      </c>
      <c r="B88" s="132" t="n">
        <f aca="false">'Debt &amp; cash'!M53</f>
        <v>82.4413660756937</v>
      </c>
      <c r="C88" s="132" t="n">
        <f aca="false">'Debt &amp; cash'!S53</f>
        <v>86.6321020637764</v>
      </c>
      <c r="D88" s="132" t="n">
        <f aca="false">Budget!M54</f>
        <v>346.554903222936</v>
      </c>
      <c r="E88" s="132" t="n">
        <f aca="false">Loans!W54</f>
        <v>1.00081597935247</v>
      </c>
      <c r="F88" s="132" t="n">
        <f aca="false">('Debt &amp; cash'!H54+'Debt &amp; cash'!Q54)*issue_price</f>
        <v>24.2585967463581</v>
      </c>
      <c r="G88" s="117" t="n">
        <f aca="false">SUM(B88:F88)</f>
        <v>540.887784088116</v>
      </c>
      <c r="H88" s="132" t="n">
        <f aca="false">Budget!Y54</f>
        <v>271.280542156617</v>
      </c>
      <c r="I88" s="132" t="n">
        <f aca="false">Loans!V54</f>
        <v>10</v>
      </c>
      <c r="J88" s="132" t="n">
        <f aca="false">'Debt &amp; cash'!C54</f>
        <v>3.02572881662191</v>
      </c>
      <c r="K88" s="132" t="n">
        <f aca="false">'Debt &amp; cash'!K54</f>
        <v>14.1725012397621</v>
      </c>
      <c r="L88" s="132" t="n">
        <f aca="false">'Debt &amp; cash'!I54+'Debt &amp; cash'!J54+'Debt &amp; cash'!Q54*issue_price*dev_bonds</f>
        <v>65.5950586956643</v>
      </c>
      <c r="M88" s="132" t="n">
        <f aca="false">'Debt &amp; cash'!M54</f>
        <v>86.6387258057339</v>
      </c>
      <c r="N88" s="132" t="n">
        <f aca="false">'Debt &amp; cash'!S54</f>
        <v>90.1752273737169</v>
      </c>
      <c r="O88" s="117" t="n">
        <f aca="false">SUM(H88:N88)</f>
        <v>540.887784088116</v>
      </c>
      <c r="P88" s="133" t="n">
        <f aca="false">G88-O88</f>
        <v>0</v>
      </c>
      <c r="Q88" s="132" t="n">
        <f aca="false">'Debt &amp; cash'!Q54</f>
        <v>25.0088626251114</v>
      </c>
      <c r="R88" s="117" t="n">
        <f aca="false">Q88*issue_price</f>
        <v>24.2585967463581</v>
      </c>
      <c r="S88" s="117" t="n">
        <f aca="false">Q88-R88</f>
        <v>0.750265878753343</v>
      </c>
    </row>
    <row r="89" customFormat="false" ht="19.5" hidden="false" customHeight="true" outlineLevel="0" collapsed="false">
      <c r="A89" s="121" t="n">
        <v>1895</v>
      </c>
      <c r="B89" s="132" t="n">
        <f aca="false">'Debt &amp; cash'!M54</f>
        <v>86.6387258057339</v>
      </c>
      <c r="C89" s="132" t="n">
        <f aca="false">'Debt &amp; cash'!S54</f>
        <v>90.1752273737169</v>
      </c>
      <c r="D89" s="132" t="n">
        <f aca="false">Budget!M55</f>
        <v>380.655745173071</v>
      </c>
      <c r="E89" s="132" t="n">
        <f aca="false">Loans!W55</f>
        <v>1.36161739440402</v>
      </c>
      <c r="F89" s="132" t="n">
        <f aca="false">('Debt &amp; cash'!H55+'Debt &amp; cash'!Q55)*issue_price</f>
        <v>17.8177360732414</v>
      </c>
      <c r="G89" s="117" t="n">
        <f aca="false">SUM(B89:F89)</f>
        <v>576.649051820167</v>
      </c>
      <c r="H89" s="132" t="n">
        <f aca="false">Budget!Y55</f>
        <v>292.62048935643</v>
      </c>
      <c r="I89" s="132" t="n">
        <f aca="false">Loans!V55</f>
        <v>80</v>
      </c>
      <c r="J89" s="132" t="n">
        <f aca="false">'Debt &amp; cash'!C55</f>
        <v>3.18194146799645</v>
      </c>
      <c r="K89" s="132" t="n">
        <f aca="false">'Debt &amp; cash'!K55</f>
        <v>0</v>
      </c>
      <c r="L89" s="132" t="n">
        <f aca="false">'Debt &amp; cash'!I55+'Debt &amp; cash'!J55+'Debt &amp; cash'!Q55*issue_price*dev_bonds</f>
        <v>17.8177360732414</v>
      </c>
      <c r="M89" s="132" t="n">
        <f aca="false">'Debt &amp; cash'!M55</f>
        <v>95.1639362932677</v>
      </c>
      <c r="N89" s="132" t="n">
        <f aca="false">'Debt &amp; cash'!S55</f>
        <v>87.8649486292313</v>
      </c>
      <c r="O89" s="117" t="n">
        <f aca="false">SUM(H89:N89)</f>
        <v>576.649051820167</v>
      </c>
      <c r="P89" s="133" t="n">
        <f aca="false">G89-O89</f>
        <v>0</v>
      </c>
      <c r="Q89" s="132" t="n">
        <f aca="false">'Debt &amp; cash'!Q55</f>
        <v>18.3688000755066</v>
      </c>
      <c r="R89" s="117" t="n">
        <f aca="false">Q89*issue_price</f>
        <v>17.8177360732414</v>
      </c>
      <c r="S89" s="117" t="n">
        <f aca="false">Q89-R89</f>
        <v>0.5510640022652</v>
      </c>
    </row>
    <row r="90" customFormat="false" ht="19.5" hidden="false" customHeight="true" outlineLevel="0" collapsed="false">
      <c r="A90" s="121" t="n">
        <v>1896</v>
      </c>
      <c r="B90" s="132" t="n">
        <f aca="false">'Debt &amp; cash'!M55</f>
        <v>95.1639362932677</v>
      </c>
      <c r="C90" s="132" t="n">
        <f aca="false">'Debt &amp; cash'!S55</f>
        <v>87.8649486292313</v>
      </c>
      <c r="D90" s="132" t="n">
        <f aca="false">Budget!M56</f>
        <v>375.808655597501</v>
      </c>
      <c r="E90" s="132" t="n">
        <f aca="false">Loans!W56</f>
        <v>4.50796173122675</v>
      </c>
      <c r="F90" s="132" t="n">
        <f aca="false">('Debt &amp; cash'!H56+'Debt &amp; cash'!Q56)*issue_price</f>
        <v>29.654017650917</v>
      </c>
      <c r="G90" s="117" t="n">
        <f aca="false">SUM(B90:F90)</f>
        <v>592.999519902143</v>
      </c>
      <c r="H90" s="132" t="n">
        <f aca="false">Budget!Y56</f>
        <v>310.211994747859</v>
      </c>
      <c r="I90" s="132" t="n">
        <f aca="false">Loans!V56</f>
        <v>3</v>
      </c>
      <c r="J90" s="132" t="n">
        <f aca="false">'Debt &amp; cash'!C56</f>
        <v>3.48567864014666</v>
      </c>
      <c r="K90" s="132" t="n">
        <f aca="false">'Debt &amp; cash'!K56</f>
        <v>15.5593719203075</v>
      </c>
      <c r="L90" s="132" t="n">
        <f aca="false">'Debt &amp; cash'!I56+'Debt &amp; cash'!J56+'Debt &amp; cash'!Q56*issue_price*dev_bonds</f>
        <v>75.0355190851472</v>
      </c>
      <c r="M90" s="132" t="n">
        <f aca="false">'Debt &amp; cash'!M56</f>
        <v>93.9521638993751</v>
      </c>
      <c r="N90" s="132" t="n">
        <f aca="false">'Debt &amp; cash'!S56</f>
        <v>91.7547916093082</v>
      </c>
      <c r="O90" s="117" t="n">
        <f aca="false">SUM(H90:N90)</f>
        <v>592.999519902143</v>
      </c>
      <c r="P90" s="133" t="n">
        <f aca="false">G90-O90</f>
        <v>0</v>
      </c>
      <c r="Q90" s="132" t="n">
        <f aca="false">'Debt &amp; cash'!Q56</f>
        <v>30.5711522174402</v>
      </c>
      <c r="R90" s="117" t="n">
        <f aca="false">Q90*issue_price</f>
        <v>29.654017650917</v>
      </c>
      <c r="S90" s="117" t="n">
        <f aca="false">Q90-R90</f>
        <v>0.917134566523206</v>
      </c>
    </row>
    <row r="91" customFormat="false" ht="19.5" hidden="false" customHeight="true" outlineLevel="0" collapsed="false">
      <c r="A91" s="121" t="n">
        <v>1897</v>
      </c>
      <c r="B91" s="132" t="n">
        <f aca="false">'Debt &amp; cash'!M56</f>
        <v>93.9521638993751</v>
      </c>
      <c r="C91" s="132" t="n">
        <f aca="false">'Debt &amp; cash'!S56</f>
        <v>91.7547916093082</v>
      </c>
      <c r="D91" s="132" t="n">
        <f aca="false">Budget!M57</f>
        <v>421.76203231075</v>
      </c>
      <c r="E91" s="132" t="n">
        <f aca="false">Loans!W57</f>
        <v>4.4484280235986</v>
      </c>
      <c r="F91" s="132" t="n">
        <f aca="false">('Debt &amp; cash'!H57+'Debt &amp; cash'!Q57)*issue_price</f>
        <v>36.496095926147</v>
      </c>
      <c r="G91" s="117" t="n">
        <f aca="false">SUM(B91:F91)</f>
        <v>648.413511769178</v>
      </c>
      <c r="H91" s="132" t="n">
        <f aca="false">Budget!Y57</f>
        <v>342.629199589974</v>
      </c>
      <c r="I91" s="132" t="n">
        <f aca="false">Loans!V57</f>
        <v>23</v>
      </c>
      <c r="J91" s="132" t="n">
        <f aca="false">'Debt &amp; cash'!C57</f>
        <v>3.71620067328638</v>
      </c>
      <c r="K91" s="132" t="n">
        <f aca="false">'Debt &amp; cash'!K57</f>
        <v>10.890411814266</v>
      </c>
      <c r="L91" s="132" t="n">
        <f aca="false">'Debt &amp; cash'!I57+'Debt &amp; cash'!J57+'Debt &amp; cash'!Q57*issue_price*dev_bonds</f>
        <v>68.2597970510896</v>
      </c>
      <c r="M91" s="132" t="n">
        <f aca="false">'Debt &amp; cash'!M57</f>
        <v>105.440508077687</v>
      </c>
      <c r="N91" s="132" t="n">
        <f aca="false">'Debt &amp; cash'!S57</f>
        <v>94.4773945628747</v>
      </c>
      <c r="O91" s="117" t="n">
        <f aca="false">SUM(H91:N91)</f>
        <v>648.413511769178</v>
      </c>
      <c r="P91" s="133" t="n">
        <f aca="false">G91-O91</f>
        <v>0</v>
      </c>
      <c r="Q91" s="132" t="n">
        <f aca="false">'Debt &amp; cash'!Q57</f>
        <v>37.6248411609763</v>
      </c>
      <c r="R91" s="117" t="n">
        <f aca="false">Q91*issue_price</f>
        <v>36.496095926147</v>
      </c>
      <c r="S91" s="117" t="n">
        <f aca="false">Q91-R91</f>
        <v>1.12874523482929</v>
      </c>
    </row>
    <row r="92" customFormat="false" ht="19.5" hidden="false" customHeight="true" outlineLevel="0" collapsed="false">
      <c r="A92" s="121" t="n">
        <v>1898</v>
      </c>
      <c r="B92" s="132" t="n">
        <f aca="false">'Debt &amp; cash'!M57</f>
        <v>105.440508077687</v>
      </c>
      <c r="C92" s="132" t="n">
        <f aca="false">'Debt &amp; cash'!S57</f>
        <v>94.4773945628747</v>
      </c>
      <c r="D92" s="132" t="n">
        <f aca="false">Budget!M58</f>
        <v>463.027384817064</v>
      </c>
      <c r="E92" s="132" t="n">
        <f aca="false">Loans!W58</f>
        <v>5.19125212142695</v>
      </c>
      <c r="F92" s="132" t="n">
        <f aca="false">('Debt &amp; cash'!H58+'Debt &amp; cash'!Q58)*issue_price</f>
        <v>33.9451532917759</v>
      </c>
      <c r="G92" s="117" t="n">
        <f aca="false">SUM(B92:F92)</f>
        <v>702.081692870829</v>
      </c>
      <c r="H92" s="132" t="n">
        <f aca="false">Budget!Y58</f>
        <v>385.960749877855</v>
      </c>
      <c r="I92" s="132" t="n">
        <f aca="false">Loans!V58</f>
        <v>24</v>
      </c>
      <c r="J92" s="132" t="n">
        <f aca="false">'Debt &amp; cash'!C58</f>
        <v>4.17656524675486</v>
      </c>
      <c r="K92" s="132" t="n">
        <f aca="false">'Debt &amp; cash'!K58</f>
        <v>10.5035960849526</v>
      </c>
      <c r="L92" s="132" t="n">
        <f aca="false">'Debt &amp; cash'!I58+'Debt &amp; cash'!J58+'Debt &amp; cash'!Q58*issue_price*dev_bonds</f>
        <v>64.5806418728876</v>
      </c>
      <c r="M92" s="132" t="n">
        <f aca="false">'Debt &amp; cash'!M58</f>
        <v>115.756846204266</v>
      </c>
      <c r="N92" s="132" t="n">
        <f aca="false">'Debt &amp; cash'!S58</f>
        <v>97.1032935841128</v>
      </c>
      <c r="O92" s="117" t="n">
        <f aca="false">SUM(H92:N92)</f>
        <v>702.081692870829</v>
      </c>
      <c r="P92" s="133" t="n">
        <f aca="false">G92-O92</f>
        <v>0</v>
      </c>
      <c r="Q92" s="132" t="n">
        <f aca="false">'Debt &amp; cash'!Q58</f>
        <v>34.9950033935834</v>
      </c>
      <c r="R92" s="117" t="n">
        <f aca="false">Q92*issue_price</f>
        <v>33.9451532917759</v>
      </c>
      <c r="S92" s="117" t="n">
        <f aca="false">Q92-R92</f>
        <v>1.0498501018075</v>
      </c>
    </row>
    <row r="93" customFormat="false" ht="19.5" hidden="false" customHeight="true" outlineLevel="0" collapsed="false">
      <c r="A93" s="121" t="n">
        <v>1899</v>
      </c>
      <c r="B93" s="132" t="n">
        <f aca="false">'Debt &amp; cash'!M58</f>
        <v>115.756846204266</v>
      </c>
      <c r="C93" s="132" t="n">
        <f aca="false">'Debt &amp; cash'!S58</f>
        <v>97.1032935841128</v>
      </c>
      <c r="D93" s="132" t="n">
        <f aca="false">Budget!M59</f>
        <v>506.411272226131</v>
      </c>
      <c r="E93" s="132" t="n">
        <f aca="false">Loans!W59</f>
        <v>5.94434041877899</v>
      </c>
      <c r="F93" s="132" t="n">
        <f aca="false">('Debt &amp; cash'!H59+'Debt &amp; cash'!Q59)*issue_price</f>
        <v>37.3233654875118</v>
      </c>
      <c r="G93" s="117" t="n">
        <f aca="false">SUM(B93:F93)</f>
        <v>762.539117920801</v>
      </c>
      <c r="H93" s="132" t="n">
        <f aca="false">Budget!Y59</f>
        <v>421.966228563956</v>
      </c>
      <c r="I93" s="132" t="n">
        <f aca="false">Loans!V59</f>
        <v>24</v>
      </c>
      <c r="J93" s="132" t="n">
        <f aca="false">'Debt &amp; cash'!C59</f>
        <v>4.58286208799238</v>
      </c>
      <c r="K93" s="132" t="n">
        <f aca="false">'Debt &amp; cash'!K59</f>
        <v>12.2305320337669</v>
      </c>
      <c r="L93" s="132" t="n">
        <f aca="false">'Debt &amp; cash'!I59+'Debt &amp; cash'!J59+'Debt &amp; cash'!Q59*issue_price*dev_bonds</f>
        <v>72.9957505859987</v>
      </c>
      <c r="M93" s="132" t="n">
        <f aca="false">'Debt &amp; cash'!M59</f>
        <v>126.602818056533</v>
      </c>
      <c r="N93" s="132" t="n">
        <f aca="false">'Debt &amp; cash'!S59</f>
        <v>100.160926592555</v>
      </c>
      <c r="O93" s="117" t="n">
        <f aca="false">SUM(H93:N93)</f>
        <v>762.539117920801</v>
      </c>
      <c r="P93" s="133" t="n">
        <f aca="false">G93-O93</f>
        <v>0</v>
      </c>
      <c r="Q93" s="132" t="n">
        <f aca="false">'Debt &amp; cash'!Q59</f>
        <v>38.4776963788782</v>
      </c>
      <c r="R93" s="117" t="n">
        <f aca="false">Q93*issue_price</f>
        <v>37.3233654875118</v>
      </c>
      <c r="S93" s="117" t="n">
        <f aca="false">Q93-R93</f>
        <v>1.15433089136635</v>
      </c>
    </row>
    <row r="94" customFormat="false" ht="19.5" hidden="false" customHeight="true" outlineLevel="0" collapsed="false">
      <c r="A94" s="121" t="n">
        <v>1900</v>
      </c>
      <c r="B94" s="132" t="n">
        <f aca="false">'Debt &amp; cash'!M59</f>
        <v>126.602818056533</v>
      </c>
      <c r="C94" s="132" t="n">
        <f aca="false">'Debt &amp; cash'!S59</f>
        <v>100.160926592555</v>
      </c>
      <c r="D94" s="132" t="n">
        <f aca="false">Budget!M60</f>
        <v>554.125368419653</v>
      </c>
      <c r="E94" s="132" t="n">
        <f aca="false">Loans!W60</f>
        <v>6.66728303277068</v>
      </c>
      <c r="F94" s="132" t="n">
        <f aca="false">('Debt &amp; cash'!H60+'Debt &amp; cash'!Q60)*issue_price</f>
        <v>47.4347110133228</v>
      </c>
      <c r="G94" s="117" t="n">
        <f aca="false">SUM(B94:F94)</f>
        <v>834.991107114834</v>
      </c>
      <c r="H94" s="132" t="n">
        <f aca="false">Budget!Y60</f>
        <v>461.033843034075</v>
      </c>
      <c r="I94" s="132" t="n">
        <f aca="false">Loans!V60</f>
        <v>0</v>
      </c>
      <c r="J94" s="132" t="n">
        <f aca="false">'Debt &amp; cash'!C60</f>
        <v>5.01614813313475</v>
      </c>
      <c r="K94" s="132" t="n">
        <f aca="false">'Debt &amp; cash'!K60</f>
        <v>19.87539269684</v>
      </c>
      <c r="L94" s="132" t="n">
        <f aca="false">'Debt &amp; cash'!I60+'Debt &amp; cash'!J60+'Debt &amp; cash'!Q60*issue_price*dev_bonds</f>
        <v>105.404606379106</v>
      </c>
      <c r="M94" s="132" t="n">
        <f aca="false">'Debt &amp; cash'!M60</f>
        <v>138.531342104913</v>
      </c>
      <c r="N94" s="132" t="n">
        <f aca="false">'Debt &amp; cash'!S60</f>
        <v>105.129774766765</v>
      </c>
      <c r="O94" s="117" t="n">
        <f aca="false">SUM(H94:N94)</f>
        <v>834.991107114834</v>
      </c>
      <c r="P94" s="133" t="n">
        <f aca="false">G94-O94</f>
        <v>0</v>
      </c>
      <c r="Q94" s="132" t="n">
        <f aca="false">'Debt &amp; cash'!Q60</f>
        <v>48.9017639312607</v>
      </c>
      <c r="R94" s="117" t="n">
        <f aca="false">Q94*issue_price</f>
        <v>47.4347110133228</v>
      </c>
      <c r="S94" s="117" t="n">
        <f aca="false">Q94-R94</f>
        <v>1.46705291793782</v>
      </c>
    </row>
    <row r="95" customFormat="false" ht="19.5" hidden="false" customHeight="true" outlineLevel="0" collapsed="false">
      <c r="A95" s="121" t="n">
        <v>1901</v>
      </c>
      <c r="B95" s="132" t="n">
        <f aca="false">'Debt &amp; cash'!M60</f>
        <v>138.531342104913</v>
      </c>
      <c r="C95" s="132" t="n">
        <f aca="false">'Debt &amp; cash'!S60</f>
        <v>105.129774766765</v>
      </c>
      <c r="D95" s="132" t="n">
        <f aca="false">Budget!M61</f>
        <v>609.005887640274</v>
      </c>
      <c r="E95" s="132" t="n">
        <f aca="false">Loans!W61</f>
        <v>6.40128645528042</v>
      </c>
      <c r="F95" s="132" t="n">
        <f aca="false">('Debt &amp; cash'!H61+'Debt &amp; cash'!Q61)*issue_price</f>
        <v>55.7873535171005</v>
      </c>
      <c r="G95" s="117" t="n">
        <f aca="false">SUM(B95:F95)</f>
        <v>914.855644484333</v>
      </c>
      <c r="H95" s="132" t="n">
        <f aca="false">Budget!Y61</f>
        <v>481.257553406375</v>
      </c>
      <c r="I95" s="132" t="n">
        <f aca="false">Loans!V61</f>
        <v>0</v>
      </c>
      <c r="J95" s="132" t="n">
        <f aca="false">'Debt &amp; cash'!C61</f>
        <v>5.49635259516047</v>
      </c>
      <c r="K95" s="132" t="n">
        <f aca="false">'Debt &amp; cash'!K61</f>
        <v>27.5839531893273</v>
      </c>
      <c r="L95" s="132" t="n">
        <f aca="false">'Debt &amp; cash'!I61+'Debt &amp; cash'!J61+'Debt &amp; cash'!Q61*issue_price*dev_bonds</f>
        <v>136.240550319305</v>
      </c>
      <c r="M95" s="132" t="n">
        <f aca="false">'Debt &amp; cash'!M61</f>
        <v>152.251471910069</v>
      </c>
      <c r="N95" s="132" t="n">
        <f aca="false">'Debt &amp; cash'!S61</f>
        <v>112.025763064096</v>
      </c>
      <c r="O95" s="117" t="n">
        <f aca="false">SUM(H95:N95)</f>
        <v>914.855644484333</v>
      </c>
      <c r="P95" s="133" t="n">
        <f aca="false">G95-O95</f>
        <v>0</v>
      </c>
      <c r="Q95" s="132" t="n">
        <f aca="false">'Debt &amp; cash'!Q61</f>
        <v>57.5127355846397</v>
      </c>
      <c r="R95" s="117" t="n">
        <f aca="false">Q95*issue_price</f>
        <v>55.7873535171005</v>
      </c>
      <c r="S95" s="117" t="n">
        <f aca="false">Q95-R95</f>
        <v>1.72538206753919</v>
      </c>
    </row>
    <row r="96" customFormat="false" ht="19.5" hidden="false" customHeight="true" outlineLevel="0" collapsed="false">
      <c r="A96" s="121" t="n">
        <v>1902</v>
      </c>
      <c r="B96" s="132" t="n">
        <f aca="false">'Debt &amp; cash'!M61</f>
        <v>152.251471910069</v>
      </c>
      <c r="C96" s="132" t="n">
        <f aca="false">'Debt &amp; cash'!S61</f>
        <v>112.025763064096</v>
      </c>
      <c r="D96" s="132" t="n">
        <f aca="false">Budget!M62</f>
        <v>662.949237220272</v>
      </c>
      <c r="E96" s="132" t="n">
        <f aca="false">Loans!W62</f>
        <v>6.14590889857515</v>
      </c>
      <c r="F96" s="132" t="n">
        <f aca="false">('Debt &amp; cash'!H62+'Debt &amp; cash'!Q62)*issue_price</f>
        <v>66.1630006209555</v>
      </c>
      <c r="G96" s="117" t="n">
        <f aca="false">SUM(B96:F96)</f>
        <v>999.535381713967</v>
      </c>
      <c r="H96" s="132" t="n">
        <f aca="false">Budget!Y62</f>
        <v>503.376264078832</v>
      </c>
      <c r="I96" s="132" t="n">
        <f aca="false">Loans!V62</f>
        <v>0</v>
      </c>
      <c r="J96" s="132" t="n">
        <f aca="false">'Debt &amp; cash'!C62</f>
        <v>5.98500119116351</v>
      </c>
      <c r="K96" s="132" t="n">
        <f aca="false">'Debt &amp; cash'!K62</f>
        <v>35.0995304289244</v>
      </c>
      <c r="L96" s="132" t="n">
        <f aca="false">'Debt &amp; cash'!I62+'Debt &amp; cash'!J62+'Debt &amp; cash'!Q62*issue_price*dev_bonds</f>
        <v>168.536631038652</v>
      </c>
      <c r="M96" s="132" t="n">
        <f aca="false">'Debt &amp; cash'!M62</f>
        <v>165.737309305068</v>
      </c>
      <c r="N96" s="132" t="n">
        <f aca="false">'Debt &amp; cash'!S62</f>
        <v>120.800645671327</v>
      </c>
      <c r="O96" s="117" t="n">
        <f aca="false">SUM(H96:N96)</f>
        <v>999.535381713967</v>
      </c>
      <c r="P96" s="133" t="n">
        <f aca="false">G96-O96</f>
        <v>0</v>
      </c>
      <c r="Q96" s="132" t="n">
        <f aca="false">'Debt &amp; cash'!Q62</f>
        <v>68.2092789906757</v>
      </c>
      <c r="R96" s="117" t="n">
        <f aca="false">Q96*issue_price</f>
        <v>66.1630006209555</v>
      </c>
      <c r="S96" s="117" t="n">
        <f aca="false">Q96-R96</f>
        <v>2.04627836972027</v>
      </c>
    </row>
    <row r="97" customFormat="false" ht="19.5" hidden="false" customHeight="true" outlineLevel="0" collapsed="false">
      <c r="A97" s="121" t="n">
        <v>1903</v>
      </c>
      <c r="B97" s="132" t="n">
        <f aca="false">'Debt &amp; cash'!M62</f>
        <v>165.737309305068</v>
      </c>
      <c r="C97" s="132" t="n">
        <f aca="false">'Debt &amp; cash'!S62</f>
        <v>120.800645671327</v>
      </c>
      <c r="D97" s="132" t="n">
        <f aca="false">Budget!M63</f>
        <v>722.694494337485</v>
      </c>
      <c r="E97" s="132" t="n">
        <f aca="false">Loans!W63</f>
        <v>5.90072622709291</v>
      </c>
      <c r="F97" s="132" t="n">
        <f aca="false">('Debt &amp; cash'!H63+'Debt &amp; cash'!Q63)*issue_price</f>
        <v>72.8410581093232</v>
      </c>
      <c r="G97" s="117" t="n">
        <f aca="false">SUM(B97:F97)</f>
        <v>1087.9742336503</v>
      </c>
      <c r="H97" s="132" t="n">
        <f aca="false">Budget!Y63</f>
        <v>546.749395420143</v>
      </c>
      <c r="I97" s="132" t="n">
        <f aca="false">Loans!V63</f>
        <v>0</v>
      </c>
      <c r="J97" s="132" t="n">
        <f aca="false">'Debt &amp; cash'!C63</f>
        <v>6.52749613857527</v>
      </c>
      <c r="K97" s="132" t="n">
        <f aca="false">'Debt &amp; cash'!K63</f>
        <v>38.4916835343736</v>
      </c>
      <c r="L97" s="132" t="n">
        <f aca="false">'Debt &amp; cash'!I63+'Debt &amp; cash'!J63+'Debt &amp; cash'!Q63*issue_price*dev_bonds</f>
        <v>185.108468417913</v>
      </c>
      <c r="M97" s="132" t="n">
        <f aca="false">'Debt &amp; cash'!M63</f>
        <v>180.673623584371</v>
      </c>
      <c r="N97" s="132" t="n">
        <f aca="false">'Debt &amp; cash'!S63</f>
        <v>130.423566554921</v>
      </c>
      <c r="O97" s="117" t="n">
        <f aca="false">SUM(H97:N97)</f>
        <v>1087.9742336503</v>
      </c>
      <c r="P97" s="133" t="n">
        <f aca="false">G97-O97</f>
        <v>0</v>
      </c>
      <c r="Q97" s="132" t="n">
        <f aca="false">'Debt &amp; cash'!Q63</f>
        <v>75.0938743395085</v>
      </c>
      <c r="R97" s="117" t="n">
        <f aca="false">Q97*issue_price</f>
        <v>72.8410581093232</v>
      </c>
      <c r="S97" s="117" t="n">
        <f aca="false">Q97-R97</f>
        <v>2.25281623018526</v>
      </c>
    </row>
    <row r="98" customFormat="false" ht="19.5" hidden="false" customHeight="true" outlineLevel="0" collapsed="false">
      <c r="A98" s="121" t="n">
        <v>1904</v>
      </c>
      <c r="B98" s="132" t="n">
        <f aca="false">'Debt &amp; cash'!M63</f>
        <v>180.673623584371</v>
      </c>
      <c r="C98" s="132" t="n">
        <f aca="false">'Debt &amp; cash'!S63</f>
        <v>130.423566554921</v>
      </c>
      <c r="D98" s="132" t="n">
        <f aca="false">Budget!M64</f>
        <v>787.334749678104</v>
      </c>
      <c r="E98" s="132" t="n">
        <f aca="false">Loans!W64</f>
        <v>5.66533125193614</v>
      </c>
      <c r="F98" s="132" t="n">
        <f aca="false">('Debt &amp; cash'!H64+'Debt &amp; cash'!Q64)*issue_price</f>
        <v>71.7605510757756</v>
      </c>
      <c r="G98" s="117" t="n">
        <f aca="false">SUM(B98:F98)</f>
        <v>1175.85782214511</v>
      </c>
      <c r="H98" s="132" t="n">
        <f aca="false">Budget!Y64</f>
        <v>598.396099480239</v>
      </c>
      <c r="I98" s="132" t="n">
        <f aca="false">Loans!V64</f>
        <v>30</v>
      </c>
      <c r="J98" s="132" t="n">
        <f aca="false">'Debt &amp; cash'!C64</f>
        <v>7.12899003190646</v>
      </c>
      <c r="K98" s="132" t="n">
        <f aca="false">'Debt &amp; cash'!K64</f>
        <v>33.9155826198576</v>
      </c>
      <c r="L98" s="132" t="n">
        <f aca="false">'Debt &amp; cash'!I64+'Debt &amp; cash'!J64+'Debt &amp; cash'!Q64*issue_price*dev_bonds</f>
        <v>170.681000383693</v>
      </c>
      <c r="M98" s="132" t="n">
        <f aca="false">'Debt &amp; cash'!M64</f>
        <v>196.833687419526</v>
      </c>
      <c r="N98" s="132" t="n">
        <f aca="false">'Debt &amp; cash'!S64</f>
        <v>138.902462209885</v>
      </c>
      <c r="O98" s="117" t="n">
        <f aca="false">SUM(H98:N98)</f>
        <v>1175.85782214511</v>
      </c>
      <c r="P98" s="133" t="n">
        <f aca="false">G98-O98</f>
        <v>0</v>
      </c>
      <c r="Q98" s="132" t="n">
        <f aca="false">'Debt &amp; cash'!Q64</f>
        <v>73.9799495626552</v>
      </c>
      <c r="R98" s="117" t="n">
        <f aca="false">Q98*issue_price</f>
        <v>71.7605510757756</v>
      </c>
      <c r="S98" s="117" t="n">
        <f aca="false">Q98-R98</f>
        <v>2.21939848687966</v>
      </c>
    </row>
    <row r="99" customFormat="false" ht="19.5" hidden="false" customHeight="true" outlineLevel="0" collapsed="false">
      <c r="A99" s="121" t="n">
        <v>1905</v>
      </c>
      <c r="B99" s="132" t="n">
        <f aca="false">'Debt &amp; cash'!M64</f>
        <v>196.833687419526</v>
      </c>
      <c r="C99" s="132" t="n">
        <f aca="false">'Debt &amp; cash'!S64</f>
        <v>138.902462209885</v>
      </c>
      <c r="D99" s="132" t="n">
        <f aca="false">Budget!M65</f>
        <v>857.876670996509</v>
      </c>
      <c r="E99" s="132" t="n">
        <f aca="false">Loans!W65</f>
        <v>6.63933305356783</v>
      </c>
      <c r="F99" s="132" t="n">
        <f aca="false">('Debt &amp; cash'!H65+'Debt &amp; cash'!Q65)*issue_price</f>
        <v>77.1512332785861</v>
      </c>
      <c r="G99" s="117" t="n">
        <f aca="false">SUM(B99:F99)</f>
        <v>1277.40338695807</v>
      </c>
      <c r="H99" s="132" t="n">
        <f aca="false">Budget!Y65</f>
        <v>656.902780885277</v>
      </c>
      <c r="I99" s="132" t="n">
        <f aca="false">Loans!V65</f>
        <v>30</v>
      </c>
      <c r="J99" s="132" t="n">
        <f aca="false">'Debt &amp; cash'!C65</f>
        <v>7.78769757012428</v>
      </c>
      <c r="K99" s="132" t="n">
        <f aca="false">'Debt &amp; cash'!K65</f>
        <v>36.5256108636179</v>
      </c>
      <c r="L99" s="132" t="n">
        <f aca="false">'Debt &amp; cash'!I65+'Debt &amp; cash'!J65+'Debt &amp; cash'!Q65*issue_price*dev_bonds</f>
        <v>183.684264964138</v>
      </c>
      <c r="M99" s="132" t="n">
        <f aca="false">'Debt &amp; cash'!M65</f>
        <v>214.469167749127</v>
      </c>
      <c r="N99" s="132" t="n">
        <f aca="false">'Debt &amp; cash'!S65</f>
        <v>148.03386492579</v>
      </c>
      <c r="O99" s="117" t="n">
        <f aca="false">SUM(H99:N99)</f>
        <v>1277.40338695807</v>
      </c>
      <c r="P99" s="133" t="n">
        <f aca="false">G99-O99</f>
        <v>0</v>
      </c>
      <c r="Q99" s="132" t="n">
        <f aca="false">'Debt &amp; cash'!Q65</f>
        <v>79.5373538954495</v>
      </c>
      <c r="R99" s="117" t="n">
        <f aca="false">Q99*issue_price</f>
        <v>77.1512332785861</v>
      </c>
      <c r="S99" s="117" t="n">
        <f aca="false">Q99-R99</f>
        <v>2.38612061686349</v>
      </c>
    </row>
    <row r="100" customFormat="false" ht="19.5" hidden="false" customHeight="true" outlineLevel="0" collapsed="false">
      <c r="A100" s="121" t="n">
        <v>1906</v>
      </c>
      <c r="B100" s="132" t="n">
        <f aca="false">'Debt &amp; cash'!M65</f>
        <v>214.469167749127</v>
      </c>
      <c r="C100" s="132" t="n">
        <f aca="false">'Debt &amp; cash'!S65</f>
        <v>148.03386492579</v>
      </c>
      <c r="D100" s="132" t="n">
        <f aca="false">Budget!M66</f>
        <v>946.926638535173</v>
      </c>
      <c r="E100" s="132" t="n">
        <f aca="false">Loans!W66</f>
        <v>7.57435633158298</v>
      </c>
      <c r="F100" s="132" t="n">
        <f aca="false">('Debt &amp; cash'!H66+'Debt &amp; cash'!Q66)*issue_price</f>
        <v>96.9848773592621</v>
      </c>
      <c r="G100" s="117" t="n">
        <f aca="false">SUM(B100:F100)</f>
        <v>1413.98890490093</v>
      </c>
      <c r="H100" s="132" t="n">
        <f aca="false">Budget!Y66</f>
        <v>729.376763009795</v>
      </c>
      <c r="I100" s="132" t="n">
        <f aca="false">Loans!V66</f>
        <v>0</v>
      </c>
      <c r="J100" s="132" t="n">
        <f aca="false">'Debt &amp; cash'!C66</f>
        <v>8.49217847935843</v>
      </c>
      <c r="K100" s="132" t="n">
        <f aca="false">'Debt &amp; cash'!K66</f>
        <v>46.6486947583047</v>
      </c>
      <c r="L100" s="132" t="n">
        <f aca="false">'Debt &amp; cash'!I66+'Debt &amp; cash'!J66+'Debt &amp; cash'!Q66*issue_price*dev_bonds</f>
        <v>233.043570404317</v>
      </c>
      <c r="M100" s="132" t="n">
        <f aca="false">'Debt &amp; cash'!M66</f>
        <v>236.731659633793</v>
      </c>
      <c r="N100" s="132" t="n">
        <f aca="false">'Debt &amp; cash'!S66</f>
        <v>159.696038615366</v>
      </c>
      <c r="O100" s="117" t="n">
        <f aca="false">SUM(H100:N100)</f>
        <v>1413.98890490093</v>
      </c>
      <c r="P100" s="133" t="n">
        <f aca="false">G100-O100</f>
        <v>0</v>
      </c>
      <c r="Q100" s="132" t="n">
        <f aca="false">'Debt &amp; cash'!Q66</f>
        <v>99.9844096487238</v>
      </c>
      <c r="R100" s="117" t="n">
        <f aca="false">Q100*issue_price</f>
        <v>96.9848773592621</v>
      </c>
      <c r="S100" s="117" t="n">
        <f aca="false">Q100-R100</f>
        <v>2.99953228946171</v>
      </c>
    </row>
    <row r="101" customFormat="false" ht="19.5" hidden="false" customHeight="true" outlineLevel="0" collapsed="false">
      <c r="A101" s="121" t="n">
        <v>1907</v>
      </c>
      <c r="B101" s="132" t="n">
        <f aca="false">'Debt &amp; cash'!M66</f>
        <v>236.731659633793</v>
      </c>
      <c r="C101" s="132" t="n">
        <f aca="false">'Debt &amp; cash'!S66</f>
        <v>159.696038615366</v>
      </c>
      <c r="D101" s="132" t="n">
        <f aca="false">Budget!M67</f>
        <v>1025.9477578397</v>
      </c>
      <c r="E101" s="132" t="n">
        <f aca="false">Loans!W67</f>
        <v>7.27196078047279</v>
      </c>
      <c r="F101" s="132" t="n">
        <f aca="false">('Debt &amp; cash'!H67+'Debt &amp; cash'!Q67)*issue_price</f>
        <v>98.4068793573155</v>
      </c>
      <c r="G101" s="117" t="n">
        <f aca="false">SUM(B101:F101)</f>
        <v>1528.05429622665</v>
      </c>
      <c r="H101" s="132" t="n">
        <f aca="false">Budget!Y67</f>
        <v>792.997907009937</v>
      </c>
      <c r="I101" s="132" t="n">
        <f aca="false">Loans!V67</f>
        <v>0</v>
      </c>
      <c r="J101" s="132" t="n">
        <f aca="false">'Debt &amp; cash'!C67</f>
        <v>9.38904920757964</v>
      </c>
      <c r="K101" s="132" t="n">
        <f aca="false">'Debt &amp; cash'!K67</f>
        <v>50.6585958183663</v>
      </c>
      <c r="L101" s="132" t="n">
        <f aca="false">'Debt &amp; cash'!I67+'Debt &amp; cash'!J67+'Debt &amp; cash'!Q67*issue_price*dev_bonds</f>
        <v>246.161117160884</v>
      </c>
      <c r="M101" s="132" t="n">
        <f aca="false">'Debt &amp; cash'!M67</f>
        <v>256.486939459926</v>
      </c>
      <c r="N101" s="132" t="n">
        <f aca="false">'Debt &amp; cash'!S67</f>
        <v>172.360687569958</v>
      </c>
      <c r="O101" s="117" t="n">
        <f aca="false">SUM(H101:N101)</f>
        <v>1528.05429622665</v>
      </c>
      <c r="P101" s="133" t="n">
        <f aca="false">G101-O101</f>
        <v>0</v>
      </c>
      <c r="Q101" s="132" t="n">
        <f aca="false">'Debt &amp; cash'!Q67</f>
        <v>101.450391090016</v>
      </c>
      <c r="R101" s="117" t="n">
        <f aca="false">Q101*issue_price</f>
        <v>98.4068793573155</v>
      </c>
      <c r="S101" s="117" t="n">
        <f aca="false">Q101-R101</f>
        <v>3.04351173270048</v>
      </c>
    </row>
    <row r="102" customFormat="false" ht="19.5" hidden="false" customHeight="true" outlineLevel="0" collapsed="false">
      <c r="A102" s="121" t="n">
        <v>1908</v>
      </c>
      <c r="B102" s="132" t="n">
        <f aca="false">'Debt &amp; cash'!M67</f>
        <v>256.486939459926</v>
      </c>
      <c r="C102" s="132" t="n">
        <f aca="false">'Debt &amp; cash'!S67</f>
        <v>172.360687569958</v>
      </c>
      <c r="D102" s="132" t="n">
        <f aca="false">Budget!M68</f>
        <v>1080.86493695001</v>
      </c>
      <c r="E102" s="132" t="n">
        <f aca="false">Loans!W68</f>
        <v>6.98164369034241</v>
      </c>
      <c r="F102" s="132" t="n">
        <f aca="false">('Debt &amp; cash'!H68+'Debt &amp; cash'!Q68)*issue_price</f>
        <v>91.2638775990209</v>
      </c>
      <c r="G102" s="117" t="n">
        <f aca="false">SUM(B102:F102)</f>
        <v>1607.95808526926</v>
      </c>
      <c r="H102" s="132" t="n">
        <f aca="false">Budget!Y68</f>
        <v>841.301364822962</v>
      </c>
      <c r="I102" s="132" t="n">
        <f aca="false">Loans!V68</f>
        <v>0</v>
      </c>
      <c r="J102" s="132" t="n">
        <f aca="false">'Debt &amp; cash'!C68</f>
        <v>10.217104128861</v>
      </c>
      <c r="K102" s="132" t="n">
        <f aca="false">'Debt &amp; cash'!K68</f>
        <v>53.423716058629</v>
      </c>
      <c r="L102" s="132" t="n">
        <f aca="false">'Debt &amp; cash'!I68+'Debt &amp; cash'!J68+'Debt &amp; cash'!Q68*issue_price*dev_bonds</f>
        <v>247.083049436689</v>
      </c>
      <c r="M102" s="132" t="n">
        <f aca="false">'Debt &amp; cash'!M68</f>
        <v>270.216234237503</v>
      </c>
      <c r="N102" s="132" t="n">
        <f aca="false">'Debt &amp; cash'!S68</f>
        <v>185.716616584615</v>
      </c>
      <c r="O102" s="117" t="n">
        <f aca="false">SUM(H102:N102)</f>
        <v>1607.95808526926</v>
      </c>
      <c r="P102" s="133" t="n">
        <f aca="false">G102-O102</f>
        <v>0</v>
      </c>
      <c r="Q102" s="132" t="n">
        <f aca="false">'Debt &amp; cash'!Q68</f>
        <v>94.0864717515679</v>
      </c>
      <c r="R102" s="117" t="n">
        <f aca="false">Q102*issue_price</f>
        <v>91.2638775990209</v>
      </c>
      <c r="S102" s="117" t="n">
        <f aca="false">Q102-R102</f>
        <v>2.82259415254704</v>
      </c>
    </row>
    <row r="103" customFormat="false" ht="19.5" hidden="false" customHeight="true" outlineLevel="0" collapsed="false">
      <c r="A103" s="121" t="n">
        <v>1909</v>
      </c>
      <c r="B103" s="132" t="n">
        <f aca="false">'Debt &amp; cash'!M68</f>
        <v>270.216234237503</v>
      </c>
      <c r="C103" s="132" t="n">
        <f aca="false">'Debt &amp; cash'!S68</f>
        <v>185.716616584615</v>
      </c>
      <c r="D103" s="132" t="n">
        <f aca="false">Budget!M69</f>
        <v>1243.18478917404</v>
      </c>
      <c r="E103" s="132" t="n">
        <f aca="false">Loans!W69</f>
        <v>6.7029224435846</v>
      </c>
      <c r="F103" s="132" t="n">
        <f aca="false">('Debt &amp; cash'!H69+'Debt &amp; cash'!Q69)*issue_price</f>
        <v>144.877529343118</v>
      </c>
      <c r="G103" s="117" t="n">
        <f aca="false">SUM(B103:F103)</f>
        <v>1850.69809178286</v>
      </c>
      <c r="H103" s="132" t="n">
        <f aca="false">Budget!Y69</f>
        <v>968.206255254876</v>
      </c>
      <c r="I103" s="132" t="n">
        <f aca="false">Loans!V69</f>
        <v>0</v>
      </c>
      <c r="J103" s="132" t="n">
        <f aca="false">'Debt &amp; cash'!C69</f>
        <v>10.8260171601426</v>
      </c>
      <c r="K103" s="132" t="n">
        <f aca="false">'Debt &amp; cash'!K69</f>
        <v>55.2661142751831</v>
      </c>
      <c r="L103" s="132" t="n">
        <f aca="false">'Debt &amp; cash'!I69+'Debt &amp; cash'!J69+'Debt &amp; cash'!Q69*issue_price*dev_bonds</f>
        <v>306.070362645735</v>
      </c>
      <c r="M103" s="132" t="n">
        <f aca="false">'Debt &amp; cash'!M69</f>
        <v>310.796197293509</v>
      </c>
      <c r="N103" s="132" t="n">
        <f aca="false">'Debt &amp; cash'!S69</f>
        <v>199.533145153411</v>
      </c>
      <c r="O103" s="117" t="n">
        <f aca="false">SUM(H103:N103)</f>
        <v>1850.69809178286</v>
      </c>
      <c r="P103" s="133" t="n">
        <f aca="false">G103-O103</f>
        <v>0</v>
      </c>
      <c r="Q103" s="132" t="n">
        <f aca="false">'Debt &amp; cash'!Q69</f>
        <v>149.358277673317</v>
      </c>
      <c r="R103" s="117" t="n">
        <f aca="false">Q103*issue_price</f>
        <v>144.877529343118</v>
      </c>
      <c r="S103" s="117" t="n">
        <f aca="false">Q103-R103</f>
        <v>4.4807483301995</v>
      </c>
    </row>
    <row r="104" customFormat="false" ht="19.5" hidden="false" customHeight="true" outlineLevel="0" collapsed="false">
      <c r="A104" s="121" t="n">
        <v>1910</v>
      </c>
      <c r="B104" s="132" t="n">
        <f aca="false">'Debt &amp; cash'!M69</f>
        <v>310.796197293509</v>
      </c>
      <c r="C104" s="132" t="n">
        <f aca="false">'Debt &amp; cash'!S69</f>
        <v>199.533145153411</v>
      </c>
      <c r="D104" s="132" t="n">
        <f aca="false">Budget!M70</f>
        <v>1360.1926613371</v>
      </c>
      <c r="E104" s="132" t="n">
        <f aca="false">Loans!W70</f>
        <v>6.43533371167141</v>
      </c>
      <c r="F104" s="132" t="n">
        <f aca="false">('Debt &amp; cash'!H70+'Debt &amp; cash'!Q70)*issue_price</f>
        <v>130.893042504105</v>
      </c>
      <c r="G104" s="117" t="n">
        <f aca="false">SUM(B104:F104)</f>
        <v>2007.8503799998</v>
      </c>
      <c r="H104" s="132" t="n">
        <f aca="false">Budget!Y70</f>
        <v>1065.17024514405</v>
      </c>
      <c r="I104" s="132" t="n">
        <f aca="false">Loans!V70</f>
        <v>0</v>
      </c>
      <c r="J104" s="132" t="n">
        <f aca="false">'Debt &amp; cash'!C70</f>
        <v>12.4913400849024</v>
      </c>
      <c r="K104" s="132" t="n">
        <f aca="false">'Debt &amp; cash'!K70</f>
        <v>62.3314660269733</v>
      </c>
      <c r="L104" s="132" t="n">
        <f aca="false">'Debt &amp; cash'!I70+'Debt &amp; cash'!J70+'Debt &amp; cash'!Q70*issue_price*dev_bonds</f>
        <v>312.693151749444</v>
      </c>
      <c r="M104" s="132" t="n">
        <f aca="false">'Debt &amp; cash'!M70</f>
        <v>340.048165334276</v>
      </c>
      <c r="N104" s="132" t="n">
        <f aca="false">'Debt &amp; cash'!S70</f>
        <v>215.116011660154</v>
      </c>
      <c r="O104" s="117" t="n">
        <f aca="false">SUM(H104:N104)</f>
        <v>2007.8503799998</v>
      </c>
      <c r="P104" s="133" t="n">
        <f aca="false">G104-O104</f>
        <v>0</v>
      </c>
      <c r="Q104" s="132" t="n">
        <f aca="false">'Debt &amp; cash'!Q70</f>
        <v>134.941280932067</v>
      </c>
      <c r="R104" s="117" t="n">
        <f aca="false">Q104*issue_price</f>
        <v>130.893042504105</v>
      </c>
      <c r="S104" s="117" t="n">
        <f aca="false">Q104-R104</f>
        <v>4.04823842796202</v>
      </c>
    </row>
    <row r="105" customFormat="false" ht="19.5" hidden="false" customHeight="true" outlineLevel="0" collapsed="false">
      <c r="A105" s="121" t="n">
        <v>1911</v>
      </c>
      <c r="B105" s="132" t="n">
        <f aca="false">'Debt &amp; cash'!M70</f>
        <v>340.048165334276</v>
      </c>
      <c r="C105" s="132" t="n">
        <f aca="false">'Debt &amp; cash'!S70</f>
        <v>215.116011660154</v>
      </c>
      <c r="D105" s="132" t="n">
        <f aca="false">Budget!M71</f>
        <v>1480.80514068288</v>
      </c>
      <c r="E105" s="132" t="n">
        <f aca="false">Loans!W71</f>
        <v>6.17843268405985</v>
      </c>
      <c r="F105" s="132" t="n">
        <f aca="false">('Debt &amp; cash'!H71+'Debt &amp; cash'!Q71)*issue_price</f>
        <v>137.132541247425</v>
      </c>
      <c r="G105" s="117" t="n">
        <f aca="false">SUM(B105:F105)</f>
        <v>2179.28029160879</v>
      </c>
      <c r="H105" s="132" t="n">
        <f aca="false">Budget!Y71</f>
        <v>1170.82784123878</v>
      </c>
      <c r="I105" s="132" t="n">
        <f aca="false">Loans!V71</f>
        <v>0</v>
      </c>
      <c r="J105" s="132" t="n">
        <f aca="false">'Debt &amp; cash'!C71</f>
        <v>13.6937095813063</v>
      </c>
      <c r="K105" s="132" t="n">
        <f aca="false">'Debt &amp; cash'!K71</f>
        <v>65.354136650497</v>
      </c>
      <c r="L105" s="132" t="n">
        <f aca="false">'Debt &amp; cash'!I71+'Debt &amp; cash'!J71+'Debt &amp; cash'!Q71*issue_price*dev_bonds</f>
        <v>327.748773144708</v>
      </c>
      <c r="M105" s="132" t="n">
        <f aca="false">'Debt &amp; cash'!M71</f>
        <v>370.201285170719</v>
      </c>
      <c r="N105" s="132" t="n">
        <f aca="false">'Debt &amp; cash'!S71</f>
        <v>231.454545822778</v>
      </c>
      <c r="O105" s="117" t="n">
        <f aca="false">SUM(H105:N105)</f>
        <v>2179.28029160879</v>
      </c>
      <c r="P105" s="133" t="n">
        <f aca="false">G105-O105</f>
        <v>0</v>
      </c>
      <c r="Q105" s="132" t="n">
        <f aca="false">'Debt &amp; cash'!Q71</f>
        <v>141.373753863325</v>
      </c>
      <c r="R105" s="117" t="n">
        <f aca="false">Q105*issue_price</f>
        <v>137.132541247425</v>
      </c>
      <c r="S105" s="117" t="n">
        <f aca="false">Q105-R105</f>
        <v>4.24121261589974</v>
      </c>
    </row>
    <row r="106" customFormat="false" ht="19.5" hidden="false" customHeight="true" outlineLevel="0" collapsed="false">
      <c r="A106" s="121" t="n">
        <v>1912</v>
      </c>
      <c r="B106" s="132" t="n">
        <f aca="false">'Debt &amp; cash'!M71</f>
        <v>370.201285170719</v>
      </c>
      <c r="C106" s="132" t="n">
        <f aca="false">'Debt &amp; cash'!S71</f>
        <v>231.454545822778</v>
      </c>
      <c r="D106" s="132" t="n">
        <f aca="false">Budget!M72</f>
        <v>1612.041070159</v>
      </c>
      <c r="E106" s="132" t="n">
        <f aca="false">Loans!W72</f>
        <v>5.93179232792709</v>
      </c>
      <c r="F106" s="132" t="n">
        <f aca="false">('Debt &amp; cash'!H72+'Debt &amp; cash'!Q72)*issue_price</f>
        <v>148.82397966492</v>
      </c>
      <c r="G106" s="117" t="n">
        <f aca="false">SUM(B106:F106)</f>
        <v>2368.45267314535</v>
      </c>
      <c r="H106" s="132" t="n">
        <f aca="false">Budget!Y72</f>
        <v>1278.16672311526</v>
      </c>
      <c r="I106" s="132" t="n">
        <f aca="false">Loans!V72</f>
        <v>0</v>
      </c>
      <c r="J106" s="132" t="n">
        <f aca="false">'Debt &amp; cash'!C72</f>
        <v>14.9402277339367</v>
      </c>
      <c r="K106" s="132" t="n">
        <f aca="false">'Debt &amp; cash'!K72</f>
        <v>70.093663024488</v>
      </c>
      <c r="L106" s="132" t="n">
        <f aca="false">'Debt &amp; cash'!I72+'Debt &amp; cash'!J72+'Debt &amp; cash'!Q72*issue_price*dev_bonds</f>
        <v>353.26383015301</v>
      </c>
      <c r="M106" s="132" t="n">
        <f aca="false">'Debt &amp; cash'!M72</f>
        <v>403.01026753975</v>
      </c>
      <c r="N106" s="132" t="n">
        <f aca="false">'Debt &amp; cash'!S72</f>
        <v>248.9779615789</v>
      </c>
      <c r="O106" s="117" t="n">
        <f aca="false">SUM(H106:N106)</f>
        <v>2368.45267314535</v>
      </c>
      <c r="P106" s="133" t="n">
        <f aca="false">G106-O106</f>
        <v>0</v>
      </c>
      <c r="Q106" s="132" t="n">
        <f aca="false">'Debt &amp; cash'!Q72</f>
        <v>153.426783159712</v>
      </c>
      <c r="R106" s="117" t="n">
        <f aca="false">Q106*issue_price</f>
        <v>148.82397966492</v>
      </c>
      <c r="S106" s="117" t="n">
        <f aca="false">Q106-R106</f>
        <v>4.60280349479135</v>
      </c>
    </row>
    <row r="107" customFormat="false" ht="19.5" hidden="false" customHeight="true" outlineLevel="0" collapsed="false">
      <c r="A107" s="121" t="n">
        <v>1913</v>
      </c>
      <c r="B107" s="132" t="n">
        <f aca="false">'Debt &amp; cash'!M72</f>
        <v>403.01026753975</v>
      </c>
      <c r="C107" s="132" t="n">
        <f aca="false">'Debt &amp; cash'!S72</f>
        <v>248.9779615789</v>
      </c>
      <c r="D107" s="132" t="n">
        <f aca="false">Budget!M73</f>
        <v>1753.8047412288</v>
      </c>
      <c r="E107" s="132" t="n">
        <f aca="false">Loans!W73</f>
        <v>5.69500267750276</v>
      </c>
      <c r="F107" s="132" t="n">
        <f aca="false">('Debt &amp; cash'!H73+'Debt &amp; cash'!Q73)*issue_price</f>
        <v>159.385944779814</v>
      </c>
      <c r="G107" s="117" t="n">
        <f aca="false">SUM(B107:F107)</f>
        <v>2570.87391780476</v>
      </c>
      <c r="H107" s="132" t="n">
        <f aca="false">Budget!Y73</f>
        <v>1398.70898643708</v>
      </c>
      <c r="I107" s="132" t="n">
        <f aca="false">Loans!V73</f>
        <v>0</v>
      </c>
      <c r="J107" s="132" t="n">
        <f aca="false">'Debt &amp; cash'!C73</f>
        <v>16.3080855819624</v>
      </c>
      <c r="K107" s="132" t="n">
        <f aca="false">'Debt &amp; cash'!K73</f>
        <v>74.1700209887548</v>
      </c>
      <c r="L107" s="132" t="n">
        <f aca="false">'Debt &amp; cash'!I73+'Debt &amp; cash'!J73+'Debt &amp; cash'!Q73*issue_price*dev_bonds</f>
        <v>375.715172663682</v>
      </c>
      <c r="M107" s="132" t="n">
        <f aca="false">'Debt &amp; cash'!M73</f>
        <v>438.451185307199</v>
      </c>
      <c r="N107" s="132" t="n">
        <f aca="false">'Debt &amp; cash'!S73</f>
        <v>267.520466826089</v>
      </c>
      <c r="O107" s="117" t="n">
        <f aca="false">SUM(H107:N107)</f>
        <v>2570.87391780476</v>
      </c>
      <c r="P107" s="133" t="n">
        <f aca="false">G107-O107</f>
        <v>0</v>
      </c>
      <c r="Q107" s="132" t="n">
        <f aca="false">'Debt &amp; cash'!Q73</f>
        <v>164.315406989499</v>
      </c>
      <c r="R107" s="117" t="n">
        <f aca="false">Q107*issue_price</f>
        <v>159.385944779814</v>
      </c>
      <c r="S107" s="117" t="n">
        <f aca="false">Q107-R107</f>
        <v>4.92946220968497</v>
      </c>
    </row>
    <row r="108" customFormat="false" ht="19.5" hidden="false" customHeight="true" outlineLevel="0" collapsed="false">
      <c r="A108" s="121" t="n">
        <v>1914</v>
      </c>
      <c r="B108" s="132" t="n">
        <f aca="false">'Debt &amp; cash'!M73</f>
        <v>438.451185307199</v>
      </c>
      <c r="C108" s="132" t="n">
        <f aca="false">'Debt &amp; cash'!S73</f>
        <v>267.520466826089</v>
      </c>
      <c r="D108" s="132" t="n">
        <f aca="false">Budget!M74</f>
        <v>1824.57050806336</v>
      </c>
      <c r="E108" s="132" t="n">
        <f aca="false">Loans!W74</f>
        <v>5.42231475485402</v>
      </c>
      <c r="F108" s="132" t="n">
        <f aca="false">('Debt &amp; cash'!H74+'Debt &amp; cash'!Q74)*issue_price</f>
        <v>94.4960435282989</v>
      </c>
      <c r="G108" s="117" t="n">
        <f aca="false">SUM(B108:F108)</f>
        <v>2630.4605184798</v>
      </c>
      <c r="H108" s="132" t="n">
        <f aca="false">Budget!Y74</f>
        <v>1496.69768789968</v>
      </c>
      <c r="I108" s="132" t="n">
        <f aca="false">Loans!V74</f>
        <v>85</v>
      </c>
      <c r="J108" s="132" t="n">
        <f aca="false">'Debt &amp; cash'!C74</f>
        <v>17.7848315903381</v>
      </c>
      <c r="K108" s="132" t="n">
        <f aca="false">'Debt &amp; cash'!K74</f>
        <v>51.0765267886922</v>
      </c>
      <c r="L108" s="132" t="n">
        <f aca="false">'Debt &amp; cash'!I74+'Debt &amp; cash'!J74+'Debt &amp; cash'!Q74*issue_price*dev_bonds</f>
        <v>243.469246661984</v>
      </c>
      <c r="M108" s="132" t="n">
        <f aca="false">'Debt &amp; cash'!M74</f>
        <v>456.142627015839</v>
      </c>
      <c r="N108" s="132" t="n">
        <f aca="false">'Debt &amp; cash'!S74</f>
        <v>280.289598523262</v>
      </c>
      <c r="O108" s="117" t="n">
        <f aca="false">SUM(H108:N108)</f>
        <v>2630.4605184798</v>
      </c>
      <c r="P108" s="133" t="n">
        <f aca="false">G108-O108</f>
        <v>0</v>
      </c>
      <c r="Q108" s="132" t="n">
        <f aca="false">'Debt &amp; cash'!Q74</f>
        <v>97.4186015755658</v>
      </c>
      <c r="R108" s="117" t="n">
        <f aca="false">Q108*issue_price</f>
        <v>94.4960435282989</v>
      </c>
      <c r="S108" s="117" t="n">
        <f aca="false">Q108-R108</f>
        <v>2.92255804726697</v>
      </c>
    </row>
    <row r="109" customFormat="false" ht="19.5" hidden="false" customHeight="true" outlineLevel="0" collapsed="false">
      <c r="A109" s="121" t="n">
        <v>1915</v>
      </c>
      <c r="B109" s="132" t="n">
        <f aca="false">'Debt &amp; cash'!M74</f>
        <v>456.142627015839</v>
      </c>
      <c r="C109" s="132" t="n">
        <f aca="false">'Debt &amp; cash'!S74</f>
        <v>280.289598523262</v>
      </c>
      <c r="D109" s="132" t="n">
        <f aca="false">Budget!M75</f>
        <v>2422.06442117491</v>
      </c>
      <c r="E109" s="132" t="n">
        <f aca="false">Loans!W75</f>
        <v>5.20542216465986</v>
      </c>
      <c r="F109" s="132" t="n">
        <f aca="false">('Debt &amp; cash'!H75+'Debt &amp; cash'!Q75)*issue_price</f>
        <v>196.824739097561</v>
      </c>
      <c r="G109" s="117" t="n">
        <f aca="false">SUM(B109:F109)</f>
        <v>3360.52680797623</v>
      </c>
      <c r="H109" s="132" t="n">
        <f aca="false">Budget!Y75</f>
        <v>1731.85477296821</v>
      </c>
      <c r="I109" s="132" t="n">
        <f aca="false">Loans!V75</f>
        <v>226.61</v>
      </c>
      <c r="J109" s="132" t="n">
        <f aca="false">'Debt &amp; cash'!C75</f>
        <v>18.5459764542688</v>
      </c>
      <c r="K109" s="132" t="n">
        <f aca="false">'Debt &amp; cash'!K75</f>
        <v>72.2125477534078</v>
      </c>
      <c r="L109" s="132" t="n">
        <f aca="false">'Debt &amp; cash'!I75+'Debt &amp; cash'!J75+'Debt &amp; cash'!Q75*issue_price*dev_bonds</f>
        <v>407.444670045001</v>
      </c>
      <c r="M109" s="132" t="n">
        <f aca="false">'Debt &amp; cash'!M75</f>
        <v>605.516105293727</v>
      </c>
      <c r="N109" s="132" t="n">
        <f aca="false">'Debt &amp; cash'!S75</f>
        <v>298.342735461614</v>
      </c>
      <c r="O109" s="117" t="n">
        <f aca="false">SUM(H109:N109)</f>
        <v>3360.52680797623</v>
      </c>
      <c r="P109" s="133" t="n">
        <f aca="false">G109-O109</f>
        <v>0</v>
      </c>
      <c r="Q109" s="132" t="n">
        <f aca="false">'Debt &amp; cash'!Q75</f>
        <v>202.912102162435</v>
      </c>
      <c r="R109" s="117" t="n">
        <f aca="false">Q109*issue_price</f>
        <v>196.824739097561</v>
      </c>
      <c r="S109" s="117" t="n">
        <f aca="false">Q109-R109</f>
        <v>6.08736306487305</v>
      </c>
    </row>
    <row r="110" customFormat="false" ht="19.5" hidden="false" customHeight="true" outlineLevel="0" collapsed="false">
      <c r="A110" s="121" t="n">
        <v>1916</v>
      </c>
      <c r="B110" s="132" t="n">
        <f aca="false">'Debt &amp; cash'!M75</f>
        <v>605.516105293727</v>
      </c>
      <c r="C110" s="132" t="n">
        <f aca="false">'Debt &amp; cash'!S75</f>
        <v>298.342735461614</v>
      </c>
      <c r="D110" s="132" t="n">
        <f aca="false">Budget!M76</f>
        <v>2880.35033248548</v>
      </c>
      <c r="E110" s="132" t="n">
        <f aca="false">Loans!W76</f>
        <v>4.99720527807347</v>
      </c>
      <c r="F110" s="132" t="n">
        <f aca="false">('Debt &amp; cash'!H76+'Debt &amp; cash'!Q76)*issue_price</f>
        <v>281.614462935575</v>
      </c>
      <c r="G110" s="117" t="n">
        <f aca="false">SUM(B110:F110)</f>
        <v>4070.82084145447</v>
      </c>
      <c r="H110" s="132" t="n">
        <f aca="false">Budget!Y76</f>
        <v>2046.5478242406</v>
      </c>
      <c r="I110" s="132" t="n">
        <f aca="false">Loans!V76</f>
        <v>396.61</v>
      </c>
      <c r="J110" s="132" t="n">
        <f aca="false">'Debt &amp; cash'!C76</f>
        <v>20.7890480133639</v>
      </c>
      <c r="K110" s="132" t="n">
        <f aca="false">'Debt &amp; cash'!K76</f>
        <v>73.6390050436669</v>
      </c>
      <c r="L110" s="132" t="n">
        <f aca="false">'Debt &amp; cash'!I76+'Debt &amp; cash'!J76+'Debt &amp; cash'!Q76*issue_price*dev_bonds</f>
        <v>496.394894312936</v>
      </c>
      <c r="M110" s="132" t="n">
        <f aca="false">'Debt &amp; cash'!M76</f>
        <v>720.087583121369</v>
      </c>
      <c r="N110" s="132" t="n">
        <f aca="false">'Debt &amp; cash'!S76</f>
        <v>316.752486722531</v>
      </c>
      <c r="O110" s="117" t="n">
        <f aca="false">SUM(H110:N110)</f>
        <v>4070.82084145447</v>
      </c>
      <c r="P110" s="133" t="n">
        <f aca="false">G110-O110</f>
        <v>0</v>
      </c>
      <c r="Q110" s="132" t="n">
        <f aca="false">'Debt &amp; cash'!Q76</f>
        <v>290.324188593376</v>
      </c>
      <c r="R110" s="117" t="n">
        <f aca="false">Q110*issue_price</f>
        <v>281.614462935575</v>
      </c>
      <c r="S110" s="117" t="n">
        <f aca="false">Q110-R110</f>
        <v>8.7097256578013</v>
      </c>
    </row>
    <row r="111" customFormat="false" ht="19.5" hidden="false" customHeight="true" outlineLevel="0" collapsed="false">
      <c r="A111" s="121" t="n">
        <v>1917</v>
      </c>
      <c r="B111" s="132" t="n">
        <f aca="false">'Debt &amp; cash'!M76</f>
        <v>720.087583121369</v>
      </c>
      <c r="C111" s="132" t="n">
        <f aca="false">'Debt &amp; cash'!S76</f>
        <v>316.752486722531</v>
      </c>
      <c r="D111" s="132" t="n">
        <f aca="false">Budget!M77</f>
        <v>3642.74866184392</v>
      </c>
      <c r="E111" s="132" t="n">
        <f aca="false">Loans!W77</f>
        <v>4.79731706695053</v>
      </c>
      <c r="F111" s="132" t="n">
        <f aca="false">('Debt &amp; cash'!H77+'Debt &amp; cash'!Q77)*issue_price</f>
        <v>427.625844111834</v>
      </c>
      <c r="G111" s="117" t="n">
        <f aca="false">SUM(B111:F111)</f>
        <v>5112.0118928666</v>
      </c>
      <c r="H111" s="132" t="n">
        <f aca="false">Budget!Y77</f>
        <v>2556.75356471213</v>
      </c>
      <c r="I111" s="132" t="n">
        <f aca="false">Loans!V77</f>
        <v>510</v>
      </c>
      <c r="J111" s="132" t="n">
        <f aca="false">'Debt &amp; cash'!C77</f>
        <v>24.7069707240908</v>
      </c>
      <c r="K111" s="132" t="n">
        <f aca="false">'Debt &amp; cash'!K77</f>
        <v>87.7166066724093</v>
      </c>
      <c r="L111" s="132" t="n">
        <f aca="false">'Debt &amp; cash'!I77+'Debt &amp; cash'!J77+'Debt &amp; cash'!Q77*issue_price*dev_bonds</f>
        <v>683.465946906361</v>
      </c>
      <c r="M111" s="132" t="n">
        <f aca="false">'Debt &amp; cash'!M77</f>
        <v>910.68716546098</v>
      </c>
      <c r="N111" s="132" t="n">
        <f aca="false">'Debt &amp; cash'!S77</f>
        <v>338.681638390633</v>
      </c>
      <c r="O111" s="117" t="n">
        <f aca="false">SUM(H111:N111)</f>
        <v>5112.0118928666</v>
      </c>
      <c r="P111" s="133" t="n">
        <f aca="false">G111-O111</f>
        <v>0</v>
      </c>
      <c r="Q111" s="132" t="n">
        <f aca="false">'Debt &amp; cash'!Q77</f>
        <v>440.851385682303</v>
      </c>
      <c r="R111" s="117" t="n">
        <f aca="false">Q111*issue_price</f>
        <v>427.625844111834</v>
      </c>
      <c r="S111" s="117" t="n">
        <f aca="false">Q111-R111</f>
        <v>13.2255415704691</v>
      </c>
    </row>
    <row r="112" customFormat="false" ht="19.5" hidden="false" customHeight="true" outlineLevel="0" collapsed="false">
      <c r="A112" s="121" t="n">
        <v>1918</v>
      </c>
      <c r="B112" s="132" t="n">
        <f aca="false">'Debt &amp; cash'!M77</f>
        <v>910.68716546098</v>
      </c>
      <c r="C112" s="132" t="n">
        <f aca="false">'Debt &amp; cash'!S77</f>
        <v>338.681638390633</v>
      </c>
      <c r="D112" s="132" t="n">
        <f aca="false">Budget!M78</f>
        <v>4435.04230376981</v>
      </c>
      <c r="E112" s="132" t="n">
        <f aca="false">Loans!W78</f>
        <v>4.60542438427251</v>
      </c>
      <c r="F112" s="132" t="n">
        <f aca="false">('Debt &amp; cash'!H78+'Debt &amp; cash'!Q78)*issue_price</f>
        <v>449.153639240514</v>
      </c>
      <c r="G112" s="117" t="n">
        <f aca="false">SUM(B112:F112)</f>
        <v>6138.17017124621</v>
      </c>
      <c r="H112" s="132" t="n">
        <f aca="false">Budget!Y78</f>
        <v>3294.77379444097</v>
      </c>
      <c r="I112" s="132" t="n">
        <f aca="false">Loans!V78</f>
        <v>528.78</v>
      </c>
      <c r="J112" s="132" t="n">
        <f aca="false">'Debt &amp; cash'!C78</f>
        <v>31.2755268898069</v>
      </c>
      <c r="K112" s="132" t="n">
        <f aca="false">'Debt &amp; cash'!K78</f>
        <v>92.8187991220402</v>
      </c>
      <c r="L112" s="132" t="n">
        <f aca="false">'Debt &amp; cash'!I78+'Debt &amp; cash'!J78+'Debt &amp; cash'!Q78*issue_price*dev_bonds</f>
        <v>719.875136679798</v>
      </c>
      <c r="M112" s="132" t="n">
        <f aca="false">'Debt &amp; cash'!M78</f>
        <v>1108.76057594245</v>
      </c>
      <c r="N112" s="132" t="n">
        <f aca="false">'Debt &amp; cash'!S78</f>
        <v>361.886338171143</v>
      </c>
      <c r="O112" s="117" t="n">
        <f aca="false">SUM(H112:N112)</f>
        <v>6138.17017124621</v>
      </c>
      <c r="P112" s="133" t="n">
        <f aca="false">G112-O112</f>
        <v>0</v>
      </c>
      <c r="Q112" s="132" t="n">
        <f aca="false">'Debt &amp; cash'!Q78</f>
        <v>463.044988907747</v>
      </c>
      <c r="R112" s="117" t="n">
        <f aca="false">Q112*issue_price</f>
        <v>449.153639240514</v>
      </c>
      <c r="S112" s="117" t="n">
        <f aca="false">Q112-R112</f>
        <v>13.8913496672324</v>
      </c>
    </row>
    <row r="113" customFormat="false" ht="19.5" hidden="false" customHeight="true" outlineLevel="0" collapsed="false">
      <c r="A113" s="121" t="n">
        <v>1919</v>
      </c>
      <c r="B113" s="132" t="n">
        <f aca="false">'Debt &amp; cash'!M78</f>
        <v>1108.76057594245</v>
      </c>
      <c r="C113" s="132" t="n">
        <f aca="false">'Debt &amp; cash'!S78</f>
        <v>361.886338171143</v>
      </c>
      <c r="D113" s="132" t="n">
        <f aca="false">Budget!M79</f>
        <v>5204.06149385352</v>
      </c>
      <c r="E113" s="132" t="n">
        <f aca="false">Loans!W79</f>
        <v>6.30120740890161</v>
      </c>
      <c r="F113" s="132" t="n">
        <f aca="false">('Debt &amp; cash'!H79+'Debt &amp; cash'!Q79)*issue_price</f>
        <v>516.962601271537</v>
      </c>
      <c r="G113" s="117" t="n">
        <f aca="false">SUM(B113:F113)</f>
        <v>7197.97221664756</v>
      </c>
      <c r="H113" s="132" t="n">
        <f aca="false">Budget!Y79</f>
        <v>3928.77857545675</v>
      </c>
      <c r="I113" s="132" t="n">
        <f aca="false">Loans!V79</f>
        <v>154.7851</v>
      </c>
      <c r="J113" s="132" t="n">
        <f aca="false">'Debt &amp; cash'!C79</f>
        <v>38.0545401477249</v>
      </c>
      <c r="K113" s="132" t="n">
        <f aca="false">'Debt &amp; cash'!K79</f>
        <v>215.157525152885</v>
      </c>
      <c r="L113" s="132" t="n">
        <f aca="false">'Debt &amp; cash'!I79+'Debt &amp; cash'!J79+'Debt &amp; cash'!Q79*issue_price*dev_bonds</f>
        <v>1144.50538296745</v>
      </c>
      <c r="M113" s="132" t="n">
        <f aca="false">'Debt &amp; cash'!M79</f>
        <v>1301.01537346338</v>
      </c>
      <c r="N113" s="132" t="n">
        <f aca="false">'Debt &amp; cash'!S79</f>
        <v>415.675719459364</v>
      </c>
      <c r="O113" s="117" t="n">
        <f aca="false">SUM(H113:N113)</f>
        <v>7197.97221664756</v>
      </c>
      <c r="P113" s="133" t="n">
        <f aca="false">G113-O113</f>
        <v>0</v>
      </c>
      <c r="Q113" s="132" t="n">
        <f aca="false">'Debt &amp; cash'!Q79</f>
        <v>532.951135331482</v>
      </c>
      <c r="R113" s="117" t="n">
        <f aca="false">Q113*issue_price</f>
        <v>516.962601271537</v>
      </c>
      <c r="S113" s="117" t="n">
        <f aca="false">Q113-R113</f>
        <v>15.9885340599444</v>
      </c>
    </row>
    <row r="114" customFormat="false" ht="19.5" hidden="false" customHeight="true" outlineLevel="0" collapsed="false">
      <c r="A114" s="121" t="n">
        <v>1920</v>
      </c>
      <c r="B114" s="132" t="n">
        <f aca="false">'Debt &amp; cash'!M79</f>
        <v>1301.01537346338</v>
      </c>
      <c r="C114" s="132" t="n">
        <f aca="false">'Debt &amp; cash'!S79</f>
        <v>415.675719459364</v>
      </c>
      <c r="D114" s="132" t="n">
        <f aca="false">Budget!M80</f>
        <v>6028.29674719143</v>
      </c>
      <c r="E114" s="132" t="n">
        <f aca="false">Loans!W80</f>
        <v>8.72915911254554</v>
      </c>
      <c r="F114" s="132" t="n">
        <f aca="false">('Debt &amp; cash'!H80+'Debt &amp; cash'!Q80)*issue_price</f>
        <v>697.49357912079</v>
      </c>
      <c r="G114" s="117" t="n">
        <f aca="false">SUM(B114:F114)</f>
        <v>8451.21057834751</v>
      </c>
      <c r="H114" s="132" t="n">
        <f aca="false">Budget!Y80</f>
        <v>4303.91601737232</v>
      </c>
      <c r="I114" s="132" t="n">
        <f aca="false">Loans!V80</f>
        <v>256.777</v>
      </c>
      <c r="J114" s="132" t="n">
        <f aca="false">'Debt &amp; cash'!C80</f>
        <v>43.6493215483423</v>
      </c>
      <c r="K114" s="132" t="n">
        <f aca="false">'Debt &amp; cash'!K80</f>
        <v>294.38994097172</v>
      </c>
      <c r="L114" s="132" t="n">
        <f aca="false">'Debt &amp; cash'!I80+'Debt &amp; cash'!J80+'Debt &amp; cash'!Q80*issue_price*dev_bonds</f>
        <v>1556.13090695497</v>
      </c>
      <c r="M114" s="132" t="n">
        <f aca="false">'Debt &amp; cash'!M80</f>
        <v>1507.07418679786</v>
      </c>
      <c r="N114" s="132" t="n">
        <f aca="false">'Debt &amp; cash'!S80</f>
        <v>489.273204702294</v>
      </c>
      <c r="O114" s="117" t="n">
        <f aca="false">SUM(H114:N114)</f>
        <v>8451.21057834751</v>
      </c>
      <c r="P114" s="133" t="n">
        <f aca="false">G114-O114</f>
        <v>0</v>
      </c>
      <c r="Q114" s="132" t="n">
        <f aca="false">'Debt &amp; cash'!Q80</f>
        <v>719.065545485351</v>
      </c>
      <c r="R114" s="117" t="n">
        <f aca="false">Q114*issue_price</f>
        <v>697.49357912079</v>
      </c>
      <c r="S114" s="117" t="n">
        <f aca="false">Q114-R114</f>
        <v>21.5719663645606</v>
      </c>
    </row>
    <row r="115" customFormat="false" ht="19.5" hidden="false" customHeight="true" outlineLevel="0" collapsed="false">
      <c r="A115" s="121" t="n">
        <v>1921</v>
      </c>
      <c r="B115" s="132" t="n">
        <f aca="false">'Debt &amp; cash'!M80</f>
        <v>1507.07418679786</v>
      </c>
      <c r="C115" s="132" t="n">
        <f aca="false">'Debt &amp; cash'!S80</f>
        <v>489.273204702294</v>
      </c>
      <c r="D115" s="132" t="n">
        <f aca="false">Budget!M81</f>
        <v>4375.38920739558</v>
      </c>
      <c r="E115" s="132" t="n">
        <f aca="false">Loans!W81</f>
        <v>9.05999274804372</v>
      </c>
      <c r="F115" s="132" t="n">
        <f aca="false">('Debt &amp; cash'!H81+'Debt &amp; cash'!Q81)*issue_price</f>
        <v>0</v>
      </c>
      <c r="G115" s="117" t="n">
        <f aca="false">SUM(B115:F115)</f>
        <v>6380.79659164378</v>
      </c>
      <c r="H115" s="132" t="n">
        <f aca="false">Budget!Y81</f>
        <v>3486.44460992974</v>
      </c>
      <c r="I115" s="132" t="n">
        <f aca="false">Loans!V81</f>
        <v>97</v>
      </c>
      <c r="J115" s="132" t="n">
        <f aca="false">'Debt &amp; cash'!C81</f>
        <v>51.2698472076481</v>
      </c>
      <c r="K115" s="132" t="n">
        <f aca="false">'Debt &amp; cash'!K81</f>
        <v>279.110790709248</v>
      </c>
      <c r="L115" s="132" t="n">
        <f aca="false">'Debt &amp; cash'!I81+'Debt &amp; cash'!J81+'Debt &amp; cash'!Q81*issue_price*dev_bonds</f>
        <v>814.073139568639</v>
      </c>
      <c r="M115" s="132" t="n">
        <f aca="false">'Debt &amp; cash'!M81</f>
        <v>1093.8473018489</v>
      </c>
      <c r="N115" s="132" t="n">
        <f aca="false">'Debt &amp; cash'!S81</f>
        <v>559.050902379606</v>
      </c>
      <c r="O115" s="117" t="n">
        <f aca="false">SUM(H115:N115)</f>
        <v>6380.79659164378</v>
      </c>
      <c r="P115" s="133" t="n">
        <f aca="false">G115-O115</f>
        <v>0</v>
      </c>
      <c r="Q115" s="132" t="n">
        <f aca="false">'Debt &amp; cash'!Q81</f>
        <v>0</v>
      </c>
      <c r="R115" s="117" t="n">
        <f aca="false">Q115*issue_price</f>
        <v>0</v>
      </c>
      <c r="S115" s="117" t="n">
        <f aca="false">Q115-R115</f>
        <v>0</v>
      </c>
    </row>
    <row r="116" customFormat="false" ht="19.5" hidden="false" customHeight="true" outlineLevel="0" collapsed="false">
      <c r="A116" s="121" t="n">
        <v>1922</v>
      </c>
      <c r="B116" s="132" t="n">
        <f aca="false">'Debt &amp; cash'!M81</f>
        <v>1093.8473018489</v>
      </c>
      <c r="C116" s="132" t="n">
        <f aca="false">'Debt &amp; cash'!S81</f>
        <v>559.050902379606</v>
      </c>
      <c r="D116" s="132" t="n">
        <f aca="false">Budget!M82</f>
        <v>4544.40575334999</v>
      </c>
      <c r="E116" s="132" t="n">
        <f aca="false">Loans!W82</f>
        <v>9.37759303812197</v>
      </c>
      <c r="F116" s="132" t="n">
        <f aca="false">('Debt &amp; cash'!H82+'Debt &amp; cash'!Q82)*issue_price</f>
        <v>182.262878855606</v>
      </c>
      <c r="G116" s="117" t="n">
        <f aca="false">SUM(B116:F116)</f>
        <v>6388.94442947222</v>
      </c>
      <c r="H116" s="132" t="n">
        <f aca="false">Budget!Y82</f>
        <v>3507.03114501645</v>
      </c>
      <c r="I116" s="132" t="n">
        <f aca="false">Loans!V82</f>
        <v>97</v>
      </c>
      <c r="J116" s="132" t="n">
        <f aca="false">'Debt &amp; cash'!C82</f>
        <v>44.6622344493102</v>
      </c>
      <c r="K116" s="132" t="n">
        <f aca="false">'Debt &amp; cash'!K82</f>
        <v>207.0805993041</v>
      </c>
      <c r="L116" s="132" t="n">
        <f aca="false">'Debt &amp; cash'!I82+'Debt &amp; cash'!J82+'Debt &amp; cash'!Q82*issue_price*dev_bonds</f>
        <v>786.247960159232</v>
      </c>
      <c r="M116" s="132" t="n">
        <f aca="false">'Debt &amp; cash'!M82</f>
        <v>1136.1014383375</v>
      </c>
      <c r="N116" s="132" t="n">
        <f aca="false">'Debt &amp; cash'!S82</f>
        <v>610.821052205631</v>
      </c>
      <c r="O116" s="117" t="n">
        <f aca="false">SUM(H116:N116)</f>
        <v>6388.94442947222</v>
      </c>
      <c r="P116" s="133" t="n">
        <f aca="false">G116-O116</f>
        <v>0</v>
      </c>
      <c r="Q116" s="132" t="n">
        <f aca="false">'Debt &amp; cash'!Q82</f>
        <v>187.899875108873</v>
      </c>
      <c r="R116" s="117" t="n">
        <f aca="false">Q116*issue_price</f>
        <v>182.262878855606</v>
      </c>
      <c r="S116" s="117" t="n">
        <f aca="false">Q116-R116</f>
        <v>5.63699625326618</v>
      </c>
    </row>
    <row r="117" customFormat="false" ht="19.5" hidden="false" customHeight="true" outlineLevel="0" collapsed="false">
      <c r="A117" s="121" t="n">
        <v>1923</v>
      </c>
      <c r="B117" s="132" t="n">
        <f aca="false">'Debt &amp; cash'!M82</f>
        <v>1136.1014383375</v>
      </c>
      <c r="C117" s="132" t="n">
        <f aca="false">'Debt &amp; cash'!S82</f>
        <v>610.821052205631</v>
      </c>
      <c r="D117" s="132" t="n">
        <f aca="false">Budget!M83</f>
        <v>5096.69264575436</v>
      </c>
      <c r="E117" s="132" t="n">
        <f aca="false">Loans!W83</f>
        <v>43.8909467752914</v>
      </c>
      <c r="F117" s="132" t="n">
        <f aca="false">('Debt &amp; cash'!H83+'Debt &amp; cash'!Q83)*issue_price</f>
        <v>536.135408423964</v>
      </c>
      <c r="G117" s="117" t="n">
        <f aca="false">SUM(B117:F117)</f>
        <v>7423.64149149674</v>
      </c>
      <c r="H117" s="132" t="n">
        <f aca="false">Budget!Y83</f>
        <v>3870.51656529335</v>
      </c>
      <c r="I117" s="132" t="n">
        <f aca="false">Loans!V83</f>
        <v>130</v>
      </c>
      <c r="J117" s="132" t="n">
        <f aca="false">'Debt &amp; cash'!C83</f>
        <v>43.3853752764194</v>
      </c>
      <c r="K117" s="132" t="n">
        <f aca="false">'Debt &amp; cash'!K83</f>
        <v>230.066382926111</v>
      </c>
      <c r="L117" s="132" t="n">
        <f aca="false">'Debt &amp; cash'!I83+'Debt &amp; cash'!J83+'Debt &amp; cash'!Q83*issue_price*dev_bonds</f>
        <v>1207.16235862512</v>
      </c>
      <c r="M117" s="132" t="n">
        <f aca="false">'Debt &amp; cash'!M83</f>
        <v>1274.17316143859</v>
      </c>
      <c r="N117" s="132" t="n">
        <f aca="false">'Debt &amp; cash'!S83</f>
        <v>668.337647937158</v>
      </c>
      <c r="O117" s="117" t="n">
        <f aca="false">SUM(H117:N117)</f>
        <v>7423.64149149675</v>
      </c>
      <c r="P117" s="133" t="n">
        <f aca="false">G117-O117</f>
        <v>0</v>
      </c>
      <c r="Q117" s="132" t="n">
        <f aca="false">'Debt &amp; cash'!Q83</f>
        <v>552.716915900994</v>
      </c>
      <c r="R117" s="117" t="n">
        <f aca="false">Q117*issue_price</f>
        <v>536.135408423964</v>
      </c>
      <c r="S117" s="117" t="n">
        <f aca="false">Q117-R117</f>
        <v>16.5815074770298</v>
      </c>
    </row>
    <row r="118" customFormat="false" ht="19.5" hidden="false" customHeight="true" outlineLevel="0" collapsed="false">
      <c r="A118" s="121" t="n">
        <v>1924</v>
      </c>
      <c r="B118" s="132" t="n">
        <f aca="false">'Debt &amp; cash'!M83</f>
        <v>1274.17316143859</v>
      </c>
      <c r="C118" s="132" t="n">
        <f aca="false">'Debt &amp; cash'!S83</f>
        <v>668.337647937158</v>
      </c>
      <c r="D118" s="132" t="n">
        <f aca="false">Budget!M84</f>
        <v>5451.85358129931</v>
      </c>
      <c r="E118" s="132" t="n">
        <f aca="false">Loans!W84</f>
        <v>46.2363118832884</v>
      </c>
      <c r="F118" s="132" t="n">
        <f aca="false">('Debt &amp; cash'!H84+'Debt &amp; cash'!Q84)*issue_price</f>
        <v>468.475509618275</v>
      </c>
      <c r="G118" s="117" t="n">
        <f aca="false">SUM(B118:F118)</f>
        <v>7909.07621217662</v>
      </c>
      <c r="H118" s="132" t="n">
        <f aca="false">Budget!Y84</f>
        <v>4157.31384077464</v>
      </c>
      <c r="I118" s="132" t="n">
        <f aca="false">Loans!V84</f>
        <v>80</v>
      </c>
      <c r="J118" s="132" t="n">
        <f aca="false">'Debt &amp; cash'!C84</f>
        <v>48.9706784303887</v>
      </c>
      <c r="K118" s="132" t="n">
        <f aca="false">'Debt &amp; cash'!K84</f>
        <v>269.523633621921</v>
      </c>
      <c r="L118" s="132" t="n">
        <f aca="false">'Debt &amp; cash'!I84+'Debt &amp; cash'!J84+'Debt &amp; cash'!Q84*issue_price*dev_bonds</f>
        <v>1254.58610768221</v>
      </c>
      <c r="M118" s="132" t="n">
        <f aca="false">'Debt &amp; cash'!M84</f>
        <v>1362.96339532483</v>
      </c>
      <c r="N118" s="132" t="n">
        <f aca="false">'Debt &amp; cash'!S84</f>
        <v>735.718556342639</v>
      </c>
      <c r="O118" s="117" t="n">
        <f aca="false">SUM(H118:N118)</f>
        <v>7909.07621217662</v>
      </c>
      <c r="P118" s="133" t="n">
        <f aca="false">G118-O118</f>
        <v>0</v>
      </c>
      <c r="Q118" s="132" t="n">
        <f aca="false">'Debt &amp; cash'!Q84</f>
        <v>482.964442905438</v>
      </c>
      <c r="R118" s="117" t="n">
        <f aca="false">Q118*issue_price</f>
        <v>468.475509618275</v>
      </c>
      <c r="S118" s="117" t="n">
        <f aca="false">Q118-R118</f>
        <v>14.4889332871632</v>
      </c>
    </row>
    <row r="119" customFormat="false" ht="19.5" hidden="false" customHeight="true" outlineLevel="0" collapsed="false">
      <c r="A119" s="121" t="n">
        <v>1925</v>
      </c>
      <c r="B119" s="132" t="n">
        <f aca="false">'Debt &amp; cash'!M84</f>
        <v>1362.96339532483</v>
      </c>
      <c r="C119" s="132" t="n">
        <f aca="false">'Debt &amp; cash'!S84</f>
        <v>735.718556342639</v>
      </c>
      <c r="D119" s="132" t="n">
        <f aca="false">Budget!M85</f>
        <v>5890.73976818838</v>
      </c>
      <c r="E119" s="132" t="n">
        <f aca="false">Loans!W85</f>
        <v>46.5054463393014</v>
      </c>
      <c r="F119" s="132" t="n">
        <f aca="false">('Debt &amp; cash'!H85+'Debt &amp; cash'!Q85)*issue_price</f>
        <v>552.02924610401</v>
      </c>
      <c r="G119" s="117" t="n">
        <f aca="false">SUM(B119:F119)</f>
        <v>8587.95641229916</v>
      </c>
      <c r="H119" s="132" t="n">
        <f aca="false">Budget!Y85</f>
        <v>4503.82964918859</v>
      </c>
      <c r="I119" s="132" t="n">
        <f aca="false">Loans!V85</f>
        <v>0</v>
      </c>
      <c r="J119" s="132" t="n">
        <f aca="false">'Debt &amp; cash'!C85</f>
        <v>52.2600810474513</v>
      </c>
      <c r="K119" s="132" t="n">
        <f aca="false">'Debt &amp; cash'!K85</f>
        <v>305.14414501665</v>
      </c>
      <c r="L119" s="132" t="n">
        <f aca="false">'Debt &amp; cash'!I85+'Debt &amp; cash'!J85+'Debt &amp; cash'!Q85*issue_price*dev_bonds</f>
        <v>1442.03300240257</v>
      </c>
      <c r="M119" s="132" t="n">
        <f aca="false">'Debt &amp; cash'!M85</f>
        <v>1472.6849420471</v>
      </c>
      <c r="N119" s="132" t="n">
        <f aca="false">'Debt &amp; cash'!S85</f>
        <v>812.004592596801</v>
      </c>
      <c r="O119" s="117" t="n">
        <f aca="false">SUM(H119:N119)</f>
        <v>8587.95641229916</v>
      </c>
      <c r="P119" s="133" t="n">
        <f aca="false">G119-O119</f>
        <v>0</v>
      </c>
      <c r="Q119" s="132" t="n">
        <f aca="false">'Debt &amp; cash'!Q85</f>
        <v>569.102315571144</v>
      </c>
      <c r="R119" s="117" t="n">
        <f aca="false">Q119*issue_price</f>
        <v>552.02924610401</v>
      </c>
      <c r="S119" s="117" t="n">
        <f aca="false">Q119-R119</f>
        <v>17.0730694671344</v>
      </c>
    </row>
    <row r="120" customFormat="false" ht="19.5" hidden="false" customHeight="true" outlineLevel="0" collapsed="false">
      <c r="A120" s="121" t="n">
        <v>1926</v>
      </c>
      <c r="B120" s="132" t="n">
        <f aca="false">'Debt &amp; cash'!M85</f>
        <v>1472.6849420471</v>
      </c>
      <c r="C120" s="132" t="n">
        <f aca="false">'Debt &amp; cash'!S85</f>
        <v>812.004592596801</v>
      </c>
      <c r="D120" s="132" t="n">
        <f aca="false">Budget!M86</f>
        <v>6150.69278605603</v>
      </c>
      <c r="E120" s="132" t="n">
        <f aca="false">Loans!W86</f>
        <v>45.5011180261723</v>
      </c>
      <c r="F120" s="132" t="n">
        <f aca="false">('Debt &amp; cash'!H86+'Debt &amp; cash'!Q86)*issue_price</f>
        <v>494.197723320618</v>
      </c>
      <c r="G120" s="117" t="n">
        <f aca="false">SUM(B120:F120)</f>
        <v>8975.08116204671</v>
      </c>
      <c r="H120" s="132" t="n">
        <f aca="false">Budget!Y86</f>
        <v>4694.728902153</v>
      </c>
      <c r="I120" s="132" t="n">
        <f aca="false">Loans!V86</f>
        <v>0</v>
      </c>
      <c r="J120" s="132" t="n">
        <f aca="false">'Debt &amp; cash'!C86</f>
        <v>56.4940428375922</v>
      </c>
      <c r="K120" s="132" t="n">
        <f aca="false">'Debt &amp; cash'!K86</f>
        <v>331.195849109928</v>
      </c>
      <c r="L120" s="132" t="n">
        <f aca="false">'Debt &amp; cash'!I86+'Debt &amp; cash'!J86+'Debt &amp; cash'!Q86*issue_price*dev_bonds</f>
        <v>1460.18561655791</v>
      </c>
      <c r="M120" s="132" t="n">
        <f aca="false">'Debt &amp; cash'!M86</f>
        <v>1537.67319651401</v>
      </c>
      <c r="N120" s="132" t="n">
        <f aca="false">'Debt &amp; cash'!S86</f>
        <v>894.803554874283</v>
      </c>
      <c r="O120" s="117" t="n">
        <f aca="false">SUM(H120:N120)</f>
        <v>8975.08116204671</v>
      </c>
      <c r="P120" s="133" t="n">
        <f aca="false">G120-O120</f>
        <v>0</v>
      </c>
      <c r="Q120" s="132" t="n">
        <f aca="false">'Debt &amp; cash'!Q86</f>
        <v>509.482188990328</v>
      </c>
      <c r="R120" s="117" t="n">
        <f aca="false">Q120*issue_price</f>
        <v>494.197723320618</v>
      </c>
      <c r="S120" s="117" t="n">
        <f aca="false">Q120-R120</f>
        <v>15.2844656697098</v>
      </c>
    </row>
    <row r="121" customFormat="false" ht="19.5" hidden="false" customHeight="true" outlineLevel="0" collapsed="false">
      <c r="A121" s="121" t="n">
        <v>1927</v>
      </c>
      <c r="B121" s="132" t="n">
        <f aca="false">'Debt &amp; cash'!M86</f>
        <v>1537.67319651401</v>
      </c>
      <c r="C121" s="132" t="n">
        <f aca="false">'Debt &amp; cash'!S86</f>
        <v>894.803554874283</v>
      </c>
      <c r="D121" s="132" t="n">
        <f aca="false">Budget!M87</f>
        <v>6655.12009480077</v>
      </c>
      <c r="E121" s="132" t="n">
        <f aca="false">Loans!W87</f>
        <v>44.5232686129214</v>
      </c>
      <c r="F121" s="132" t="n">
        <f aca="false">('Debt &amp; cash'!H87+'Debt &amp; cash'!Q87)*issue_price</f>
        <v>494.254407994022</v>
      </c>
      <c r="G121" s="117" t="n">
        <f aca="false">SUM(B121:F121)</f>
        <v>9626.374522796</v>
      </c>
      <c r="H121" s="132" t="n">
        <f aca="false">Budget!Y87</f>
        <v>4916.46332845148</v>
      </c>
      <c r="I121" s="132" t="n">
        <f aca="false">Loans!V87</f>
        <v>165.699778315873</v>
      </c>
      <c r="J121" s="132" t="n">
        <f aca="false">'Debt &amp; cash'!C87</f>
        <v>58.9298887784483</v>
      </c>
      <c r="K121" s="132" t="n">
        <f aca="false">'Debt &amp; cash'!K87</f>
        <v>343.78644976361</v>
      </c>
      <c r="L121" s="132" t="n">
        <f aca="false">'Debt &amp; cash'!I87+'Debt &amp; cash'!J87+'Debt &amp; cash'!Q87*issue_price*dev_bonds</f>
        <v>1496.96488647122</v>
      </c>
      <c r="M121" s="132" t="n">
        <f aca="false">'Debt &amp; cash'!M87</f>
        <v>1663.78002370019</v>
      </c>
      <c r="N121" s="132" t="n">
        <f aca="false">'Debt &amp; cash'!S87</f>
        <v>980.750167315185</v>
      </c>
      <c r="O121" s="117" t="n">
        <f aca="false">SUM(H121:N121)</f>
        <v>9626.374522796</v>
      </c>
      <c r="P121" s="133" t="n">
        <f aca="false">G121-O121</f>
        <v>0</v>
      </c>
      <c r="Q121" s="132" t="n">
        <f aca="false">'Debt &amp; cash'!Q87</f>
        <v>509.540626797961</v>
      </c>
      <c r="R121" s="117" t="n">
        <f aca="false">Q121*issue_price</f>
        <v>494.254407994022</v>
      </c>
      <c r="S121" s="117" t="n">
        <f aca="false">Q121-R121</f>
        <v>15.2862188039388</v>
      </c>
    </row>
    <row r="122" customFormat="false" ht="19.5" hidden="false" customHeight="true" outlineLevel="0" collapsed="false">
      <c r="A122" s="121" t="n">
        <v>1928</v>
      </c>
      <c r="B122" s="132" t="n">
        <f aca="false">'Debt &amp; cash'!M87</f>
        <v>1663.78002370019</v>
      </c>
      <c r="C122" s="132" t="n">
        <f aca="false">'Debt &amp; cash'!S87</f>
        <v>980.750167315185</v>
      </c>
      <c r="D122" s="132" t="n">
        <f aca="false">Budget!M88</f>
        <v>7146.24301573814</v>
      </c>
      <c r="E122" s="132" t="n">
        <f aca="false">Loans!W88</f>
        <v>43.5710580512757</v>
      </c>
      <c r="F122" s="132" t="n">
        <f aca="false">('Debt &amp; cash'!H88+'Debt &amp; cash'!Q88)*issue_price</f>
        <v>673.010442610998</v>
      </c>
      <c r="G122" s="117" t="n">
        <f aca="false">SUM(B122:F122)</f>
        <v>10507.3547074158</v>
      </c>
      <c r="H122" s="132" t="n">
        <f aca="false">Budget!Y88</f>
        <v>5297.00070536087</v>
      </c>
      <c r="I122" s="132" t="n">
        <f aca="false">Loans!V88</f>
        <v>0</v>
      </c>
      <c r="J122" s="132" t="n">
        <f aca="false">'Debt &amp; cash'!C88</f>
        <v>61.0663745435664</v>
      </c>
      <c r="K122" s="132" t="n">
        <f aca="false">'Debt &amp; cash'!K88</f>
        <v>410.151903276153</v>
      </c>
      <c r="L122" s="132" t="n">
        <f aca="false">'Debt &amp; cash'!I88+'Debt &amp; cash'!J88+'Debt &amp; cash'!Q88*issue_price*dev_bonds</f>
        <v>1869.28682716644</v>
      </c>
      <c r="M122" s="132" t="n">
        <f aca="false">'Debt &amp; cash'!M88</f>
        <v>1786.56075393454</v>
      </c>
      <c r="N122" s="132" t="n">
        <f aca="false">'Debt &amp; cash'!S88</f>
        <v>1083.28814313422</v>
      </c>
      <c r="O122" s="117" t="n">
        <f aca="false">SUM(H122:N122)</f>
        <v>10507.3547074158</v>
      </c>
      <c r="P122" s="133" t="n">
        <f aca="false">G122-O122</f>
        <v>0</v>
      </c>
      <c r="Q122" s="132" t="n">
        <f aca="false">'Debt &amp; cash'!Q88</f>
        <v>693.825198568039</v>
      </c>
      <c r="R122" s="117" t="n">
        <f aca="false">Q122*issue_price</f>
        <v>673.010442610998</v>
      </c>
      <c r="S122" s="117" t="n">
        <f aca="false">Q122-R122</f>
        <v>20.8147559570411</v>
      </c>
    </row>
    <row r="123" customFormat="false" ht="19.5" hidden="false" customHeight="true" outlineLevel="0" collapsed="false">
      <c r="A123" s="121" t="n">
        <v>1929</v>
      </c>
      <c r="B123" s="132" t="n">
        <f aca="false">'Debt &amp; cash'!M88</f>
        <v>1786.56075393454</v>
      </c>
      <c r="C123" s="132" t="n">
        <f aca="false">'Debt &amp; cash'!S88</f>
        <v>1083.28814313422</v>
      </c>
      <c r="D123" s="132" t="n">
        <f aca="false">Budget!M89</f>
        <v>7577.41890193333</v>
      </c>
      <c r="E123" s="132" t="n">
        <f aca="false">Loans!W89</f>
        <v>75.7836320523444</v>
      </c>
      <c r="F123" s="132" t="n">
        <f aca="false">('Debt &amp; cash'!H89+'Debt &amp; cash'!Q89)*issue_price</f>
        <v>688.814900538058</v>
      </c>
      <c r="G123" s="117" t="n">
        <f aca="false">SUM(B123:F123)</f>
        <v>11211.8663315925</v>
      </c>
      <c r="H123" s="132" t="n">
        <f aca="false">Budget!Y89</f>
        <v>5617.77130708869</v>
      </c>
      <c r="I123" s="132" t="n">
        <f aca="false">Loans!V89</f>
        <v>0</v>
      </c>
      <c r="J123" s="132" t="n">
        <f aca="false">'Debt &amp; cash'!C89</f>
        <v>65.5185129585327</v>
      </c>
      <c r="K123" s="132" t="n">
        <f aca="false">'Debt &amp; cash'!K89</f>
        <v>446.908498173517</v>
      </c>
      <c r="L123" s="132" t="n">
        <f aca="false">'Debt &amp; cash'!I89+'Debt &amp; cash'!J89+'Debt &amp; cash'!Q89*issue_price*dev_bonds</f>
        <v>1992.29802021082</v>
      </c>
      <c r="M123" s="132" t="n">
        <f aca="false">'Debt &amp; cash'!M89</f>
        <v>1894.35472548333</v>
      </c>
      <c r="N123" s="132" t="n">
        <f aca="false">'Debt &amp; cash'!S89</f>
        <v>1195.0152676776</v>
      </c>
      <c r="O123" s="117" t="n">
        <f aca="false">SUM(H123:N123)</f>
        <v>11211.8663315925</v>
      </c>
      <c r="P123" s="133" t="n">
        <f aca="false">G123-O123</f>
        <v>0</v>
      </c>
      <c r="Q123" s="132" t="n">
        <f aca="false">'Debt &amp; cash'!Q89</f>
        <v>710.118454162946</v>
      </c>
      <c r="R123" s="117" t="n">
        <f aca="false">Q123*issue_price</f>
        <v>688.814900538058</v>
      </c>
      <c r="S123" s="117" t="n">
        <f aca="false">Q123-R123</f>
        <v>21.3035536248884</v>
      </c>
    </row>
    <row r="124" customFormat="false" ht="19.5" hidden="false" customHeight="true" outlineLevel="0" collapsed="false">
      <c r="A124" s="121" t="n">
        <v>1930</v>
      </c>
      <c r="B124" s="132" t="n">
        <f aca="false">'Debt &amp; cash'!M89</f>
        <v>1894.35472548333</v>
      </c>
      <c r="C124" s="132" t="n">
        <f aca="false">'Debt &amp; cash'!S89</f>
        <v>1195.0152676776</v>
      </c>
      <c r="D124" s="132" t="n">
        <f aca="false">Budget!M90</f>
        <v>7034.43095613944</v>
      </c>
      <c r="E124" s="132" t="n">
        <f aca="false">Loans!W90</f>
        <v>74.8802982861638</v>
      </c>
      <c r="F124" s="132" t="n">
        <f aca="false">('Debt &amp; cash'!H90+'Debt &amp; cash'!Q90)*issue_price</f>
        <v>231.942633435737</v>
      </c>
      <c r="G124" s="117" t="n">
        <f aca="false">SUM(B124:F124)</f>
        <v>10430.6238810223</v>
      </c>
      <c r="H124" s="132" t="n">
        <f aca="false">Budget!Y90</f>
        <v>5618.14003094666</v>
      </c>
      <c r="I124" s="132" t="n">
        <f aca="false">Loans!V90</f>
        <v>0</v>
      </c>
      <c r="J124" s="132" t="n">
        <f aca="false">'Debt &amp; cash'!C90</f>
        <v>69.4723418191507</v>
      </c>
      <c r="K124" s="132" t="n">
        <f aca="false">'Debt &amp; cash'!K90</f>
        <v>373.787008345986</v>
      </c>
      <c r="L124" s="132" t="n">
        <f aca="false">'Debt &amp; cash'!I90+'Debt &amp; cash'!J90+'Debt &amp; cash'!Q90*issue_price*dev_bonds</f>
        <v>1322.15474111153</v>
      </c>
      <c r="M124" s="132" t="n">
        <f aca="false">'Debt &amp; cash'!M90</f>
        <v>1758.60773903486</v>
      </c>
      <c r="N124" s="132" t="n">
        <f aca="false">'Debt &amp; cash'!S90</f>
        <v>1288.4620197641</v>
      </c>
      <c r="O124" s="117" t="n">
        <f aca="false">SUM(H124:N124)</f>
        <v>10430.6238810223</v>
      </c>
      <c r="P124" s="133" t="n">
        <f aca="false">G124-O124</f>
        <v>0</v>
      </c>
      <c r="Q124" s="132" t="n">
        <f aca="false">'Debt &amp; cash'!Q90</f>
        <v>239.116116944059</v>
      </c>
      <c r="R124" s="117" t="n">
        <f aca="false">Q124*issue_price</f>
        <v>231.942633435737</v>
      </c>
      <c r="S124" s="117" t="n">
        <f aca="false">Q124-R124</f>
        <v>7.17348350832177</v>
      </c>
    </row>
    <row r="125" customFormat="false" ht="19.5" hidden="false" customHeight="true" outlineLevel="0" collapsed="false">
      <c r="A125" s="121" t="n">
        <v>1931</v>
      </c>
      <c r="B125" s="132" t="n">
        <f aca="false">'Debt &amp; cash'!M90</f>
        <v>1758.60773903486</v>
      </c>
      <c r="C125" s="132" t="n">
        <f aca="false">'Debt &amp; cash'!S90</f>
        <v>1288.4620197641</v>
      </c>
      <c r="D125" s="132" t="n">
        <f aca="false">Budget!M91</f>
        <v>5977.07630159996</v>
      </c>
      <c r="E125" s="132" t="n">
        <f aca="false">Loans!W91</f>
        <v>41.6276975110063</v>
      </c>
      <c r="F125" s="132" t="n">
        <f aca="false">('Debt &amp; cash'!H91+'Debt &amp; cash'!Q91)*issue_price</f>
        <v>0</v>
      </c>
      <c r="G125" s="117" t="n">
        <f aca="false">SUM(B125:F125)</f>
        <v>9065.77375790993</v>
      </c>
      <c r="H125" s="132" t="n">
        <f aca="false">Budget!Y91</f>
        <v>5361.28043729468</v>
      </c>
      <c r="I125" s="132" t="n">
        <f aca="false">Loans!V91</f>
        <v>240</v>
      </c>
      <c r="J125" s="132" t="n">
        <f aca="false">'Debt &amp; cash'!C91</f>
        <v>65.3894771547291</v>
      </c>
      <c r="K125" s="132" t="n">
        <f aca="false">'Debt &amp; cash'!K91</f>
        <v>147.929459591143</v>
      </c>
      <c r="L125" s="132" t="n">
        <f aca="false">'Debt &amp; cash'!I91+'Debt &amp; cash'!J91+'Debt &amp; cash'!Q91*issue_price*dev_bonds</f>
        <v>431.460923807499</v>
      </c>
      <c r="M125" s="132" t="n">
        <f aca="false">'Debt &amp; cash'!M91</f>
        <v>1494.26907539999</v>
      </c>
      <c r="N125" s="132" t="n">
        <f aca="false">'Debt &amp; cash'!S91</f>
        <v>1325.44438466189</v>
      </c>
      <c r="O125" s="117" t="n">
        <f aca="false">SUM(H125:N125)</f>
        <v>9065.77375790993</v>
      </c>
      <c r="P125" s="133" t="n">
        <f aca="false">G125-O125</f>
        <v>0</v>
      </c>
      <c r="Q125" s="132" t="n">
        <f aca="false">'Debt &amp; cash'!Q91</f>
        <v>0</v>
      </c>
      <c r="R125" s="117" t="n">
        <f aca="false">Q125*issue_price</f>
        <v>0</v>
      </c>
      <c r="S125" s="117" t="n">
        <f aca="false">Q125-R125</f>
        <v>0</v>
      </c>
    </row>
    <row r="126" customFormat="false" ht="19.5" hidden="false" customHeight="true" outlineLevel="0" collapsed="false">
      <c r="A126" s="121" t="n">
        <v>1932</v>
      </c>
      <c r="B126" s="132" t="n">
        <f aca="false">'Debt &amp; cash'!M91</f>
        <v>1494.26907539999</v>
      </c>
      <c r="C126" s="132" t="n">
        <f aca="false">'Debt &amp; cash'!S91</f>
        <v>1325.44438466189</v>
      </c>
      <c r="D126" s="132" t="n">
        <f aca="false">Budget!M92</f>
        <v>5330.04145035524</v>
      </c>
      <c r="E126" s="132" t="n">
        <f aca="false">Loans!W92</f>
        <v>41.288187837093</v>
      </c>
      <c r="F126" s="132" t="n">
        <f aca="false">('Debt &amp; cash'!H92+'Debt &amp; cash'!Q92)*issue_price</f>
        <v>0</v>
      </c>
      <c r="G126" s="117" t="n">
        <f aca="false">SUM(B126:F126)</f>
        <v>8191.04309825421</v>
      </c>
      <c r="H126" s="132" t="n">
        <f aca="false">Budget!Y92</f>
        <v>5001.37617759991</v>
      </c>
      <c r="I126" s="132" t="n">
        <f aca="false">Loans!V92</f>
        <v>160</v>
      </c>
      <c r="J126" s="132" t="n">
        <f aca="false">'Debt &amp; cash'!C92</f>
        <v>61.1230984198117</v>
      </c>
      <c r="K126" s="132" t="n">
        <f aca="false">'Debt &amp; cash'!K92</f>
        <v>74.5413779961095</v>
      </c>
      <c r="L126" s="132" t="n">
        <f aca="false">'Debt &amp; cash'!I92+'Debt &amp; cash'!J92+'Debt &amp; cash'!Q92*issue_price*dev_bonds</f>
        <v>217.412352488653</v>
      </c>
      <c r="M126" s="132" t="n">
        <f aca="false">'Debt &amp; cash'!M92</f>
        <v>1332.51036258881</v>
      </c>
      <c r="N126" s="132" t="n">
        <f aca="false">'Debt &amp; cash'!S92</f>
        <v>1344.07972916091</v>
      </c>
      <c r="O126" s="117" t="n">
        <f aca="false">SUM(H126:N126)</f>
        <v>8191.04309825421</v>
      </c>
      <c r="P126" s="133" t="n">
        <f aca="false">G126-O126</f>
        <v>0</v>
      </c>
      <c r="Q126" s="132" t="n">
        <f aca="false">'Debt &amp; cash'!Q92</f>
        <v>0</v>
      </c>
      <c r="R126" s="117" t="n">
        <f aca="false">Q126*issue_price</f>
        <v>0</v>
      </c>
      <c r="S126" s="117" t="n">
        <f aca="false">Q126-R126</f>
        <v>0</v>
      </c>
    </row>
    <row r="127" customFormat="false" ht="19.5" hidden="false" customHeight="true" outlineLevel="0" collapsed="false">
      <c r="A127" s="110"/>
      <c r="B127" s="113"/>
      <c r="C127" s="113"/>
      <c r="D127" s="113"/>
      <c r="E127" s="113"/>
      <c r="F127" s="113"/>
      <c r="G127" s="113"/>
      <c r="H127" s="113"/>
      <c r="I127" s="113"/>
      <c r="J127" s="113"/>
      <c r="K127" s="113"/>
      <c r="L127" s="113"/>
      <c r="M127" s="113"/>
      <c r="N127" s="113"/>
      <c r="O127" s="113"/>
      <c r="P127" s="113"/>
      <c r="Q127" s="113"/>
      <c r="R127" s="113"/>
      <c r="S127" s="113"/>
    </row>
    <row r="128" customFormat="false" ht="19.5" hidden="false" customHeight="true" outlineLevel="0" collapsed="false">
      <c r="A128" s="110"/>
      <c r="B128" s="113"/>
      <c r="C128" s="113"/>
      <c r="D128" s="113"/>
      <c r="E128" s="113"/>
      <c r="F128" s="113"/>
      <c r="G128" s="113"/>
      <c r="H128" s="113"/>
      <c r="I128" s="113"/>
      <c r="J128" s="113"/>
      <c r="K128" s="113"/>
      <c r="L128" s="113"/>
      <c r="M128" s="113"/>
      <c r="N128" s="113"/>
      <c r="O128" s="113"/>
      <c r="P128" s="113"/>
      <c r="Q128" s="113"/>
      <c r="R128" s="113"/>
      <c r="S128" s="113"/>
    </row>
    <row r="129" customFormat="false" ht="19.5" hidden="false" customHeight="true" outlineLevel="0" collapsed="false">
      <c r="A129" s="110"/>
      <c r="B129" s="113"/>
      <c r="C129" s="113"/>
      <c r="D129" s="113"/>
      <c r="E129" s="113"/>
      <c r="F129" s="113"/>
      <c r="G129" s="113"/>
      <c r="H129" s="113"/>
      <c r="I129" s="113"/>
      <c r="J129" s="113"/>
      <c r="K129" s="113"/>
      <c r="L129" s="113"/>
      <c r="M129" s="113"/>
      <c r="N129" s="113"/>
      <c r="O129" s="113"/>
      <c r="P129" s="113"/>
      <c r="Q129" s="113"/>
      <c r="R129" s="113"/>
      <c r="S129" s="113"/>
    </row>
    <row r="130" customFormat="false" ht="19.5" hidden="false" customHeight="true" outlineLevel="0" collapsed="false">
      <c r="A130" s="110"/>
      <c r="B130" s="113"/>
      <c r="C130" s="113"/>
      <c r="D130" s="113"/>
      <c r="E130" s="113"/>
      <c r="F130" s="113"/>
      <c r="G130" s="113"/>
      <c r="H130" s="113"/>
      <c r="I130" s="113"/>
      <c r="J130" s="113"/>
      <c r="K130" s="113"/>
      <c r="L130" s="113"/>
      <c r="M130" s="113"/>
      <c r="N130" s="113"/>
      <c r="O130" s="113"/>
      <c r="P130" s="113"/>
      <c r="Q130" s="113"/>
      <c r="R130" s="113"/>
      <c r="S130" s="113"/>
    </row>
    <row r="131" customFormat="false" ht="19.5" hidden="false" customHeight="true" outlineLevel="0" collapsed="false">
      <c r="A131" s="110"/>
      <c r="B131" s="113"/>
      <c r="C131" s="113"/>
      <c r="D131" s="113"/>
      <c r="E131" s="113"/>
      <c r="F131" s="113"/>
      <c r="G131" s="113"/>
      <c r="H131" s="113"/>
      <c r="I131" s="113"/>
      <c r="J131" s="113"/>
      <c r="K131" s="113"/>
      <c r="L131" s="113"/>
      <c r="M131" s="113"/>
      <c r="N131" s="113"/>
      <c r="O131" s="113"/>
      <c r="P131" s="113"/>
      <c r="Q131" s="113"/>
      <c r="R131" s="113"/>
      <c r="S131" s="113"/>
    </row>
    <row r="132" customFormat="false" ht="19.5" hidden="false" customHeight="true" outlineLevel="0" collapsed="false">
      <c r="A132" s="110"/>
      <c r="B132" s="113"/>
      <c r="C132" s="113"/>
      <c r="D132" s="113"/>
      <c r="E132" s="113"/>
      <c r="F132" s="113"/>
      <c r="G132" s="113"/>
      <c r="H132" s="113"/>
      <c r="I132" s="113"/>
      <c r="J132" s="113"/>
      <c r="K132" s="113"/>
      <c r="L132" s="113"/>
      <c r="M132" s="113"/>
      <c r="N132" s="113"/>
      <c r="O132" s="113"/>
      <c r="P132" s="113"/>
      <c r="Q132" s="113"/>
      <c r="R132" s="113"/>
      <c r="S132" s="113"/>
    </row>
    <row r="133" customFormat="false" ht="19.5" hidden="false" customHeight="true" outlineLevel="0" collapsed="false">
      <c r="A133" s="110"/>
      <c r="B133" s="113"/>
      <c r="C133" s="113"/>
      <c r="D133" s="113"/>
      <c r="E133" s="113"/>
      <c r="F133" s="113"/>
      <c r="G133" s="113"/>
      <c r="H133" s="113"/>
      <c r="I133" s="113"/>
      <c r="J133" s="113"/>
      <c r="K133" s="113"/>
      <c r="L133" s="113"/>
      <c r="M133" s="113"/>
      <c r="N133" s="113"/>
      <c r="O133" s="113"/>
      <c r="P133" s="113"/>
      <c r="Q133" s="113"/>
      <c r="R133" s="113"/>
      <c r="S133" s="113"/>
    </row>
    <row r="134" customFormat="false" ht="57.75" hidden="false" customHeight="true" outlineLevel="0" collapsed="false">
      <c r="A134" s="90" t="s">
        <v>103</v>
      </c>
      <c r="B134" s="123" t="s">
        <v>2468</v>
      </c>
      <c r="C134" s="123" t="s">
        <v>2469</v>
      </c>
      <c r="D134" s="123" t="s">
        <v>2470</v>
      </c>
      <c r="E134" s="123" t="s">
        <v>2471</v>
      </c>
      <c r="F134" s="123" t="s">
        <v>2472</v>
      </c>
      <c r="G134" s="123" t="s">
        <v>2473</v>
      </c>
      <c r="H134" s="123" t="s">
        <v>2474</v>
      </c>
      <c r="I134" s="123" t="s">
        <v>2475</v>
      </c>
      <c r="J134" s="123" t="s">
        <v>2476</v>
      </c>
      <c r="K134" s="123" t="s">
        <v>2477</v>
      </c>
      <c r="L134" s="123" t="s">
        <v>2478</v>
      </c>
      <c r="M134" s="123" t="s">
        <v>2479</v>
      </c>
      <c r="N134" s="123" t="s">
        <v>2480</v>
      </c>
      <c r="O134" s="123" t="s">
        <v>2481</v>
      </c>
      <c r="P134" s="123" t="s">
        <v>2482</v>
      </c>
      <c r="Q134" s="123" t="s">
        <v>2483</v>
      </c>
      <c r="R134" s="113"/>
      <c r="S134" s="113"/>
    </row>
    <row r="135" customFormat="false" ht="19.5" hidden="false" customHeight="true" outlineLevel="0" collapsed="false">
      <c r="A135" s="121" t="n">
        <v>1846</v>
      </c>
      <c r="B135" s="132" t="n">
        <f aca="false">Economy!O6*$E$25</f>
        <v>4.1529459081</v>
      </c>
      <c r="C135" s="132" t="n">
        <f aca="false">MAX(0,Abroad!M6-Abroad!N6-Abroad!V6)*$E$27</f>
        <v>0</v>
      </c>
      <c r="D135" s="132" t="n">
        <f aca="false">Abroad!F6</f>
        <v>0</v>
      </c>
      <c r="E135" s="117" t="n">
        <f aca="false">SUM(B135:D135)</f>
        <v>4.1529459081</v>
      </c>
      <c r="F135" s="132" t="n">
        <f aca="false">Economy!O6*IF(A135=1862,$E$38,IF(OR(AND(A135&gt;=1861,A135&lt;=1865),AND(A135&gt;=1870,A135&lt;=1871)),$E$37,$E$26))</f>
        <v>2.83155402825</v>
      </c>
      <c r="G135" s="132" t="n">
        <f aca="false">'Debt &amp; cash'!Y6*issue_price</f>
        <v>0.088485778287125</v>
      </c>
      <c r="H135" s="132" t="n">
        <f aca="false">Abroad!C6</f>
        <v>0.03775405371</v>
      </c>
      <c r="I135" s="132" t="n">
        <f aca="false">Abroad!D6</f>
        <v>0</v>
      </c>
      <c r="J135" s="132" t="n">
        <f aca="false">'Champion funding'!D6-'Champion funding'!K6+'Champion funding'!Q6+'Champion funding'!R6</f>
        <v>0</v>
      </c>
      <c r="K135" s="117" t="n">
        <f aca="false">SUM(F135:J135)</f>
        <v>2.95779386024712</v>
      </c>
      <c r="L135" s="117" t="n">
        <f aca="false">E135-K135</f>
        <v>1.19515204785288</v>
      </c>
      <c r="M135" s="117" t="n">
        <f aca="false">MAX(0,-L135)</f>
        <v>0</v>
      </c>
      <c r="N135" s="132" t="n">
        <f aca="false">'Capital accounts'!L6</f>
        <v>0</v>
      </c>
      <c r="O135" s="132" t="n">
        <f aca="false">'War credit'!E6</f>
        <v>0</v>
      </c>
      <c r="P135" s="134" t="n">
        <f aca="false">'War credit'!AC6</f>
        <v>0</v>
      </c>
      <c r="Q135" s="132" t="str">
        <f aca="false">IF(O135&gt;0,'War credit'!AD6,IF(N135&gt;0,"Project funding unallocated","Capacity is MODEL"))</f>
        <v>Capacity is MODEL</v>
      </c>
      <c r="R135" s="113"/>
      <c r="S135" s="113"/>
    </row>
    <row r="136" customFormat="false" ht="19.5" hidden="false" customHeight="true" outlineLevel="0" collapsed="false">
      <c r="A136" s="121" t="n">
        <v>1847</v>
      </c>
      <c r="B136" s="132" t="n">
        <f aca="false">Economy!O7*$E$25</f>
        <v>4.33354307286669</v>
      </c>
      <c r="C136" s="132" t="n">
        <f aca="false">MAX(0,Abroad!M7-Abroad!N7-Abroad!V7)*$E$27</f>
        <v>0.00101935945017</v>
      </c>
      <c r="D136" s="132" t="n">
        <f aca="false">Abroad!F7</f>
        <v>0.0011326216113</v>
      </c>
      <c r="E136" s="117" t="n">
        <f aca="false">SUM(B136:D136)</f>
        <v>4.33569505392816</v>
      </c>
      <c r="F136" s="132" t="n">
        <f aca="false">Economy!O7*IF(A136=1862,$E$38,IF(OR(AND(A136&gt;=1861,A136&lt;=1865),AND(A136&gt;=1870,A136&lt;=1871)),$E$37,$E$26))</f>
        <v>2.95468845877274</v>
      </c>
      <c r="G136" s="132" t="n">
        <f aca="false">'Debt &amp; cash'!Y7*issue_price</f>
        <v>0.49400195456864</v>
      </c>
      <c r="H136" s="132" t="n">
        <f aca="false">Abroad!C7</f>
        <v>0.0393958461169699</v>
      </c>
      <c r="I136" s="132" t="n">
        <f aca="false">Abroad!D7</f>
        <v>0</v>
      </c>
      <c r="J136" s="132" t="n">
        <f aca="false">'Champion funding'!D7-'Champion funding'!K7+'Champion funding'!Q7+'Champion funding'!R7</f>
        <v>0</v>
      </c>
      <c r="K136" s="117" t="n">
        <f aca="false">SUM(F136:J136)</f>
        <v>3.48808625945835</v>
      </c>
      <c r="L136" s="117" t="n">
        <f aca="false">E136-K136</f>
        <v>0.847608794469807</v>
      </c>
      <c r="M136" s="117" t="n">
        <f aca="false">MAX(0,-L136)</f>
        <v>0</v>
      </c>
      <c r="N136" s="132" t="n">
        <f aca="false">'Capital accounts'!L7</f>
        <v>0</v>
      </c>
      <c r="O136" s="132" t="n">
        <f aca="false">'War credit'!E7</f>
        <v>0</v>
      </c>
      <c r="P136" s="134" t="n">
        <f aca="false">'War credit'!AC7</f>
        <v>0</v>
      </c>
      <c r="Q136" s="132" t="str">
        <f aca="false">IF(O136&gt;0,'War credit'!AD7,IF(N136&gt;0,"Project funding unallocated","Capacity is MODEL"))</f>
        <v>Capacity is MODEL</v>
      </c>
      <c r="R136" s="113"/>
      <c r="S136" s="113"/>
    </row>
    <row r="137" customFormat="false" ht="19.5" hidden="false" customHeight="true" outlineLevel="0" collapsed="false">
      <c r="A137" s="121" t="n">
        <v>1848</v>
      </c>
      <c r="B137" s="132" t="n">
        <f aca="false">Economy!O8*$E$25</f>
        <v>6.37579895394068</v>
      </c>
      <c r="C137" s="132" t="n">
        <f aca="false">MAX(0,Abroad!M8-Abroad!N8-Abroad!V8)*$E$27</f>
        <v>0.00205246651182309</v>
      </c>
      <c r="D137" s="132" t="n">
        <f aca="false">Abroad!F8</f>
        <v>0.0022805183464701</v>
      </c>
      <c r="E137" s="117" t="n">
        <f aca="false">SUM(B137:D137)</f>
        <v>6.38013193879897</v>
      </c>
      <c r="F137" s="132" t="n">
        <f aca="false">Economy!O8*IF(A137=1862,$E$38,IF(OR(AND(A137&gt;=1861,A137&lt;=1865),AND(A137&gt;=1870,A137&lt;=1871)),$E$37,$E$26))</f>
        <v>4.3471356504141</v>
      </c>
      <c r="G137" s="132" t="n">
        <f aca="false">'Debt &amp; cash'!Y8*issue_price</f>
        <v>0.71152850865995</v>
      </c>
      <c r="H137" s="132" t="n">
        <f aca="false">Abroad!C8</f>
        <v>0.057961808672188</v>
      </c>
      <c r="I137" s="132" t="n">
        <f aca="false">Abroad!D8</f>
        <v>0</v>
      </c>
      <c r="J137" s="132" t="n">
        <f aca="false">'Champion funding'!D8-'Champion funding'!K8+'Champion funding'!Q8+'Champion funding'!R8</f>
        <v>0</v>
      </c>
      <c r="K137" s="117" t="n">
        <f aca="false">SUM(F137:J137)</f>
        <v>5.11662596774623</v>
      </c>
      <c r="L137" s="117" t="n">
        <f aca="false">E137-K137</f>
        <v>1.26350597105274</v>
      </c>
      <c r="M137" s="117" t="n">
        <f aca="false">MAX(0,-L137)</f>
        <v>0</v>
      </c>
      <c r="N137" s="132" t="n">
        <f aca="false">'Capital accounts'!L8</f>
        <v>0</v>
      </c>
      <c r="O137" s="132" t="n">
        <f aca="false">'War credit'!E8</f>
        <v>0</v>
      </c>
      <c r="P137" s="134" t="n">
        <f aca="false">'War credit'!AC8</f>
        <v>0</v>
      </c>
      <c r="Q137" s="132" t="str">
        <f aca="false">IF(O137&gt;0,'War credit'!AD8,IF(N137&gt;0,"Project funding unallocated","Capacity is MODEL"))</f>
        <v>Capacity is MODEL</v>
      </c>
      <c r="R137" s="113"/>
      <c r="S137" s="113"/>
    </row>
    <row r="138" customFormat="false" ht="19.5" hidden="false" customHeight="true" outlineLevel="0" collapsed="false">
      <c r="A138" s="121" t="n">
        <v>1849</v>
      </c>
      <c r="B138" s="132" t="n">
        <f aca="false">Economy!O9*$E$25</f>
        <v>16.4924773604488</v>
      </c>
      <c r="C138" s="132" t="n">
        <f aca="false">MAX(0,Abroad!M9-Abroad!N9-Abroad!V9)*$E$27</f>
        <v>0.00355586135061747</v>
      </c>
      <c r="D138" s="132" t="n">
        <f aca="false">Abroad!F9</f>
        <v>0.00395095705624163</v>
      </c>
      <c r="E138" s="117" t="n">
        <f aca="false">SUM(B138:D138)</f>
        <v>16.4999841788557</v>
      </c>
      <c r="F138" s="132" t="n">
        <f aca="false">Economy!O9*IF(A138=1862,$E$38,IF(OR(AND(A138&gt;=1861,A138&lt;=1865),AND(A138&gt;=1870,A138&lt;=1871)),$E$37,$E$26))</f>
        <v>11.2448709275788</v>
      </c>
      <c r="G138" s="132" t="n">
        <f aca="false">'Debt &amp; cash'!Y9*issue_price</f>
        <v>1.36468404365096</v>
      </c>
      <c r="H138" s="132" t="n">
        <f aca="false">Abroad!C9</f>
        <v>0.149931612367717</v>
      </c>
      <c r="I138" s="132" t="n">
        <f aca="false">Abroad!D9</f>
        <v>0</v>
      </c>
      <c r="J138" s="132" t="n">
        <f aca="false">'Champion funding'!D9-'Champion funding'!K9+'Champion funding'!Q9+'Champion funding'!R9</f>
        <v>0</v>
      </c>
      <c r="K138" s="117" t="n">
        <f aca="false">SUM(F138:J138)</f>
        <v>12.7594865835974</v>
      </c>
      <c r="L138" s="117" t="n">
        <f aca="false">E138-K138</f>
        <v>3.74049759525826</v>
      </c>
      <c r="M138" s="117" t="n">
        <f aca="false">MAX(0,-L138)</f>
        <v>0</v>
      </c>
      <c r="N138" s="132" t="n">
        <f aca="false">'Capital accounts'!L9</f>
        <v>0</v>
      </c>
      <c r="O138" s="132" t="n">
        <f aca="false">'War credit'!E9</f>
        <v>0</v>
      </c>
      <c r="P138" s="134" t="n">
        <f aca="false">'War credit'!AC9</f>
        <v>0</v>
      </c>
      <c r="Q138" s="132" t="str">
        <f aca="false">IF(O138&gt;0,'War credit'!AD9,IF(N138&gt;0,"Project funding unallocated","Capacity is MODEL"))</f>
        <v>Capacity is MODEL</v>
      </c>
      <c r="R138" s="113"/>
      <c r="S138" s="113"/>
    </row>
    <row r="139" customFormat="false" ht="19.5" hidden="false" customHeight="true" outlineLevel="0" collapsed="false">
      <c r="A139" s="121" t="n">
        <v>1850</v>
      </c>
      <c r="B139" s="132" t="n">
        <f aca="false">Economy!O10*$E$25</f>
        <v>19.6811804349729</v>
      </c>
      <c r="C139" s="132" t="n">
        <f aca="false">MAX(0,Abroad!M10-Abroad!N10-Abroad!V10)*$E$27</f>
        <v>0.0074973390440273</v>
      </c>
      <c r="D139" s="132" t="n">
        <f aca="false">Abroad!F10</f>
        <v>0.00833037671558589</v>
      </c>
      <c r="E139" s="117" t="n">
        <f aca="false">SUM(B139:D139)</f>
        <v>19.6970081507325</v>
      </c>
      <c r="F139" s="132" t="n">
        <f aca="false">Economy!O10*IF(A139=1862,$E$38,IF(OR(AND(A139&gt;=1861,A139&lt;=1865),AND(A139&gt;=1870,A139&lt;=1871)),$E$37,$E$26))</f>
        <v>13.4189866602088</v>
      </c>
      <c r="G139" s="132" t="n">
        <f aca="false">'Debt &amp; cash'!Y10*issue_price</f>
        <v>0.339330711850276</v>
      </c>
      <c r="H139" s="132" t="n">
        <f aca="false">Abroad!C10</f>
        <v>0.178919822136117</v>
      </c>
      <c r="I139" s="132" t="n">
        <f aca="false">Abroad!D10</f>
        <v>0</v>
      </c>
      <c r="J139" s="132" t="n">
        <f aca="false">'Champion funding'!D10-'Champion funding'!K10+'Champion funding'!Q10+'Champion funding'!R10</f>
        <v>0</v>
      </c>
      <c r="K139" s="117" t="n">
        <f aca="false">SUM(F139:J139)</f>
        <v>13.9372371941952</v>
      </c>
      <c r="L139" s="117" t="n">
        <f aca="false">E139-K139</f>
        <v>5.75977095653732</v>
      </c>
      <c r="M139" s="117" t="n">
        <f aca="false">MAX(0,-L139)</f>
        <v>0</v>
      </c>
      <c r="N139" s="132" t="n">
        <f aca="false">'Capital accounts'!L10</f>
        <v>0</v>
      </c>
      <c r="O139" s="132" t="n">
        <f aca="false">'War credit'!E10</f>
        <v>0</v>
      </c>
      <c r="P139" s="134" t="n">
        <f aca="false">'War credit'!AC10</f>
        <v>0</v>
      </c>
      <c r="Q139" s="132" t="str">
        <f aca="false">IF(O139&gt;0,'War credit'!AD10,IF(N139&gt;0,"Project funding unallocated","Capacity is MODEL"))</f>
        <v>Capacity is MODEL</v>
      </c>
      <c r="R139" s="113"/>
      <c r="S139" s="113"/>
    </row>
    <row r="140" customFormat="false" ht="19.5" hidden="false" customHeight="true" outlineLevel="0" collapsed="false">
      <c r="A140" s="121" t="n">
        <v>1851</v>
      </c>
      <c r="B140" s="132" t="n">
        <f aca="false">Economy!O11*$E$25</f>
        <v>27.2814160188458</v>
      </c>
      <c r="C140" s="132" t="n">
        <f aca="false">MAX(0,Abroad!M11-Abroad!N11-Abroad!V11)*$E$27</f>
        <v>0.0121032540703816</v>
      </c>
      <c r="D140" s="132" t="n">
        <f aca="false">Abroad!F11</f>
        <v>0.0134480600782018</v>
      </c>
      <c r="E140" s="117" t="n">
        <f aca="false">SUM(B140:D140)</f>
        <v>27.3069673329944</v>
      </c>
      <c r="F140" s="132" t="n">
        <f aca="false">Economy!O11*IF(A140=1862,$E$38,IF(OR(AND(A140&gt;=1861,A140&lt;=1865),AND(A140&gt;=1870,A140&lt;=1871)),$E$37,$E$26))</f>
        <v>18.6009654673949</v>
      </c>
      <c r="G140" s="132" t="n">
        <f aca="false">'Debt &amp; cash'!Y11*issue_price</f>
        <v>0</v>
      </c>
      <c r="H140" s="132" t="n">
        <f aca="false">Abroad!C11</f>
        <v>0.248012872898598</v>
      </c>
      <c r="I140" s="132" t="n">
        <f aca="false">Abroad!D11</f>
        <v>0</v>
      </c>
      <c r="J140" s="132" t="n">
        <f aca="false">'Champion funding'!D11-'Champion funding'!K11+'Champion funding'!Q11+'Champion funding'!R11</f>
        <v>0</v>
      </c>
      <c r="K140" s="117" t="n">
        <f aca="false">SUM(F140:J140)</f>
        <v>18.8489783402935</v>
      </c>
      <c r="L140" s="117" t="n">
        <f aca="false">E140-K140</f>
        <v>8.45798899270093</v>
      </c>
      <c r="M140" s="117" t="n">
        <f aca="false">MAX(0,-L140)</f>
        <v>0</v>
      </c>
      <c r="N140" s="132" t="n">
        <f aca="false">'Capital accounts'!L11</f>
        <v>0</v>
      </c>
      <c r="O140" s="132" t="n">
        <f aca="false">'War credit'!E11</f>
        <v>0</v>
      </c>
      <c r="P140" s="134" t="n">
        <f aca="false">'War credit'!AC11</f>
        <v>0</v>
      </c>
      <c r="Q140" s="132" t="str">
        <f aca="false">IF(O140&gt;0,'War credit'!AD11,IF(N140&gt;0,"Project funding unallocated","Capacity is MODEL"))</f>
        <v>Capacity is MODEL</v>
      </c>
      <c r="R140" s="113"/>
      <c r="S140" s="113"/>
    </row>
    <row r="141" customFormat="false" ht="19.5" hidden="false" customHeight="true" outlineLevel="0" collapsed="false">
      <c r="A141" s="121" t="n">
        <v>1852</v>
      </c>
      <c r="B141" s="132" t="n">
        <f aca="false">Economy!O12*$E$25</f>
        <v>32.1224635607862</v>
      </c>
      <c r="C141" s="132" t="n">
        <f aca="false">MAX(0,Abroad!M12-Abroad!N12-Abroad!V12)*$E$27</f>
        <v>0.0184365040165323</v>
      </c>
      <c r="D141" s="132" t="n">
        <f aca="false">Abroad!F12</f>
        <v>0.0204850044628137</v>
      </c>
      <c r="E141" s="117" t="n">
        <f aca="false">SUM(B141:D141)</f>
        <v>32.1613850692656</v>
      </c>
      <c r="F141" s="132" t="n">
        <f aca="false">Economy!O12*IF(A141=1862,$E$38,IF(OR(AND(A141&gt;=1861,A141&lt;=1865),AND(A141&gt;=1870,A141&lt;=1871)),$E$37,$E$26))</f>
        <v>21.9016797005361</v>
      </c>
      <c r="G141" s="132" t="n">
        <f aca="false">'Debt &amp; cash'!Y12*issue_price</f>
        <v>0.0590204131802245</v>
      </c>
      <c r="H141" s="132" t="n">
        <f aca="false">Abroad!C12</f>
        <v>0.292022396007147</v>
      </c>
      <c r="I141" s="132" t="n">
        <f aca="false">Abroad!D12</f>
        <v>0</v>
      </c>
      <c r="J141" s="132" t="n">
        <f aca="false">'Champion funding'!D12-'Champion funding'!K12+'Champion funding'!Q12+'Champion funding'!R12</f>
        <v>0</v>
      </c>
      <c r="K141" s="117" t="n">
        <f aca="false">SUM(F141:J141)</f>
        <v>22.2527225097234</v>
      </c>
      <c r="L141" s="117" t="n">
        <f aca="false">E141-K141</f>
        <v>9.90866255954213</v>
      </c>
      <c r="M141" s="117" t="n">
        <f aca="false">MAX(0,-L141)</f>
        <v>0</v>
      </c>
      <c r="N141" s="132" t="n">
        <f aca="false">'Capital accounts'!L12</f>
        <v>0</v>
      </c>
      <c r="O141" s="132" t="n">
        <f aca="false">'War credit'!E12</f>
        <v>0</v>
      </c>
      <c r="P141" s="134" t="n">
        <f aca="false">'War credit'!AC12</f>
        <v>0</v>
      </c>
      <c r="Q141" s="132" t="str">
        <f aca="false">IF(O141&gt;0,'War credit'!AD12,IF(N141&gt;0,"Project funding unallocated","Capacity is MODEL"))</f>
        <v>Capacity is MODEL</v>
      </c>
      <c r="R141" s="113"/>
      <c r="S141" s="113"/>
    </row>
    <row r="142" customFormat="false" ht="19.5" hidden="false" customHeight="true" outlineLevel="0" collapsed="false">
      <c r="A142" s="121" t="n">
        <v>1853</v>
      </c>
      <c r="B142" s="132" t="n">
        <f aca="false">Economy!O13*$E$25</f>
        <v>34.4989448285088</v>
      </c>
      <c r="C142" s="132" t="n">
        <f aca="false">MAX(0,Abroad!M13-Abroad!N13-Abroad!V13)*$E$27</f>
        <v>0.0257680135882294</v>
      </c>
      <c r="D142" s="132" t="n">
        <f aca="false">Abroad!F13</f>
        <v>0.0286311262091437</v>
      </c>
      <c r="E142" s="117" t="n">
        <f aca="false">SUM(B142:D142)</f>
        <v>34.5533439683062</v>
      </c>
      <c r="F142" s="132" t="n">
        <f aca="false">Economy!O13*IF(A142=1862,$E$38,IF(OR(AND(A142&gt;=1861,A142&lt;=1865),AND(A142&gt;=1870,A142&lt;=1871)),$E$37,$E$26))</f>
        <v>23.5220078376196</v>
      </c>
      <c r="G142" s="132" t="n">
        <f aca="false">'Debt &amp; cash'!Y13*issue_price</f>
        <v>0</v>
      </c>
      <c r="H142" s="132" t="n">
        <f aca="false">Abroad!C13</f>
        <v>0.313626771168262</v>
      </c>
      <c r="I142" s="132" t="n">
        <f aca="false">Abroad!D13</f>
        <v>0</v>
      </c>
      <c r="J142" s="132" t="n">
        <f aca="false">'Champion funding'!D13-'Champion funding'!K13+'Champion funding'!Q13+'Champion funding'!R13</f>
        <v>0</v>
      </c>
      <c r="K142" s="117" t="n">
        <f aca="false">SUM(F142:J142)</f>
        <v>23.8356346087879</v>
      </c>
      <c r="L142" s="117" t="n">
        <f aca="false">E142-K142</f>
        <v>10.7177093595183</v>
      </c>
      <c r="M142" s="117" t="n">
        <f aca="false">MAX(0,-L142)</f>
        <v>0</v>
      </c>
      <c r="N142" s="132" t="n">
        <f aca="false">'Capital accounts'!L13</f>
        <v>0</v>
      </c>
      <c r="O142" s="132" t="n">
        <f aca="false">'War credit'!E13</f>
        <v>0</v>
      </c>
      <c r="P142" s="134" t="n">
        <f aca="false">'War credit'!AC13</f>
        <v>0</v>
      </c>
      <c r="Q142" s="132" t="str">
        <f aca="false">IF(O142&gt;0,'War credit'!AD13,IF(N142&gt;0,"Project funding unallocated","Capacity is MODEL"))</f>
        <v>Capacity is MODEL</v>
      </c>
      <c r="R142" s="113"/>
      <c r="S142" s="113"/>
    </row>
    <row r="143" customFormat="false" ht="19.5" hidden="false" customHeight="true" outlineLevel="0" collapsed="false">
      <c r="A143" s="121" t="n">
        <v>1854</v>
      </c>
      <c r="B143" s="132" t="n">
        <f aca="false">Economy!O14*$E$25</f>
        <v>38.3931646115004</v>
      </c>
      <c r="C143" s="132" t="n">
        <f aca="false">MAX(0,Abroad!M14-Abroad!N14-Abroad!V14)*$E$27</f>
        <v>0.0334628960021255</v>
      </c>
      <c r="D143" s="132" t="n">
        <f aca="false">Abroad!F14</f>
        <v>0.0371809955579173</v>
      </c>
      <c r="E143" s="117" t="n">
        <f aca="false">SUM(B143:D143)</f>
        <v>38.4638085030604</v>
      </c>
      <c r="F143" s="132" t="n">
        <f aca="false">Economy!O14*IF(A143=1862,$E$38,IF(OR(AND(A143&gt;=1861,A143&lt;=1865),AND(A143&gt;=1870,A143&lt;=1871)),$E$37,$E$26))</f>
        <v>26.1771576896594</v>
      </c>
      <c r="G143" s="132" t="n">
        <f aca="false">'Debt &amp; cash'!Y14*issue_price</f>
        <v>0</v>
      </c>
      <c r="H143" s="132" t="n">
        <f aca="false">Abroad!C14</f>
        <v>0.349028769195458</v>
      </c>
      <c r="I143" s="132" t="n">
        <f aca="false">Abroad!D14</f>
        <v>0</v>
      </c>
      <c r="J143" s="132" t="n">
        <f aca="false">'Champion funding'!D14-'Champion funding'!K14+'Champion funding'!Q14+'Champion funding'!R14</f>
        <v>0</v>
      </c>
      <c r="K143" s="117" t="n">
        <f aca="false">SUM(F143:J143)</f>
        <v>26.5261864588548</v>
      </c>
      <c r="L143" s="117" t="n">
        <f aca="false">E143-K143</f>
        <v>11.9376220442056</v>
      </c>
      <c r="M143" s="117" t="n">
        <f aca="false">MAX(0,-L143)</f>
        <v>0</v>
      </c>
      <c r="N143" s="132" t="n">
        <f aca="false">'Capital accounts'!L14</f>
        <v>0</v>
      </c>
      <c r="O143" s="132" t="n">
        <f aca="false">'War credit'!E14</f>
        <v>0</v>
      </c>
      <c r="P143" s="134" t="n">
        <f aca="false">'War credit'!AC14</f>
        <v>0</v>
      </c>
      <c r="Q143" s="132" t="str">
        <f aca="false">IF(O143&gt;0,'War credit'!AD14,IF(N143&gt;0,"Project funding unallocated","Capacity is MODEL"))</f>
        <v>Capacity is MODEL</v>
      </c>
      <c r="R143" s="113"/>
      <c r="S143" s="113"/>
    </row>
    <row r="144" customFormat="false" ht="19.5" hidden="false" customHeight="true" outlineLevel="0" collapsed="false">
      <c r="A144" s="121" t="n">
        <v>1855</v>
      </c>
      <c r="B144" s="132" t="n">
        <f aca="false">Economy!O15*$E$25</f>
        <v>39.7339645975123</v>
      </c>
      <c r="C144" s="132" t="n">
        <f aca="false">MAX(0,Abroad!M15-Abroad!N15-Abroad!V15)*$E$27</f>
        <v>0.0418827858903392</v>
      </c>
      <c r="D144" s="132" t="n">
        <f aca="false">Abroad!F15</f>
        <v>0.0465364287670435</v>
      </c>
      <c r="E144" s="117" t="n">
        <f aca="false">SUM(B144:D144)</f>
        <v>39.8223838121697</v>
      </c>
      <c r="F144" s="132" t="n">
        <f aca="false">Economy!O15*IF(A144=1862,$E$38,IF(OR(AND(A144&gt;=1861,A144&lt;=1865),AND(A144&gt;=1870,A144&lt;=1871)),$E$37,$E$26))</f>
        <v>27.0913394983039</v>
      </c>
      <c r="G144" s="132" t="n">
        <f aca="false">'Debt &amp; cash'!Y15*issue_price</f>
        <v>0</v>
      </c>
      <c r="H144" s="132" t="n">
        <f aca="false">Abroad!C15</f>
        <v>0.361217859977385</v>
      </c>
      <c r="I144" s="132" t="n">
        <f aca="false">Abroad!D15</f>
        <v>0</v>
      </c>
      <c r="J144" s="132" t="n">
        <f aca="false">'Champion funding'!D15-'Champion funding'!K15+'Champion funding'!Q15+'Champion funding'!R15</f>
        <v>0</v>
      </c>
      <c r="K144" s="117" t="n">
        <f aca="false">SUM(F144:J144)</f>
        <v>27.4525573582813</v>
      </c>
      <c r="L144" s="117" t="n">
        <f aca="false">E144-K144</f>
        <v>12.3698264538885</v>
      </c>
      <c r="M144" s="117" t="n">
        <f aca="false">MAX(0,-L144)</f>
        <v>0</v>
      </c>
      <c r="N144" s="132" t="n">
        <f aca="false">'Capital accounts'!L15</f>
        <v>0</v>
      </c>
      <c r="O144" s="132" t="n">
        <f aca="false">'War credit'!E15</f>
        <v>0</v>
      </c>
      <c r="P144" s="134" t="n">
        <f aca="false">'War credit'!AC15</f>
        <v>0</v>
      </c>
      <c r="Q144" s="132" t="str">
        <f aca="false">IF(O144&gt;0,'War credit'!AD15,IF(N144&gt;0,"Project funding unallocated","Capacity is MODEL"))</f>
        <v>Capacity is MODEL</v>
      </c>
      <c r="R144" s="113"/>
      <c r="S144" s="113"/>
    </row>
    <row r="145" customFormat="false" ht="19.5" hidden="false" customHeight="true" outlineLevel="0" collapsed="false">
      <c r="A145" s="121" t="n">
        <v>1856</v>
      </c>
      <c r="B145" s="132" t="n">
        <f aca="false">Economy!O16*$E$25</f>
        <v>45.1810365930501</v>
      </c>
      <c r="C145" s="132" t="n">
        <f aca="false">MAX(0,Abroad!M16-Abroad!N16-Abroad!V16)*$E$27</f>
        <v>0.0503791845330184</v>
      </c>
      <c r="D145" s="132" t="n">
        <f aca="false">Abroad!F16</f>
        <v>0.0559768717033537</v>
      </c>
      <c r="E145" s="117" t="n">
        <f aca="false">SUM(B145:D145)</f>
        <v>45.2873926492865</v>
      </c>
      <c r="F145" s="132" t="n">
        <f aca="false">Economy!O16*IF(A145=1862,$E$38,IF(OR(AND(A145&gt;=1861,A145&lt;=1865),AND(A145&gt;=1870,A145&lt;=1871)),$E$37,$E$26))</f>
        <v>30.8052522225342</v>
      </c>
      <c r="G145" s="132" t="n">
        <f aca="false">'Debt &amp; cash'!Y16*issue_price</f>
        <v>0</v>
      </c>
      <c r="H145" s="132" t="n">
        <f aca="false">Abroad!C16</f>
        <v>0.410736696300456</v>
      </c>
      <c r="I145" s="132" t="n">
        <f aca="false">Abroad!D16</f>
        <v>0</v>
      </c>
      <c r="J145" s="132" t="n">
        <f aca="false">'Champion funding'!D16-'Champion funding'!K16+'Champion funding'!Q16+'Champion funding'!R16</f>
        <v>0</v>
      </c>
      <c r="K145" s="117" t="n">
        <f aca="false">SUM(F145:J145)</f>
        <v>31.2159889188346</v>
      </c>
      <c r="L145" s="117" t="n">
        <f aca="false">E145-K145</f>
        <v>14.0714037304519</v>
      </c>
      <c r="M145" s="117" t="n">
        <f aca="false">MAX(0,-L145)</f>
        <v>0</v>
      </c>
      <c r="N145" s="132" t="n">
        <f aca="false">'Capital accounts'!L16</f>
        <v>0</v>
      </c>
      <c r="O145" s="132" t="n">
        <f aca="false">'War credit'!E16</f>
        <v>0</v>
      </c>
      <c r="P145" s="134" t="n">
        <f aca="false">'War credit'!AC16</f>
        <v>0</v>
      </c>
      <c r="Q145" s="132" t="str">
        <f aca="false">IF(O145&gt;0,'War credit'!AD16,IF(N145&gt;0,"Project funding unallocated","Capacity is MODEL"))</f>
        <v>Capacity is MODEL</v>
      </c>
      <c r="R145" s="113"/>
      <c r="S145" s="113"/>
    </row>
    <row r="146" customFormat="false" ht="19.5" hidden="false" customHeight="true" outlineLevel="0" collapsed="false">
      <c r="A146" s="121" t="n">
        <v>1857</v>
      </c>
      <c r="B146" s="132" t="n">
        <f aca="false">Economy!O17*$E$25</f>
        <v>47.7622523665636</v>
      </c>
      <c r="C146" s="132" t="n">
        <f aca="false">MAX(0,Abroad!M17-Abroad!N17-Abroad!V17)*$E$27</f>
        <v>0.0599576997971401</v>
      </c>
      <c r="D146" s="132" t="n">
        <f aca="false">Abroad!F17</f>
        <v>0.0666196664412668</v>
      </c>
      <c r="E146" s="117" t="n">
        <f aca="false">SUM(B146:D146)</f>
        <v>47.888829732802</v>
      </c>
      <c r="F146" s="132" t="n">
        <f aca="false">Economy!O17*IF(A146=1862,$E$38,IF(OR(AND(A146&gt;=1861,A146&lt;=1865),AND(A146&gt;=1870,A146&lt;=1871)),$E$37,$E$26))</f>
        <v>32.5651720681115</v>
      </c>
      <c r="G146" s="132" t="n">
        <f aca="false">'Debt &amp; cash'!Y17*issue_price</f>
        <v>0</v>
      </c>
      <c r="H146" s="132" t="n">
        <f aca="false">Abroad!C17</f>
        <v>0.434202294241487</v>
      </c>
      <c r="I146" s="132" t="n">
        <f aca="false">Abroad!D17</f>
        <v>0</v>
      </c>
      <c r="J146" s="132" t="n">
        <f aca="false">'Champion funding'!D17-'Champion funding'!K17+'Champion funding'!Q17+'Champion funding'!R17</f>
        <v>0</v>
      </c>
      <c r="K146" s="117" t="n">
        <f aca="false">SUM(F146:J146)</f>
        <v>32.999374362353</v>
      </c>
      <c r="L146" s="117" t="n">
        <f aca="false">E146-K146</f>
        <v>14.889455370449</v>
      </c>
      <c r="M146" s="117" t="n">
        <f aca="false">MAX(0,-L146)</f>
        <v>0</v>
      </c>
      <c r="N146" s="132" t="n">
        <f aca="false">'Capital accounts'!L17</f>
        <v>0</v>
      </c>
      <c r="O146" s="132" t="n">
        <f aca="false">'War credit'!E17</f>
        <v>0</v>
      </c>
      <c r="P146" s="134" t="n">
        <f aca="false">'War credit'!AC17</f>
        <v>0</v>
      </c>
      <c r="Q146" s="132" t="str">
        <f aca="false">IF(O146&gt;0,'War credit'!AD17,IF(N146&gt;0,"Project funding unallocated","Capacity is MODEL"))</f>
        <v>Capacity is MODEL</v>
      </c>
      <c r="R146" s="113"/>
      <c r="S146" s="113"/>
    </row>
    <row r="147" customFormat="false" ht="19.5" hidden="false" customHeight="true" outlineLevel="0" collapsed="false">
      <c r="A147" s="121" t="n">
        <v>1858</v>
      </c>
      <c r="B147" s="132" t="n">
        <f aca="false">Economy!O18*$E$25</f>
        <v>53.4525444618472</v>
      </c>
      <c r="C147" s="132" t="n">
        <f aca="false">MAX(0,Abroad!M18-Abroad!N18-Abroad!V18)*$E$27</f>
        <v>0.0698824307477461</v>
      </c>
      <c r="D147" s="132" t="n">
        <f aca="false">Abroad!F18</f>
        <v>0.0776471452752734</v>
      </c>
      <c r="E147" s="117" t="n">
        <f aca="false">SUM(B147:D147)</f>
        <v>53.6000740378702</v>
      </c>
      <c r="F147" s="132" t="n">
        <f aca="false">Economy!O18*IF(A147=1862,$E$38,IF(OR(AND(A147&gt;=1861,A147&lt;=1865),AND(A147&gt;=1870,A147&lt;=1871)),$E$37,$E$26))</f>
        <v>36.4449166785322</v>
      </c>
      <c r="G147" s="132" t="n">
        <f aca="false">'Debt &amp; cash'!Y18*issue_price</f>
        <v>0</v>
      </c>
      <c r="H147" s="132" t="n">
        <f aca="false">Abroad!C18</f>
        <v>0.485932222380429</v>
      </c>
      <c r="I147" s="132" t="n">
        <f aca="false">Abroad!D18</f>
        <v>0</v>
      </c>
      <c r="J147" s="132" t="n">
        <f aca="false">'Champion funding'!D18-'Champion funding'!K18+'Champion funding'!Q18+'Champion funding'!R18</f>
        <v>0</v>
      </c>
      <c r="K147" s="117" t="n">
        <f aca="false">SUM(F147:J147)</f>
        <v>36.9308489009126</v>
      </c>
      <c r="L147" s="117" t="n">
        <f aca="false">E147-K147</f>
        <v>16.6692251369576</v>
      </c>
      <c r="M147" s="117" t="n">
        <f aca="false">MAX(0,-L147)</f>
        <v>0</v>
      </c>
      <c r="N147" s="132" t="n">
        <f aca="false">'Capital accounts'!L18</f>
        <v>0</v>
      </c>
      <c r="O147" s="132" t="n">
        <f aca="false">'War credit'!E18</f>
        <v>0</v>
      </c>
      <c r="P147" s="134" t="n">
        <f aca="false">'War credit'!AC18</f>
        <v>0</v>
      </c>
      <c r="Q147" s="132" t="str">
        <f aca="false">IF(O147&gt;0,'War credit'!AD18,IF(N147&gt;0,"Project funding unallocated","Capacity is MODEL"))</f>
        <v>Capacity is MODEL</v>
      </c>
      <c r="R147" s="113"/>
      <c r="S147" s="113"/>
    </row>
    <row r="148" customFormat="false" ht="19.5" hidden="false" customHeight="true" outlineLevel="0" collapsed="false">
      <c r="A148" s="121" t="n">
        <v>1859</v>
      </c>
      <c r="B148" s="132" t="n">
        <f aca="false">Economy!O19*$E$25</f>
        <v>59.2640610072018</v>
      </c>
      <c r="C148" s="132" t="n">
        <f aca="false">MAX(0,Abroad!M19-Abroad!N19-Abroad!V19)*$E$27</f>
        <v>0.0809061278295853</v>
      </c>
      <c r="D148" s="132" t="n">
        <f aca="false">Abroad!F19</f>
        <v>0.0898956975884281</v>
      </c>
      <c r="E148" s="117" t="n">
        <f aca="false">SUM(B148:D148)</f>
        <v>59.4348628326198</v>
      </c>
      <c r="F148" s="132" t="n">
        <f aca="false">Economy!O19*IF(A148=1862,$E$38,IF(OR(AND(A148&gt;=1861,A148&lt;=1865),AND(A148&gt;=1870,A148&lt;=1871)),$E$37,$E$26))</f>
        <v>40.4073143230921</v>
      </c>
      <c r="G148" s="132" t="n">
        <f aca="false">'Debt &amp; cash'!Y19*issue_price</f>
        <v>0</v>
      </c>
      <c r="H148" s="132" t="n">
        <f aca="false">Abroad!C19</f>
        <v>0.538764190974562</v>
      </c>
      <c r="I148" s="132" t="n">
        <f aca="false">Abroad!D19</f>
        <v>0</v>
      </c>
      <c r="J148" s="132" t="n">
        <f aca="false">'Champion funding'!D19-'Champion funding'!K19+'Champion funding'!Q19+'Champion funding'!R19</f>
        <v>0</v>
      </c>
      <c r="K148" s="117" t="n">
        <f aca="false">SUM(F148:J148)</f>
        <v>40.9460785140667</v>
      </c>
      <c r="L148" s="117" t="n">
        <f aca="false">E148-K148</f>
        <v>18.4887843185531</v>
      </c>
      <c r="M148" s="117" t="n">
        <f aca="false">MAX(0,-L148)</f>
        <v>0</v>
      </c>
      <c r="N148" s="132" t="n">
        <f aca="false">'Capital accounts'!L19</f>
        <v>0</v>
      </c>
      <c r="O148" s="132" t="n">
        <f aca="false">'War credit'!E19</f>
        <v>0</v>
      </c>
      <c r="P148" s="134" t="n">
        <f aca="false">'War credit'!AC19</f>
        <v>0</v>
      </c>
      <c r="Q148" s="132" t="str">
        <f aca="false">IF(O148&gt;0,'War credit'!AD19,IF(N148&gt;0,"Project funding unallocated","Capacity is MODEL"))</f>
        <v>Capacity is MODEL</v>
      </c>
      <c r="R148" s="113"/>
      <c r="S148" s="113"/>
    </row>
    <row r="149" customFormat="false" ht="19.5" hidden="false" customHeight="true" outlineLevel="0" collapsed="false">
      <c r="A149" s="121" t="n">
        <v>1860</v>
      </c>
      <c r="B149" s="132" t="n">
        <f aca="false">Economy!O20*$E$25</f>
        <v>64.6158148625702</v>
      </c>
      <c r="C149" s="132" t="n">
        <f aca="false">MAX(0,Abroad!M20-Abroad!N20-Abroad!V20)*$E$27</f>
        <v>0.0930255771510109</v>
      </c>
      <c r="D149" s="132" t="n">
        <f aca="false">Abroad!F20</f>
        <v>0.103361752390012</v>
      </c>
      <c r="E149" s="117" t="n">
        <f aca="false">SUM(B149:D149)</f>
        <v>64.8122021921113</v>
      </c>
      <c r="F149" s="132" t="n">
        <f aca="false">Economy!O20*IF(A149=1862,$E$38,IF(OR(AND(A149&gt;=1861,A149&lt;=1865),AND(A149&gt;=1870,A149&lt;=1871)),$E$37,$E$26))</f>
        <v>44.0562374062979</v>
      </c>
      <c r="G149" s="132" t="n">
        <f aca="false">'Debt &amp; cash'!Y20*issue_price</f>
        <v>0</v>
      </c>
      <c r="H149" s="132" t="n">
        <f aca="false">Abroad!C20</f>
        <v>0.587416498750638</v>
      </c>
      <c r="I149" s="132" t="n">
        <f aca="false">Abroad!D20</f>
        <v>0</v>
      </c>
      <c r="J149" s="132" t="n">
        <f aca="false">'Champion funding'!D20-'Champion funding'!K20+'Champion funding'!Q20+'Champion funding'!R20</f>
        <v>0</v>
      </c>
      <c r="K149" s="117" t="n">
        <f aca="false">SUM(F149:J149)</f>
        <v>44.6436539050485</v>
      </c>
      <c r="L149" s="117" t="n">
        <f aca="false">E149-K149</f>
        <v>20.1685482870627</v>
      </c>
      <c r="M149" s="117" t="n">
        <f aca="false">MAX(0,-L149)</f>
        <v>0</v>
      </c>
      <c r="N149" s="132" t="n">
        <f aca="false">'Capital accounts'!L20</f>
        <v>0</v>
      </c>
      <c r="O149" s="132" t="n">
        <f aca="false">'War credit'!E20</f>
        <v>0</v>
      </c>
      <c r="P149" s="134" t="n">
        <f aca="false">'War credit'!AC20</f>
        <v>0</v>
      </c>
      <c r="Q149" s="132" t="str">
        <f aca="false">IF(O149&gt;0,'War credit'!AD20,IF(N149&gt;0,"Project funding unallocated","Capacity is MODEL"))</f>
        <v>Capacity is MODEL</v>
      </c>
      <c r="R149" s="113"/>
      <c r="S149" s="113"/>
    </row>
    <row r="150" customFormat="false" ht="19.5" hidden="false" customHeight="true" outlineLevel="0" collapsed="false">
      <c r="A150" s="121" t="n">
        <v>1861</v>
      </c>
      <c r="B150" s="132" t="n">
        <f aca="false">Economy!O21*$E$25</f>
        <v>68.3075598798007</v>
      </c>
      <c r="C150" s="132" t="n">
        <f aca="false">MAX(0,Abroad!M21-Abroad!N21-Abroad!V21)*$E$27</f>
        <v>0.106095055302748</v>
      </c>
      <c r="D150" s="132" t="n">
        <f aca="false">Abroad!F21</f>
        <v>0.117883394780831</v>
      </c>
      <c r="E150" s="117" t="n">
        <f aca="false">SUM(B150:D150)</f>
        <v>68.5315383298843</v>
      </c>
      <c r="F150" s="132" t="n">
        <f aca="false">Economy!O21*IF(A150=1862,$E$38,IF(OR(AND(A150&gt;=1861,A150&lt;=1865),AND(A150&gt;=1870,A150&lt;=1871)),$E$37,$E$26))</f>
        <v>40.3635581107913</v>
      </c>
      <c r="G150" s="132" t="n">
        <f aca="false">'Debt &amp; cash'!Y21*issue_price</f>
        <v>0</v>
      </c>
      <c r="H150" s="132" t="n">
        <f aca="false">Abroad!C21</f>
        <v>0.620977817089097</v>
      </c>
      <c r="I150" s="132" t="n">
        <f aca="false">Abroad!D21</f>
        <v>0</v>
      </c>
      <c r="J150" s="132" t="n">
        <f aca="false">'Champion funding'!D21-'Champion funding'!K21+'Champion funding'!Q21+'Champion funding'!R21</f>
        <v>0</v>
      </c>
      <c r="K150" s="117" t="n">
        <f aca="false">SUM(F150:J150)</f>
        <v>40.9845359278804</v>
      </c>
      <c r="L150" s="117" t="n">
        <f aca="false">E150-K150</f>
        <v>27.5470024020039</v>
      </c>
      <c r="M150" s="117" t="n">
        <f aca="false">MAX(0,-L150)</f>
        <v>0</v>
      </c>
      <c r="N150" s="132" t="n">
        <f aca="false">'Capital accounts'!L21</f>
        <v>0</v>
      </c>
      <c r="O150" s="132" t="n">
        <f aca="false">'War credit'!E21</f>
        <v>0</v>
      </c>
      <c r="P150" s="134" t="n">
        <f aca="false">'War credit'!AC21</f>
        <v>0</v>
      </c>
      <c r="Q150" s="132" t="str">
        <f aca="false">IF(O150&gt;0,'War credit'!AD21,IF(N150&gt;0,"Project funding unallocated","Capacity is MODEL"))</f>
        <v>Capacity is MODEL</v>
      </c>
      <c r="R150" s="113"/>
      <c r="S150" s="113"/>
    </row>
    <row r="151" customFormat="false" ht="19.5" hidden="false" customHeight="true" outlineLevel="0" collapsed="false">
      <c r="A151" s="121" t="n">
        <v>1862</v>
      </c>
      <c r="B151" s="132" t="n">
        <f aca="false">Economy!O22*$E$25</f>
        <v>76.452068840678</v>
      </c>
      <c r="C151" s="132" t="n">
        <f aca="false">MAX(0,Abroad!M22-Abroad!N22-Abroad!V22)*$E$27</f>
        <v>0.119678604705071</v>
      </c>
      <c r="D151" s="132" t="n">
        <f aca="false">Abroad!F22</f>
        <v>0.132976227450079</v>
      </c>
      <c r="E151" s="117" t="n">
        <f aca="false">SUM(B151:D151)</f>
        <v>76.7047236728331</v>
      </c>
      <c r="F151" s="132" t="n">
        <f aca="false">Economy!O22*IF(A151=1862,$E$38,IF(OR(AND(A151&gt;=1861,A151&lt;=1865),AND(A151&gt;=1870,A151&lt;=1871)),$E$37,$E$26))</f>
        <v>42.7436566700154</v>
      </c>
      <c r="G151" s="132" t="n">
        <f aca="false">'Debt &amp; cash'!Y22*issue_price</f>
        <v>5.47932342886633</v>
      </c>
      <c r="H151" s="132" t="n">
        <f aca="false">Abroad!C22</f>
        <v>0.695018807642527</v>
      </c>
      <c r="I151" s="132" t="n">
        <f aca="false">Abroad!D22</f>
        <v>0</v>
      </c>
      <c r="J151" s="132" t="n">
        <f aca="false">'Champion funding'!D22-'Champion funding'!K22+'Champion funding'!Q22+'Champion funding'!R22</f>
        <v>0</v>
      </c>
      <c r="K151" s="117" t="n">
        <f aca="false">SUM(F151:J151)</f>
        <v>48.9179989065243</v>
      </c>
      <c r="L151" s="117" t="n">
        <f aca="false">E151-K151</f>
        <v>27.7867247663088</v>
      </c>
      <c r="M151" s="117" t="n">
        <f aca="false">MAX(0,-L151)</f>
        <v>0</v>
      </c>
      <c r="N151" s="132" t="n">
        <f aca="false">'Capital accounts'!L22</f>
        <v>0</v>
      </c>
      <c r="O151" s="132" t="n">
        <f aca="false">'War credit'!E22</f>
        <v>0</v>
      </c>
      <c r="P151" s="134" t="n">
        <f aca="false">'War credit'!AC22</f>
        <v>0</v>
      </c>
      <c r="Q151" s="132" t="str">
        <f aca="false">IF(O151&gt;0,'War credit'!AD22,IF(N151&gt;0,"Project funding unallocated","Capacity is MODEL"))</f>
        <v>Capacity is MODEL</v>
      </c>
      <c r="R151" s="113"/>
      <c r="S151" s="113"/>
    </row>
    <row r="152" customFormat="false" ht="19.5" hidden="false" customHeight="true" outlineLevel="0" collapsed="false">
      <c r="A152" s="121" t="n">
        <v>1863</v>
      </c>
      <c r="B152" s="132" t="n">
        <f aca="false">Economy!O23*$E$25</f>
        <v>91.1190909963323</v>
      </c>
      <c r="C152" s="132" t="n">
        <f aca="false">MAX(0,Abroad!M23-Abroad!N23-Abroad!V23)*$E$27</f>
        <v>0.134853754370267</v>
      </c>
      <c r="D152" s="132" t="n">
        <f aca="false">Abroad!F23</f>
        <v>0.149837504855852</v>
      </c>
      <c r="E152" s="117" t="n">
        <f aca="false">SUM(B152:D152)</f>
        <v>91.4037822555585</v>
      </c>
      <c r="F152" s="132" t="n">
        <f aca="false">Economy!O23*IF(A152=1862,$E$38,IF(OR(AND(A152&gt;=1861,A152&lt;=1865),AND(A152&gt;=1870,A152&lt;=1871)),$E$37,$E$26))</f>
        <v>53.8430992251055</v>
      </c>
      <c r="G152" s="132" t="n">
        <f aca="false">'Debt &amp; cash'!Y23*issue_price</f>
        <v>8.35313507624701</v>
      </c>
      <c r="H152" s="132" t="n">
        <f aca="false">Abroad!C23</f>
        <v>0.82835537269393</v>
      </c>
      <c r="I152" s="132" t="n">
        <f aca="false">Abroad!D23</f>
        <v>0</v>
      </c>
      <c r="J152" s="132" t="n">
        <f aca="false">'Champion funding'!D23-'Champion funding'!K23+'Champion funding'!Q23+'Champion funding'!R23</f>
        <v>0</v>
      </c>
      <c r="K152" s="117" t="n">
        <f aca="false">SUM(F152:J152)</f>
        <v>63.0245896740464</v>
      </c>
      <c r="L152" s="117" t="n">
        <f aca="false">E152-K152</f>
        <v>28.379192581512</v>
      </c>
      <c r="M152" s="117" t="n">
        <f aca="false">MAX(0,-L152)</f>
        <v>0</v>
      </c>
      <c r="N152" s="132" t="n">
        <f aca="false">'Capital accounts'!L23</f>
        <v>0</v>
      </c>
      <c r="O152" s="132" t="n">
        <f aca="false">'War credit'!E23</f>
        <v>0</v>
      </c>
      <c r="P152" s="134" t="n">
        <f aca="false">'War credit'!AC23</f>
        <v>0</v>
      </c>
      <c r="Q152" s="132" t="str">
        <f aca="false">IF(O152&gt;0,'War credit'!AD23,IF(N152&gt;0,"Project funding unallocated","Capacity is MODEL"))</f>
        <v>Capacity is MODEL</v>
      </c>
      <c r="R152" s="113"/>
      <c r="S152" s="113"/>
    </row>
    <row r="153" customFormat="false" ht="19.5" hidden="false" customHeight="true" outlineLevel="0" collapsed="false">
      <c r="A153" s="121" t="n">
        <v>1864</v>
      </c>
      <c r="B153" s="132" t="n">
        <f aca="false">Economy!O24*$E$25</f>
        <v>106.98001806554</v>
      </c>
      <c r="C153" s="132" t="n">
        <f aca="false">MAX(0,Abroad!M24-Abroad!N24-Abroad!V24)*$E$27</f>
        <v>0.153173736801895</v>
      </c>
      <c r="D153" s="132" t="n">
        <f aca="false">Abroad!F24</f>
        <v>0.170193040890995</v>
      </c>
      <c r="E153" s="117" t="n">
        <f aca="false">SUM(B153:D153)</f>
        <v>107.303384843233</v>
      </c>
      <c r="F153" s="132" t="n">
        <f aca="false">Economy!O24*IF(A153=1862,$E$38,IF(OR(AND(A153&gt;=1861,A153&lt;=1865),AND(A153&gt;=1870,A153&lt;=1871)),$E$37,$E$26))</f>
        <v>63.2154652205462</v>
      </c>
      <c r="G153" s="132" t="n">
        <f aca="false">'Debt &amp; cash'!Y24*issue_price</f>
        <v>5.23662474000567</v>
      </c>
      <c r="H153" s="132" t="n">
        <f aca="false">Abroad!C24</f>
        <v>0.972545618777634</v>
      </c>
      <c r="I153" s="132" t="n">
        <f aca="false">Abroad!D24</f>
        <v>0</v>
      </c>
      <c r="J153" s="132" t="n">
        <f aca="false">'Champion funding'!D24-'Champion funding'!K24+'Champion funding'!Q24+'Champion funding'!R24</f>
        <v>0</v>
      </c>
      <c r="K153" s="117" t="n">
        <f aca="false">SUM(F153:J153)</f>
        <v>69.4246355793295</v>
      </c>
      <c r="L153" s="117" t="n">
        <f aca="false">E153-K153</f>
        <v>37.8787492639031</v>
      </c>
      <c r="M153" s="117" t="n">
        <f aca="false">MAX(0,-L153)</f>
        <v>0</v>
      </c>
      <c r="N153" s="132" t="n">
        <f aca="false">'Capital accounts'!L24</f>
        <v>0</v>
      </c>
      <c r="O153" s="132" t="n">
        <f aca="false">'War credit'!E24</f>
        <v>0</v>
      </c>
      <c r="P153" s="134" t="n">
        <f aca="false">'War credit'!AC24</f>
        <v>0</v>
      </c>
      <c r="Q153" s="132" t="str">
        <f aca="false">IF(O153&gt;0,'War credit'!AD24,IF(N153&gt;0,"Project funding unallocated","Capacity is MODEL"))</f>
        <v>Capacity is MODEL</v>
      </c>
      <c r="R153" s="113"/>
      <c r="S153" s="113"/>
    </row>
    <row r="154" customFormat="false" ht="19.5" hidden="false" customHeight="true" outlineLevel="0" collapsed="false">
      <c r="A154" s="121" t="n">
        <v>1865</v>
      </c>
      <c r="B154" s="132" t="n">
        <f aca="false">Economy!O25*$E$25</f>
        <v>116.759013931669</v>
      </c>
      <c r="C154" s="132" t="n">
        <f aca="false">MAX(0,Abroad!M25-Abroad!N25-Abroad!V25)*$E$27</f>
        <v>0.174837256404834</v>
      </c>
      <c r="D154" s="132" t="n">
        <f aca="false">Abroad!F25</f>
        <v>0.194263618227594</v>
      </c>
      <c r="E154" s="117" t="n">
        <f aca="false">SUM(B154:D154)</f>
        <v>117.128114806301</v>
      </c>
      <c r="F154" s="132" t="n">
        <f aca="false">Economy!O25*IF(A154=1862,$E$38,IF(OR(AND(A154&gt;=1861,A154&lt;=1865),AND(A154&gt;=1870,A154&lt;=1871)),$E$37,$E$26))</f>
        <v>68.9939627778044</v>
      </c>
      <c r="G154" s="132" t="n">
        <f aca="false">'Debt &amp; cash'!Y25*issue_price</f>
        <v>0</v>
      </c>
      <c r="H154" s="132" t="n">
        <f aca="false">Abroad!C25</f>
        <v>1.06144558119699</v>
      </c>
      <c r="I154" s="132" t="n">
        <f aca="false">Abroad!D25</f>
        <v>0</v>
      </c>
      <c r="J154" s="132" t="n">
        <f aca="false">'Champion funding'!D25-'Champion funding'!K25+'Champion funding'!Q25+'Champion funding'!R25</f>
        <v>0</v>
      </c>
      <c r="K154" s="117" t="n">
        <f aca="false">SUM(F154:J154)</f>
        <v>70.0554083590014</v>
      </c>
      <c r="L154" s="117" t="n">
        <f aca="false">E154-K154</f>
        <v>47.0727064473</v>
      </c>
      <c r="M154" s="117" t="n">
        <f aca="false">MAX(0,-L154)</f>
        <v>0</v>
      </c>
      <c r="N154" s="132" t="n">
        <f aca="false">'Capital accounts'!L25</f>
        <v>0</v>
      </c>
      <c r="O154" s="132" t="n">
        <f aca="false">'War credit'!E25</f>
        <v>0</v>
      </c>
      <c r="P154" s="134" t="n">
        <f aca="false">'War credit'!AC25</f>
        <v>0</v>
      </c>
      <c r="Q154" s="132" t="str">
        <f aca="false">IF(O154&gt;0,'War credit'!AD25,IF(N154&gt;0,"Project funding unallocated","Capacity is MODEL"))</f>
        <v>Capacity is MODEL</v>
      </c>
      <c r="R154" s="113"/>
      <c r="S154" s="113"/>
    </row>
    <row r="155" customFormat="false" ht="19.5" hidden="false" customHeight="true" outlineLevel="0" collapsed="false">
      <c r="A155" s="121" t="n">
        <v>1866</v>
      </c>
      <c r="B155" s="132" t="n">
        <f aca="false">Economy!O26*$E$25</f>
        <v>125.046317557688</v>
      </c>
      <c r="C155" s="132" t="n">
        <f aca="false">MAX(0,Abroad!M26-Abroad!N26-Abroad!V26)*$E$27</f>
        <v>0.198251169405008</v>
      </c>
      <c r="D155" s="132" t="n">
        <f aca="false">Abroad!F26</f>
        <v>0.220279077116676</v>
      </c>
      <c r="E155" s="117" t="n">
        <f aca="false">SUM(B155:D155)</f>
        <v>125.46484780421</v>
      </c>
      <c r="F155" s="132" t="n">
        <f aca="false">Economy!O26*IF(A155=1862,$E$38,IF(OR(AND(A155&gt;=1861,A155&lt;=1865),AND(A155&gt;=1870,A155&lt;=1871)),$E$37,$E$26))</f>
        <v>85.2588528802419</v>
      </c>
      <c r="G155" s="132" t="n">
        <f aca="false">'Debt &amp; cash'!Y26*issue_price</f>
        <v>0</v>
      </c>
      <c r="H155" s="132" t="n">
        <f aca="false">Abroad!C26</f>
        <v>1.13678470506989</v>
      </c>
      <c r="I155" s="132" t="n">
        <f aca="false">Abroad!D26</f>
        <v>0</v>
      </c>
      <c r="J155" s="132" t="n">
        <f aca="false">'Champion funding'!D26-'Champion funding'!K26+'Champion funding'!Q26+'Champion funding'!R26</f>
        <v>0</v>
      </c>
      <c r="K155" s="117" t="n">
        <f aca="false">SUM(F155:J155)</f>
        <v>86.3956375853118</v>
      </c>
      <c r="L155" s="117" t="n">
        <f aca="false">E155-K155</f>
        <v>39.069210218898</v>
      </c>
      <c r="M155" s="117" t="n">
        <f aca="false">MAX(0,-L155)</f>
        <v>0</v>
      </c>
      <c r="N155" s="132" t="n">
        <f aca="false">'Capital accounts'!L26</f>
        <v>0</v>
      </c>
      <c r="O155" s="132" t="n">
        <f aca="false">'War credit'!E26</f>
        <v>0</v>
      </c>
      <c r="P155" s="134" t="n">
        <f aca="false">'War credit'!AC26</f>
        <v>0</v>
      </c>
      <c r="Q155" s="132" t="str">
        <f aca="false">IF(O155&gt;0,'War credit'!AD26,IF(N155&gt;0,"Project funding unallocated","Capacity is MODEL"))</f>
        <v>Capacity is MODEL</v>
      </c>
      <c r="R155" s="113"/>
      <c r="S155" s="113"/>
    </row>
    <row r="156" customFormat="false" ht="19.5" hidden="false" customHeight="true" outlineLevel="0" collapsed="false">
      <c r="A156" s="121" t="n">
        <v>1867</v>
      </c>
      <c r="B156" s="132" t="n">
        <f aca="false">Economy!O27*$E$25</f>
        <v>135.60956873693</v>
      </c>
      <c r="C156" s="132" t="n">
        <f aca="false">MAX(0,Abroad!M27-Abroad!N27-Abroad!V27)*$E$27</f>
        <v>0.23170434445932</v>
      </c>
      <c r="D156" s="132" t="n">
        <f aca="false">Abroad!F27</f>
        <v>0.247774245955272</v>
      </c>
      <c r="E156" s="117" t="n">
        <f aca="false">SUM(B156:D156)</f>
        <v>136.089047327345</v>
      </c>
      <c r="F156" s="132" t="n">
        <f aca="false">Economy!O27*IF(A156=1862,$E$38,IF(OR(AND(A156&gt;=1861,A156&lt;=1865),AND(A156&gt;=1870,A156&lt;=1871)),$E$37,$E$26))</f>
        <v>92.4610695933614</v>
      </c>
      <c r="G156" s="132" t="n">
        <f aca="false">'Debt &amp; cash'!Y27*issue_price</f>
        <v>0</v>
      </c>
      <c r="H156" s="132" t="n">
        <f aca="false">Abroad!C27</f>
        <v>1.23281426124482</v>
      </c>
      <c r="I156" s="132" t="n">
        <f aca="false">Abroad!D27</f>
        <v>0</v>
      </c>
      <c r="J156" s="132" t="n">
        <f aca="false">'Champion funding'!D27-'Champion funding'!K27+'Champion funding'!Q27+'Champion funding'!R27</f>
        <v>0</v>
      </c>
      <c r="K156" s="117" t="n">
        <f aca="false">SUM(F156:J156)</f>
        <v>93.6938838546063</v>
      </c>
      <c r="L156" s="117" t="n">
        <f aca="false">E156-K156</f>
        <v>42.3951634727384</v>
      </c>
      <c r="M156" s="117" t="n">
        <f aca="false">MAX(0,-L156)</f>
        <v>0</v>
      </c>
      <c r="N156" s="132" t="n">
        <f aca="false">'Capital accounts'!L27</f>
        <v>0</v>
      </c>
      <c r="O156" s="132" t="n">
        <f aca="false">'War credit'!E27</f>
        <v>0</v>
      </c>
      <c r="P156" s="134" t="n">
        <f aca="false">'War credit'!AC27</f>
        <v>0</v>
      </c>
      <c r="Q156" s="132" t="str">
        <f aca="false">IF(O156&gt;0,'War credit'!AD27,IF(N156&gt;0,"Project funding unallocated","Capacity is MODEL"))</f>
        <v>Capacity is MODEL</v>
      </c>
      <c r="R156" s="113"/>
      <c r="S156" s="113"/>
    </row>
    <row r="157" customFormat="false" ht="19.5" hidden="false" customHeight="true" outlineLevel="0" collapsed="false">
      <c r="A157" s="121" t="n">
        <v>1868</v>
      </c>
      <c r="B157" s="132" t="n">
        <f aca="false">Economy!O28*$E$25</f>
        <v>146.692981084197</v>
      </c>
      <c r="C157" s="132" t="n">
        <f aca="false">MAX(0,Abroad!M28-Abroad!N28-Abroad!V28)*$E$27</f>
        <v>0.259014288827811</v>
      </c>
      <c r="D157" s="132" t="n">
        <f aca="false">Abroad!F28</f>
        <v>0.277325446413959</v>
      </c>
      <c r="E157" s="117" t="n">
        <f aca="false">SUM(B157:D157)</f>
        <v>147.229320819438</v>
      </c>
      <c r="F157" s="132" t="n">
        <f aca="false">Economy!O28*IF(A157=1862,$E$38,IF(OR(AND(A157&gt;=1861,A157&lt;=1865),AND(A157&gt;=1870,A157&lt;=1871)),$E$37,$E$26))</f>
        <v>100.017941648316</v>
      </c>
      <c r="G157" s="132" t="n">
        <f aca="false">'Debt &amp; cash'!Y28*issue_price</f>
        <v>0</v>
      </c>
      <c r="H157" s="132" t="n">
        <f aca="false">Abroad!C28</f>
        <v>1.33357255531088</v>
      </c>
      <c r="I157" s="132" t="n">
        <f aca="false">Abroad!D28</f>
        <v>0</v>
      </c>
      <c r="J157" s="132" t="n">
        <f aca="false">'Champion funding'!D28-'Champion funding'!K28+'Champion funding'!Q28+'Champion funding'!R28</f>
        <v>0</v>
      </c>
      <c r="K157" s="117" t="n">
        <f aca="false">SUM(F157:J157)</f>
        <v>101.351514203627</v>
      </c>
      <c r="L157" s="117" t="n">
        <f aca="false">E157-K157</f>
        <v>45.8778066158116</v>
      </c>
      <c r="M157" s="117" t="n">
        <f aca="false">MAX(0,-L157)</f>
        <v>0</v>
      </c>
      <c r="N157" s="132" t="n">
        <f aca="false">'Capital accounts'!L28</f>
        <v>0</v>
      </c>
      <c r="O157" s="132" t="n">
        <f aca="false">'War credit'!E28</f>
        <v>0</v>
      </c>
      <c r="P157" s="134" t="n">
        <f aca="false">'War credit'!AC28</f>
        <v>0</v>
      </c>
      <c r="Q157" s="132" t="str">
        <f aca="false">IF(O157&gt;0,'War credit'!AD28,IF(N157&gt;0,"Project funding unallocated","Capacity is MODEL"))</f>
        <v>Capacity is MODEL</v>
      </c>
      <c r="R157" s="113"/>
      <c r="S157" s="113"/>
    </row>
    <row r="158" customFormat="false" ht="19.5" hidden="false" customHeight="true" outlineLevel="0" collapsed="false">
      <c r="A158" s="121" t="n">
        <v>1869</v>
      </c>
      <c r="B158" s="132" t="n">
        <f aca="false">Economy!O29*$E$25</f>
        <v>157.952641983104</v>
      </c>
      <c r="C158" s="132" t="n">
        <f aca="false">MAX(0,Abroad!M29-Abroad!N29-Abroad!V29)*$E$27</f>
        <v>0.293317497792859</v>
      </c>
      <c r="D158" s="132" t="n">
        <f aca="false">Abroad!F29</f>
        <v>0.309012859680866</v>
      </c>
      <c r="E158" s="117" t="n">
        <f aca="false">SUM(B158:D158)</f>
        <v>158.554972340577</v>
      </c>
      <c r="F158" s="132" t="n">
        <f aca="false">Economy!O29*IF(A158=1862,$E$38,IF(OR(AND(A158&gt;=1861,A158&lt;=1865),AND(A158&gt;=1870,A158&lt;=1871)),$E$37,$E$26))</f>
        <v>107.694983170298</v>
      </c>
      <c r="G158" s="132" t="n">
        <f aca="false">'Debt &amp; cash'!Y29*issue_price</f>
        <v>0</v>
      </c>
      <c r="H158" s="132" t="n">
        <f aca="false">Abroad!C29</f>
        <v>1.43593310893731</v>
      </c>
      <c r="I158" s="132" t="n">
        <f aca="false">Abroad!D29</f>
        <v>0</v>
      </c>
      <c r="J158" s="132" t="n">
        <f aca="false">'Champion funding'!D29-'Champion funding'!K29+'Champion funding'!Q29+'Champion funding'!R29</f>
        <v>0</v>
      </c>
      <c r="K158" s="117" t="n">
        <f aca="false">SUM(F158:J158)</f>
        <v>109.130916279235</v>
      </c>
      <c r="L158" s="117" t="n">
        <f aca="false">E158-K158</f>
        <v>49.4240560613421</v>
      </c>
      <c r="M158" s="117" t="n">
        <f aca="false">MAX(0,-L158)</f>
        <v>0</v>
      </c>
      <c r="N158" s="132" t="n">
        <f aca="false">'Capital accounts'!L29</f>
        <v>0</v>
      </c>
      <c r="O158" s="132" t="n">
        <f aca="false">'War credit'!E29</f>
        <v>0</v>
      </c>
      <c r="P158" s="134" t="n">
        <f aca="false">'War credit'!AC29</f>
        <v>0</v>
      </c>
      <c r="Q158" s="132" t="str">
        <f aca="false">IF(O158&gt;0,'War credit'!AD29,IF(N158&gt;0,"Project funding unallocated","Capacity is MODEL"))</f>
        <v>Capacity is MODEL</v>
      </c>
      <c r="R158" s="113"/>
      <c r="S158" s="113"/>
    </row>
    <row r="159" customFormat="false" ht="19.5" hidden="false" customHeight="true" outlineLevel="0" collapsed="false">
      <c r="A159" s="121" t="n">
        <v>1870</v>
      </c>
      <c r="B159" s="132" t="n">
        <f aca="false">Economy!O30*$E$25</f>
        <v>170.76034315443</v>
      </c>
      <c r="C159" s="132" t="n">
        <f aca="false">MAX(0,Abroad!M30-Abroad!N30-Abroad!V30)*$E$27</f>
        <v>0.545472754587885</v>
      </c>
      <c r="D159" s="132" t="n">
        <f aca="false">Abroad!F30</f>
        <v>0.342820467158559</v>
      </c>
      <c r="E159" s="117" t="n">
        <f aca="false">SUM(B159:D159)</f>
        <v>171.648636376176</v>
      </c>
      <c r="F159" s="132" t="n">
        <f aca="false">Economy!O30*IF(A159=1862,$E$38,IF(OR(AND(A159&gt;=1861,A159&lt;=1865),AND(A159&gt;=1870,A159&lt;=1871)),$E$37,$E$26))</f>
        <v>100.903839136709</v>
      </c>
      <c r="G159" s="132" t="n">
        <f aca="false">'Debt &amp; cash'!Y30*issue_price</f>
        <v>0</v>
      </c>
      <c r="H159" s="132" t="n">
        <f aca="false">Abroad!C30</f>
        <v>4.65710026784809</v>
      </c>
      <c r="I159" s="132" t="n">
        <f aca="false">Abroad!D30</f>
        <v>0</v>
      </c>
      <c r="J159" s="132" t="n">
        <f aca="false">'Champion funding'!D30-'Champion funding'!K30+'Champion funding'!Q30+'Champion funding'!R30</f>
        <v>5.72056434751029</v>
      </c>
      <c r="K159" s="117" t="n">
        <f aca="false">SUM(F159:J159)</f>
        <v>111.281503752067</v>
      </c>
      <c r="L159" s="117" t="n">
        <f aca="false">E159-K159</f>
        <v>60.3671326241094</v>
      </c>
      <c r="M159" s="117" t="n">
        <f aca="false">MAX(0,-L159)</f>
        <v>0</v>
      </c>
      <c r="N159" s="132" t="n">
        <f aca="false">'Capital accounts'!L30</f>
        <v>0</v>
      </c>
      <c r="O159" s="132" t="n">
        <f aca="false">'War credit'!E30</f>
        <v>0</v>
      </c>
      <c r="P159" s="134" t="n">
        <f aca="false">'War credit'!AC30</f>
        <v>0</v>
      </c>
      <c r="Q159" s="132" t="str">
        <f aca="false">IF(O159&gt;0,'War credit'!AD30,IF(N159&gt;0,"Project funding unallocated","Capacity is MODEL"))</f>
        <v>Capacity is MODEL</v>
      </c>
      <c r="R159" s="113"/>
      <c r="S159" s="113"/>
    </row>
    <row r="160" customFormat="false" ht="19.5" hidden="false" customHeight="true" outlineLevel="0" collapsed="false">
      <c r="A160" s="121" t="n">
        <v>1871</v>
      </c>
      <c r="B160" s="132" t="n">
        <f aca="false">Economy!O31*$E$25</f>
        <v>182.602601008476</v>
      </c>
      <c r="C160" s="132" t="n">
        <f aca="false">MAX(0,Abroad!M31-Abroad!N31-Abroad!V31)*$E$27</f>
        <v>0.724535918454888</v>
      </c>
      <c r="D160" s="132" t="n">
        <f aca="false">Abroad!F31</f>
        <v>0.472248861179245</v>
      </c>
      <c r="E160" s="117" t="n">
        <f aca="false">SUM(B160:D160)</f>
        <v>183.79938578811</v>
      </c>
      <c r="F160" s="132" t="n">
        <f aca="false">Economy!O31*IF(A160=1862,$E$38,IF(OR(AND(A160&gt;=1861,A160&lt;=1865),AND(A160&gt;=1870,A160&lt;=1871)),$E$37,$E$26))</f>
        <v>107.901536959554</v>
      </c>
      <c r="G160" s="132" t="n">
        <f aca="false">'Debt &amp; cash'!Y31*issue_price</f>
        <v>0</v>
      </c>
      <c r="H160" s="132" t="n">
        <f aca="false">Abroad!C31</f>
        <v>4.98007093659479</v>
      </c>
      <c r="I160" s="132" t="n">
        <f aca="false">Abroad!D31</f>
        <v>0</v>
      </c>
      <c r="J160" s="132" t="n">
        <f aca="false">'Champion funding'!D31-'Champion funding'!K31+'Champion funding'!Q31+'Champion funding'!R31</f>
        <v>3.33645581163271</v>
      </c>
      <c r="K160" s="117" t="n">
        <f aca="false">SUM(F160:J160)</f>
        <v>116.218063707781</v>
      </c>
      <c r="L160" s="117" t="n">
        <f aca="false">E160-K160</f>
        <v>67.5813220803285</v>
      </c>
      <c r="M160" s="117" t="n">
        <f aca="false">MAX(0,-L160)</f>
        <v>0</v>
      </c>
      <c r="N160" s="132" t="n">
        <f aca="false">'Capital accounts'!L31</f>
        <v>0</v>
      </c>
      <c r="O160" s="132" t="n">
        <f aca="false">'War credit'!E31</f>
        <v>0</v>
      </c>
      <c r="P160" s="134" t="n">
        <f aca="false">'War credit'!AC31</f>
        <v>0</v>
      </c>
      <c r="Q160" s="132" t="str">
        <f aca="false">IF(O160&gt;0,'War credit'!AD31,IF(N160&gt;0,"Project funding unallocated","Capacity is MODEL"))</f>
        <v>Capacity is MODEL</v>
      </c>
      <c r="R160" s="113"/>
      <c r="S160" s="113"/>
    </row>
    <row r="161" customFormat="false" ht="19.5" hidden="false" customHeight="true" outlineLevel="0" collapsed="false">
      <c r="A161" s="121" t="n">
        <v>1872</v>
      </c>
      <c r="B161" s="132" t="n">
        <f aca="false">Economy!O32*$E$25</f>
        <v>194.837005235045</v>
      </c>
      <c r="C161" s="132" t="n">
        <f aca="false">MAX(0,Abroad!M32-Abroad!N32-Abroad!V32)*$E$27</f>
        <v>0.916835112322816</v>
      </c>
      <c r="D161" s="132" t="n">
        <f aca="false">Abroad!F32</f>
        <v>0.607483523441712</v>
      </c>
      <c r="E161" s="117" t="n">
        <f aca="false">SUM(B161:D161)</f>
        <v>196.36132387081</v>
      </c>
      <c r="F161" s="132" t="n">
        <f aca="false">Economy!O32*IF(A161=1862,$E$38,IF(OR(AND(A161&gt;=1861,A161&lt;=1865),AND(A161&gt;=1870,A161&lt;=1871)),$E$37,$E$26))</f>
        <v>132.843412660258</v>
      </c>
      <c r="G161" s="132" t="n">
        <f aca="false">'Debt &amp; cash'!Y32*issue_price</f>
        <v>0</v>
      </c>
      <c r="H161" s="132" t="n">
        <f aca="false">Abroad!C32</f>
        <v>5.31373650641033</v>
      </c>
      <c r="I161" s="132" t="n">
        <f aca="false">Abroad!D32</f>
        <v>0</v>
      </c>
      <c r="J161" s="132" t="n">
        <f aca="false">'Champion funding'!D32-'Champion funding'!K32+'Champion funding'!Q32+'Champion funding'!R32</f>
        <v>2.55090689277354</v>
      </c>
      <c r="K161" s="117" t="n">
        <f aca="false">SUM(F161:J161)</f>
        <v>140.708056059442</v>
      </c>
      <c r="L161" s="117" t="n">
        <f aca="false">E161-K161</f>
        <v>55.6532678113679</v>
      </c>
      <c r="M161" s="117" t="n">
        <f aca="false">MAX(0,-L161)</f>
        <v>0</v>
      </c>
      <c r="N161" s="132" t="n">
        <f aca="false">'Capital accounts'!L32</f>
        <v>0</v>
      </c>
      <c r="O161" s="132" t="n">
        <f aca="false">'War credit'!E32</f>
        <v>0</v>
      </c>
      <c r="P161" s="134" t="n">
        <f aca="false">'War credit'!AC32</f>
        <v>0</v>
      </c>
      <c r="Q161" s="132" t="str">
        <f aca="false">IF(O161&gt;0,'War credit'!AD32,IF(N161&gt;0,"Project funding unallocated","Capacity is MODEL"))</f>
        <v>Capacity is MODEL</v>
      </c>
      <c r="R161" s="113"/>
      <c r="S161" s="113"/>
    </row>
    <row r="162" customFormat="false" ht="19.5" hidden="false" customHeight="true" outlineLevel="0" collapsed="false">
      <c r="A162" s="121" t="n">
        <v>1873</v>
      </c>
      <c r="B162" s="132" t="n">
        <f aca="false">Economy!O33*$E$25</f>
        <v>205.117802199432</v>
      </c>
      <c r="C162" s="132" t="n">
        <f aca="false">MAX(0,Abroad!M33-Abroad!N33-Abroad!V33)*$E$27</f>
        <v>1.07391359354448</v>
      </c>
      <c r="D162" s="132" t="n">
        <f aca="false">Abroad!F33</f>
        <v>0.74867111293077</v>
      </c>
      <c r="E162" s="117" t="n">
        <f aca="false">SUM(B162:D162)</f>
        <v>206.940386905907</v>
      </c>
      <c r="F162" s="132" t="n">
        <f aca="false">Economy!O33*IF(A162=1862,$E$38,IF(OR(AND(A162&gt;=1861,A162&lt;=1865),AND(A162&gt;=1870,A162&lt;=1871)),$E$37,$E$26))</f>
        <v>139.853046954158</v>
      </c>
      <c r="G162" s="132" t="n">
        <f aca="false">'Debt &amp; cash'!Y33*issue_price</f>
        <v>0</v>
      </c>
      <c r="H162" s="132" t="n">
        <f aca="false">Abroad!C33</f>
        <v>5.59412187816632</v>
      </c>
      <c r="I162" s="132" t="n">
        <f aca="false">Abroad!D33</f>
        <v>0</v>
      </c>
      <c r="J162" s="132" t="n">
        <f aca="false">'Champion funding'!D33-'Champion funding'!K33+'Champion funding'!Q33+'Champion funding'!R33</f>
        <v>1.75329609313953</v>
      </c>
      <c r="K162" s="117" t="n">
        <f aca="false">SUM(F162:J162)</f>
        <v>147.200464925464</v>
      </c>
      <c r="L162" s="117" t="n">
        <f aca="false">E162-K162</f>
        <v>59.7399219804432</v>
      </c>
      <c r="M162" s="117" t="n">
        <f aca="false">MAX(0,-L162)</f>
        <v>0</v>
      </c>
      <c r="N162" s="132" t="n">
        <f aca="false">'Capital accounts'!L33</f>
        <v>0</v>
      </c>
      <c r="O162" s="132" t="n">
        <f aca="false">'War credit'!E33</f>
        <v>0</v>
      </c>
      <c r="P162" s="134" t="n">
        <f aca="false">'War credit'!AC33</f>
        <v>0</v>
      </c>
      <c r="Q162" s="132" t="str">
        <f aca="false">IF(O162&gt;0,'War credit'!AD33,IF(N162&gt;0,"Project funding unallocated","Capacity is MODEL"))</f>
        <v>Capacity is MODEL</v>
      </c>
      <c r="R162" s="113"/>
      <c r="S162" s="113"/>
    </row>
    <row r="163" customFormat="false" ht="19.5" hidden="false" customHeight="true" outlineLevel="0" collapsed="false">
      <c r="A163" s="121" t="n">
        <v>1874</v>
      </c>
      <c r="B163" s="132" t="n">
        <f aca="false">Economy!O34*$E$25</f>
        <v>217.452280550095</v>
      </c>
      <c r="C163" s="132" t="n">
        <f aca="false">MAX(0,Abroad!M34-Abroad!N34-Abroad!V34)*$E$27</f>
        <v>1.31790227697848</v>
      </c>
      <c r="D163" s="132" t="n">
        <f aca="false">Abroad!F34</f>
        <v>0.894034635887837</v>
      </c>
      <c r="E163" s="117" t="n">
        <f aca="false">SUM(B163:D163)</f>
        <v>219.664217462961</v>
      </c>
      <c r="F163" s="132" t="n">
        <f aca="false">Economy!O34*IF(A163=1862,$E$38,IF(OR(AND(A163&gt;=1861,A163&lt;=1865),AND(A163&gt;=1870,A163&lt;=1871)),$E$37,$E$26))</f>
        <v>148.262918556883</v>
      </c>
      <c r="G163" s="132" t="n">
        <f aca="false">'Debt &amp; cash'!Y34*issue_price</f>
        <v>0</v>
      </c>
      <c r="H163" s="132" t="n">
        <f aca="false">Abroad!C34</f>
        <v>5.93051674227531</v>
      </c>
      <c r="I163" s="132" t="n">
        <f aca="false">Abroad!D34</f>
        <v>0</v>
      </c>
      <c r="J163" s="132" t="n">
        <f aca="false">'Champion funding'!D34-'Champion funding'!K34+'Champion funding'!Q34+'Champion funding'!R34</f>
        <v>3.45618190696847</v>
      </c>
      <c r="K163" s="117" t="n">
        <f aca="false">SUM(F163:J163)</f>
        <v>157.649617206127</v>
      </c>
      <c r="L163" s="117" t="n">
        <f aca="false">E163-K163</f>
        <v>62.0146002568345</v>
      </c>
      <c r="M163" s="117" t="n">
        <f aca="false">MAX(0,-L163)</f>
        <v>0</v>
      </c>
      <c r="N163" s="132" t="n">
        <f aca="false">'Capital accounts'!L34</f>
        <v>0</v>
      </c>
      <c r="O163" s="132" t="n">
        <f aca="false">'War credit'!E34</f>
        <v>0</v>
      </c>
      <c r="P163" s="134" t="n">
        <f aca="false">'War credit'!AC34</f>
        <v>0</v>
      </c>
      <c r="Q163" s="132" t="str">
        <f aca="false">IF(O163&gt;0,'War credit'!AD34,IF(N163&gt;0,"Project funding unallocated","Capacity is MODEL"))</f>
        <v>Capacity is MODEL</v>
      </c>
      <c r="R163" s="113"/>
      <c r="S163" s="113"/>
    </row>
    <row r="164" customFormat="false" ht="19.5" hidden="false" customHeight="true" outlineLevel="0" collapsed="false">
      <c r="A164" s="121" t="n">
        <v>1875</v>
      </c>
      <c r="B164" s="132" t="n">
        <f aca="false">Economy!O35*$E$25</f>
        <v>234.335836932497</v>
      </c>
      <c r="C164" s="132" t="n">
        <f aca="false">MAX(0,Abroad!M35-Abroad!N35-Abroad!V35)*$E$27</f>
        <v>1.5550801680578</v>
      </c>
      <c r="D164" s="132" t="n">
        <f aca="false">Abroad!F35</f>
        <v>1.04512909907946</v>
      </c>
      <c r="E164" s="117" t="n">
        <f aca="false">SUM(B164:D164)</f>
        <v>236.936046199634</v>
      </c>
      <c r="F164" s="132" t="n">
        <f aca="false">Economy!O35*IF(A164=1862,$E$38,IF(OR(AND(A164&gt;=1861,A164&lt;=1865),AND(A164&gt;=1870,A164&lt;=1871)),$E$37,$E$26))</f>
        <v>159.774434272157</v>
      </c>
      <c r="G164" s="132" t="n">
        <f aca="false">'Debt &amp; cash'!Y35*issue_price</f>
        <v>0</v>
      </c>
      <c r="H164" s="132" t="n">
        <f aca="false">Abroad!C35</f>
        <v>6.39097737088628</v>
      </c>
      <c r="I164" s="132" t="n">
        <f aca="false">Abroad!D35</f>
        <v>0</v>
      </c>
      <c r="J164" s="132" t="n">
        <f aca="false">'Champion funding'!D35-'Champion funding'!K35+'Champion funding'!Q35+'Champion funding'!R35</f>
        <v>3.48185610680848</v>
      </c>
      <c r="K164" s="117" t="n">
        <f aca="false">SUM(F164:J164)</f>
        <v>169.647267749852</v>
      </c>
      <c r="L164" s="117" t="n">
        <f aca="false">E164-K164</f>
        <v>67.2887784497825</v>
      </c>
      <c r="M164" s="117" t="n">
        <f aca="false">MAX(0,-L164)</f>
        <v>0</v>
      </c>
      <c r="N164" s="132" t="n">
        <f aca="false">'Capital accounts'!L35</f>
        <v>0</v>
      </c>
      <c r="O164" s="132" t="n">
        <f aca="false">'War credit'!E35</f>
        <v>0</v>
      </c>
      <c r="P164" s="134" t="n">
        <f aca="false">'War credit'!AC35</f>
        <v>0</v>
      </c>
      <c r="Q164" s="132" t="str">
        <f aca="false">IF(O164&gt;0,'War credit'!AD35,IF(N164&gt;0,"Project funding unallocated","Capacity is MODEL"))</f>
        <v>Capacity is MODEL</v>
      </c>
      <c r="R164" s="113"/>
      <c r="S164" s="113"/>
    </row>
    <row r="165" customFormat="false" ht="19.5" hidden="false" customHeight="true" outlineLevel="0" collapsed="false">
      <c r="A165" s="121" t="n">
        <v>1876</v>
      </c>
      <c r="B165" s="132" t="n">
        <f aca="false">Economy!O36*$E$25</f>
        <v>254.196332084667</v>
      </c>
      <c r="C165" s="132" t="n">
        <f aca="false">MAX(0,Abroad!M36-Abroad!N36-Abroad!V36)*$E$27</f>
        <v>1.7689075634704</v>
      </c>
      <c r="D165" s="132" t="n">
        <f aca="false">Abroad!F36</f>
        <v>1.20550454723367</v>
      </c>
      <c r="E165" s="117" t="n">
        <f aca="false">SUM(B165:D165)</f>
        <v>257.170744195371</v>
      </c>
      <c r="F165" s="132" t="n">
        <f aca="false">Economy!O36*IF(A165=1862,$E$38,IF(OR(AND(A165&gt;=1861,A165&lt;=1865),AND(A165&gt;=1870,A165&lt;=1871)),$E$37,$E$26))</f>
        <v>173.315680966818</v>
      </c>
      <c r="G165" s="132" t="n">
        <f aca="false">'Debt &amp; cash'!Y36*issue_price</f>
        <v>0</v>
      </c>
      <c r="H165" s="132" t="n">
        <f aca="false">Abroad!C36</f>
        <v>6.93262723867273</v>
      </c>
      <c r="I165" s="132" t="n">
        <f aca="false">Abroad!D36</f>
        <v>0</v>
      </c>
      <c r="J165" s="132" t="n">
        <f aca="false">'Champion funding'!D36-'Champion funding'!K36+'Champion funding'!Q36+'Champion funding'!R36</f>
        <v>2.66737328640196</v>
      </c>
      <c r="K165" s="117" t="n">
        <f aca="false">SUM(F165:J165)</f>
        <v>182.915681491893</v>
      </c>
      <c r="L165" s="117" t="n">
        <f aca="false">E165-K165</f>
        <v>74.255062703478</v>
      </c>
      <c r="M165" s="117" t="n">
        <f aca="false">MAX(0,-L165)</f>
        <v>0</v>
      </c>
      <c r="N165" s="132" t="n">
        <f aca="false">'Capital accounts'!L36</f>
        <v>0</v>
      </c>
      <c r="O165" s="132" t="n">
        <f aca="false">'War credit'!E36</f>
        <v>0</v>
      </c>
      <c r="P165" s="134" t="n">
        <f aca="false">'War credit'!AC36</f>
        <v>0</v>
      </c>
      <c r="Q165" s="132" t="str">
        <f aca="false">IF(O165&gt;0,'War credit'!AD36,IF(N165&gt;0,"Project funding unallocated","Capacity is MODEL"))</f>
        <v>Capacity is MODEL</v>
      </c>
      <c r="R165" s="113"/>
      <c r="S165" s="113"/>
    </row>
    <row r="166" customFormat="false" ht="19.5" hidden="false" customHeight="true" outlineLevel="0" collapsed="false">
      <c r="A166" s="121" t="n">
        <v>1877</v>
      </c>
      <c r="B166" s="132" t="n">
        <f aca="false">Economy!O37*$E$25</f>
        <v>264.861490704133</v>
      </c>
      <c r="C166" s="132" t="n">
        <f aca="false">MAX(0,Abroad!M37-Abroad!N37-Abroad!V37)*$E$27</f>
        <v>2.0039833119406</v>
      </c>
      <c r="D166" s="132" t="n">
        <f aca="false">Abroad!F37</f>
        <v>1.37731822797684</v>
      </c>
      <c r="E166" s="117" t="n">
        <f aca="false">SUM(B166:D166)</f>
        <v>268.24279224405</v>
      </c>
      <c r="F166" s="132" t="n">
        <f aca="false">Economy!O37*IF(A166=1862,$E$38,IF(OR(AND(A166&gt;=1861,A166&lt;=1865),AND(A166&gt;=1870,A166&lt;=1871)),$E$37,$E$26))</f>
        <v>180.587380025545</v>
      </c>
      <c r="G166" s="132" t="n">
        <f aca="false">'Debt &amp; cash'!Y37*issue_price</f>
        <v>0</v>
      </c>
      <c r="H166" s="132" t="n">
        <f aca="false">Abroad!C37</f>
        <v>7.22349520102181</v>
      </c>
      <c r="I166" s="132" t="n">
        <f aca="false">Abroad!D37</f>
        <v>0</v>
      </c>
      <c r="J166" s="132" t="n">
        <f aca="false">'Champion funding'!D37-'Champion funding'!K37+'Champion funding'!Q37+'Champion funding'!R37</f>
        <v>2.71935116621857</v>
      </c>
      <c r="K166" s="117" t="n">
        <f aca="false">SUM(F166:J166)</f>
        <v>190.530226392786</v>
      </c>
      <c r="L166" s="117" t="n">
        <f aca="false">E166-K166</f>
        <v>77.7125658512648</v>
      </c>
      <c r="M166" s="117" t="n">
        <f aca="false">MAX(0,-L166)</f>
        <v>0</v>
      </c>
      <c r="N166" s="132" t="n">
        <f aca="false">'Capital accounts'!L37</f>
        <v>0</v>
      </c>
      <c r="O166" s="132" t="n">
        <f aca="false">'War credit'!E37</f>
        <v>0</v>
      </c>
      <c r="P166" s="134" t="n">
        <f aca="false">'War credit'!AC37</f>
        <v>0</v>
      </c>
      <c r="Q166" s="132" t="str">
        <f aca="false">IF(O166&gt;0,'War credit'!AD37,IF(N166&gt;0,"Project funding unallocated","Capacity is MODEL"))</f>
        <v>Capacity is MODEL</v>
      </c>
      <c r="R166" s="113"/>
      <c r="S166" s="113"/>
    </row>
    <row r="167" customFormat="false" ht="19.5" hidden="false" customHeight="true" outlineLevel="0" collapsed="false">
      <c r="A167" s="121" t="n">
        <v>1878</v>
      </c>
      <c r="B167" s="132" t="n">
        <f aca="false">Economy!O38*$E$25</f>
        <v>282.294186845892</v>
      </c>
      <c r="C167" s="132" t="n">
        <f aca="false">MAX(0,Abroad!M38-Abroad!N38-Abroad!V38)*$E$27</f>
        <v>2.22913333613684</v>
      </c>
      <c r="D167" s="132" t="n">
        <f aca="false">Abroad!F38</f>
        <v>1.55270353716819</v>
      </c>
      <c r="E167" s="117" t="n">
        <f aca="false">SUM(B167:D167)</f>
        <v>286.076023719197</v>
      </c>
      <c r="F167" s="132" t="n">
        <f aca="false">Economy!O38*IF(A167=1862,$E$38,IF(OR(AND(A167&gt;=1861,A167&lt;=1865),AND(A167&gt;=1870,A167&lt;=1871)),$E$37,$E$26))</f>
        <v>192.473309213108</v>
      </c>
      <c r="G167" s="132" t="n">
        <f aca="false">'Debt &amp; cash'!Y38*issue_price</f>
        <v>0</v>
      </c>
      <c r="H167" s="132" t="n">
        <f aca="false">Abroad!C38</f>
        <v>7.69893236852432</v>
      </c>
      <c r="I167" s="132" t="n">
        <f aca="false">Abroad!D38</f>
        <v>0</v>
      </c>
      <c r="J167" s="132" t="n">
        <f aca="false">'Champion funding'!D38-'Champion funding'!K38+'Champion funding'!Q38+'Champion funding'!R38</f>
        <v>2.72783200463624</v>
      </c>
      <c r="K167" s="117" t="n">
        <f aca="false">SUM(F167:J167)</f>
        <v>202.900073586269</v>
      </c>
      <c r="L167" s="117" t="n">
        <f aca="false">E167-K167</f>
        <v>83.1759501329283</v>
      </c>
      <c r="M167" s="117" t="n">
        <f aca="false">MAX(0,-L167)</f>
        <v>0</v>
      </c>
      <c r="N167" s="132" t="n">
        <f aca="false">'Capital accounts'!L38</f>
        <v>0</v>
      </c>
      <c r="O167" s="132" t="n">
        <f aca="false">'War credit'!E38</f>
        <v>0</v>
      </c>
      <c r="P167" s="134" t="n">
        <f aca="false">'War credit'!AC38</f>
        <v>0</v>
      </c>
      <c r="Q167" s="132" t="str">
        <f aca="false">IF(O167&gt;0,'War credit'!AD38,IF(N167&gt;0,"Project funding unallocated","Capacity is MODEL"))</f>
        <v>Capacity is MODEL</v>
      </c>
      <c r="R167" s="113"/>
      <c r="S167" s="113"/>
    </row>
    <row r="168" customFormat="false" ht="19.5" hidden="false" customHeight="true" outlineLevel="0" collapsed="false">
      <c r="A168" s="121" t="n">
        <v>1879</v>
      </c>
      <c r="B168" s="132" t="n">
        <f aca="false">Economy!O39*$E$25</f>
        <v>294.696983171999</v>
      </c>
      <c r="C168" s="132" t="n">
        <f aca="false">MAX(0,Abroad!M39-Abroad!N39-Abroad!V39)*$E$27</f>
        <v>2.50099788031928</v>
      </c>
      <c r="D168" s="132" t="n">
        <f aca="false">Abroad!F39</f>
        <v>1.73709040210887</v>
      </c>
      <c r="E168" s="117" t="n">
        <f aca="false">SUM(B168:D168)</f>
        <v>298.935071454427</v>
      </c>
      <c r="F168" s="132" t="n">
        <f aca="false">Economy!O39*IF(A168=1862,$E$38,IF(OR(AND(A168&gt;=1861,A168&lt;=1865),AND(A168&gt;=1870,A168&lt;=1871)),$E$37,$E$26))</f>
        <v>200.929761253636</v>
      </c>
      <c r="G168" s="132" t="n">
        <f aca="false">'Debt &amp; cash'!Y39*issue_price</f>
        <v>0</v>
      </c>
      <c r="H168" s="132" t="n">
        <f aca="false">Abroad!C39</f>
        <v>8.03719045014542</v>
      </c>
      <c r="I168" s="132" t="n">
        <f aca="false">Abroad!D39</f>
        <v>0</v>
      </c>
      <c r="J168" s="132" t="n">
        <f aca="false">'Champion funding'!D39-'Champion funding'!K39+'Champion funding'!Q39+'Champion funding'!R39</f>
        <v>3.53176004097246</v>
      </c>
      <c r="K168" s="117" t="n">
        <f aca="false">SUM(F168:J168)</f>
        <v>212.498711744753</v>
      </c>
      <c r="L168" s="117" t="n">
        <f aca="false">E168-K168</f>
        <v>86.4363597096736</v>
      </c>
      <c r="M168" s="117" t="n">
        <f aca="false">MAX(0,-L168)</f>
        <v>0</v>
      </c>
      <c r="N168" s="132" t="n">
        <f aca="false">'Capital accounts'!L39</f>
        <v>0</v>
      </c>
      <c r="O168" s="132" t="n">
        <f aca="false">'War credit'!E39</f>
        <v>0</v>
      </c>
      <c r="P168" s="134" t="n">
        <f aca="false">'War credit'!AC39</f>
        <v>0</v>
      </c>
      <c r="Q168" s="132" t="str">
        <f aca="false">IF(O168&gt;0,'War credit'!AD39,IF(N168&gt;0,"Project funding unallocated","Capacity is MODEL"))</f>
        <v>Capacity is MODEL</v>
      </c>
      <c r="R168" s="113"/>
      <c r="S168" s="113"/>
    </row>
    <row r="169" customFormat="false" ht="19.5" hidden="false" customHeight="true" outlineLevel="0" collapsed="false">
      <c r="A169" s="121" t="n">
        <v>1880</v>
      </c>
      <c r="B169" s="132" t="n">
        <f aca="false">Economy!O40*$E$25</f>
        <v>308.852453291242</v>
      </c>
      <c r="C169" s="132" t="n">
        <f aca="false">MAX(0,Abroad!M40-Abroad!N40-Abroad!V40)*$E$27</f>
        <v>3.07560339517062</v>
      </c>
      <c r="D169" s="132" t="n">
        <f aca="false">Abroad!F40</f>
        <v>1.92609340354997</v>
      </c>
      <c r="E169" s="117" t="n">
        <f aca="false">SUM(B169:D169)</f>
        <v>313.854150089962</v>
      </c>
      <c r="F169" s="132" t="n">
        <f aca="false">Economy!O40*IF(A169=1862,$E$38,IF(OR(AND(A169&gt;=1861,A169&lt;=1865),AND(A169&gt;=1870,A169&lt;=1871)),$E$37,$E$26))</f>
        <v>210.581218153119</v>
      </c>
      <c r="G169" s="132" t="n">
        <f aca="false">'Debt &amp; cash'!Y40*issue_price</f>
        <v>0</v>
      </c>
      <c r="H169" s="132" t="n">
        <f aca="false">Abroad!C40</f>
        <v>8.42324872612478</v>
      </c>
      <c r="I169" s="132" t="n">
        <f aca="false">Abroad!D40</f>
        <v>0</v>
      </c>
      <c r="J169" s="132" t="n">
        <f aca="false">'Champion funding'!D40-'Champion funding'!K40+'Champion funding'!Q40+'Champion funding'!R40</f>
        <v>2.25089459315266</v>
      </c>
      <c r="K169" s="117" t="n">
        <f aca="false">SUM(F169:J169)</f>
        <v>221.255361472397</v>
      </c>
      <c r="L169" s="117" t="n">
        <f aca="false">E169-K169</f>
        <v>92.5987886175655</v>
      </c>
      <c r="M169" s="117" t="n">
        <f aca="false">MAX(0,-L169)</f>
        <v>0</v>
      </c>
      <c r="N169" s="132" t="n">
        <f aca="false">'Capital accounts'!L40</f>
        <v>0</v>
      </c>
      <c r="O169" s="132" t="n">
        <f aca="false">'War credit'!E40</f>
        <v>0</v>
      </c>
      <c r="P169" s="134" t="n">
        <f aca="false">'War credit'!AC40</f>
        <v>0</v>
      </c>
      <c r="Q169" s="132" t="str">
        <f aca="false">IF(O169&gt;0,'War credit'!AD40,IF(N169&gt;0,"Project funding unallocated","Capacity is MODEL"))</f>
        <v>Capacity is MODEL</v>
      </c>
      <c r="R169" s="113"/>
      <c r="S169" s="113"/>
    </row>
    <row r="170" customFormat="false" ht="19.5" hidden="false" customHeight="true" outlineLevel="0" collapsed="false">
      <c r="A170" s="121" t="n">
        <v>1881</v>
      </c>
      <c r="B170" s="132" t="n">
        <f aca="false">Economy!O41*$E$25</f>
        <v>327.061101838882</v>
      </c>
      <c r="C170" s="132" t="n">
        <f aca="false">MAX(0,Abroad!M41-Abroad!N41-Abroad!V41)*$E$27</f>
        <v>3.34175840119023</v>
      </c>
      <c r="D170" s="132" t="n">
        <f aca="false">Abroad!F41</f>
        <v>2.12100806322721</v>
      </c>
      <c r="E170" s="117" t="n">
        <f aca="false">SUM(B170:D170)</f>
        <v>332.5238683033</v>
      </c>
      <c r="F170" s="132" t="n">
        <f aca="false">Economy!O41*IF(A170=1862,$E$38,IF(OR(AND(A170&gt;=1861,A170&lt;=1865),AND(A170&gt;=1870,A170&lt;=1871)),$E$37,$E$26))</f>
        <v>222.996205799238</v>
      </c>
      <c r="G170" s="132" t="n">
        <f aca="false">'Debt &amp; cash'!Y41*issue_price</f>
        <v>0</v>
      </c>
      <c r="H170" s="132" t="n">
        <f aca="false">Abroad!C41</f>
        <v>8.91984823196952</v>
      </c>
      <c r="I170" s="132" t="n">
        <f aca="false">Abroad!D41</f>
        <v>0</v>
      </c>
      <c r="J170" s="132" t="n">
        <f aca="false">'Champion funding'!D41-'Champion funding'!K41+'Champion funding'!Q41+'Champion funding'!R41</f>
        <v>2.66857292595044</v>
      </c>
      <c r="K170" s="117" t="n">
        <f aca="false">SUM(F170:J170)</f>
        <v>234.584626957158</v>
      </c>
      <c r="L170" s="117" t="n">
        <f aca="false">E170-K170</f>
        <v>97.939241346142</v>
      </c>
      <c r="M170" s="117" t="n">
        <f aca="false">MAX(0,-L170)</f>
        <v>0</v>
      </c>
      <c r="N170" s="132" t="n">
        <f aca="false">'Capital accounts'!L41</f>
        <v>0</v>
      </c>
      <c r="O170" s="132" t="n">
        <f aca="false">'War credit'!E41</f>
        <v>0</v>
      </c>
      <c r="P170" s="134" t="n">
        <f aca="false">'War credit'!AC41</f>
        <v>0</v>
      </c>
      <c r="Q170" s="132" t="str">
        <f aca="false">IF(O170&gt;0,'War credit'!AD41,IF(N170&gt;0,"Project funding unallocated","Capacity is MODEL"))</f>
        <v>Capacity is MODEL</v>
      </c>
      <c r="R170" s="113"/>
      <c r="S170" s="113"/>
    </row>
    <row r="171" customFormat="false" ht="19.5" hidden="false" customHeight="true" outlineLevel="0" collapsed="false">
      <c r="A171" s="121" t="n">
        <v>1882</v>
      </c>
      <c r="B171" s="132" t="n">
        <f aca="false">Economy!O42*$E$25</f>
        <v>345.525079084619</v>
      </c>
      <c r="C171" s="132" t="n">
        <f aca="false">MAX(0,Abroad!M42-Abroad!N42-Abroad!V42)*$E$27</f>
        <v>3.83066993185037</v>
      </c>
      <c r="D171" s="132" t="n">
        <f aca="false">Abroad!F42</f>
        <v>2.32497326828948</v>
      </c>
      <c r="E171" s="117" t="n">
        <f aca="false">SUM(B171:D171)</f>
        <v>351.680722284758</v>
      </c>
      <c r="F171" s="132" t="n">
        <f aca="false">Economy!O42*IF(A171=1862,$E$38,IF(OR(AND(A171&gt;=1861,A171&lt;=1865),AND(A171&gt;=1870,A171&lt;=1871)),$E$37,$E$26))</f>
        <v>235.585281194058</v>
      </c>
      <c r="G171" s="132" t="n">
        <f aca="false">'Debt &amp; cash'!Y42*issue_price</f>
        <v>0</v>
      </c>
      <c r="H171" s="132" t="n">
        <f aca="false">Abroad!C42</f>
        <v>9.42341124776232</v>
      </c>
      <c r="I171" s="132" t="n">
        <f aca="false">Abroad!D42</f>
        <v>0</v>
      </c>
      <c r="J171" s="132" t="n">
        <f aca="false">'Champion funding'!D42-'Champion funding'!K42+'Champion funding'!Q42+'Champion funding'!R42</f>
        <v>3.18219478470017</v>
      </c>
      <c r="K171" s="117" t="n">
        <f aca="false">SUM(F171:J171)</f>
        <v>248.190887226521</v>
      </c>
      <c r="L171" s="117" t="n">
        <f aca="false">E171-K171</f>
        <v>103.489835058238</v>
      </c>
      <c r="M171" s="117" t="n">
        <f aca="false">MAX(0,-L171)</f>
        <v>0</v>
      </c>
      <c r="N171" s="132" t="n">
        <f aca="false">'Capital accounts'!L42</f>
        <v>0</v>
      </c>
      <c r="O171" s="132" t="n">
        <f aca="false">'War credit'!E42</f>
        <v>0</v>
      </c>
      <c r="P171" s="134" t="n">
        <f aca="false">'War credit'!AC42</f>
        <v>0</v>
      </c>
      <c r="Q171" s="132" t="str">
        <f aca="false">IF(O171&gt;0,'War credit'!AD42,IF(N171&gt;0,"Project funding unallocated","Capacity is MODEL"))</f>
        <v>Capacity is MODEL</v>
      </c>
      <c r="R171" s="113"/>
      <c r="S171" s="113"/>
    </row>
    <row r="172" customFormat="false" ht="19.5" hidden="false" customHeight="true" outlineLevel="0" collapsed="false">
      <c r="A172" s="121" t="n">
        <v>1883</v>
      </c>
      <c r="B172" s="132" t="n">
        <f aca="false">Economy!O43*$E$25</f>
        <v>364.533270684093</v>
      </c>
      <c r="C172" s="132" t="n">
        <f aca="false">MAX(0,Abroad!M43-Abroad!N43-Abroad!V43)*$E$27</f>
        <v>4.09142993577089</v>
      </c>
      <c r="D172" s="132" t="n">
        <f aca="false">Abroad!F43</f>
        <v>2.53792640767367</v>
      </c>
      <c r="E172" s="117" t="n">
        <f aca="false">SUM(B172:D172)</f>
        <v>371.162627027538</v>
      </c>
      <c r="F172" s="132" t="n">
        <f aca="false">Economy!O43*IF(A172=1862,$E$38,IF(OR(AND(A172&gt;=1861,A172&lt;=1865),AND(A172&gt;=1870,A172&lt;=1871)),$E$37,$E$26))</f>
        <v>248.545411830063</v>
      </c>
      <c r="G172" s="132" t="n">
        <f aca="false">'Debt &amp; cash'!Y43*issue_price</f>
        <v>0</v>
      </c>
      <c r="H172" s="132" t="n">
        <f aca="false">Abroad!C43</f>
        <v>9.94181647320253</v>
      </c>
      <c r="I172" s="132" t="n">
        <f aca="false">Abroad!D43</f>
        <v>0</v>
      </c>
      <c r="J172" s="132" t="n">
        <f aca="false">'Champion funding'!D43-'Champion funding'!K43+'Champion funding'!Q43+'Champion funding'!R43</f>
        <v>3.58488706271137</v>
      </c>
      <c r="K172" s="117" t="n">
        <f aca="false">SUM(F172:J172)</f>
        <v>262.072115365977</v>
      </c>
      <c r="L172" s="117" t="n">
        <f aca="false">E172-K172</f>
        <v>109.09051166156</v>
      </c>
      <c r="M172" s="117" t="n">
        <f aca="false">MAX(0,-L172)</f>
        <v>0</v>
      </c>
      <c r="N172" s="132" t="n">
        <f aca="false">'Capital accounts'!L43</f>
        <v>0</v>
      </c>
      <c r="O172" s="132" t="n">
        <f aca="false">'War credit'!E43</f>
        <v>0</v>
      </c>
      <c r="P172" s="134" t="n">
        <f aca="false">'War credit'!AC43</f>
        <v>0</v>
      </c>
      <c r="Q172" s="132" t="str">
        <f aca="false">IF(O172&gt;0,'War credit'!AD43,IF(N172&gt;0,"Project funding unallocated","Capacity is MODEL"))</f>
        <v>Capacity is MODEL</v>
      </c>
      <c r="R172" s="113"/>
      <c r="S172" s="113"/>
    </row>
    <row r="173" customFormat="false" ht="19.5" hidden="false" customHeight="true" outlineLevel="0" collapsed="false">
      <c r="A173" s="121" t="n">
        <v>1884</v>
      </c>
      <c r="B173" s="132" t="n">
        <f aca="false">Economy!O44*$E$25</f>
        <v>376.631145157681</v>
      </c>
      <c r="C173" s="132" t="n">
        <f aca="false">MAX(0,Abroad!M44-Abroad!N44-Abroad!V44)*$E$27</f>
        <v>4.67123782687467</v>
      </c>
      <c r="D173" s="132" t="n">
        <f aca="false">Abroad!F44</f>
        <v>2.76004310963953</v>
      </c>
      <c r="E173" s="117" t="n">
        <f aca="false">SUM(B173:D173)</f>
        <v>384.062426094195</v>
      </c>
      <c r="F173" s="132" t="n">
        <f aca="false">Economy!O44*IF(A173=1862,$E$38,IF(OR(AND(A173&gt;=1861,A173&lt;=1865),AND(A173&gt;=1870,A173&lt;=1871)),$E$37,$E$26))</f>
        <v>256.79396260751</v>
      </c>
      <c r="G173" s="132" t="n">
        <f aca="false">'Debt &amp; cash'!Y44*issue_price</f>
        <v>0</v>
      </c>
      <c r="H173" s="132" t="n">
        <f aca="false">Abroad!C44</f>
        <v>10.2717585043004</v>
      </c>
      <c r="I173" s="132" t="n">
        <f aca="false">Abroad!D44</f>
        <v>0</v>
      </c>
      <c r="J173" s="132" t="n">
        <f aca="false">'Champion funding'!D44-'Champion funding'!K44+'Champion funding'!Q44+'Champion funding'!R44</f>
        <v>4.08295074240654</v>
      </c>
      <c r="K173" s="117" t="n">
        <f aca="false">SUM(F173:J173)</f>
        <v>271.148671854217</v>
      </c>
      <c r="L173" s="117" t="n">
        <f aca="false">E173-K173</f>
        <v>112.913754239978</v>
      </c>
      <c r="M173" s="117" t="n">
        <f aca="false">MAX(0,-L173)</f>
        <v>0</v>
      </c>
      <c r="N173" s="132" t="n">
        <f aca="false">'Capital accounts'!L44</f>
        <v>0</v>
      </c>
      <c r="O173" s="132" t="n">
        <f aca="false">'War credit'!E44</f>
        <v>0</v>
      </c>
      <c r="P173" s="134" t="n">
        <f aca="false">'War credit'!AC44</f>
        <v>0</v>
      </c>
      <c r="Q173" s="132" t="str">
        <f aca="false">IF(O173&gt;0,'War credit'!AD44,IF(N173&gt;0,"Project funding unallocated","Capacity is MODEL"))</f>
        <v>Capacity is MODEL</v>
      </c>
      <c r="R173" s="113"/>
      <c r="S173" s="113"/>
    </row>
    <row r="174" customFormat="false" ht="19.5" hidden="false" customHeight="true" outlineLevel="0" collapsed="false">
      <c r="A174" s="121" t="n">
        <v>1885</v>
      </c>
      <c r="B174" s="132" t="n">
        <f aca="false">Economy!O45*$E$25</f>
        <v>397.047817501034</v>
      </c>
      <c r="C174" s="132" t="n">
        <f aca="false">MAX(0,Abroad!M45-Abroad!N45-Abroad!V45)*$E$27</f>
        <v>4.91911488905082</v>
      </c>
      <c r="D174" s="132" t="n">
        <f aca="false">Abroad!F45</f>
        <v>2.98539457147936</v>
      </c>
      <c r="E174" s="117" t="n">
        <f aca="false">SUM(B174:D174)</f>
        <v>404.952326961565</v>
      </c>
      <c r="F174" s="132" t="n">
        <f aca="false">Economy!O45*IF(A174=1862,$E$38,IF(OR(AND(A174&gt;=1861,A174&lt;=1865),AND(A174&gt;=1870,A174&lt;=1871)),$E$37,$E$26))</f>
        <v>270.714421023432</v>
      </c>
      <c r="G174" s="132" t="n">
        <f aca="false">'Debt &amp; cash'!Y45*issue_price</f>
        <v>0</v>
      </c>
      <c r="H174" s="132" t="n">
        <f aca="false">Abroad!C45</f>
        <v>10.8285768409373</v>
      </c>
      <c r="I174" s="132" t="n">
        <f aca="false">Abroad!D45</f>
        <v>0</v>
      </c>
      <c r="J174" s="132" t="n">
        <f aca="false">'Champion funding'!D45-'Champion funding'!K45+'Champion funding'!Q45+'Champion funding'!R45</f>
        <v>4.65423890156223</v>
      </c>
      <c r="K174" s="117" t="n">
        <f aca="false">SUM(F174:J174)</f>
        <v>286.197236765932</v>
      </c>
      <c r="L174" s="117" t="n">
        <f aca="false">E174-K174</f>
        <v>118.755090195633</v>
      </c>
      <c r="M174" s="117" t="n">
        <f aca="false">MAX(0,-L174)</f>
        <v>0</v>
      </c>
      <c r="N174" s="132" t="n">
        <f aca="false">'Capital accounts'!L45</f>
        <v>0</v>
      </c>
      <c r="O174" s="132" t="n">
        <f aca="false">'War credit'!E45</f>
        <v>0</v>
      </c>
      <c r="P174" s="134" t="n">
        <f aca="false">'War credit'!AC45</f>
        <v>0</v>
      </c>
      <c r="Q174" s="132" t="str">
        <f aca="false">IF(O174&gt;0,'War credit'!AD45,IF(N174&gt;0,"Project funding unallocated","Capacity is MODEL"))</f>
        <v>Capacity is MODEL</v>
      </c>
      <c r="R174" s="113"/>
      <c r="S174" s="113"/>
    </row>
    <row r="175" customFormat="false" ht="19.5" hidden="false" customHeight="true" outlineLevel="0" collapsed="false">
      <c r="A175" s="121" t="n">
        <v>1886</v>
      </c>
      <c r="B175" s="132" t="n">
        <f aca="false">Economy!O46*$E$25</f>
        <v>431.944045189065</v>
      </c>
      <c r="C175" s="132" t="n">
        <f aca="false">MAX(0,Abroad!M46-Abroad!N46-Abroad!V46)*$E$27</f>
        <v>5.49876253782772</v>
      </c>
      <c r="D175" s="132" t="n">
        <f aca="false">Abroad!F46</f>
        <v>3.2206900395631</v>
      </c>
      <c r="E175" s="117" t="n">
        <f aca="false">SUM(B175:D175)</f>
        <v>440.663497766456</v>
      </c>
      <c r="F175" s="132" t="n">
        <f aca="false">Economy!O46*IF(A175=1862,$E$38,IF(OR(AND(A175&gt;=1861,A175&lt;=1865),AND(A175&gt;=1870,A175&lt;=1871)),$E$37,$E$26))</f>
        <v>294.507303537999</v>
      </c>
      <c r="G175" s="132" t="n">
        <f aca="false">'Debt &amp; cash'!Y46*issue_price</f>
        <v>0</v>
      </c>
      <c r="H175" s="132" t="n">
        <f aca="false">Abroad!C46</f>
        <v>11.78029214152</v>
      </c>
      <c r="I175" s="132" t="n">
        <f aca="false">Abroad!D46</f>
        <v>0</v>
      </c>
      <c r="J175" s="132" t="n">
        <f aca="false">'Champion funding'!D46-'Champion funding'!K46+'Champion funding'!Q46+'Champion funding'!R46</f>
        <v>5.22763822594092</v>
      </c>
      <c r="K175" s="117" t="n">
        <f aca="false">SUM(F175:J175)</f>
        <v>311.51523390546</v>
      </c>
      <c r="L175" s="117" t="n">
        <f aca="false">E175-K175</f>
        <v>129.148263860996</v>
      </c>
      <c r="M175" s="117" t="n">
        <f aca="false">MAX(0,-L175)</f>
        <v>0</v>
      </c>
      <c r="N175" s="132" t="n">
        <f aca="false">'Capital accounts'!L46</f>
        <v>0</v>
      </c>
      <c r="O175" s="132" t="n">
        <f aca="false">'War credit'!E46</f>
        <v>0</v>
      </c>
      <c r="P175" s="134" t="n">
        <f aca="false">'War credit'!AC46</f>
        <v>0</v>
      </c>
      <c r="Q175" s="132" t="str">
        <f aca="false">IF(O175&gt;0,'War credit'!AD46,IF(N175&gt;0,"Project funding unallocated","Capacity is MODEL"))</f>
        <v>Capacity is MODEL</v>
      </c>
      <c r="R175" s="113"/>
      <c r="S175" s="113"/>
    </row>
    <row r="176" customFormat="false" ht="19.5" hidden="false" customHeight="true" outlineLevel="0" collapsed="false">
      <c r="A176" s="121" t="n">
        <v>1887</v>
      </c>
      <c r="B176" s="132" t="n">
        <f aca="false">Economy!O47*$E$25</f>
        <v>461.245010208375</v>
      </c>
      <c r="C176" s="132" t="n">
        <f aca="false">MAX(0,Abroad!M47-Abroad!N47-Abroad!V47)*$E$27</f>
        <v>5.79813794221498</v>
      </c>
      <c r="D176" s="132" t="n">
        <f aca="false">Abroad!F47</f>
        <v>3.4774781026218</v>
      </c>
      <c r="E176" s="117" t="n">
        <f aca="false">SUM(B176:D176)</f>
        <v>470.520626253212</v>
      </c>
      <c r="F176" s="132" t="n">
        <f aca="false">Economy!O47*IF(A176=1862,$E$38,IF(OR(AND(A176&gt;=1861,A176&lt;=1865),AND(A176&gt;=1870,A176&lt;=1871)),$E$37,$E$26))</f>
        <v>314.485234232983</v>
      </c>
      <c r="G176" s="132" t="n">
        <f aca="false">'Debt &amp; cash'!Y47*issue_price</f>
        <v>101.683559068664</v>
      </c>
      <c r="H176" s="132" t="n">
        <f aca="false">Abroad!C47</f>
        <v>12.5794093693193</v>
      </c>
      <c r="I176" s="132" t="n">
        <f aca="false">Abroad!D47</f>
        <v>0</v>
      </c>
      <c r="J176" s="132" t="n">
        <f aca="false">'Champion funding'!D47-'Champion funding'!K47+'Champion funding'!Q47+'Champion funding'!R47</f>
        <v>5.62023161374885</v>
      </c>
      <c r="K176" s="117" t="n">
        <f aca="false">SUM(F176:J176)</f>
        <v>434.368434284715</v>
      </c>
      <c r="L176" s="117" t="n">
        <f aca="false">E176-K176</f>
        <v>36.1521919684962</v>
      </c>
      <c r="M176" s="117" t="n">
        <f aca="false">MAX(0,-L176)</f>
        <v>0</v>
      </c>
      <c r="N176" s="132" t="n">
        <f aca="false">'Capital accounts'!L47</f>
        <v>0</v>
      </c>
      <c r="O176" s="132" t="n">
        <f aca="false">'War credit'!E47</f>
        <v>0</v>
      </c>
      <c r="P176" s="134" t="n">
        <f aca="false">'War credit'!AC47</f>
        <v>0</v>
      </c>
      <c r="Q176" s="132" t="str">
        <f aca="false">IF(O176&gt;0,'War credit'!AD47,IF(N176&gt;0,"Project funding unallocated","Capacity is MODEL"))</f>
        <v>Capacity is MODEL</v>
      </c>
      <c r="R176" s="113"/>
      <c r="S176" s="113"/>
    </row>
    <row r="177" customFormat="false" ht="19.5" hidden="false" customHeight="true" outlineLevel="0" collapsed="false">
      <c r="A177" s="121" t="n">
        <v>1888</v>
      </c>
      <c r="B177" s="132" t="n">
        <f aca="false">Economy!O48*$E$25</f>
        <v>494.021335360835</v>
      </c>
      <c r="C177" s="132" t="n">
        <f aca="false">MAX(0,Abroad!M48-Abroad!N48-Abroad!V48)*$E$27</f>
        <v>6.5849868633626</v>
      </c>
      <c r="D177" s="132" t="n">
        <f aca="false">Abroad!F48</f>
        <v>3.75053604062273</v>
      </c>
      <c r="E177" s="117" t="n">
        <f aca="false">SUM(B177:D177)</f>
        <v>504.35685826482</v>
      </c>
      <c r="F177" s="132" t="n">
        <f aca="false">Economy!O48*IF(A177=1862,$E$38,IF(OR(AND(A177&gt;=1861,A177&lt;=1865),AND(A177&gt;=1870,A177&lt;=1871)),$E$37,$E$26))</f>
        <v>336.832728655115</v>
      </c>
      <c r="G177" s="132" t="n">
        <f aca="false">'Debt &amp; cash'!Y48*issue_price</f>
        <v>21.5666827050816</v>
      </c>
      <c r="H177" s="132" t="n">
        <f aca="false">Abroad!C48</f>
        <v>13.4733091462046</v>
      </c>
      <c r="I177" s="132" t="n">
        <f aca="false">Abroad!D48</f>
        <v>0</v>
      </c>
      <c r="J177" s="132" t="n">
        <f aca="false">'Champion funding'!D48-'Champion funding'!K48+'Champion funding'!Q48+'Champion funding'!R48</f>
        <v>6.17517970759227</v>
      </c>
      <c r="K177" s="117" t="n">
        <f aca="false">SUM(F177:J177)</f>
        <v>378.047900213993</v>
      </c>
      <c r="L177" s="117" t="n">
        <f aca="false">E177-K177</f>
        <v>126.308958050827</v>
      </c>
      <c r="M177" s="117" t="n">
        <f aca="false">MAX(0,-L177)</f>
        <v>0</v>
      </c>
      <c r="N177" s="132" t="n">
        <f aca="false">'Capital accounts'!L48</f>
        <v>0</v>
      </c>
      <c r="O177" s="132" t="n">
        <f aca="false">'War credit'!E48</f>
        <v>0</v>
      </c>
      <c r="P177" s="134" t="n">
        <f aca="false">'War credit'!AC48</f>
        <v>0</v>
      </c>
      <c r="Q177" s="132" t="str">
        <f aca="false">IF(O177&gt;0,'War credit'!AD48,IF(N177&gt;0,"Project funding unallocated","Capacity is MODEL"))</f>
        <v>Capacity is MODEL</v>
      </c>
      <c r="R177" s="113"/>
      <c r="S177" s="113"/>
    </row>
    <row r="178" customFormat="false" ht="19.5" hidden="false" customHeight="true" outlineLevel="0" collapsed="false">
      <c r="A178" s="121" t="n">
        <v>1889</v>
      </c>
      <c r="B178" s="132" t="n">
        <f aca="false">Economy!O49*$E$25</f>
        <v>527.287449279558</v>
      </c>
      <c r="C178" s="132" t="n">
        <f aca="false">MAX(0,Abroad!M49-Abroad!N49-Abroad!V49)*$E$27</f>
        <v>6.9472520167</v>
      </c>
      <c r="D178" s="132" t="n">
        <f aca="false">Abroad!F49</f>
        <v>4.04221923379018</v>
      </c>
      <c r="E178" s="117" t="n">
        <f aca="false">SUM(B178:D178)</f>
        <v>538.276920530048</v>
      </c>
      <c r="F178" s="132" t="n">
        <f aca="false">Economy!O49*IF(A178=1862,$E$38,IF(OR(AND(A178&gt;=1861,A178&lt;=1865),AND(A178&gt;=1870,A178&lt;=1871)),$E$37,$E$26))</f>
        <v>359.514169963335</v>
      </c>
      <c r="G178" s="132" t="n">
        <f aca="false">'Debt &amp; cash'!Y49*issue_price</f>
        <v>15.2247706082069</v>
      </c>
      <c r="H178" s="132" t="n">
        <f aca="false">Abroad!C49</f>
        <v>14.3805667985334</v>
      </c>
      <c r="I178" s="132" t="n">
        <f aca="false">Abroad!D49</f>
        <v>0</v>
      </c>
      <c r="J178" s="132" t="n">
        <f aca="false">'Champion funding'!D49-'Champion funding'!K49+'Champion funding'!Q49+'Champion funding'!R49</f>
        <v>6.67938479023812</v>
      </c>
      <c r="K178" s="117" t="n">
        <f aca="false">SUM(F178:J178)</f>
        <v>395.798892160314</v>
      </c>
      <c r="L178" s="117" t="n">
        <f aca="false">E178-K178</f>
        <v>142.478028369735</v>
      </c>
      <c r="M178" s="117" t="n">
        <f aca="false">MAX(0,-L178)</f>
        <v>0</v>
      </c>
      <c r="N178" s="132" t="n">
        <f aca="false">'Capital accounts'!L49</f>
        <v>0</v>
      </c>
      <c r="O178" s="132" t="n">
        <f aca="false">'War credit'!E49</f>
        <v>0</v>
      </c>
      <c r="P178" s="134" t="n">
        <f aca="false">'War credit'!AC49</f>
        <v>0</v>
      </c>
      <c r="Q178" s="132" t="str">
        <f aca="false">IF(O178&gt;0,'War credit'!AD49,IF(N178&gt;0,"Project funding unallocated","Capacity is MODEL"))</f>
        <v>Capacity is MODEL</v>
      </c>
      <c r="R178" s="113"/>
      <c r="S178" s="113"/>
    </row>
    <row r="179" customFormat="false" ht="19.5" hidden="false" customHeight="true" outlineLevel="0" collapsed="false">
      <c r="A179" s="121" t="n">
        <v>1890</v>
      </c>
      <c r="B179" s="132" t="n">
        <f aca="false">Economy!O50*$E$25</f>
        <v>572.844237438246</v>
      </c>
      <c r="C179" s="132" t="n">
        <f aca="false">MAX(0,Abroad!M50-Abroad!N50-Abroad!V50)*$E$27</f>
        <v>7.85756518091517</v>
      </c>
      <c r="D179" s="132" t="n">
        <f aca="false">Abroad!F50</f>
        <v>4.35236966073248</v>
      </c>
      <c r="E179" s="117" t="n">
        <f aca="false">SUM(B179:D179)</f>
        <v>585.054172279894</v>
      </c>
      <c r="F179" s="132" t="n">
        <f aca="false">Economy!O50*IF(A179=1862,$E$38,IF(OR(AND(A179&gt;=1861,A179&lt;=1865),AND(A179&gt;=1870,A179&lt;=1871)),$E$37,$E$26))</f>
        <v>390.575616435168</v>
      </c>
      <c r="G179" s="132" t="n">
        <f aca="false">'Debt &amp; cash'!Y50*issue_price</f>
        <v>23.1949676023956</v>
      </c>
      <c r="H179" s="132" t="n">
        <f aca="false">Abroad!C50</f>
        <v>15.6230246574067</v>
      </c>
      <c r="I179" s="132" t="n">
        <f aca="false">Abroad!D50</f>
        <v>0</v>
      </c>
      <c r="J179" s="132" t="n">
        <f aca="false">'Champion funding'!D50-'Champion funding'!K50+'Champion funding'!Q50+'Champion funding'!R50</f>
        <v>7.4496200194976</v>
      </c>
      <c r="K179" s="117" t="n">
        <f aca="false">SUM(F179:J179)</f>
        <v>436.843228714468</v>
      </c>
      <c r="L179" s="117" t="n">
        <f aca="false">E179-K179</f>
        <v>148.210943565426</v>
      </c>
      <c r="M179" s="117" t="n">
        <f aca="false">MAX(0,-L179)</f>
        <v>0</v>
      </c>
      <c r="N179" s="132" t="n">
        <f aca="false">'Capital accounts'!L50</f>
        <v>0</v>
      </c>
      <c r="O179" s="132" t="n">
        <f aca="false">'War credit'!E50</f>
        <v>0</v>
      </c>
      <c r="P179" s="134" t="n">
        <f aca="false">'War credit'!AC50</f>
        <v>0</v>
      </c>
      <c r="Q179" s="132" t="str">
        <f aca="false">IF(O179&gt;0,'War credit'!AD50,IF(N179&gt;0,"Project funding unallocated","Capacity is MODEL"))</f>
        <v>Capacity is MODEL</v>
      </c>
      <c r="R179" s="113"/>
      <c r="S179" s="113"/>
    </row>
    <row r="180" customFormat="false" ht="19.5" hidden="false" customHeight="true" outlineLevel="0" collapsed="false">
      <c r="A180" s="121" t="n">
        <v>1891</v>
      </c>
      <c r="B180" s="132" t="n">
        <f aca="false">Economy!O51*$E$25</f>
        <v>614.284875412056</v>
      </c>
      <c r="C180" s="132" t="n">
        <f aca="false">MAX(0,Abroad!M51-Abroad!N51-Abroad!V51)*$E$27</f>
        <v>9.12368945656727</v>
      </c>
      <c r="D180" s="132" t="n">
        <f aca="false">Abroad!F51</f>
        <v>4.69048931063271</v>
      </c>
      <c r="E180" s="117" t="n">
        <f aca="false">SUM(B180:D180)</f>
        <v>628.099054179256</v>
      </c>
      <c r="F180" s="132" t="n">
        <f aca="false">Economy!O51*IF(A180=1862,$E$38,IF(OR(AND(A180&gt;=1861,A180&lt;=1865),AND(A180&gt;=1870,A180&lt;=1871)),$E$37,$E$26))</f>
        <v>418.830596871856</v>
      </c>
      <c r="G180" s="132" t="n">
        <f aca="false">'Debt &amp; cash'!Y51*issue_price</f>
        <v>25.142358708144</v>
      </c>
      <c r="H180" s="132" t="n">
        <f aca="false">Abroad!C51</f>
        <v>16.7532238748743</v>
      </c>
      <c r="I180" s="132" t="n">
        <f aca="false">Abroad!D51</f>
        <v>0</v>
      </c>
      <c r="J180" s="132" t="n">
        <f aca="false">'Champion funding'!D51-'Champion funding'!K51+'Champion funding'!Q51+'Champion funding'!R51</f>
        <v>8.88297571695808</v>
      </c>
      <c r="K180" s="117" t="n">
        <f aca="false">SUM(F180:J180)</f>
        <v>469.609155171833</v>
      </c>
      <c r="L180" s="117" t="n">
        <f aca="false">E180-K180</f>
        <v>158.489899007423</v>
      </c>
      <c r="M180" s="117" t="n">
        <f aca="false">MAX(0,-L180)</f>
        <v>0</v>
      </c>
      <c r="N180" s="132" t="n">
        <f aca="false">'Capital accounts'!L51</f>
        <v>0</v>
      </c>
      <c r="O180" s="132" t="n">
        <f aca="false">'War credit'!E51</f>
        <v>0</v>
      </c>
      <c r="P180" s="134" t="n">
        <f aca="false">'War credit'!AC51</f>
        <v>0</v>
      </c>
      <c r="Q180" s="132" t="str">
        <f aca="false">IF(O180&gt;0,'War credit'!AD51,IF(N180&gt;0,"Project funding unallocated","Capacity is MODEL"))</f>
        <v>Capacity is MODEL</v>
      </c>
      <c r="R180" s="113"/>
      <c r="S180" s="113"/>
    </row>
    <row r="181" customFormat="false" ht="19.5" hidden="false" customHeight="true" outlineLevel="0" collapsed="false">
      <c r="A181" s="121" t="n">
        <v>1892</v>
      </c>
      <c r="B181" s="132" t="n">
        <f aca="false">Economy!O52*$E$25</f>
        <v>656.914045192777</v>
      </c>
      <c r="C181" s="132" t="n">
        <f aca="false">MAX(0,Abroad!M52-Abroad!N52-Abroad!V52)*$E$27</f>
        <v>9.96951015898183</v>
      </c>
      <c r="D181" s="132" t="n">
        <f aca="false">Abroad!F52</f>
        <v>5.05237134755995</v>
      </c>
      <c r="E181" s="117" t="n">
        <f aca="false">SUM(B181:D181)</f>
        <v>671.935926699319</v>
      </c>
      <c r="F181" s="132" t="n">
        <f aca="false">Economy!O52*IF(A181=1862,$E$38,IF(OR(AND(A181&gt;=1861,A181&lt;=1865),AND(A181&gt;=1870,A181&lt;=1871)),$E$37,$E$26))</f>
        <v>447.895939904166</v>
      </c>
      <c r="G181" s="132" t="n">
        <f aca="false">'Debt &amp; cash'!Y52*issue_price</f>
        <v>28.020413988607</v>
      </c>
      <c r="H181" s="132" t="n">
        <f aca="false">Abroad!C52</f>
        <v>17.9158375961667</v>
      </c>
      <c r="I181" s="132" t="n">
        <f aca="false">Abroad!D52</f>
        <v>0</v>
      </c>
      <c r="J181" s="132" t="n">
        <f aca="false">'Champion funding'!D52-'Champion funding'!K52+'Champion funding'!Q52+'Champion funding'!R52</f>
        <v>10.685491414001</v>
      </c>
      <c r="K181" s="117" t="n">
        <f aca="false">SUM(F181:J181)</f>
        <v>504.517682902941</v>
      </c>
      <c r="L181" s="117" t="n">
        <f aca="false">E181-K181</f>
        <v>167.418243796378</v>
      </c>
      <c r="M181" s="117" t="n">
        <f aca="false">MAX(0,-L181)</f>
        <v>0</v>
      </c>
      <c r="N181" s="132" t="n">
        <f aca="false">'Capital accounts'!L52</f>
        <v>0</v>
      </c>
      <c r="O181" s="132" t="n">
        <f aca="false">'War credit'!E52</f>
        <v>0</v>
      </c>
      <c r="P181" s="134" t="n">
        <f aca="false">'War credit'!AC52</f>
        <v>0</v>
      </c>
      <c r="Q181" s="132" t="str">
        <f aca="false">IF(O181&gt;0,'War credit'!AD52,IF(N181&gt;0,"Project funding unallocated","Capacity is MODEL"))</f>
        <v>Capacity is MODEL</v>
      </c>
      <c r="R181" s="113"/>
      <c r="S181" s="113"/>
    </row>
    <row r="182" customFormat="false" ht="19.5" hidden="false" customHeight="true" outlineLevel="0" collapsed="false">
      <c r="A182" s="121" t="n">
        <v>1893</v>
      </c>
      <c r="B182" s="132" t="n">
        <f aca="false">Economy!O53*$E$25</f>
        <v>665.66033965682</v>
      </c>
      <c r="C182" s="132" t="n">
        <f aca="false">MAX(0,Abroad!M53-Abroad!N53-Abroad!V53)*$E$27</f>
        <v>10.9550422829406</v>
      </c>
      <c r="D182" s="132" t="n">
        <f aca="false">Abroad!F53</f>
        <v>5.43827533501816</v>
      </c>
      <c r="E182" s="117" t="n">
        <f aca="false">SUM(B182:D182)</f>
        <v>682.053657274778</v>
      </c>
      <c r="F182" s="132" t="n">
        <f aca="false">Economy!O53*IF(A182=1862,$E$38,IF(OR(AND(A182&gt;=1861,A182&lt;=1865),AND(A182&gt;=1870,A182&lt;=1871)),$E$37,$E$26))</f>
        <v>453.859322493286</v>
      </c>
      <c r="G182" s="132" t="n">
        <f aca="false">'Debt &amp; cash'!Y53*issue_price</f>
        <v>21.3327218793512</v>
      </c>
      <c r="H182" s="132" t="n">
        <f aca="false">Abroad!C53</f>
        <v>18.1543728997314</v>
      </c>
      <c r="I182" s="132" t="n">
        <f aca="false">Abroad!D53</f>
        <v>0</v>
      </c>
      <c r="J182" s="132" t="n">
        <f aca="false">'Champion funding'!D53-'Champion funding'!K53+'Champion funding'!Q53+'Champion funding'!R53</f>
        <v>12.5474330876375</v>
      </c>
      <c r="K182" s="117" t="n">
        <f aca="false">SUM(F182:J182)</f>
        <v>505.893850360006</v>
      </c>
      <c r="L182" s="117" t="n">
        <f aca="false">E182-K182</f>
        <v>176.159806914772</v>
      </c>
      <c r="M182" s="117" t="n">
        <f aca="false">MAX(0,-L182)</f>
        <v>0</v>
      </c>
      <c r="N182" s="132" t="n">
        <f aca="false">'Capital accounts'!L53</f>
        <v>0</v>
      </c>
      <c r="O182" s="132" t="n">
        <f aca="false">'War credit'!E53</f>
        <v>0</v>
      </c>
      <c r="P182" s="134" t="n">
        <f aca="false">'War credit'!AC53</f>
        <v>0</v>
      </c>
      <c r="Q182" s="132" t="str">
        <f aca="false">IF(O182&gt;0,'War credit'!AD53,IF(N182&gt;0,"Project funding unallocated","Capacity is MODEL"))</f>
        <v>Capacity is MODEL</v>
      </c>
      <c r="R182" s="113"/>
      <c r="S182" s="113"/>
    </row>
    <row r="183" customFormat="false" ht="19.5" hidden="false" customHeight="true" outlineLevel="0" collapsed="false">
      <c r="A183" s="121" t="n">
        <v>1894</v>
      </c>
      <c r="B183" s="132" t="n">
        <f aca="false">Economy!O54*$E$25</f>
        <v>700.02712295922</v>
      </c>
      <c r="C183" s="132" t="n">
        <f aca="false">MAX(0,Abroad!M54-Abroad!N54-Abroad!V54)*$E$27</f>
        <v>11.8999504314147</v>
      </c>
      <c r="D183" s="132" t="n">
        <f aca="false">Abroad!F54</f>
        <v>5.81975826195956</v>
      </c>
      <c r="E183" s="117" t="n">
        <f aca="false">SUM(B183:D183)</f>
        <v>717.746831652594</v>
      </c>
      <c r="F183" s="132" t="n">
        <f aca="false">Economy!O54*IF(A183=1862,$E$38,IF(OR(AND(A183&gt;=1861,A183&lt;=1865),AND(A183&gt;=1870,A183&lt;=1871)),$E$37,$E$26))</f>
        <v>477.291220199468</v>
      </c>
      <c r="G183" s="132" t="n">
        <f aca="false">'Debt &amp; cash'!Y54*issue_price</f>
        <v>24.2585967463581</v>
      </c>
      <c r="H183" s="132" t="n">
        <f aca="false">Abroad!C54</f>
        <v>19.0916488079787</v>
      </c>
      <c r="I183" s="132" t="n">
        <f aca="false">Abroad!D54</f>
        <v>0</v>
      </c>
      <c r="J183" s="132" t="n">
        <f aca="false">'Champion funding'!D54-'Champion funding'!K54+'Champion funding'!Q54+'Champion funding'!R54</f>
        <v>14.3766840964283</v>
      </c>
      <c r="K183" s="117" t="n">
        <f aca="false">SUM(F183:J183)</f>
        <v>535.018149850233</v>
      </c>
      <c r="L183" s="117" t="n">
        <f aca="false">E183-K183</f>
        <v>182.728681802361</v>
      </c>
      <c r="M183" s="117" t="n">
        <f aca="false">MAX(0,-L183)</f>
        <v>0</v>
      </c>
      <c r="N183" s="132" t="n">
        <f aca="false">'Capital accounts'!L54</f>
        <v>0</v>
      </c>
      <c r="O183" s="132" t="n">
        <f aca="false">'War credit'!E54</f>
        <v>0</v>
      </c>
      <c r="P183" s="134" t="n">
        <f aca="false">'War credit'!AC54</f>
        <v>0</v>
      </c>
      <c r="Q183" s="132" t="str">
        <f aca="false">IF(O183&gt;0,'War credit'!AD54,IF(N183&gt;0,"Project funding unallocated","Capacity is MODEL"))</f>
        <v>Capacity is MODEL</v>
      </c>
      <c r="R183" s="113"/>
      <c r="S183" s="113"/>
    </row>
    <row r="184" customFormat="false" ht="19.5" hidden="false" customHeight="true" outlineLevel="0" collapsed="false">
      <c r="A184" s="121" t="n">
        <v>1895</v>
      </c>
      <c r="B184" s="132" t="n">
        <f aca="false">Economy!O55*$E$25</f>
        <v>766.849300832265</v>
      </c>
      <c r="C184" s="132" t="n">
        <f aca="false">MAX(0,Abroad!M55-Abroad!N55-Abroad!V55)*$E$27</f>
        <v>12.8493499974856</v>
      </c>
      <c r="D184" s="132" t="n">
        <f aca="false">Abroad!F55</f>
        <v>6.21791497834013</v>
      </c>
      <c r="E184" s="117" t="n">
        <f aca="false">SUM(B184:D184)</f>
        <v>785.91656580809</v>
      </c>
      <c r="F184" s="132" t="n">
        <f aca="false">Economy!O55*IF(A184=1862,$E$38,IF(OR(AND(A184&gt;=1861,A184&lt;=1865),AND(A184&gt;=1870,A184&lt;=1871)),$E$37,$E$26))</f>
        <v>522.851796021999</v>
      </c>
      <c r="G184" s="132" t="n">
        <f aca="false">'Debt &amp; cash'!Y55*issue_price</f>
        <v>17.8177360732414</v>
      </c>
      <c r="H184" s="132" t="n">
        <f aca="false">Abroad!C55</f>
        <v>20.9140718408799</v>
      </c>
      <c r="I184" s="132" t="n">
        <f aca="false">Abroad!D55</f>
        <v>0</v>
      </c>
      <c r="J184" s="132" t="n">
        <f aca="false">'Champion funding'!D55-'Champion funding'!K55+'Champion funding'!Q55+'Champion funding'!R55</f>
        <v>16.0881860172627</v>
      </c>
      <c r="K184" s="117" t="n">
        <f aca="false">SUM(F184:J184)</f>
        <v>577.671789953383</v>
      </c>
      <c r="L184" s="117" t="n">
        <f aca="false">E184-K184</f>
        <v>208.244775854708</v>
      </c>
      <c r="M184" s="117" t="n">
        <f aca="false">MAX(0,-L184)</f>
        <v>0</v>
      </c>
      <c r="N184" s="132" t="n">
        <f aca="false">'Capital accounts'!L55</f>
        <v>0</v>
      </c>
      <c r="O184" s="132" t="n">
        <f aca="false">'War credit'!E55</f>
        <v>0</v>
      </c>
      <c r="P184" s="134" t="n">
        <f aca="false">'War credit'!AC55</f>
        <v>0</v>
      </c>
      <c r="Q184" s="132" t="str">
        <f aca="false">IF(O184&gt;0,'War credit'!AD55,IF(N184&gt;0,"Project funding unallocated","Capacity is MODEL"))</f>
        <v>Capacity is MODEL</v>
      </c>
      <c r="R184" s="113"/>
      <c r="S184" s="113"/>
    </row>
    <row r="185" customFormat="false" ht="19.5" hidden="false" customHeight="true" outlineLevel="0" collapsed="false">
      <c r="A185" s="121" t="n">
        <v>1896</v>
      </c>
      <c r="B185" s="132" t="n">
        <f aca="false">Economy!O56*$E$25</f>
        <v>817.564148123003</v>
      </c>
      <c r="C185" s="132" t="n">
        <f aca="false">MAX(0,Abroad!M56-Abroad!N56-Abroad!V56)*$E$27</f>
        <v>13.9237227534004</v>
      </c>
      <c r="D185" s="132" t="n">
        <f aca="false">Abroad!F56</f>
        <v>6.65879968421632</v>
      </c>
      <c r="E185" s="117" t="n">
        <f aca="false">SUM(B185:D185)</f>
        <v>838.14667056062</v>
      </c>
      <c r="F185" s="132" t="n">
        <f aca="false">Economy!O56*IF(A185=1862,$E$38,IF(OR(AND(A185&gt;=1861,A185&lt;=1865),AND(A185&gt;=1870,A185&lt;=1871)),$E$37,$E$26))</f>
        <v>557.430100992957</v>
      </c>
      <c r="G185" s="132" t="n">
        <f aca="false">'Debt &amp; cash'!Y56*issue_price</f>
        <v>29.654017650917</v>
      </c>
      <c r="H185" s="132" t="n">
        <f aca="false">Abroad!C56</f>
        <v>74.3240134657276</v>
      </c>
      <c r="I185" s="132" t="n">
        <f aca="false">Abroad!D56</f>
        <v>0</v>
      </c>
      <c r="J185" s="132" t="n">
        <f aca="false">'Champion funding'!D56-'Champion funding'!K56+'Champion funding'!Q56+'Champion funding'!R56</f>
        <v>17.9904655700575</v>
      </c>
      <c r="K185" s="117" t="n">
        <f aca="false">SUM(F185:J185)</f>
        <v>679.398597679659</v>
      </c>
      <c r="L185" s="117" t="n">
        <f aca="false">E185-K185</f>
        <v>158.748072880961</v>
      </c>
      <c r="M185" s="117" t="n">
        <f aca="false">MAX(0,-L185)</f>
        <v>0</v>
      </c>
      <c r="N185" s="132" t="n">
        <f aca="false">'Capital accounts'!L56</f>
        <v>0</v>
      </c>
      <c r="O185" s="132" t="n">
        <f aca="false">'War credit'!E56</f>
        <v>0</v>
      </c>
      <c r="P185" s="134" t="n">
        <f aca="false">'War credit'!AC56</f>
        <v>0</v>
      </c>
      <c r="Q185" s="132" t="str">
        <f aca="false">IF(O185&gt;0,'War credit'!AD56,IF(N185&gt;0,"Project funding unallocated","Capacity is MODEL"))</f>
        <v>Capacity is MODEL</v>
      </c>
      <c r="R185" s="113"/>
      <c r="S185" s="113"/>
    </row>
    <row r="186" customFormat="false" ht="19.5" hidden="false" customHeight="true" outlineLevel="0" collapsed="false">
      <c r="A186" s="121" t="n">
        <v>1897</v>
      </c>
      <c r="B186" s="132" t="n">
        <f aca="false">Economy!O57*$E$25</f>
        <v>918.844354286068</v>
      </c>
      <c r="C186" s="132" t="n">
        <f aca="false">MAX(0,Abroad!M57-Abroad!N57-Abroad!V57)*$E$27</f>
        <v>16.5347415304567</v>
      </c>
      <c r="D186" s="132" t="n">
        <f aca="false">Abroad!F57</f>
        <v>8.68875609766166</v>
      </c>
      <c r="E186" s="117" t="n">
        <f aca="false">SUM(B186:D186)</f>
        <v>944.067851914187</v>
      </c>
      <c r="F186" s="132" t="n">
        <f aca="false">Economy!O57*IF(A186=1862,$E$38,IF(OR(AND(A186&gt;=1861,A186&lt;=1865),AND(A186&gt;=1870,A186&lt;=1871)),$E$37,$E$26))</f>
        <v>626.484787013228</v>
      </c>
      <c r="G186" s="132" t="n">
        <f aca="false">'Debt &amp; cash'!Y57*issue_price</f>
        <v>36.496095926147</v>
      </c>
      <c r="H186" s="132" t="n">
        <f aca="false">Abroad!C57</f>
        <v>83.5313049350971</v>
      </c>
      <c r="I186" s="132" t="n">
        <f aca="false">Abroad!D57</f>
        <v>0</v>
      </c>
      <c r="J186" s="132" t="n">
        <f aca="false">'Champion funding'!D57-'Champion funding'!K57+'Champion funding'!Q57+'Champion funding'!R57</f>
        <v>19.8969448247078</v>
      </c>
      <c r="K186" s="117" t="n">
        <f aca="false">SUM(F186:J186)</f>
        <v>766.40913269918</v>
      </c>
      <c r="L186" s="117" t="n">
        <f aca="false">E186-K186</f>
        <v>177.658719215006</v>
      </c>
      <c r="M186" s="117" t="n">
        <f aca="false">MAX(0,-L186)</f>
        <v>0</v>
      </c>
      <c r="N186" s="132" t="n">
        <f aca="false">'Capital accounts'!L57</f>
        <v>0</v>
      </c>
      <c r="O186" s="132" t="n">
        <f aca="false">'War credit'!E57</f>
        <v>0</v>
      </c>
      <c r="P186" s="134" t="n">
        <f aca="false">'War credit'!AC57</f>
        <v>0</v>
      </c>
      <c r="Q186" s="132" t="str">
        <f aca="false">IF(O186&gt;0,'War credit'!AD57,IF(N186&gt;0,"Project funding unallocated","Capacity is MODEL"))</f>
        <v>Capacity is MODEL</v>
      </c>
      <c r="R186" s="113"/>
      <c r="S186" s="113"/>
    </row>
    <row r="187" customFormat="false" ht="19.5" hidden="false" customHeight="true" outlineLevel="0" collapsed="false">
      <c r="A187" s="121" t="n">
        <v>1898</v>
      </c>
      <c r="B187" s="132" t="n">
        <f aca="false">Economy!O58*$E$25</f>
        <v>1008.22965935832</v>
      </c>
      <c r="C187" s="132" t="n">
        <f aca="false">MAX(0,Abroad!M58-Abroad!N58-Abroad!V58)*$E$27</f>
        <v>19.4797174615284</v>
      </c>
      <c r="D187" s="132" t="n">
        <f aca="false">Abroad!F58</f>
        <v>10.9340325627847</v>
      </c>
      <c r="E187" s="117" t="n">
        <f aca="false">SUM(B187:D187)</f>
        <v>1038.64340938264</v>
      </c>
      <c r="F187" s="132" t="n">
        <f aca="false">Economy!O58*IF(A187=1862,$E$38,IF(OR(AND(A187&gt;=1861,A187&lt;=1865),AND(A187&gt;=1870,A187&lt;=1871)),$E$37,$E$26))</f>
        <v>687.429313198856</v>
      </c>
      <c r="G187" s="132" t="n">
        <f aca="false">'Debt &amp; cash'!Y58*issue_price</f>
        <v>33.9451532917759</v>
      </c>
      <c r="H187" s="132" t="n">
        <f aca="false">Abroad!C58</f>
        <v>91.6572417598475</v>
      </c>
      <c r="I187" s="132" t="n">
        <f aca="false">Abroad!D58</f>
        <v>0</v>
      </c>
      <c r="J187" s="132" t="n">
        <f aca="false">'Champion funding'!D58-'Champion funding'!K58+'Champion funding'!Q58+'Champion funding'!R58</f>
        <v>21.7052961375855</v>
      </c>
      <c r="K187" s="117" t="n">
        <f aca="false">SUM(F187:J187)</f>
        <v>834.737004388065</v>
      </c>
      <c r="L187" s="117" t="n">
        <f aca="false">E187-K187</f>
        <v>203.906404994571</v>
      </c>
      <c r="M187" s="117" t="n">
        <f aca="false">MAX(0,-L187)</f>
        <v>0</v>
      </c>
      <c r="N187" s="132" t="n">
        <f aca="false">'Capital accounts'!L58</f>
        <v>0</v>
      </c>
      <c r="O187" s="132" t="n">
        <f aca="false">'War credit'!E58</f>
        <v>0</v>
      </c>
      <c r="P187" s="134" t="n">
        <f aca="false">'War credit'!AC58</f>
        <v>0</v>
      </c>
      <c r="Q187" s="132" t="str">
        <f aca="false">IF(O187&gt;0,'War credit'!AD58,IF(N187&gt;0,"Project funding unallocated","Capacity is MODEL"))</f>
        <v>Capacity is MODEL</v>
      </c>
      <c r="R187" s="113"/>
      <c r="S187" s="113"/>
    </row>
    <row r="188" customFormat="false" ht="19.5" hidden="false" customHeight="true" outlineLevel="0" collapsed="false">
      <c r="A188" s="121" t="n">
        <v>1899</v>
      </c>
      <c r="B188" s="132" t="n">
        <f aca="false">Economy!O59*$E$25</f>
        <v>1103.55258928965</v>
      </c>
      <c r="C188" s="132" t="n">
        <f aca="false">MAX(0,Abroad!M59-Abroad!N59-Abroad!V59)*$E$27</f>
        <v>22.5330081230779</v>
      </c>
      <c r="D188" s="132" t="n">
        <f aca="false">Abroad!F59</f>
        <v>13.3557288386966</v>
      </c>
      <c r="E188" s="117" t="n">
        <f aca="false">SUM(B188:D188)</f>
        <v>1139.44132625142</v>
      </c>
      <c r="F188" s="132" t="n">
        <f aca="false">Economy!O59*IF(A188=1862,$E$38,IF(OR(AND(A188&gt;=1861,A188&lt;=1865),AND(A188&gt;=1870,A188&lt;=1871)),$E$37,$E$26))</f>
        <v>752.422219970213</v>
      </c>
      <c r="G188" s="132" t="n">
        <f aca="false">'Debt &amp; cash'!Y59*issue_price</f>
        <v>37.3233654875118</v>
      </c>
      <c r="H188" s="132" t="n">
        <f aca="false">Abroad!C59</f>
        <v>100.322962662695</v>
      </c>
      <c r="I188" s="132" t="n">
        <f aca="false">Abroad!D59</f>
        <v>0</v>
      </c>
      <c r="J188" s="132" t="n">
        <f aca="false">'Champion funding'!D59-'Champion funding'!K59+'Champion funding'!Q59+'Champion funding'!R59</f>
        <v>23.5255158030439</v>
      </c>
      <c r="K188" s="117" t="n">
        <f aca="false">SUM(F188:J188)</f>
        <v>913.594063923464</v>
      </c>
      <c r="L188" s="117" t="n">
        <f aca="false">E188-K188</f>
        <v>225.847262327957</v>
      </c>
      <c r="M188" s="117" t="n">
        <f aca="false">MAX(0,-L188)</f>
        <v>0</v>
      </c>
      <c r="N188" s="132" t="n">
        <f aca="false">'Capital accounts'!L59</f>
        <v>0</v>
      </c>
      <c r="O188" s="132" t="n">
        <f aca="false">'War credit'!E59</f>
        <v>0</v>
      </c>
      <c r="P188" s="134" t="n">
        <f aca="false">'War credit'!AC59</f>
        <v>0</v>
      </c>
      <c r="Q188" s="132" t="str">
        <f aca="false">IF(O188&gt;0,'War credit'!AD59,IF(N188&gt;0,"Project funding unallocated","Capacity is MODEL"))</f>
        <v>Capacity is MODEL</v>
      </c>
      <c r="R188" s="113"/>
      <c r="S188" s="113"/>
    </row>
    <row r="189" customFormat="false" ht="19.5" hidden="false" customHeight="true" outlineLevel="0" collapsed="false">
      <c r="A189" s="121" t="n">
        <v>1900</v>
      </c>
      <c r="B189" s="132" t="n">
        <f aca="false">Economy!O60*$E$25</f>
        <v>1209.1975709353</v>
      </c>
      <c r="C189" s="132" t="n">
        <f aca="false">MAX(0,Abroad!M60-Abroad!N60-Abroad!V60)*$E$27</f>
        <v>25.8411766334575</v>
      </c>
      <c r="D189" s="132" t="n">
        <f aca="false">Abroad!F60</f>
        <v>15.9647458534166</v>
      </c>
      <c r="E189" s="117" t="n">
        <f aca="false">SUM(B189:D189)</f>
        <v>1251.00349342218</v>
      </c>
      <c r="F189" s="132" t="n">
        <f aca="false">Economy!O60*IF(A189=1862,$E$38,IF(OR(AND(A189&gt;=1861,A189&lt;=1865),AND(A189&gt;=1870,A189&lt;=1871)),$E$37,$E$26))</f>
        <v>824.452889274071</v>
      </c>
      <c r="G189" s="132" t="n">
        <f aca="false">'Debt &amp; cash'!Y60*issue_price</f>
        <v>47.4347110133228</v>
      </c>
      <c r="H189" s="132" t="n">
        <f aca="false">Abroad!C60</f>
        <v>109.927051903209</v>
      </c>
      <c r="I189" s="132" t="n">
        <f aca="false">Abroad!D60</f>
        <v>0</v>
      </c>
      <c r="J189" s="132" t="n">
        <f aca="false">'Champion funding'!D60-'Champion funding'!K60+'Champion funding'!Q60+'Champion funding'!R60</f>
        <v>25.5025610405435</v>
      </c>
      <c r="K189" s="117" t="n">
        <f aca="false">SUM(F189:J189)</f>
        <v>1007.31721323115</v>
      </c>
      <c r="L189" s="117" t="n">
        <f aca="false">E189-K189</f>
        <v>243.686280191031</v>
      </c>
      <c r="M189" s="117" t="n">
        <f aca="false">MAX(0,-L189)</f>
        <v>0</v>
      </c>
      <c r="N189" s="132" t="n">
        <f aca="false">'Capital accounts'!L60</f>
        <v>0</v>
      </c>
      <c r="O189" s="132" t="n">
        <f aca="false">'War credit'!E60</f>
        <v>0</v>
      </c>
      <c r="P189" s="134" t="n">
        <f aca="false">'War credit'!AC60</f>
        <v>0</v>
      </c>
      <c r="Q189" s="132" t="str">
        <f aca="false">IF(O189&gt;0,'War credit'!AD60,IF(N189&gt;0,"Project funding unallocated","Capacity is MODEL"))</f>
        <v>Capacity is MODEL</v>
      </c>
      <c r="R189" s="113"/>
      <c r="S189" s="113"/>
    </row>
    <row r="190" customFormat="false" ht="19.5" hidden="false" customHeight="true" outlineLevel="0" collapsed="false">
      <c r="A190" s="121" t="n">
        <v>1901</v>
      </c>
      <c r="B190" s="132" t="n">
        <f aca="false">Economy!O61*$E$25</f>
        <v>1316.70026205597</v>
      </c>
      <c r="C190" s="132" t="n">
        <f aca="false">MAX(0,Abroad!M61-Abroad!N61-Abroad!V61)*$E$27</f>
        <v>49.2141078884976</v>
      </c>
      <c r="D190" s="132" t="n">
        <f aca="false">Abroad!F61</f>
        <v>18.7836150349103</v>
      </c>
      <c r="E190" s="117" t="n">
        <f aca="false">SUM(B190:D190)</f>
        <v>1384.69798497938</v>
      </c>
      <c r="F190" s="132" t="n">
        <f aca="false">Economy!O61*IF(A190=1862,$E$38,IF(OR(AND(A190&gt;=1861,A190&lt;=1865),AND(A190&gt;=1870,A190&lt;=1871)),$E$37,$E$26))</f>
        <v>897.750178674526</v>
      </c>
      <c r="G190" s="132" t="n">
        <f aca="false">'Debt &amp; cash'!Y61*issue_price</f>
        <v>55.7873535171005</v>
      </c>
      <c r="H190" s="132" t="n">
        <f aca="false">Abroad!C61</f>
        <v>119.70002382327</v>
      </c>
      <c r="I190" s="132" t="n">
        <f aca="false">Abroad!D61</f>
        <v>0</v>
      </c>
      <c r="J190" s="132" t="n">
        <f aca="false">'Champion funding'!D61-'Champion funding'!K61+'Champion funding'!Q61+'Champion funding'!R61</f>
        <v>38.7110203608657</v>
      </c>
      <c r="K190" s="117" t="n">
        <f aca="false">SUM(F190:J190)</f>
        <v>1111.94857637576</v>
      </c>
      <c r="L190" s="117" t="n">
        <f aca="false">E190-K190</f>
        <v>272.749408603617</v>
      </c>
      <c r="M190" s="117" t="n">
        <f aca="false">MAX(0,-L190)</f>
        <v>0</v>
      </c>
      <c r="N190" s="132" t="n">
        <f aca="false">'Capital accounts'!L61</f>
        <v>0</v>
      </c>
      <c r="O190" s="132" t="n">
        <f aca="false">'War credit'!E61</f>
        <v>0</v>
      </c>
      <c r="P190" s="134" t="n">
        <f aca="false">'War credit'!AC61</f>
        <v>0</v>
      </c>
      <c r="Q190" s="132" t="str">
        <f aca="false">IF(O190&gt;0,'War credit'!AD61,IF(N190&gt;0,"Project funding unallocated","Capacity is MODEL"))</f>
        <v>Capacity is MODEL</v>
      </c>
      <c r="R190" s="113"/>
      <c r="S190" s="113"/>
    </row>
    <row r="191" customFormat="false" ht="19.5" hidden="false" customHeight="true" outlineLevel="0" collapsed="false">
      <c r="A191" s="121" t="n">
        <v>1902</v>
      </c>
      <c r="B191" s="132" t="n">
        <f aca="false">Economy!O62*$E$25</f>
        <v>1436.04915048656</v>
      </c>
      <c r="C191" s="132" t="n">
        <f aca="false">MAX(0,Abroad!M62-Abroad!N62-Abroad!V62)*$E$27</f>
        <v>37.7822924455775</v>
      </c>
      <c r="D191" s="132" t="n">
        <f aca="false">Abroad!F62</f>
        <v>21.8111072985611</v>
      </c>
      <c r="E191" s="117" t="n">
        <f aca="false">SUM(B191:D191)</f>
        <v>1495.6425502307</v>
      </c>
      <c r="F191" s="132" t="n">
        <f aca="false">Economy!O62*IF(A191=1862,$E$38,IF(OR(AND(A191&gt;=1861,A191&lt;=1865),AND(A191&gt;=1870,A191&lt;=1871)),$E$37,$E$26))</f>
        <v>979.12442078629</v>
      </c>
      <c r="G191" s="132" t="n">
        <f aca="false">'Debt &amp; cash'!Y62*issue_price</f>
        <v>66.1630006209555</v>
      </c>
      <c r="H191" s="132" t="n">
        <f aca="false">Abroad!C62</f>
        <v>130.549922771505</v>
      </c>
      <c r="I191" s="132" t="n">
        <f aca="false">Abroad!D62</f>
        <v>0</v>
      </c>
      <c r="J191" s="132" t="n">
        <f aca="false">'Champion funding'!D62-'Champion funding'!K62+'Champion funding'!Q62+'Champion funding'!R62</f>
        <v>56.8341244747443</v>
      </c>
      <c r="K191" s="117" t="n">
        <f aca="false">SUM(F191:J191)</f>
        <v>1232.67146865349</v>
      </c>
      <c r="L191" s="117" t="n">
        <f aca="false">E191-K191</f>
        <v>262.971081577202</v>
      </c>
      <c r="M191" s="117" t="n">
        <f aca="false">MAX(0,-L191)</f>
        <v>0</v>
      </c>
      <c r="N191" s="132" t="n">
        <f aca="false">'Capital accounts'!L62</f>
        <v>0</v>
      </c>
      <c r="O191" s="132" t="n">
        <f aca="false">'War credit'!E62</f>
        <v>0</v>
      </c>
      <c r="P191" s="134" t="n">
        <f aca="false">'War credit'!AC62</f>
        <v>0</v>
      </c>
      <c r="Q191" s="132" t="str">
        <f aca="false">IF(O191&gt;0,'War credit'!AD62,IF(N191&gt;0,"Project funding unallocated","Capacity is MODEL"))</f>
        <v>Capacity is MODEL</v>
      </c>
      <c r="R191" s="113"/>
      <c r="S191" s="113"/>
    </row>
    <row r="192" customFormat="false" ht="19.5" hidden="false" customHeight="true" outlineLevel="0" collapsed="false">
      <c r="A192" s="121" t="n">
        <v>1903</v>
      </c>
      <c r="B192" s="132" t="n">
        <f aca="false">Economy!O63*$E$25</f>
        <v>1568.37780701942</v>
      </c>
      <c r="C192" s="132" t="n">
        <f aca="false">MAX(0,Abroad!M63-Abroad!N63-Abroad!V63)*$E$27</f>
        <v>43.9617342270878</v>
      </c>
      <c r="D192" s="132" t="n">
        <f aca="false">Abroad!F63</f>
        <v>25.0732717627495</v>
      </c>
      <c r="E192" s="117" t="n">
        <f aca="false">SUM(B192:D192)</f>
        <v>1637.41281300926</v>
      </c>
      <c r="F192" s="132" t="n">
        <f aca="false">Economy!O63*IF(A192=1862,$E$38,IF(OR(AND(A192&gt;=1861,A192&lt;=1865),AND(A192&gt;=1870,A192&lt;=1871)),$E$37,$E$26))</f>
        <v>1069.34850478597</v>
      </c>
      <c r="G192" s="132" t="n">
        <f aca="false">'Debt &amp; cash'!Y63*issue_price</f>
        <v>72.8410581093232</v>
      </c>
      <c r="H192" s="132" t="n">
        <f aca="false">Abroad!C63</f>
        <v>142.579800638129</v>
      </c>
      <c r="I192" s="132" t="n">
        <f aca="false">Abroad!D63</f>
        <v>0</v>
      </c>
      <c r="J192" s="132" t="n">
        <f aca="false">'Champion funding'!D63-'Champion funding'!K63+'Champion funding'!Q63+'Champion funding'!R63</f>
        <v>62.48391603918</v>
      </c>
      <c r="K192" s="117" t="n">
        <f aca="false">SUM(F192:J192)</f>
        <v>1347.2532795726</v>
      </c>
      <c r="L192" s="117" t="n">
        <f aca="false">E192-K192</f>
        <v>290.159533436657</v>
      </c>
      <c r="M192" s="117" t="n">
        <f aca="false">MAX(0,-L192)</f>
        <v>0</v>
      </c>
      <c r="N192" s="132" t="n">
        <f aca="false">'Capital accounts'!L63</f>
        <v>0</v>
      </c>
      <c r="O192" s="132" t="n">
        <f aca="false">'War credit'!E63</f>
        <v>0</v>
      </c>
      <c r="P192" s="134" t="n">
        <f aca="false">'War credit'!AC63</f>
        <v>0</v>
      </c>
      <c r="Q192" s="132" t="str">
        <f aca="false">IF(O192&gt;0,'War credit'!AD63,IF(N192&gt;0,"Project funding unallocated","Capacity is MODEL"))</f>
        <v>Capacity is MODEL</v>
      </c>
      <c r="R192" s="113"/>
      <c r="S192" s="113"/>
    </row>
    <row r="193" customFormat="false" ht="19.5" hidden="false" customHeight="true" outlineLevel="0" collapsed="false">
      <c r="A193" s="121" t="n">
        <v>1904</v>
      </c>
      <c r="B193" s="132" t="n">
        <f aca="false">Economy!O64*$E$25</f>
        <v>1713.29346542734</v>
      </c>
      <c r="C193" s="132" t="n">
        <f aca="false">MAX(0,Abroad!M64-Abroad!N64-Abroad!V64)*$E$27</f>
        <v>50.8536366074681</v>
      </c>
      <c r="D193" s="132" t="n">
        <f aca="false">Abroad!F64</f>
        <v>28.5984676290109</v>
      </c>
      <c r="E193" s="117" t="n">
        <f aca="false">SUM(B193:D193)</f>
        <v>1792.74556966382</v>
      </c>
      <c r="F193" s="132" t="n">
        <f aca="false">Economy!O64*IF(A193=1862,$E$38,IF(OR(AND(A193&gt;=1861,A193&lt;=1865),AND(A193&gt;=1870,A193&lt;=1871)),$E$37,$E$26))</f>
        <v>1168.15463551864</v>
      </c>
      <c r="G193" s="132" t="n">
        <f aca="false">'Debt &amp; cash'!Y64*issue_price</f>
        <v>71.7605510757756</v>
      </c>
      <c r="H193" s="132" t="n">
        <f aca="false">Abroad!C64</f>
        <v>155.753951402486</v>
      </c>
      <c r="I193" s="132" t="n">
        <f aca="false">Abroad!D64</f>
        <v>0</v>
      </c>
      <c r="J193" s="132" t="n">
        <f aca="false">'Champion funding'!D64-'Champion funding'!K64+'Champion funding'!Q64+'Champion funding'!R64</f>
        <v>68.513949655457</v>
      </c>
      <c r="K193" s="117" t="n">
        <f aca="false">SUM(F193:J193)</f>
        <v>1464.18308765236</v>
      </c>
      <c r="L193" s="117" t="n">
        <f aca="false">E193-K193</f>
        <v>328.56248201146</v>
      </c>
      <c r="M193" s="117" t="n">
        <f aca="false">MAX(0,-L193)</f>
        <v>0</v>
      </c>
      <c r="N193" s="132" t="n">
        <f aca="false">'Capital accounts'!L64</f>
        <v>0</v>
      </c>
      <c r="O193" s="132" t="n">
        <f aca="false">'War credit'!E64</f>
        <v>0</v>
      </c>
      <c r="P193" s="134" t="n">
        <f aca="false">'War credit'!AC64</f>
        <v>0</v>
      </c>
      <c r="Q193" s="132" t="str">
        <f aca="false">IF(O193&gt;0,'War credit'!AD64,IF(N193&gt;0,"Project funding unallocated","Capacity is MODEL"))</f>
        <v>Capacity is MODEL</v>
      </c>
      <c r="R193" s="113"/>
      <c r="S193" s="113"/>
    </row>
    <row r="194" customFormat="false" ht="19.5" hidden="false" customHeight="true" outlineLevel="0" collapsed="false">
      <c r="A194" s="121" t="n">
        <v>1905</v>
      </c>
      <c r="B194" s="132" t="n">
        <f aca="false">Economy!O65*$E$25</f>
        <v>1868.27926545885</v>
      </c>
      <c r="C194" s="132" t="n">
        <f aca="false">MAX(0,Abroad!M65-Abroad!N65-Abroad!V65)*$E$27</f>
        <v>58.3584539674374</v>
      </c>
      <c r="D194" s="132" t="n">
        <f aca="false">Abroad!F65</f>
        <v>32.4131321422151</v>
      </c>
      <c r="E194" s="117" t="n">
        <f aca="false">SUM(B194:D194)</f>
        <v>1959.05085156851</v>
      </c>
      <c r="F194" s="132" t="n">
        <f aca="false">Economy!O65*IF(A194=1862,$E$38,IF(OR(AND(A194&gt;=1861,A194&lt;=1865),AND(A194&gt;=1870,A194&lt;=1871)),$E$37,$E$26))</f>
        <v>1273.82677190376</v>
      </c>
      <c r="G194" s="132" t="n">
        <f aca="false">'Debt &amp; cash'!Y65*issue_price</f>
        <v>77.1512332785861</v>
      </c>
      <c r="H194" s="132" t="n">
        <f aca="false">Abroad!C65</f>
        <v>169.843569587169</v>
      </c>
      <c r="I194" s="132" t="n">
        <f aca="false">Abroad!D65</f>
        <v>0</v>
      </c>
      <c r="J194" s="132" t="n">
        <f aca="false">'Champion funding'!D65-'Champion funding'!K65+'Champion funding'!Q65+'Champion funding'!R65</f>
        <v>74.3815816238019</v>
      </c>
      <c r="K194" s="117" t="n">
        <f aca="false">SUM(F194:J194)</f>
        <v>1595.20315639332</v>
      </c>
      <c r="L194" s="117" t="n">
        <f aca="false">E194-K194</f>
        <v>363.847695175186</v>
      </c>
      <c r="M194" s="117" t="n">
        <f aca="false">MAX(0,-L194)</f>
        <v>0</v>
      </c>
      <c r="N194" s="132" t="n">
        <f aca="false">'Capital accounts'!L65</f>
        <v>0</v>
      </c>
      <c r="O194" s="132" t="n">
        <f aca="false">'War credit'!E65</f>
        <v>0</v>
      </c>
      <c r="P194" s="134" t="n">
        <f aca="false">'War credit'!AC65</f>
        <v>0</v>
      </c>
      <c r="Q194" s="132" t="str">
        <f aca="false">IF(O194&gt;0,'War credit'!AD65,IF(N194&gt;0,"Project funding unallocated","Capacity is MODEL"))</f>
        <v>Capacity is MODEL</v>
      </c>
      <c r="R194" s="113"/>
      <c r="S194" s="113"/>
    </row>
    <row r="195" customFormat="false" ht="19.5" hidden="false" customHeight="true" outlineLevel="0" collapsed="false">
      <c r="A195" s="121" t="n">
        <v>1906</v>
      </c>
      <c r="B195" s="132" t="n">
        <f aca="false">Economy!O66*$E$25</f>
        <v>2065.59082566752</v>
      </c>
      <c r="C195" s="132" t="n">
        <f aca="false">MAX(0,Abroad!M66-Abroad!N66-Abroad!V66)*$E$27</f>
        <v>65.7655183734953</v>
      </c>
      <c r="D195" s="132" t="n">
        <f aca="false">Abroad!F66</f>
        <v>36.5360452655637</v>
      </c>
      <c r="E195" s="117" t="n">
        <f aca="false">SUM(B195:D195)</f>
        <v>2167.89238930658</v>
      </c>
      <c r="F195" s="132" t="n">
        <f aca="false">Economy!O66*IF(A195=1862,$E$38,IF(OR(AND(A195&gt;=1861,A195&lt;=1865),AND(A195&gt;=1870,A195&lt;=1871)),$E$37,$E$26))</f>
        <v>1408.35738113695</v>
      </c>
      <c r="G195" s="132" t="n">
        <f aca="false">'Debt &amp; cash'!Y66*issue_price</f>
        <v>96.9848773592621</v>
      </c>
      <c r="H195" s="132" t="n">
        <f aca="false">Abroad!C66</f>
        <v>187.780984151593</v>
      </c>
      <c r="I195" s="132" t="n">
        <f aca="false">Abroad!D66</f>
        <v>0</v>
      </c>
      <c r="J195" s="132" t="n">
        <f aca="false">'Champion funding'!D66-'Champion funding'!K66+'Champion funding'!Q66+'Champion funding'!R66</f>
        <v>79.6003211222643</v>
      </c>
      <c r="K195" s="117" t="n">
        <f aca="false">SUM(F195:J195)</f>
        <v>1772.72356377007</v>
      </c>
      <c r="L195" s="117" t="n">
        <f aca="false">E195-K195</f>
        <v>395.168825536515</v>
      </c>
      <c r="M195" s="117" t="n">
        <f aca="false">MAX(0,-L195)</f>
        <v>0</v>
      </c>
      <c r="N195" s="132" t="n">
        <f aca="false">'Capital accounts'!L66</f>
        <v>0</v>
      </c>
      <c r="O195" s="132" t="n">
        <f aca="false">'War credit'!E66</f>
        <v>0</v>
      </c>
      <c r="P195" s="134" t="n">
        <f aca="false">'War credit'!AC66</f>
        <v>0</v>
      </c>
      <c r="Q195" s="132" t="str">
        <f aca="false">IF(O195&gt;0,'War credit'!AD66,IF(N195&gt;0,"Project funding unallocated","Capacity is MODEL"))</f>
        <v>Capacity is MODEL</v>
      </c>
      <c r="R195" s="113"/>
      <c r="S195" s="113"/>
    </row>
    <row r="196" customFormat="false" ht="19.5" hidden="false" customHeight="true" outlineLevel="0" collapsed="false">
      <c r="A196" s="121" t="n">
        <v>1907</v>
      </c>
      <c r="B196" s="132" t="n">
        <f aca="false">Economy!O67*$E$25</f>
        <v>2247.76290834943</v>
      </c>
      <c r="C196" s="132" t="n">
        <f aca="false">MAX(0,Abroad!M67-Abroad!N67-Abroad!V67)*$E$27</f>
        <v>73.7692388995698</v>
      </c>
      <c r="D196" s="132" t="n">
        <f aca="false">Abroad!F67</f>
        <v>41.0733934321446</v>
      </c>
      <c r="E196" s="117" t="n">
        <f aca="false">SUM(B196:D196)</f>
        <v>2362.60554068114</v>
      </c>
      <c r="F196" s="132" t="n">
        <f aca="false">Economy!O67*IF(A196=1862,$E$38,IF(OR(AND(A196&gt;=1861,A196&lt;=1865),AND(A196&gt;=1870,A196&lt;=1871)),$E$37,$E$26))</f>
        <v>1532.56561932916</v>
      </c>
      <c r="G196" s="132" t="n">
        <f aca="false">'Debt &amp; cash'!Y67*issue_price</f>
        <v>98.4068793573155</v>
      </c>
      <c r="H196" s="132" t="n">
        <f aca="false">Abroad!C67</f>
        <v>204.342082577221</v>
      </c>
      <c r="I196" s="132" t="n">
        <f aca="false">Abroad!D67</f>
        <v>0</v>
      </c>
      <c r="J196" s="132" t="n">
        <f aca="false">'Champion funding'!D67-'Champion funding'!K67+'Champion funding'!Q67+'Champion funding'!R67</f>
        <v>85.6045246877444</v>
      </c>
      <c r="K196" s="117" t="n">
        <f aca="false">SUM(F196:J196)</f>
        <v>1920.91910595144</v>
      </c>
      <c r="L196" s="117" t="n">
        <f aca="false">E196-K196</f>
        <v>441.686434729706</v>
      </c>
      <c r="M196" s="117" t="n">
        <f aca="false">MAX(0,-L196)</f>
        <v>0</v>
      </c>
      <c r="N196" s="132" t="n">
        <f aca="false">'Capital accounts'!L67</f>
        <v>0</v>
      </c>
      <c r="O196" s="132" t="n">
        <f aca="false">'War credit'!E67</f>
        <v>0</v>
      </c>
      <c r="P196" s="134" t="n">
        <f aca="false">'War credit'!AC67</f>
        <v>0</v>
      </c>
      <c r="Q196" s="132" t="str">
        <f aca="false">IF(O196&gt;0,'War credit'!AD67,IF(N196&gt;0,"Project funding unallocated","Capacity is MODEL"))</f>
        <v>Capacity is MODEL</v>
      </c>
      <c r="R196" s="113"/>
      <c r="S196" s="113"/>
    </row>
    <row r="197" customFormat="false" ht="19.5" hidden="false" customHeight="true" outlineLevel="0" collapsed="false">
      <c r="A197" s="121" t="n">
        <v>1908</v>
      </c>
      <c r="B197" s="132" t="n">
        <f aca="false">Economy!O68*$E$25</f>
        <v>2381.72377523137</v>
      </c>
      <c r="C197" s="132" t="n">
        <f aca="false">MAX(0,Abroad!M68-Abroad!N68-Abroad!V68)*$E$27</f>
        <v>81.8165000616967</v>
      </c>
      <c r="D197" s="132" t="n">
        <f aca="false">Abroad!F68</f>
        <v>45.9714541064969</v>
      </c>
      <c r="E197" s="117" t="n">
        <f aca="false">SUM(B197:D197)</f>
        <v>2509.51172939957</v>
      </c>
      <c r="F197" s="132" t="n">
        <f aca="false">Economy!O68*IF(A197=1862,$E$38,IF(OR(AND(A197&gt;=1861,A197&lt;=1865),AND(A197&gt;=1870,A197&lt;=1871)),$E$37,$E$26))</f>
        <v>1623.90257402139</v>
      </c>
      <c r="G197" s="132" t="n">
        <f aca="false">'Debt &amp; cash'!Y68*issue_price</f>
        <v>91.2638775990209</v>
      </c>
      <c r="H197" s="132" t="n">
        <f aca="false">Abroad!C68</f>
        <v>216.520343202852</v>
      </c>
      <c r="I197" s="132" t="n">
        <f aca="false">Abroad!D68</f>
        <v>0</v>
      </c>
      <c r="J197" s="132" t="n">
        <f aca="false">'Champion funding'!D68-'Champion funding'!K68+'Champion funding'!Q68+'Champion funding'!R68</f>
        <v>91.3279322114965</v>
      </c>
      <c r="K197" s="117" t="n">
        <f aca="false">SUM(F197:J197)</f>
        <v>2023.01472703476</v>
      </c>
      <c r="L197" s="117" t="n">
        <f aca="false">E197-K197</f>
        <v>486.497002364806</v>
      </c>
      <c r="M197" s="117" t="n">
        <f aca="false">MAX(0,-L197)</f>
        <v>0</v>
      </c>
      <c r="N197" s="132" t="n">
        <f aca="false">'Capital accounts'!L68</f>
        <v>0</v>
      </c>
      <c r="O197" s="132" t="n">
        <f aca="false">'War credit'!E68</f>
        <v>0</v>
      </c>
      <c r="P197" s="134" t="n">
        <f aca="false">'War credit'!AC68</f>
        <v>0</v>
      </c>
      <c r="Q197" s="132" t="str">
        <f aca="false">IF(O197&gt;0,'War credit'!AD68,IF(N197&gt;0,"Project funding unallocated","Capacity is MODEL"))</f>
        <v>Capacity is MODEL</v>
      </c>
      <c r="R197" s="113"/>
      <c r="S197" s="113"/>
    </row>
    <row r="198" customFormat="false" ht="19.5" hidden="false" customHeight="true" outlineLevel="0" collapsed="false">
      <c r="A198" s="121" t="n">
        <v>1909</v>
      </c>
      <c r="B198" s="132" t="n">
        <f aca="false">Economy!O69*$E$25</f>
        <v>2748.09481867853</v>
      </c>
      <c r="C198" s="132" t="n">
        <f aca="false">MAX(0,Abroad!M69-Abroad!N69-Abroad!V69)*$E$27</f>
        <v>90.2677959121435</v>
      </c>
      <c r="D198" s="132" t="n">
        <f aca="false">Abroad!F69</f>
        <v>51.0879207793875</v>
      </c>
      <c r="E198" s="117" t="n">
        <f aca="false">SUM(B198:D198)</f>
        <v>2889.45053537006</v>
      </c>
      <c r="F198" s="132" t="n">
        <f aca="false">Economy!O69*IF(A198=1862,$E$38,IF(OR(AND(A198&gt;=1861,A198&lt;=1865),AND(A198&gt;=1870,A198&lt;=1871)),$E$37,$E$26))</f>
        <v>1873.70101273536</v>
      </c>
      <c r="G198" s="132" t="n">
        <f aca="false">'Debt &amp; cash'!Y69*issue_price</f>
        <v>144.877529343118</v>
      </c>
      <c r="H198" s="132" t="n">
        <f aca="false">Abroad!C69</f>
        <v>249.826801698049</v>
      </c>
      <c r="I198" s="132" t="n">
        <f aca="false">Abroad!D69</f>
        <v>0</v>
      </c>
      <c r="J198" s="132" t="n">
        <f aca="false">'Champion funding'!D69-'Champion funding'!K69+'Champion funding'!Q69+'Champion funding'!R69</f>
        <v>96.787800746656</v>
      </c>
      <c r="K198" s="117" t="n">
        <f aca="false">SUM(F198:J198)</f>
        <v>2365.19314452319</v>
      </c>
      <c r="L198" s="117" t="n">
        <f aca="false">E198-K198</f>
        <v>524.257390846879</v>
      </c>
      <c r="M198" s="117" t="n">
        <f aca="false">MAX(0,-L198)</f>
        <v>0</v>
      </c>
      <c r="N198" s="132" t="n">
        <f aca="false">'Capital accounts'!L69</f>
        <v>0</v>
      </c>
      <c r="O198" s="132" t="n">
        <f aca="false">'War credit'!E69</f>
        <v>0</v>
      </c>
      <c r="P198" s="134" t="n">
        <f aca="false">'War credit'!AC69</f>
        <v>0</v>
      </c>
      <c r="Q198" s="132" t="str">
        <f aca="false">IF(O198&gt;0,'War credit'!AD69,IF(N198&gt;0,"Project funding unallocated","Capacity is MODEL"))</f>
        <v>Capacity is MODEL</v>
      </c>
      <c r="R198" s="113"/>
      <c r="S198" s="113"/>
    </row>
    <row r="199" customFormat="false" ht="19.5" hidden="false" customHeight="true" outlineLevel="0" collapsed="false">
      <c r="A199" s="121" t="n">
        <v>1910</v>
      </c>
      <c r="B199" s="132" t="n">
        <f aca="false">Economy!O70*$E$25</f>
        <v>3012.61610788738</v>
      </c>
      <c r="C199" s="132" t="n">
        <f aca="false">MAX(0,Abroad!M70-Abroad!N70-Abroad!V70)*$E$27</f>
        <v>99.5778075589243</v>
      </c>
      <c r="D199" s="132" t="n">
        <f aca="false">Abroad!F70</f>
        <v>57.0500872069473</v>
      </c>
      <c r="E199" s="117" t="n">
        <f aca="false">SUM(B199:D199)</f>
        <v>3169.24400265325</v>
      </c>
      <c r="F199" s="132" t="n">
        <f aca="false">Economy!O70*IF(A199=1862,$E$38,IF(OR(AND(A199&gt;=1861,A199&lt;=1865),AND(A199&gt;=1870,A199&lt;=1871)),$E$37,$E$26))</f>
        <v>2054.05643719594</v>
      </c>
      <c r="G199" s="132" t="n">
        <f aca="false">'Debt &amp; cash'!Y70*issue_price</f>
        <v>130.893042504105</v>
      </c>
      <c r="H199" s="132" t="n">
        <f aca="false">Abroad!C70</f>
        <v>273.874191626125</v>
      </c>
      <c r="I199" s="132" t="n">
        <f aca="false">Abroad!D70</f>
        <v>0</v>
      </c>
      <c r="J199" s="132" t="n">
        <f aca="false">'Champion funding'!D70-'Champion funding'!K70+'Champion funding'!Q70+'Champion funding'!R70</f>
        <v>102.528459794257</v>
      </c>
      <c r="K199" s="117" t="n">
        <f aca="false">SUM(F199:J199)</f>
        <v>2561.35213112043</v>
      </c>
      <c r="L199" s="117" t="n">
        <f aca="false">E199-K199</f>
        <v>607.891871532823</v>
      </c>
      <c r="M199" s="117" t="n">
        <f aca="false">MAX(0,-L199)</f>
        <v>0</v>
      </c>
      <c r="N199" s="132" t="n">
        <f aca="false">'Capital accounts'!L70</f>
        <v>0</v>
      </c>
      <c r="O199" s="132" t="n">
        <f aca="false">'War credit'!E70</f>
        <v>0</v>
      </c>
      <c r="P199" s="134" t="n">
        <f aca="false">'War credit'!AC70</f>
        <v>0</v>
      </c>
      <c r="Q199" s="132" t="str">
        <f aca="false">IF(O199&gt;0,'War credit'!AD70,IF(N199&gt;0,"Project funding unallocated","Capacity is MODEL"))</f>
        <v>Capacity is MODEL</v>
      </c>
      <c r="R199" s="113"/>
      <c r="S199" s="113"/>
    </row>
    <row r="200" customFormat="false" ht="19.5" hidden="false" customHeight="true" outlineLevel="0" collapsed="false">
      <c r="A200" s="121" t="n">
        <v>1911</v>
      </c>
      <c r="B200" s="132" t="n">
        <f aca="false">Economy!O71*$E$25</f>
        <v>3286.85010146607</v>
      </c>
      <c r="C200" s="132" t="n">
        <f aca="false">MAX(0,Abroad!M71-Abroad!N71-Abroad!V71)*$E$27</f>
        <v>110.556428412908</v>
      </c>
      <c r="D200" s="132" t="n">
        <f aca="false">Abroad!F71</f>
        <v>63.5548103395227</v>
      </c>
      <c r="E200" s="117" t="n">
        <f aca="false">SUM(B200:D200)</f>
        <v>3460.9613402185</v>
      </c>
      <c r="F200" s="132" t="n">
        <f aca="false">Economy!O71*IF(A200=1862,$E$38,IF(OR(AND(A200&gt;=1861,A200&lt;=1865),AND(A200&gt;=1870,A200&lt;=1871)),$E$37,$E$26))</f>
        <v>2241.0341600905</v>
      </c>
      <c r="G200" s="132" t="n">
        <f aca="false">'Debt &amp; cash'!Y71*issue_price</f>
        <v>137.132541247425</v>
      </c>
      <c r="H200" s="132" t="n">
        <f aca="false">Abroad!C71</f>
        <v>298.804554678734</v>
      </c>
      <c r="I200" s="132" t="n">
        <f aca="false">Abroad!D71</f>
        <v>0</v>
      </c>
      <c r="J200" s="132" t="n">
        <f aca="false">'Champion funding'!D71-'Champion funding'!K71+'Champion funding'!Q71+'Champion funding'!R71</f>
        <v>108.800756681444</v>
      </c>
      <c r="K200" s="117" t="n">
        <f aca="false">SUM(F200:J200)</f>
        <v>2785.77201269811</v>
      </c>
      <c r="L200" s="117" t="n">
        <f aca="false">E200-K200</f>
        <v>675.189327520395</v>
      </c>
      <c r="M200" s="117" t="n">
        <f aca="false">MAX(0,-L200)</f>
        <v>0</v>
      </c>
      <c r="N200" s="132" t="n">
        <f aca="false">'Capital accounts'!L71</f>
        <v>0</v>
      </c>
      <c r="O200" s="132" t="n">
        <f aca="false">'War credit'!E71</f>
        <v>0</v>
      </c>
      <c r="P200" s="134" t="n">
        <f aca="false">'War credit'!AC71</f>
        <v>0</v>
      </c>
      <c r="Q200" s="132" t="str">
        <f aca="false">IF(O200&gt;0,'War credit'!AD71,IF(N200&gt;0,"Project funding unallocated","Capacity is MODEL"))</f>
        <v>Capacity is MODEL</v>
      </c>
      <c r="R200" s="113"/>
      <c r="S200" s="113"/>
    </row>
    <row r="201" customFormat="false" ht="19.5" hidden="false" customHeight="true" outlineLevel="0" collapsed="false">
      <c r="A201" s="121" t="n">
        <v>1912</v>
      </c>
      <c r="B201" s="132" t="n">
        <f aca="false">Economy!O72*$E$25</f>
        <v>3587.77882803173</v>
      </c>
      <c r="C201" s="132" t="n">
        <f aca="false">MAX(0,Abroad!M72-Abroad!N72-Abroad!V72)*$E$27</f>
        <v>121.335476179614</v>
      </c>
      <c r="D201" s="132" t="n">
        <f aca="false">Abroad!F72</f>
        <v>70.612302669699</v>
      </c>
      <c r="E201" s="117" t="n">
        <f aca="false">SUM(B201:D201)</f>
        <v>3779.72660688105</v>
      </c>
      <c r="F201" s="132" t="n">
        <f aca="false">Economy!O72*IF(A201=1862,$E$38,IF(OR(AND(A201&gt;=1861,A201&lt;=1865),AND(A201&gt;=1870,A201&lt;=1871)),$E$37,$E$26))</f>
        <v>2446.21283729436</v>
      </c>
      <c r="G201" s="132" t="n">
        <f aca="false">'Debt &amp; cash'!Y72*issue_price</f>
        <v>148.82397966492</v>
      </c>
      <c r="H201" s="132" t="n">
        <f aca="false">Abroad!C72</f>
        <v>326.161711639249</v>
      </c>
      <c r="I201" s="132" t="n">
        <f aca="false">Abroad!D72</f>
        <v>0</v>
      </c>
      <c r="J201" s="132" t="n">
        <f aca="false">'Champion funding'!D72-'Champion funding'!K72+'Champion funding'!Q72+'Champion funding'!R72</f>
        <v>116.582072126569</v>
      </c>
      <c r="K201" s="117" t="n">
        <f aca="false">SUM(F201:J201)</f>
        <v>3037.7806007251</v>
      </c>
      <c r="L201" s="117" t="n">
        <f aca="false">E201-K201</f>
        <v>741.946006155945</v>
      </c>
      <c r="M201" s="117" t="n">
        <f aca="false">MAX(0,-L201)</f>
        <v>0</v>
      </c>
      <c r="N201" s="132" t="n">
        <f aca="false">'Capital accounts'!L72</f>
        <v>0</v>
      </c>
      <c r="O201" s="132" t="n">
        <f aca="false">'War credit'!E72</f>
        <v>0</v>
      </c>
      <c r="P201" s="134" t="n">
        <f aca="false">'War credit'!AC72</f>
        <v>0</v>
      </c>
      <c r="Q201" s="132" t="str">
        <f aca="false">IF(O201&gt;0,'War credit'!AD72,IF(N201&gt;0,"Project funding unallocated","Capacity is MODEL"))</f>
        <v>Capacity is MODEL</v>
      </c>
      <c r="R201" s="113"/>
      <c r="S201" s="113"/>
    </row>
    <row r="202" customFormat="false" ht="19.5" hidden="false" customHeight="true" outlineLevel="0" collapsed="false">
      <c r="A202" s="121" t="n">
        <v>1913</v>
      </c>
      <c r="B202" s="132" t="n">
        <f aca="false">Economy!O73*$E$25</f>
        <v>3912.66294987437</v>
      </c>
      <c r="C202" s="132" t="n">
        <f aca="false">MAX(0,Abroad!M73-Abroad!N73-Abroad!V73)*$E$27</f>
        <v>133.337183200447</v>
      </c>
      <c r="D202" s="132" t="n">
        <f aca="false">Abroad!F73</f>
        <v>78.2787849387855</v>
      </c>
      <c r="E202" s="117" t="n">
        <f aca="false">SUM(B202:D202)</f>
        <v>4124.27891801361</v>
      </c>
      <c r="F202" s="132" t="n">
        <f aca="false">Economy!O73*IF(A202=1862,$E$38,IF(OR(AND(A202&gt;=1861,A202&lt;=1865),AND(A202&gt;=1870,A202&lt;=1871)),$E$37,$E$26))</f>
        <v>2667.72473855071</v>
      </c>
      <c r="G202" s="132" t="n">
        <f aca="false">'Debt &amp; cash'!Y73*issue_price</f>
        <v>159.385944779814</v>
      </c>
      <c r="H202" s="132" t="n">
        <f aca="false">Abroad!C73</f>
        <v>355.696631806761</v>
      </c>
      <c r="I202" s="132" t="n">
        <f aca="false">Abroad!D73</f>
        <v>0</v>
      </c>
      <c r="J202" s="132" t="n">
        <f aca="false">'Champion funding'!D73-'Champion funding'!K73+'Champion funding'!Q73+'Champion funding'!R73</f>
        <v>123.964590225839</v>
      </c>
      <c r="K202" s="117" t="n">
        <f aca="false">SUM(F202:J202)</f>
        <v>3306.77190536312</v>
      </c>
      <c r="L202" s="117" t="n">
        <f aca="false">E202-K202</f>
        <v>817.507012650482</v>
      </c>
      <c r="M202" s="117" t="n">
        <f aca="false">MAX(0,-L202)</f>
        <v>0</v>
      </c>
      <c r="N202" s="132" t="n">
        <f aca="false">'Capital accounts'!L73</f>
        <v>0</v>
      </c>
      <c r="O202" s="132" t="n">
        <f aca="false">'War credit'!E73</f>
        <v>0</v>
      </c>
      <c r="P202" s="134" t="n">
        <f aca="false">'War credit'!AC73</f>
        <v>0</v>
      </c>
      <c r="Q202" s="132" t="str">
        <f aca="false">IF(O202&gt;0,'War credit'!AD73,IF(N202&gt;0,"Project funding unallocated","Capacity is MODEL"))</f>
        <v>Capacity is MODEL</v>
      </c>
      <c r="R202" s="113"/>
      <c r="S202" s="113"/>
    </row>
    <row r="203" customFormat="false" ht="19.5" hidden="false" customHeight="true" outlineLevel="0" collapsed="false">
      <c r="A203" s="121" t="n">
        <v>1914</v>
      </c>
      <c r="B203" s="132" t="n">
        <f aca="false">Economy!O74*$E$25</f>
        <v>4080.11481993913</v>
      </c>
      <c r="C203" s="132" t="n">
        <f aca="false">MAX(0,Abroad!M74-Abroad!N74-Abroad!V74)*$E$27</f>
        <v>151.579866251009</v>
      </c>
      <c r="D203" s="132" t="n">
        <f aca="false">Abroad!F74</f>
        <v>86.6013203448248</v>
      </c>
      <c r="E203" s="117" t="n">
        <f aca="false">SUM(B203:D203)</f>
        <v>4318.29600653496</v>
      </c>
      <c r="F203" s="132" t="n">
        <f aca="false">Economy!O74*IF(A203=1862,$E$38,IF(OR(AND(A203&gt;=1861,A203&lt;=1865),AND(A203&gt;=1870,A203&lt;=1871)),$E$37,$E$26))</f>
        <v>2781.89646814032</v>
      </c>
      <c r="G203" s="132" t="n">
        <f aca="false">'Debt &amp; cash'!Y74*issue_price</f>
        <v>94.4960435282989</v>
      </c>
      <c r="H203" s="132" t="n">
        <f aca="false">Abroad!C74</f>
        <v>185.459764542688</v>
      </c>
      <c r="I203" s="132" t="n">
        <f aca="false">Abroad!D74</f>
        <v>340</v>
      </c>
      <c r="J203" s="132" t="n">
        <f aca="false">'Champion funding'!D74-'Champion funding'!K74+'Champion funding'!Q74+'Champion funding'!R74</f>
        <v>175.5761270665</v>
      </c>
      <c r="K203" s="117" t="n">
        <f aca="false">SUM(F203:J203)</f>
        <v>3577.4284032778</v>
      </c>
      <c r="L203" s="117" t="n">
        <f aca="false">E203-K203</f>
        <v>740.867603257161</v>
      </c>
      <c r="M203" s="117" t="n">
        <f aca="false">MAX(0,-L203)</f>
        <v>0</v>
      </c>
      <c r="N203" s="132" t="n">
        <f aca="false">'Capital accounts'!L74</f>
        <v>0</v>
      </c>
      <c r="O203" s="132" t="n">
        <f aca="false">'War credit'!E74</f>
        <v>0</v>
      </c>
      <c r="P203" s="134" t="n">
        <f aca="false">'War credit'!AC74</f>
        <v>0</v>
      </c>
      <c r="Q203" s="132" t="str">
        <f aca="false">IF(O203&gt;0,'War credit'!AD74,IF(N203&gt;0,"Project funding unallocated","Capacity is MODEL"))</f>
        <v>Capacity is MODEL</v>
      </c>
      <c r="R203" s="113"/>
      <c r="S203" s="113"/>
    </row>
    <row r="204" customFormat="false" ht="19.5" hidden="false" customHeight="true" outlineLevel="0" collapsed="false">
      <c r="A204" s="121" t="n">
        <v>1915</v>
      </c>
      <c r="B204" s="132" t="n">
        <f aca="false">Economy!O75*$E$25</f>
        <v>4573.59056294007</v>
      </c>
      <c r="C204" s="132" t="n">
        <f aca="false">MAX(0,Abroad!M75-Abroad!N75-Abroad!V75)*$E$27</f>
        <v>173.614106490774</v>
      </c>
      <c r="D204" s="132" t="n">
        <f aca="false">Abroad!F75</f>
        <v>89.5670736707607</v>
      </c>
      <c r="E204" s="117" t="n">
        <f aca="false">SUM(B204:D204)</f>
        <v>4836.7717431016</v>
      </c>
      <c r="F204" s="132" t="n">
        <f aca="false">Economy!O75*IF(A204=1862,$E$38,IF(OR(AND(A204&gt;=1861,A204&lt;=1865),AND(A204&gt;=1870,A204&lt;=1871)),$E$37,$E$26))</f>
        <v>3118.35720200459</v>
      </c>
      <c r="G204" s="132" t="n">
        <f aca="false">'Debt &amp; cash'!Y75*issue_price</f>
        <v>196.824739097561</v>
      </c>
      <c r="H204" s="132" t="n">
        <f aca="false">Abroad!C75</f>
        <v>207.890480133639</v>
      </c>
      <c r="I204" s="132" t="n">
        <f aca="false">Abroad!D75</f>
        <v>381.44</v>
      </c>
      <c r="J204" s="132" t="n">
        <f aca="false">'Champion funding'!D75-'Champion funding'!K75+'Champion funding'!Q75+'Champion funding'!R75</f>
        <v>178.185934977842</v>
      </c>
      <c r="K204" s="117" t="n">
        <f aca="false">SUM(F204:J204)</f>
        <v>4082.69835621363</v>
      </c>
      <c r="L204" s="117" t="n">
        <f aca="false">E204-K204</f>
        <v>754.073386887967</v>
      </c>
      <c r="M204" s="117" t="n">
        <f aca="false">MAX(0,-L204)</f>
        <v>0</v>
      </c>
      <c r="N204" s="132" t="n">
        <f aca="false">'Capital accounts'!L75</f>
        <v>0</v>
      </c>
      <c r="O204" s="132" t="n">
        <f aca="false">'War credit'!E75</f>
        <v>525</v>
      </c>
      <c r="P204" s="134" t="n">
        <f aca="false">'War credit'!AC75</f>
        <v>0</v>
      </c>
      <c r="Q204" s="132" t="str">
        <f aca="false">IF(O204&gt;0,'War credit'!AD75,IF(N204&gt;0,"Project funding unallocated","Capacity is MODEL"))</f>
        <v>MODEL capacity: named subscribers</v>
      </c>
      <c r="R204" s="113"/>
      <c r="S204" s="113"/>
    </row>
    <row r="205" customFormat="false" ht="19.5" hidden="false" customHeight="true" outlineLevel="0" collapsed="false">
      <c r="A205" s="121" t="n">
        <v>1916</v>
      </c>
      <c r="B205" s="132" t="n">
        <f aca="false">Economy!O76*$E$25</f>
        <v>5435.53355929998</v>
      </c>
      <c r="C205" s="132" t="n">
        <f aca="false">MAX(0,Abroad!M76-Abroad!N76-Abroad!V76)*$E$27</f>
        <v>198.071798069244</v>
      </c>
      <c r="D205" s="132" t="n">
        <f aca="false">Abroad!F76</f>
        <v>93.116775864647</v>
      </c>
      <c r="E205" s="117" t="n">
        <f aca="false">SUM(B205:D205)</f>
        <v>5726.72213323387</v>
      </c>
      <c r="F205" s="132" t="n">
        <f aca="false">Economy!O76*IF(A205=1862,$E$38,IF(OR(AND(A205&gt;=1861,A205&lt;=1865),AND(A205&gt;=1870,A205&lt;=1871)),$E$37,$E$26))</f>
        <v>3706.04560861363</v>
      </c>
      <c r="G205" s="132" t="n">
        <f aca="false">'Debt &amp; cash'!Y76*issue_price</f>
        <v>281.614462935575</v>
      </c>
      <c r="H205" s="132" t="n">
        <f aca="false">Abroad!C76</f>
        <v>247.069707240908</v>
      </c>
      <c r="I205" s="132" t="n">
        <f aca="false">Abroad!D76</f>
        <v>536.44</v>
      </c>
      <c r="J205" s="132" t="n">
        <f aca="false">'Champion funding'!D76-'Champion funding'!K76+'Champion funding'!Q76+'Champion funding'!R76</f>
        <v>186.136027558042</v>
      </c>
      <c r="K205" s="117" t="n">
        <f aca="false">SUM(F205:J205)</f>
        <v>4957.30580634815</v>
      </c>
      <c r="L205" s="117" t="n">
        <f aca="false">E205-K205</f>
        <v>769.416326885724</v>
      </c>
      <c r="M205" s="117" t="n">
        <f aca="false">MAX(0,-L205)</f>
        <v>0</v>
      </c>
      <c r="N205" s="132" t="n">
        <f aca="false">'Capital accounts'!L76</f>
        <v>0</v>
      </c>
      <c r="O205" s="132" t="n">
        <f aca="false">'War credit'!E76</f>
        <v>1050</v>
      </c>
      <c r="P205" s="134" t="n">
        <f aca="false">'War credit'!AC76</f>
        <v>0</v>
      </c>
      <c r="Q205" s="132" t="str">
        <f aca="false">IF(O205&gt;0,'War credit'!AD76,IF(N205&gt;0,"Project funding unallocated","Capacity is MODEL"))</f>
        <v>MODEL capacity: named subscribers</v>
      </c>
      <c r="R205" s="113"/>
      <c r="S205" s="113"/>
    </row>
    <row r="206" customFormat="false" ht="19.5" hidden="false" customHeight="true" outlineLevel="0" collapsed="false">
      <c r="A206" s="121" t="n">
        <v>1917</v>
      </c>
      <c r="B206" s="132" t="n">
        <f aca="false">Economy!O77*$E$25</f>
        <v>6880.61591575752</v>
      </c>
      <c r="C206" s="132" t="n">
        <f aca="false">MAX(0,Abroad!M77-Abroad!N77-Abroad!V77)*$E$27</f>
        <v>227.439394749406</v>
      </c>
      <c r="D206" s="132" t="n">
        <f aca="false">Abroad!F77</f>
        <v>97.7353638059348</v>
      </c>
      <c r="E206" s="117" t="n">
        <f aca="false">SUM(B206:D206)</f>
        <v>7205.79067431286</v>
      </c>
      <c r="F206" s="132" t="n">
        <f aca="false">Economy!O77*IF(A206=1862,$E$38,IF(OR(AND(A206&gt;=1861,A206&lt;=1865),AND(A206&gt;=1870,A206&lt;=1871)),$E$37,$E$26))</f>
        <v>4691.32903347104</v>
      </c>
      <c r="G206" s="132" t="n">
        <f aca="false">'Debt &amp; cash'!Y77*issue_price</f>
        <v>427.625844111834</v>
      </c>
      <c r="H206" s="132" t="n">
        <f aca="false">Abroad!C77</f>
        <v>312.755268898069</v>
      </c>
      <c r="I206" s="132" t="n">
        <f aca="false">Abroad!D77</f>
        <v>840</v>
      </c>
      <c r="J206" s="132" t="n">
        <f aca="false">'Champion funding'!D77-'Champion funding'!K77+'Champion funding'!Q77+'Champion funding'!R77</f>
        <v>197.095037490238</v>
      </c>
      <c r="K206" s="117" t="n">
        <f aca="false">SUM(F206:J206)</f>
        <v>6468.80518397118</v>
      </c>
      <c r="L206" s="117" t="n">
        <f aca="false">E206-K206</f>
        <v>736.985490341684</v>
      </c>
      <c r="M206" s="117" t="n">
        <f aca="false">MAX(0,-L206)</f>
        <v>0</v>
      </c>
      <c r="N206" s="132" t="n">
        <f aca="false">'Capital accounts'!L77</f>
        <v>0</v>
      </c>
      <c r="O206" s="132" t="n">
        <f aca="false">'War credit'!E77</f>
        <v>1200</v>
      </c>
      <c r="P206" s="134" t="n">
        <f aca="false">'War credit'!AC77</f>
        <v>0</v>
      </c>
      <c r="Q206" s="132" t="str">
        <f aca="false">IF(O206&gt;0,'War credit'!AD77,IF(N206&gt;0,"Project funding unallocated","Capacity is MODEL"))</f>
        <v>MODEL capacity: named subscribers</v>
      </c>
      <c r="R206" s="113"/>
      <c r="S206" s="113"/>
    </row>
    <row r="207" customFormat="false" ht="19.5" hidden="false" customHeight="true" outlineLevel="0" collapsed="false">
      <c r="A207" s="121" t="n">
        <v>1918</v>
      </c>
      <c r="B207" s="132" t="n">
        <f aca="false">Economy!O78*$E$25</f>
        <v>8371.99883249948</v>
      </c>
      <c r="C207" s="132" t="n">
        <f aca="false">MAX(0,Abroad!M78-Abroad!N78-Abroad!V78)*$E$27</f>
        <v>270.071634060809</v>
      </c>
      <c r="D207" s="132" t="n">
        <f aca="false">Abroad!F78</f>
        <v>104.185960958699</v>
      </c>
      <c r="E207" s="117" t="n">
        <f aca="false">SUM(B207:D207)</f>
        <v>8746.25642751899</v>
      </c>
      <c r="F207" s="132" t="n">
        <f aca="false">Economy!O78*IF(A207=1862,$E$38,IF(OR(AND(A207&gt;=1861,A207&lt;=1865),AND(A207&gt;=1870,A207&lt;=1871)),$E$37,$E$26))</f>
        <v>5708.18102215873</v>
      </c>
      <c r="G207" s="132" t="n">
        <f aca="false">'Debt &amp; cash'!Y78*issue_price</f>
        <v>449.153639240514</v>
      </c>
      <c r="H207" s="132" t="n">
        <f aca="false">Abroad!C78</f>
        <v>380.545401477249</v>
      </c>
      <c r="I207" s="132" t="n">
        <f aca="false">Abroad!D78</f>
        <v>752.12</v>
      </c>
      <c r="J207" s="132" t="n">
        <f aca="false">'Champion funding'!D78-'Champion funding'!K78+'Champion funding'!Q78+'Champion funding'!R78</f>
        <v>222.276097844409</v>
      </c>
      <c r="K207" s="117" t="n">
        <f aca="false">SUM(F207:J207)</f>
        <v>7512.27616072091</v>
      </c>
      <c r="L207" s="117" t="n">
        <f aca="false">E207-K207</f>
        <v>1233.98026679808</v>
      </c>
      <c r="M207" s="117" t="n">
        <f aca="false">MAX(0,-L207)</f>
        <v>0</v>
      </c>
      <c r="N207" s="132" t="n">
        <f aca="false">'Capital accounts'!L78</f>
        <v>0</v>
      </c>
      <c r="O207" s="132" t="n">
        <f aca="false">'War credit'!E78</f>
        <v>1175</v>
      </c>
      <c r="P207" s="134" t="n">
        <f aca="false">'War credit'!AC78</f>
        <v>0</v>
      </c>
      <c r="Q207" s="132" t="str">
        <f aca="false">IF(O207&gt;0,'War credit'!AD78,IF(N207&gt;0,"Project funding unallocated","Capacity is MODEL"))</f>
        <v>MODEL capacity: named subscribers</v>
      </c>
      <c r="R207" s="113"/>
      <c r="S207" s="113"/>
    </row>
    <row r="208" customFormat="false" ht="19.5" hidden="false" customHeight="true" outlineLevel="0" collapsed="false">
      <c r="A208" s="121" t="n">
        <v>1919</v>
      </c>
      <c r="B208" s="132" t="n">
        <f aca="false">Economy!O79*$E$25</f>
        <v>9602.85074063532</v>
      </c>
      <c r="C208" s="132" t="n">
        <f aca="false">MAX(0,Abroad!M79-Abroad!N79-Abroad!V79)*$E$27</f>
        <v>306.334943192669</v>
      </c>
      <c r="D208" s="132" t="n">
        <f aca="false">Abroad!F79</f>
        <v>112.476744174255</v>
      </c>
      <c r="E208" s="117" t="n">
        <f aca="false">SUM(B208:D208)</f>
        <v>10021.6624280022</v>
      </c>
      <c r="F208" s="132" t="n">
        <f aca="false">Economy!O79*IF(A208=1862,$E$38,IF(OR(AND(A208&gt;=1861,A208&lt;=1865),AND(A208&gt;=1870,A208&lt;=1871)),$E$37,$E$26))</f>
        <v>6547.39823225135</v>
      </c>
      <c r="G208" s="132" t="n">
        <f aca="false">'Debt &amp; cash'!Y79*issue_price</f>
        <v>516.962601271537</v>
      </c>
      <c r="H208" s="132" t="n">
        <f aca="false">Abroad!C79</f>
        <v>1527.72625419198</v>
      </c>
      <c r="I208" s="132" t="n">
        <f aca="false">Abroad!D79</f>
        <v>0</v>
      </c>
      <c r="J208" s="132" t="n">
        <f aca="false">'Champion funding'!D79-'Champion funding'!K79+'Champion funding'!Q79+'Champion funding'!R79</f>
        <v>235.482778653245</v>
      </c>
      <c r="K208" s="117" t="n">
        <f aca="false">SUM(F208:J208)</f>
        <v>8827.56986636811</v>
      </c>
      <c r="L208" s="117" t="n">
        <f aca="false">E208-K208</f>
        <v>1194.09256163412</v>
      </c>
      <c r="M208" s="117" t="n">
        <f aca="false">MAX(0,-L208)</f>
        <v>0</v>
      </c>
      <c r="N208" s="132" t="n">
        <f aca="false">'Capital accounts'!L79</f>
        <v>0</v>
      </c>
      <c r="O208" s="132" t="n">
        <f aca="false">'War credit'!E79</f>
        <v>0</v>
      </c>
      <c r="P208" s="134" t="n">
        <f aca="false">'War credit'!AC79</f>
        <v>0</v>
      </c>
      <c r="Q208" s="132" t="str">
        <f aca="false">IF(O208&gt;0,'War credit'!AD79,IF(N208&gt;0,"Project funding unallocated","Capacity is MODEL"))</f>
        <v>Capacity is MODEL</v>
      </c>
      <c r="R208" s="113"/>
      <c r="S208" s="113"/>
    </row>
    <row r="209" customFormat="false" ht="19.5" hidden="false" customHeight="true" outlineLevel="0" collapsed="false">
      <c r="A209" s="121" t="n">
        <v>1920</v>
      </c>
      <c r="B209" s="132" t="n">
        <f aca="false">Economy!O80*$E$25</f>
        <v>11279.3663856826</v>
      </c>
      <c r="C209" s="132" t="n">
        <f aca="false">MAX(0,Abroad!M80-Abroad!N80-Abroad!V80)*$E$27</f>
        <v>364.483199895028</v>
      </c>
      <c r="D209" s="132" t="n">
        <f aca="false">Abroad!F80</f>
        <v>154.934229474787</v>
      </c>
      <c r="E209" s="117" t="n">
        <f aca="false">SUM(B209:D209)</f>
        <v>11798.7838150524</v>
      </c>
      <c r="F209" s="132" t="n">
        <f aca="false">Economy!O80*IF(A209=1862,$E$38,IF(OR(AND(A209&gt;=1861,A209&lt;=1865),AND(A209&gt;=1870,A209&lt;=1871)),$E$37,$E$26))</f>
        <v>7690.47708114722</v>
      </c>
      <c r="G209" s="132" t="n">
        <f aca="false">'Debt &amp; cash'!Y80*issue_price</f>
        <v>697.49357912079</v>
      </c>
      <c r="H209" s="132" t="n">
        <f aca="false">Abroad!C80</f>
        <v>1794.44465226768</v>
      </c>
      <c r="I209" s="132" t="n">
        <f aca="false">Abroad!D80</f>
        <v>0</v>
      </c>
      <c r="J209" s="132" t="n">
        <f aca="false">'Champion funding'!D80-'Champion funding'!K80+'Champion funding'!Q80+'Champion funding'!R80</f>
        <v>254.748583943683</v>
      </c>
      <c r="K209" s="117" t="n">
        <f aca="false">SUM(F209:J209)</f>
        <v>10437.1638964794</v>
      </c>
      <c r="L209" s="117" t="n">
        <f aca="false">E209-K209</f>
        <v>1361.61991857303</v>
      </c>
      <c r="M209" s="117" t="n">
        <f aca="false">MAX(0,-L209)</f>
        <v>0</v>
      </c>
      <c r="N209" s="132" t="n">
        <f aca="false">'Capital accounts'!L80</f>
        <v>0</v>
      </c>
      <c r="O209" s="132" t="n">
        <f aca="false">'War credit'!E80</f>
        <v>0</v>
      </c>
      <c r="P209" s="134" t="n">
        <f aca="false">'War credit'!AC80</f>
        <v>0</v>
      </c>
      <c r="Q209" s="132" t="str">
        <f aca="false">IF(O209&gt;0,'War credit'!AD80,IF(N209&gt;0,"Project funding unallocated","Capacity is MODEL"))</f>
        <v>Capacity is MODEL</v>
      </c>
      <c r="R209" s="113"/>
      <c r="S209" s="113"/>
    </row>
    <row r="210" customFormat="false" ht="19.5" hidden="false" customHeight="true" outlineLevel="0" collapsed="false">
      <c r="A210" s="121" t="n">
        <v>1921</v>
      </c>
      <c r="B210" s="132" t="n">
        <f aca="false">Economy!O81*$E$25</f>
        <v>9221.32346591564</v>
      </c>
      <c r="C210" s="132" t="n">
        <f aca="false">MAX(0,Abroad!M81-Abroad!N81-Abroad!V81)*$E$27</f>
        <v>425.136418986816</v>
      </c>
      <c r="D210" s="132" t="n">
        <f aca="false">Abroad!F81</f>
        <v>204.119542158574</v>
      </c>
      <c r="E210" s="117" t="n">
        <f aca="false">SUM(B210:D210)</f>
        <v>9850.57942706103</v>
      </c>
      <c r="F210" s="132" t="n">
        <f aca="false">Economy!O81*IF(A210=1862,$E$38,IF(OR(AND(A210&gt;=1861,A210&lt;=1865),AND(A210&gt;=1870,A210&lt;=1871)),$E$37,$E$26))</f>
        <v>6287.26599948794</v>
      </c>
      <c r="G210" s="132" t="n">
        <f aca="false">'Debt &amp; cash'!Y81*issue_price</f>
        <v>0</v>
      </c>
      <c r="H210" s="132" t="n">
        <f aca="false">Abroad!C81</f>
        <v>1467.02873321385</v>
      </c>
      <c r="I210" s="132" t="n">
        <f aca="false">Abroad!D81</f>
        <v>0</v>
      </c>
      <c r="J210" s="132" t="n">
        <f aca="false">'Champion funding'!D81-'Champion funding'!K81+'Champion funding'!Q81+'Champion funding'!R81</f>
        <v>256.643662888131</v>
      </c>
      <c r="K210" s="117" t="n">
        <f aca="false">SUM(F210:J210)</f>
        <v>8010.93839558992</v>
      </c>
      <c r="L210" s="117" t="n">
        <f aca="false">E210-K210</f>
        <v>1839.64103147111</v>
      </c>
      <c r="M210" s="117" t="n">
        <f aca="false">MAX(0,-L210)</f>
        <v>0</v>
      </c>
      <c r="N210" s="132" t="n">
        <f aca="false">'Capital accounts'!L81</f>
        <v>0</v>
      </c>
      <c r="O210" s="132" t="n">
        <f aca="false">'War credit'!E81</f>
        <v>0</v>
      </c>
      <c r="P210" s="134" t="n">
        <f aca="false">'War credit'!AC81</f>
        <v>0</v>
      </c>
      <c r="Q210" s="132" t="str">
        <f aca="false">IF(O210&gt;0,'War credit'!AD81,IF(N210&gt;0,"Project funding unallocated","Capacity is MODEL"))</f>
        <v>Capacity is MODEL</v>
      </c>
      <c r="R210" s="113"/>
      <c r="S210" s="113"/>
    </row>
    <row r="211" customFormat="false" ht="19.5" hidden="false" customHeight="true" outlineLevel="0" collapsed="false">
      <c r="A211" s="121" t="n">
        <v>1922</v>
      </c>
      <c r="B211" s="132" t="n">
        <f aca="false">Economy!O82*$E$25</f>
        <v>9544.78256081228</v>
      </c>
      <c r="C211" s="132" t="n">
        <f aca="false">MAX(0,Abroad!M82-Abroad!N82-Abroad!V82)*$E$27</f>
        <v>475.236503867855</v>
      </c>
      <c r="D211" s="132" t="n">
        <f aca="false">Abroad!F82</f>
        <v>242.006817890232</v>
      </c>
      <c r="E211" s="117" t="n">
        <f aca="false">SUM(B211:D211)</f>
        <v>10262.0258825704</v>
      </c>
      <c r="F211" s="132" t="n">
        <f aca="false">Economy!O82*IF(A211=1862,$E$38,IF(OR(AND(A211&gt;=1861,A211&lt;=1865),AND(A211&gt;=1870,A211&lt;=1871)),$E$37,$E$26))</f>
        <v>6507.80629146292</v>
      </c>
      <c r="G211" s="132" t="n">
        <f aca="false">'Debt &amp; cash'!Y82*issue_price</f>
        <v>182.262878855606</v>
      </c>
      <c r="H211" s="132" t="n">
        <f aca="false">Abroad!C82</f>
        <v>1518.48813467468</v>
      </c>
      <c r="I211" s="132" t="n">
        <f aca="false">Abroad!D82</f>
        <v>0</v>
      </c>
      <c r="J211" s="132" t="n">
        <f aca="false">'Champion funding'!D82-'Champion funding'!K82+'Champion funding'!Q82+'Champion funding'!R82</f>
        <v>290.274032600393</v>
      </c>
      <c r="K211" s="117" t="n">
        <f aca="false">SUM(F211:J211)</f>
        <v>8498.8313375936</v>
      </c>
      <c r="L211" s="117" t="n">
        <f aca="false">E211-K211</f>
        <v>1763.19454497677</v>
      </c>
      <c r="M211" s="117" t="n">
        <f aca="false">MAX(0,-L211)</f>
        <v>0</v>
      </c>
      <c r="N211" s="132" t="n">
        <f aca="false">'Capital accounts'!L82</f>
        <v>0</v>
      </c>
      <c r="O211" s="132" t="n">
        <f aca="false">'War credit'!E82</f>
        <v>0</v>
      </c>
      <c r="P211" s="134" t="n">
        <f aca="false">'War credit'!AC82</f>
        <v>0</v>
      </c>
      <c r="Q211" s="132" t="str">
        <f aca="false">IF(O211&gt;0,'War credit'!AD82,IF(N211&gt;0,"Project funding unallocated","Capacity is MODEL"))</f>
        <v>Capacity is MODEL</v>
      </c>
      <c r="R211" s="113"/>
      <c r="S211" s="113"/>
    </row>
    <row r="212" customFormat="false" ht="19.5" hidden="false" customHeight="true" outlineLevel="0" collapsed="false">
      <c r="A212" s="121" t="n">
        <v>1923</v>
      </c>
      <c r="B212" s="132" t="n">
        <f aca="false">Economy!O83*$E$25</f>
        <v>10773.5492546855</v>
      </c>
      <c r="C212" s="132" t="n">
        <f aca="false">MAX(0,Abroad!M83-Abroad!N83-Abroad!V83)*$E$27</f>
        <v>511.503801732785</v>
      </c>
      <c r="D212" s="132" t="n">
        <f aca="false">Abroad!F83</f>
        <v>324.533257393766</v>
      </c>
      <c r="E212" s="117" t="n">
        <f aca="false">SUM(B212:D212)</f>
        <v>11609.5863138121</v>
      </c>
      <c r="F212" s="132" t="n">
        <f aca="false">Economy!O83*IF(A212=1862,$E$38,IF(OR(AND(A212&gt;=1861,A212&lt;=1865),AND(A212&gt;=1870,A212&lt;=1871)),$E$37,$E$26))</f>
        <v>7345.60176455831</v>
      </c>
      <c r="G212" s="132" t="n">
        <f aca="false">'Debt &amp; cash'!Y83*issue_price</f>
        <v>536.135408423964</v>
      </c>
      <c r="H212" s="132" t="n">
        <f aca="false">Abroad!C83</f>
        <v>1713.97374506361</v>
      </c>
      <c r="I212" s="132" t="n">
        <f aca="false">Abroad!D83</f>
        <v>0</v>
      </c>
      <c r="J212" s="132" t="n">
        <f aca="false">'Champion funding'!D83-'Champion funding'!K83+'Champion funding'!Q83+'Champion funding'!R83</f>
        <v>324.223992411519</v>
      </c>
      <c r="K212" s="117" t="n">
        <f aca="false">SUM(F212:J212)</f>
        <v>9919.9349104574</v>
      </c>
      <c r="L212" s="117" t="n">
        <f aca="false">E212-K212</f>
        <v>1689.65140335467</v>
      </c>
      <c r="M212" s="117" t="n">
        <f aca="false">MAX(0,-L212)</f>
        <v>0</v>
      </c>
      <c r="N212" s="132" t="n">
        <f aca="false">'Capital accounts'!L83</f>
        <v>0</v>
      </c>
      <c r="O212" s="132" t="n">
        <f aca="false">'War credit'!E83</f>
        <v>0</v>
      </c>
      <c r="P212" s="134" t="n">
        <f aca="false">'War credit'!AC83</f>
        <v>0</v>
      </c>
      <c r="Q212" s="132" t="str">
        <f aca="false">IF(O212&gt;0,'War credit'!AD83,IF(N212&gt;0,"Project funding unallocated","Capacity is MODEL"))</f>
        <v>Capacity is MODEL</v>
      </c>
      <c r="R212" s="113"/>
      <c r="S212" s="113"/>
    </row>
    <row r="213" customFormat="false" ht="19.5" hidden="false" customHeight="true" outlineLevel="0" collapsed="false">
      <c r="A213" s="121" t="n">
        <v>1924</v>
      </c>
      <c r="B213" s="132" t="n">
        <f aca="false">Economy!O84*$E$25</f>
        <v>11497.2178304393</v>
      </c>
      <c r="C213" s="132" t="n">
        <f aca="false">MAX(0,Abroad!M84-Abroad!N84-Abroad!V84)*$E$27</f>
        <v>565.819598849112</v>
      </c>
      <c r="D213" s="132" t="n">
        <f aca="false">Abroad!F84</f>
        <v>366.835720023861</v>
      </c>
      <c r="E213" s="117" t="n">
        <f aca="false">SUM(B213:D213)</f>
        <v>12429.8731493123</v>
      </c>
      <c r="F213" s="132" t="n">
        <f aca="false">Economy!O84*IF(A213=1862,$E$38,IF(OR(AND(A213&gt;=1861,A213&lt;=1865),AND(A213&gt;=1870,A213&lt;=1871)),$E$37,$E$26))</f>
        <v>7839.01215711769</v>
      </c>
      <c r="G213" s="132" t="n">
        <f aca="false">'Debt &amp; cash'!Y84*issue_price</f>
        <v>468.475509618275</v>
      </c>
      <c r="H213" s="132" t="n">
        <f aca="false">Abroad!C84</f>
        <v>1829.1028366608</v>
      </c>
      <c r="I213" s="132" t="n">
        <f aca="false">Abroad!D84</f>
        <v>0</v>
      </c>
      <c r="J213" s="132" t="n">
        <f aca="false">'Champion funding'!D84-'Champion funding'!K84+'Champion funding'!Q84+'Champion funding'!R84</f>
        <v>352.977876662818</v>
      </c>
      <c r="K213" s="117" t="n">
        <f aca="false">SUM(F213:J213)</f>
        <v>10489.5683800596</v>
      </c>
      <c r="L213" s="117" t="n">
        <f aca="false">E213-K213</f>
        <v>1940.30476925267</v>
      </c>
      <c r="M213" s="117" t="n">
        <f aca="false">MAX(0,-L213)</f>
        <v>0</v>
      </c>
      <c r="N213" s="132" t="n">
        <f aca="false">'Capital accounts'!L84</f>
        <v>0</v>
      </c>
      <c r="O213" s="132" t="n">
        <f aca="false">'War credit'!E84</f>
        <v>0</v>
      </c>
      <c r="P213" s="134" t="n">
        <f aca="false">'War credit'!AC84</f>
        <v>0</v>
      </c>
      <c r="Q213" s="132" t="str">
        <f aca="false">IF(O213&gt;0,'War credit'!AD84,IF(N213&gt;0,"Project funding unallocated","Capacity is MODEL"))</f>
        <v>Capacity is MODEL</v>
      </c>
      <c r="R213" s="113"/>
      <c r="S213" s="113"/>
    </row>
    <row r="214" customFormat="false" ht="19.5" hidden="false" customHeight="true" outlineLevel="0" collapsed="false">
      <c r="A214" s="121" t="n">
        <v>1925</v>
      </c>
      <c r="B214" s="132" t="n">
        <f aca="false">Economy!O85*$E$25</f>
        <v>12428.6894242703</v>
      </c>
      <c r="C214" s="132" t="n">
        <f aca="false">MAX(0,Abroad!M85-Abroad!N85-Abroad!V85)*$E$27</f>
        <v>622.528687234997</v>
      </c>
      <c r="D214" s="132" t="n">
        <f aca="false">Abroad!F85</f>
        <v>411.313073554969</v>
      </c>
      <c r="E214" s="117" t="n">
        <f aca="false">SUM(B214:D214)</f>
        <v>13462.5311850602</v>
      </c>
      <c r="F214" s="132" t="n">
        <f aca="false">Economy!O85*IF(A214=1862,$E$38,IF(OR(AND(A214&gt;=1861,A214&lt;=1865),AND(A214&gt;=1870,A214&lt;=1871)),$E$37,$E$26))</f>
        <v>8474.10642563882</v>
      </c>
      <c r="G214" s="132" t="n">
        <f aca="false">'Debt &amp; cash'!Y85*issue_price</f>
        <v>552.02924610401</v>
      </c>
      <c r="H214" s="132" t="n">
        <f aca="false">Abroad!C85</f>
        <v>1977.29149931573</v>
      </c>
      <c r="I214" s="132" t="n">
        <f aca="false">Abroad!D85</f>
        <v>0</v>
      </c>
      <c r="J214" s="132" t="n">
        <f aca="false">'Champion funding'!D85-'Champion funding'!K85+'Champion funding'!Q85+'Champion funding'!R85</f>
        <v>377.779065577177</v>
      </c>
      <c r="K214" s="117" t="n">
        <f aca="false">SUM(F214:J214)</f>
        <v>11381.2062366357</v>
      </c>
      <c r="L214" s="117" t="n">
        <f aca="false">E214-K214</f>
        <v>2081.32494842451</v>
      </c>
      <c r="M214" s="117" t="n">
        <f aca="false">MAX(0,-L214)</f>
        <v>0</v>
      </c>
      <c r="N214" s="132" t="n">
        <f aca="false">'Capital accounts'!L85</f>
        <v>0</v>
      </c>
      <c r="O214" s="132" t="n">
        <f aca="false">'War credit'!E85</f>
        <v>0</v>
      </c>
      <c r="P214" s="134" t="n">
        <f aca="false">'War credit'!AC85</f>
        <v>0</v>
      </c>
      <c r="Q214" s="132" t="str">
        <f aca="false">IF(O214&gt;0,'War credit'!AD85,IF(N214&gt;0,"Project funding unallocated","Capacity is MODEL"))</f>
        <v>Capacity is MODEL</v>
      </c>
      <c r="R214" s="113"/>
      <c r="S214" s="113"/>
    </row>
    <row r="215" customFormat="false" ht="19.5" hidden="false" customHeight="true" outlineLevel="0" collapsed="false">
      <c r="A215" s="121" t="n">
        <v>1926</v>
      </c>
      <c r="B215" s="132" t="n">
        <f aca="false">Economy!O86*$E$25</f>
        <v>12964.5755312586</v>
      </c>
      <c r="C215" s="132" t="n">
        <f aca="false">MAX(0,Abroad!M86-Abroad!N86-Abroad!V86)*$E$27</f>
        <v>690.219678222618</v>
      </c>
      <c r="D215" s="132" t="n">
        <f aca="false">Abroad!F86</f>
        <v>458.89201691928</v>
      </c>
      <c r="E215" s="117" t="n">
        <f aca="false">SUM(B215:D215)</f>
        <v>14113.6872264005</v>
      </c>
      <c r="F215" s="132" t="n">
        <f aca="false">Economy!O86*IF(A215=1862,$E$38,IF(OR(AND(A215&gt;=1861,A215&lt;=1865),AND(A215&gt;=1870,A215&lt;=1871)),$E$37,$E$26))</f>
        <v>8839.48331676724</v>
      </c>
      <c r="G215" s="132" t="n">
        <f aca="false">'Debt &amp; cash'!Y86*issue_price</f>
        <v>494.197723320618</v>
      </c>
      <c r="H215" s="132" t="n">
        <f aca="false">Abroad!C86</f>
        <v>2062.54610724569</v>
      </c>
      <c r="I215" s="132" t="n">
        <f aca="false">Abroad!D86</f>
        <v>0</v>
      </c>
      <c r="J215" s="132" t="n">
        <f aca="false">'Champion funding'!D86-'Champion funding'!K86+'Champion funding'!Q86+'Champion funding'!R86</f>
        <v>405.531304855412</v>
      </c>
      <c r="K215" s="117" t="n">
        <f aca="false">SUM(F215:J215)</f>
        <v>11801.758452189</v>
      </c>
      <c r="L215" s="117" t="n">
        <f aca="false">E215-K215</f>
        <v>2311.92877421156</v>
      </c>
      <c r="M215" s="117" t="n">
        <f aca="false">MAX(0,-L215)</f>
        <v>0</v>
      </c>
      <c r="N215" s="132" t="n">
        <f aca="false">'Capital accounts'!L86</f>
        <v>0</v>
      </c>
      <c r="O215" s="132" t="n">
        <f aca="false">'War credit'!E86</f>
        <v>0</v>
      </c>
      <c r="P215" s="134" t="n">
        <f aca="false">'War credit'!AC86</f>
        <v>0</v>
      </c>
      <c r="Q215" s="132" t="str">
        <f aca="false">IF(O215&gt;0,'War credit'!AD86,IF(N215&gt;0,"Project funding unallocated","Capacity is MODEL"))</f>
        <v>Capacity is MODEL</v>
      </c>
      <c r="R215" s="113"/>
      <c r="S215" s="113"/>
    </row>
    <row r="216" customFormat="false" ht="19.5" hidden="false" customHeight="true" outlineLevel="0" collapsed="false">
      <c r="A216" s="121" t="n">
        <v>1927</v>
      </c>
      <c r="B216" s="132" t="n">
        <f aca="false">Economy!O87*$E$25</f>
        <v>13434.6023995846</v>
      </c>
      <c r="C216" s="132" t="n">
        <f aca="false">MAX(0,Abroad!M87-Abroad!N87-Abroad!V87)*$E$27</f>
        <v>770.367601473336</v>
      </c>
      <c r="D216" s="132" t="n">
        <f aca="false">Abroad!F87</f>
        <v>507.591636771096</v>
      </c>
      <c r="E216" s="117" t="n">
        <f aca="false">SUM(B216:D216)</f>
        <v>14712.561637829</v>
      </c>
      <c r="F216" s="132" t="n">
        <f aca="false">Economy!O87*IF(A216=1862,$E$38,IF(OR(AND(A216&gt;=1861,A216&lt;=1865),AND(A216&gt;=1870,A216&lt;=1871)),$E$37,$E$26))</f>
        <v>9159.95618153495</v>
      </c>
      <c r="G216" s="132" t="n">
        <f aca="false">'Debt &amp; cash'!Y87*issue_price</f>
        <v>494.254407994022</v>
      </c>
      <c r="H216" s="132" t="n">
        <f aca="false">Abroad!C87</f>
        <v>2137.32310902482</v>
      </c>
      <c r="I216" s="132" t="n">
        <f aca="false">Abroad!D87</f>
        <v>0</v>
      </c>
      <c r="J216" s="132" t="n">
        <f aca="false">'Champion funding'!D87-'Champion funding'!K87+'Champion funding'!Q87+'Champion funding'!R87</f>
        <v>446.210543487549</v>
      </c>
      <c r="K216" s="117" t="n">
        <f aca="false">SUM(F216:J216)</f>
        <v>12237.7442420413</v>
      </c>
      <c r="L216" s="117" t="n">
        <f aca="false">E216-K216</f>
        <v>2474.81739578768</v>
      </c>
      <c r="M216" s="117" t="n">
        <f aca="false">MAX(0,-L216)</f>
        <v>0</v>
      </c>
      <c r="N216" s="132" t="n">
        <f aca="false">'Capital accounts'!L87</f>
        <v>0</v>
      </c>
      <c r="O216" s="132" t="n">
        <f aca="false">'War credit'!E87</f>
        <v>0</v>
      </c>
      <c r="P216" s="134" t="n">
        <f aca="false">'War credit'!AC87</f>
        <v>0</v>
      </c>
      <c r="Q216" s="132" t="str">
        <f aca="false">IF(O216&gt;0,'War credit'!AD87,IF(N216&gt;0,"Project funding unallocated","Capacity is MODEL"))</f>
        <v>Capacity is MODEL</v>
      </c>
      <c r="R216" s="113"/>
      <c r="S216" s="113"/>
    </row>
    <row r="217" customFormat="false" ht="19.5" hidden="false" customHeight="true" outlineLevel="0" collapsed="false">
      <c r="A217" s="121" t="n">
        <v>1928</v>
      </c>
      <c r="B217" s="132" t="n">
        <f aca="false">Economy!O88*$E$25</f>
        <v>14414.0728508772</v>
      </c>
      <c r="C217" s="132" t="n">
        <f aca="false">MAX(0,Abroad!M88-Abroad!N88-Abroad!V88)*$E$27</f>
        <v>836.949732522623</v>
      </c>
      <c r="D217" s="132" t="n">
        <f aca="false">Abroad!F88</f>
        <v>547.122151427508</v>
      </c>
      <c r="E217" s="117" t="n">
        <f aca="false">SUM(B217:D217)</f>
        <v>15798.1447348273</v>
      </c>
      <c r="F217" s="132" t="n">
        <f aca="false">Economy!O88*IF(A217=1862,$E$38,IF(OR(AND(A217&gt;=1861,A217&lt;=1865),AND(A217&gt;=1870,A217&lt;=1871)),$E$37,$E$26))</f>
        <v>9827.77694377991</v>
      </c>
      <c r="G217" s="132" t="n">
        <f aca="false">'Debt &amp; cash'!Y88*issue_price</f>
        <v>673.010442610998</v>
      </c>
      <c r="H217" s="132" t="n">
        <f aca="false">Abroad!C88</f>
        <v>2293.14795354865</v>
      </c>
      <c r="I217" s="132" t="n">
        <f aca="false">Abroad!D88</f>
        <v>0</v>
      </c>
      <c r="J217" s="132" t="n">
        <f aca="false">'Champion funding'!D88-'Champion funding'!K88+'Champion funding'!Q88+'Champion funding'!R88</f>
        <v>488.026737982403</v>
      </c>
      <c r="K217" s="117" t="n">
        <f aca="false">SUM(F217:J217)</f>
        <v>13281.962077922</v>
      </c>
      <c r="L217" s="117" t="n">
        <f aca="false">E217-K217</f>
        <v>2516.18265690537</v>
      </c>
      <c r="M217" s="117" t="n">
        <f aca="false">MAX(0,-L217)</f>
        <v>0</v>
      </c>
      <c r="N217" s="132" t="n">
        <f aca="false">'Capital accounts'!L88</f>
        <v>0</v>
      </c>
      <c r="O217" s="132" t="n">
        <f aca="false">'War credit'!E88</f>
        <v>0</v>
      </c>
      <c r="P217" s="134" t="n">
        <f aca="false">'War credit'!AC88</f>
        <v>0</v>
      </c>
      <c r="Q217" s="132" t="str">
        <f aca="false">IF(O217&gt;0,'War credit'!AD88,IF(N217&gt;0,"Project funding unallocated","Capacity is MODEL"))</f>
        <v>Capacity is MODEL</v>
      </c>
      <c r="R217" s="113"/>
      <c r="S217" s="113"/>
    </row>
    <row r="218" customFormat="false" ht="19.5" hidden="false" customHeight="true" outlineLevel="0" collapsed="false">
      <c r="A218" s="121" t="n">
        <v>1929</v>
      </c>
      <c r="B218" s="132" t="n">
        <f aca="false">Economy!O89*$E$25</f>
        <v>15283.9152002131</v>
      </c>
      <c r="C218" s="132" t="n">
        <f aca="false">MAX(0,Abroad!M89-Abroad!N89-Abroad!V89)*$E$27</f>
        <v>914.176460012728</v>
      </c>
      <c r="D218" s="132" t="n">
        <f aca="false">Abroad!F89</f>
        <v>666.354105090239</v>
      </c>
      <c r="E218" s="117" t="n">
        <f aca="false">SUM(B218:D218)</f>
        <v>16864.4457653161</v>
      </c>
      <c r="F218" s="132" t="n">
        <f aca="false">Economy!O89*IF(A218=1862,$E$38,IF(OR(AND(A218&gt;=1861,A218&lt;=1865),AND(A218&gt;=1870,A218&lt;=1871)),$E$37,$E$26))</f>
        <v>10420.8512728726</v>
      </c>
      <c r="G218" s="132" t="n">
        <f aca="false">'Debt &amp; cash'!Y89*issue_price</f>
        <v>688.814900538058</v>
      </c>
      <c r="H218" s="132" t="n">
        <f aca="false">Abroad!C89</f>
        <v>2431.53196367027</v>
      </c>
      <c r="I218" s="132" t="n">
        <f aca="false">Abroad!D89</f>
        <v>0</v>
      </c>
      <c r="J218" s="132" t="n">
        <f aca="false">'Champion funding'!D89-'Champion funding'!K89+'Champion funding'!Q89+'Champion funding'!R89</f>
        <v>528.155009575923</v>
      </c>
      <c r="K218" s="117" t="n">
        <f aca="false">SUM(F218:J218)</f>
        <v>14069.3531466569</v>
      </c>
      <c r="L218" s="117" t="n">
        <f aca="false">E218-K218</f>
        <v>2795.09261865926</v>
      </c>
      <c r="M218" s="117" t="n">
        <f aca="false">MAX(0,-L218)</f>
        <v>0</v>
      </c>
      <c r="N218" s="132" t="n">
        <f aca="false">'Capital accounts'!L89</f>
        <v>0</v>
      </c>
      <c r="O218" s="132" t="n">
        <f aca="false">'War credit'!E89</f>
        <v>0</v>
      </c>
      <c r="P218" s="134" t="n">
        <f aca="false">'War credit'!AC89</f>
        <v>0</v>
      </c>
      <c r="Q218" s="132" t="str">
        <f aca="false">IF(O218&gt;0,'War credit'!AD89,IF(N218&gt;0,"Project funding unallocated","Capacity is MODEL"))</f>
        <v>Capacity is MODEL</v>
      </c>
      <c r="R218" s="113"/>
      <c r="S218" s="113"/>
    </row>
    <row r="219" customFormat="false" ht="19.5" hidden="false" customHeight="true" outlineLevel="0" collapsed="false">
      <c r="A219" s="121" t="n">
        <v>1930</v>
      </c>
      <c r="B219" s="132" t="n">
        <f aca="false">Economy!O90*$E$25</f>
        <v>14385.6849740404</v>
      </c>
      <c r="C219" s="132" t="n">
        <f aca="false">MAX(0,Abroad!M90-Abroad!N90-Abroad!V90)*$E$27</f>
        <v>913.625233157669</v>
      </c>
      <c r="D219" s="132" t="n">
        <f aca="false">Abroad!F90</f>
        <v>721.859966167814</v>
      </c>
      <c r="E219" s="117" t="n">
        <f aca="false">SUM(B219:D219)</f>
        <v>16021.1701733659</v>
      </c>
      <c r="F219" s="132" t="n">
        <f aca="false">Economy!O90*IF(A219=1862,$E$38,IF(OR(AND(A219&gt;=1861,A219&lt;=1865),AND(A219&gt;=1870,A219&lt;=1871)),$E$37,$E$26))</f>
        <v>9808.42157320937</v>
      </c>
      <c r="G219" s="132" t="n">
        <f aca="false">'Debt &amp; cash'!Y90*issue_price</f>
        <v>231.942633435737</v>
      </c>
      <c r="H219" s="132" t="n">
        <f aca="false">Abroad!C90</f>
        <v>326.947385773646</v>
      </c>
      <c r="I219" s="132" t="n">
        <f aca="false">Abroad!D90</f>
        <v>0</v>
      </c>
      <c r="J219" s="132" t="n">
        <f aca="false">'Champion funding'!D90-'Champion funding'!K90+'Champion funding'!Q90+'Champion funding'!R90</f>
        <v>40.0827827643953</v>
      </c>
      <c r="K219" s="117" t="n">
        <f aca="false">SUM(F219:J219)</f>
        <v>10407.3943751831</v>
      </c>
      <c r="L219" s="117" t="n">
        <f aca="false">E219-K219</f>
        <v>5613.77579818274</v>
      </c>
      <c r="M219" s="117" t="n">
        <f aca="false">MAX(0,-L219)</f>
        <v>0</v>
      </c>
      <c r="N219" s="132" t="n">
        <f aca="false">'Capital accounts'!L90</f>
        <v>0</v>
      </c>
      <c r="O219" s="132" t="n">
        <f aca="false">'War credit'!E90</f>
        <v>0</v>
      </c>
      <c r="P219" s="134" t="n">
        <f aca="false">'War credit'!AC90</f>
        <v>0</v>
      </c>
      <c r="Q219" s="132" t="str">
        <f aca="false">IF(O219&gt;0,'War credit'!AD90,IF(N219&gt;0,"Project funding unallocated","Capacity is MODEL"))</f>
        <v>Capacity is MODEL</v>
      </c>
      <c r="R219" s="113"/>
      <c r="S219" s="113"/>
    </row>
    <row r="220" customFormat="false" ht="19.5" hidden="false" customHeight="true" outlineLevel="0" collapsed="false">
      <c r="A220" s="121" t="n">
        <v>1931</v>
      </c>
      <c r="B220" s="132" t="n">
        <f aca="false">Economy!O91*$E$25</f>
        <v>13052.6623639508</v>
      </c>
      <c r="C220" s="132" t="n">
        <f aca="false">MAX(0,Abroad!M91-Abroad!N91-Abroad!V91)*$E$27</f>
        <v>612.675386410243</v>
      </c>
      <c r="D220" s="132" t="n">
        <f aca="false">Abroad!F91</f>
        <v>673.676706473155</v>
      </c>
      <c r="E220" s="117" t="n">
        <f aca="false">SUM(B220:D220)</f>
        <v>14339.0144568342</v>
      </c>
      <c r="F220" s="132" t="n">
        <f aca="false">Economy!O91*IF(A220=1862,$E$38,IF(OR(AND(A220&gt;=1861,A220&lt;=1865),AND(A220&gt;=1870,A220&lt;=1871)),$E$37,$E$26))</f>
        <v>8899.54252087552</v>
      </c>
      <c r="G220" s="132" t="n">
        <f aca="false">'Debt &amp; cash'!Y91*issue_price</f>
        <v>0</v>
      </c>
      <c r="H220" s="132" t="n">
        <f aca="false">Abroad!C91</f>
        <v>296.651417362517</v>
      </c>
      <c r="I220" s="132" t="n">
        <f aca="false">Abroad!D91</f>
        <v>0</v>
      </c>
      <c r="J220" s="132" t="n">
        <f aca="false">'Champion funding'!D91-'Champion funding'!K91+'Champion funding'!Q91+'Champion funding'!R91</f>
        <v>38.9348249943547</v>
      </c>
      <c r="K220" s="117" t="n">
        <f aca="false">SUM(F220:J220)</f>
        <v>9235.12876323239</v>
      </c>
      <c r="L220" s="117" t="n">
        <f aca="false">E220-K220</f>
        <v>5103.88569360177</v>
      </c>
      <c r="M220" s="117" t="n">
        <f aca="false">MAX(0,-L220)</f>
        <v>0</v>
      </c>
      <c r="N220" s="132" t="n">
        <f aca="false">'Capital accounts'!L91</f>
        <v>0</v>
      </c>
      <c r="O220" s="132" t="n">
        <f aca="false">'War credit'!E91</f>
        <v>0</v>
      </c>
      <c r="P220" s="134" t="n">
        <f aca="false">'War credit'!AC91</f>
        <v>0</v>
      </c>
      <c r="Q220" s="132" t="str">
        <f aca="false">IF(O220&gt;0,'War credit'!AD91,IF(N220&gt;0,"Project funding unallocated","Capacity is MODEL"))</f>
        <v>Capacity is MODEL</v>
      </c>
      <c r="R220" s="113"/>
      <c r="S220" s="113"/>
    </row>
    <row r="221" customFormat="false" ht="19.5" hidden="false" customHeight="true" outlineLevel="0" collapsed="false">
      <c r="A221" s="121" t="n">
        <v>1932</v>
      </c>
      <c r="B221" s="132" t="n">
        <f aca="false">Economy!O92*$E$25</f>
        <v>12066.1461825586</v>
      </c>
      <c r="C221" s="132" t="n">
        <f aca="false">MAX(0,Abroad!M92-Abroad!N92-Abroad!V92)*$E$27</f>
        <v>555.673650812692</v>
      </c>
      <c r="D221" s="132" t="n">
        <f aca="false">Abroad!F92</f>
        <v>640.058473333754</v>
      </c>
      <c r="E221" s="117" t="n">
        <f aca="false">SUM(B221:D221)</f>
        <v>13261.878306705</v>
      </c>
      <c r="F221" s="132" t="n">
        <f aca="false">Economy!O92*IF(A221=1862,$E$38,IF(OR(AND(A221&gt;=1861,A221&lt;=1865),AND(A221&gt;=1870,A221&lt;=1871)),$E$37,$E$26))</f>
        <v>8226.91785174448</v>
      </c>
      <c r="G221" s="132" t="n">
        <f aca="false">'Debt &amp; cash'!Y92*issue_price</f>
        <v>0</v>
      </c>
      <c r="H221" s="132" t="n">
        <f aca="false">Abroad!C92</f>
        <v>274.230595058149</v>
      </c>
      <c r="I221" s="132" t="n">
        <f aca="false">Abroad!D92</f>
        <v>0</v>
      </c>
      <c r="J221" s="132" t="n">
        <f aca="false">'Champion funding'!D92-'Champion funding'!K92+'Champion funding'!Q92+'Champion funding'!R92</f>
        <v>37.8202154431574</v>
      </c>
      <c r="K221" s="117" t="n">
        <f aca="false">SUM(F221:J221)</f>
        <v>8538.96866224579</v>
      </c>
      <c r="L221" s="117" t="n">
        <f aca="false">E221-K221</f>
        <v>4722.90964445923</v>
      </c>
      <c r="M221" s="117" t="n">
        <f aca="false">MAX(0,-L221)</f>
        <v>0</v>
      </c>
      <c r="N221" s="132" t="n">
        <f aca="false">'Capital accounts'!L92</f>
        <v>0</v>
      </c>
      <c r="O221" s="132" t="n">
        <f aca="false">'War credit'!E92</f>
        <v>0</v>
      </c>
      <c r="P221" s="134" t="n">
        <f aca="false">'War credit'!AC92</f>
        <v>0</v>
      </c>
      <c r="Q221" s="132" t="str">
        <f aca="false">IF(O221&gt;0,'War credit'!AD92,IF(N221&gt;0,"Project funding unallocated","Capacity is MODEL"))</f>
        <v>Capacity is MODEL</v>
      </c>
      <c r="R221" s="113"/>
      <c r="S221" s="113"/>
    </row>
    <row r="222" customFormat="false" ht="19.5" hidden="false" customHeight="true" outlineLevel="0" collapsed="false">
      <c r="A222" s="110"/>
      <c r="B222" s="113"/>
      <c r="C222" s="113"/>
      <c r="D222" s="113"/>
      <c r="E222" s="113"/>
      <c r="F222" s="113"/>
      <c r="G222" s="113"/>
      <c r="H222" s="113"/>
      <c r="I222" s="113"/>
      <c r="J222" s="113"/>
      <c r="K222" s="113"/>
      <c r="L222" s="113"/>
      <c r="M222" s="113"/>
      <c r="N222" s="113"/>
      <c r="O222" s="113"/>
      <c r="P222" s="113"/>
      <c r="Q222" s="113"/>
      <c r="R222" s="113"/>
      <c r="S222" s="113"/>
    </row>
    <row r="223" customFormat="false" ht="19.5" hidden="false" customHeight="true" outlineLevel="0" collapsed="false">
      <c r="A223" s="110"/>
      <c r="B223" s="113"/>
      <c r="C223" s="113"/>
      <c r="D223" s="113"/>
      <c r="E223" s="113"/>
      <c r="F223" s="113"/>
      <c r="G223" s="113"/>
      <c r="H223" s="113"/>
      <c r="I223" s="113"/>
      <c r="J223" s="113"/>
      <c r="K223" s="113"/>
      <c r="L223" s="113"/>
      <c r="M223" s="113"/>
      <c r="N223" s="113"/>
      <c r="O223" s="113"/>
      <c r="P223" s="113"/>
      <c r="Q223" s="113"/>
      <c r="R223" s="113"/>
      <c r="S223" s="113"/>
    </row>
    <row r="224" customFormat="false" ht="19.5" hidden="false" customHeight="true" outlineLevel="0" collapsed="false">
      <c r="A224" s="110"/>
      <c r="B224" s="113"/>
      <c r="C224" s="113"/>
      <c r="D224" s="113"/>
      <c r="E224" s="113"/>
      <c r="F224" s="113"/>
      <c r="G224" s="113"/>
      <c r="H224" s="113"/>
      <c r="I224" s="113"/>
      <c r="J224" s="113"/>
      <c r="K224" s="113"/>
      <c r="L224" s="113"/>
      <c r="M224" s="113"/>
      <c r="N224" s="113"/>
      <c r="O224" s="113"/>
      <c r="P224" s="113"/>
      <c r="Q224" s="113"/>
      <c r="R224" s="113"/>
      <c r="S224" s="113"/>
    </row>
    <row r="225" customFormat="false" ht="19.5" hidden="false" customHeight="true" outlineLevel="0" collapsed="false">
      <c r="A225" s="110" t="s">
        <v>2484</v>
      </c>
      <c r="B225" s="113"/>
      <c r="C225" s="113"/>
      <c r="D225" s="113"/>
      <c r="E225" s="113"/>
      <c r="F225" s="113"/>
      <c r="G225" s="113"/>
      <c r="H225" s="113"/>
      <c r="I225" s="113"/>
      <c r="J225" s="113"/>
      <c r="K225" s="113"/>
      <c r="L225" s="113"/>
      <c r="M225" s="113"/>
      <c r="N225" s="113"/>
      <c r="O225" s="113"/>
      <c r="P225" s="113"/>
      <c r="Q225" s="113"/>
      <c r="R225" s="113"/>
      <c r="S225" s="113"/>
    </row>
    <row r="226" customFormat="false" ht="19.5" hidden="false" customHeight="true" outlineLevel="0" collapsed="false">
      <c r="A226" s="110" t="s">
        <v>2485</v>
      </c>
      <c r="B226" s="113"/>
      <c r="C226" s="113"/>
      <c r="D226" s="113"/>
      <c r="E226" s="113"/>
      <c r="F226" s="113"/>
      <c r="G226" s="113"/>
      <c r="H226" s="113"/>
      <c r="I226" s="113"/>
      <c r="J226" s="113"/>
      <c r="K226" s="113"/>
      <c r="L226" s="113"/>
      <c r="M226" s="113"/>
      <c r="N226" s="113"/>
      <c r="O226" s="113"/>
      <c r="P226" s="113"/>
      <c r="Q226" s="113"/>
      <c r="R226" s="113"/>
      <c r="S226" s="113"/>
    </row>
    <row r="227" customFormat="false" ht="19.5" hidden="false" customHeight="true" outlineLevel="0" collapsed="false">
      <c r="A227" s="110" t="s">
        <v>2486</v>
      </c>
      <c r="B227" s="113"/>
      <c r="C227" s="113"/>
      <c r="D227" s="113"/>
      <c r="E227" s="113"/>
      <c r="F227" s="113"/>
      <c r="G227" s="113"/>
      <c r="H227" s="113"/>
      <c r="I227" s="113"/>
      <c r="J227" s="113"/>
      <c r="K227" s="113"/>
      <c r="L227" s="113"/>
      <c r="M227" s="113"/>
      <c r="N227" s="113"/>
      <c r="O227" s="113"/>
      <c r="P227" s="113"/>
      <c r="Q227" s="113"/>
      <c r="R227" s="113"/>
      <c r="S227" s="113"/>
    </row>
    <row r="228" customFormat="false" ht="19.5" hidden="false" customHeight="true" outlineLevel="0" collapsed="false">
      <c r="A228" s="110" t="s">
        <v>2487</v>
      </c>
      <c r="B228" s="113"/>
      <c r="C228" s="113"/>
      <c r="D228" s="113"/>
      <c r="E228" s="113"/>
      <c r="F228" s="113"/>
      <c r="G228" s="113"/>
      <c r="H228" s="113"/>
      <c r="I228" s="113"/>
      <c r="J228" s="113"/>
      <c r="K228" s="113"/>
      <c r="L228" s="113"/>
      <c r="M228" s="113"/>
      <c r="N228" s="113"/>
      <c r="O228" s="113"/>
      <c r="P228" s="113"/>
      <c r="Q228" s="113"/>
      <c r="R228" s="113"/>
      <c r="S228" s="113"/>
    </row>
  </sheetData>
  <conditionalFormatting sqref="P40:P126">
    <cfRule type="cellIs" priority="2" operator="greaterThan" aboveAverage="0" equalAverage="0" bottom="0" percent="0" rank="0" text="" dxfId="4">
      <formula>0.001</formula>
    </cfRule>
    <cfRule type="cellIs" priority="3" operator="lessThan" aboveAverage="0" equalAverage="0" bottom="0" percent="0" rank="0" text="" dxfId="4">
      <formula>-0.001</formula>
    </cfRule>
  </conditionalFormatting>
  <conditionalFormatting sqref="M135:M221">
    <cfRule type="cellIs" priority="4" operator="greaterThan" aboveAverage="0" equalAverage="0" bottom="0" percent="0" rank="0" text="" dxfId="2">
      <formula>0.001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8671875" defaultRowHeight="14.25" zeroHeight="false" outlineLevelRow="0" outlineLevelCol="0"/>
  <cols>
    <col collapsed="false" customWidth="true" hidden="false" outlineLevel="0" max="1" min="1" style="1" width="8"/>
    <col collapsed="false" customWidth="true" hidden="false" outlineLevel="0" max="30" min="2" style="1" width="17"/>
  </cols>
  <sheetData>
    <row r="1" customFormat="false" ht="19.5" hidden="false" customHeight="true" outlineLevel="0" collapsed="false">
      <c r="A1" s="109" t="s">
        <v>2488</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row>
    <row r="2" customFormat="false" ht="19.5" hidden="false" customHeight="true" outlineLevel="0" collapsed="false">
      <c r="A2" s="111" t="s">
        <v>2489</v>
      </c>
      <c r="B2" s="110"/>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row>
    <row r="3" customFormat="false" ht="19.5" hidden="false" customHeight="true" outlineLevel="0" collapsed="false">
      <c r="A3" s="110" t="s">
        <v>2246</v>
      </c>
      <c r="B3" s="110"/>
      <c r="C3" s="110"/>
      <c r="D3" s="110"/>
      <c r="E3" s="129" t="str">
        <f aca="false">Levers!F4</f>
        <v>Story case</v>
      </c>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row>
    <row r="4" customFormat="false" ht="19.5" hidden="false" customHeight="true" outlineLevel="0" collapsed="false">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row>
    <row r="5" customFormat="false" ht="57.75" hidden="false" customHeight="true" outlineLevel="0" collapsed="false">
      <c r="A5" s="90" t="s">
        <v>103</v>
      </c>
      <c r="B5" s="123" t="s">
        <v>2490</v>
      </c>
      <c r="C5" s="123" t="s">
        <v>2491</v>
      </c>
      <c r="D5" s="123" t="s">
        <v>2492</v>
      </c>
      <c r="E5" s="123" t="s">
        <v>2493</v>
      </c>
      <c r="F5" s="123" t="s">
        <v>2369</v>
      </c>
      <c r="G5" s="123" t="s">
        <v>2494</v>
      </c>
      <c r="H5" s="123" t="s">
        <v>2495</v>
      </c>
      <c r="I5" s="123" t="s">
        <v>2496</v>
      </c>
      <c r="J5" s="123" t="s">
        <v>2497</v>
      </c>
      <c r="K5" s="123" t="s">
        <v>2498</v>
      </c>
      <c r="L5" s="123" t="s">
        <v>2499</v>
      </c>
      <c r="M5" s="123" t="s">
        <v>2500</v>
      </c>
      <c r="N5" s="123" t="s">
        <v>2501</v>
      </c>
      <c r="O5" s="123" t="s">
        <v>2502</v>
      </c>
      <c r="P5" s="123" t="s">
        <v>2365</v>
      </c>
      <c r="Q5" s="123" t="s">
        <v>2503</v>
      </c>
      <c r="R5" s="123" t="s">
        <v>2504</v>
      </c>
      <c r="S5" s="123" t="s">
        <v>2505</v>
      </c>
      <c r="T5" s="123" t="s">
        <v>2506</v>
      </c>
      <c r="U5" s="123" t="s">
        <v>2366</v>
      </c>
      <c r="V5" s="123" t="s">
        <v>2507</v>
      </c>
      <c r="W5" s="123" t="s">
        <v>2508</v>
      </c>
      <c r="X5" s="123" t="s">
        <v>2509</v>
      </c>
      <c r="Y5" s="123" t="s">
        <v>2510</v>
      </c>
      <c r="Z5" s="123" t="s">
        <v>2511</v>
      </c>
      <c r="AA5" s="123" t="s">
        <v>2512</v>
      </c>
      <c r="AB5" s="123" t="s">
        <v>2513</v>
      </c>
      <c r="AC5" s="123" t="s">
        <v>2514</v>
      </c>
      <c r="AD5" s="123" t="s">
        <v>2515</v>
      </c>
    </row>
    <row r="6" customFormat="false" ht="19.5" hidden="false" customHeight="true" outlineLevel="0" collapsed="false">
      <c r="A6" s="121" t="n">
        <v>1846</v>
      </c>
      <c r="B6" s="117" t="n">
        <f aca="false">IF(AND(A6&gt;=1914,A6&lt;=1918),entente_total*CHOOSE(A6-1913,0.05,0.1333,0.2333,0.3,0.2834),0)</f>
        <v>0</v>
      </c>
      <c r="C6" s="132" t="n">
        <f aca="false">IF(AND(A6&gt;=1914,A6&lt;=1918),Loans!L6,0)</f>
        <v>0</v>
      </c>
      <c r="D6" s="132" t="n">
        <f aca="false">Abroad!D6</f>
        <v>0</v>
      </c>
      <c r="E6" s="117" t="n">
        <f aca="false">B6*(1-entente_public-entente_private)</f>
        <v>0</v>
      </c>
      <c r="F6" s="133" t="n">
        <f aca="false">B6-SUM(C6:E6)</f>
        <v>0</v>
      </c>
      <c r="G6" s="117" t="n">
        <f aca="false">B6*uw_fee</f>
        <v>0</v>
      </c>
      <c r="H6" s="117" t="n">
        <f aca="false">B6-G6</f>
        <v>0</v>
      </c>
      <c r="I6" s="132" t="n">
        <f aca="false">H6*'Sources &amp; uses'!$E$31</f>
        <v>0</v>
      </c>
      <c r="J6" s="117" t="n">
        <f aca="false">H6-I6</f>
        <v>0</v>
      </c>
      <c r="K6" s="133" t="n">
        <f aca="false">B6-G6-I6-J6</f>
        <v>0</v>
      </c>
      <c r="L6" s="117" t="n">
        <f aca="false">0</f>
        <v>0</v>
      </c>
      <c r="M6" s="132" t="n">
        <f aca="false">L6*Paths!AA6</f>
        <v>0</v>
      </c>
      <c r="N6" s="117" t="n">
        <f aca="false">IF(A6=1918,(L6+C6)*russia_writeoff,0)-IF(A6=russia_recog_yr,russia_recog*$N$78,0)</f>
        <v>0</v>
      </c>
      <c r="O6" s="117" t="n">
        <f aca="false">L6+C6-M6-N6</f>
        <v>0</v>
      </c>
      <c r="P6" s="132" t="n">
        <f aca="false">L6*Paths!Z6*Paths!AB6</f>
        <v>0</v>
      </c>
      <c r="Q6" s="117" t="n">
        <f aca="false">0</f>
        <v>0</v>
      </c>
      <c r="R6" s="132" t="n">
        <f aca="false">Q6*Paths!AA6</f>
        <v>0</v>
      </c>
      <c r="S6" s="117" t="n">
        <f aca="false">IF(A6=1918,(Q6+D6)*russia_writeoff,0)-IF(A6=russia_recog_yr,russia_recog*$S$78,0)</f>
        <v>0</v>
      </c>
      <c r="T6" s="117" t="n">
        <f aca="false">Q6+D6-R6-S6</f>
        <v>0</v>
      </c>
      <c r="U6" s="132" t="n">
        <f aca="false">Q6*Paths!Z6*Paths!AB6</f>
        <v>0</v>
      </c>
      <c r="V6" s="117" t="n">
        <f aca="false">0</f>
        <v>0</v>
      </c>
      <c r="W6" s="132" t="n">
        <f aca="false">V6*Paths!AA6</f>
        <v>0</v>
      </c>
      <c r="X6" s="117" t="n">
        <f aca="false">IF(A6=1918,(V6+E6)*russia_writeoff,0)-IF(A6=russia_recog_yr,russia_recog*$X$78,0)</f>
        <v>0</v>
      </c>
      <c r="Y6" s="117" t="n">
        <f aca="false">V6+E6-W6-X6</f>
        <v>0</v>
      </c>
      <c r="Z6" s="132" t="n">
        <f aca="false">V6*Paths!Z6*Paths!AB6</f>
        <v>0</v>
      </c>
      <c r="AA6" s="117" t="n">
        <f aca="false">O6+T6+Y6</f>
        <v>0</v>
      </c>
      <c r="AB6" s="117" t="n">
        <f aca="false">P6+U6+Z6</f>
        <v>0</v>
      </c>
      <c r="AC6" s="134" t="n">
        <f aca="false">IF(E6=0,0,IF(ISNUMBER('Sources &amp; uses'!$E$29),MAX(0,E6-'Sources &amp; uses'!$E$29),"n.a."))</f>
        <v>0</v>
      </c>
      <c r="AD6" s="132" t="str">
        <f aca="false">IF(E6=0,"No new subscription",IF(ISNUMBER('Sources &amp; uses'!$E$29),"MODEL capacity tested","Unverified"))</f>
        <v>No new subscription</v>
      </c>
    </row>
    <row r="7" customFormat="false" ht="19.5" hidden="false" customHeight="true" outlineLevel="0" collapsed="false">
      <c r="A7" s="121" t="n">
        <v>1847</v>
      </c>
      <c r="B7" s="117" t="n">
        <f aca="false">IF(AND(A7&gt;=1914,A7&lt;=1918),entente_total*CHOOSE(A7-1913,0.05,0.1333,0.2333,0.3,0.2834),0)</f>
        <v>0</v>
      </c>
      <c r="C7" s="132" t="n">
        <f aca="false">IF(AND(A7&gt;=1914,A7&lt;=1918),Loans!L7,0)</f>
        <v>0</v>
      </c>
      <c r="D7" s="132" t="n">
        <f aca="false">Abroad!D7</f>
        <v>0</v>
      </c>
      <c r="E7" s="117" t="n">
        <f aca="false">B7*(1-entente_public-entente_private)</f>
        <v>0</v>
      </c>
      <c r="F7" s="133" t="n">
        <f aca="false">B7-SUM(C7:E7)</f>
        <v>0</v>
      </c>
      <c r="G7" s="117" t="n">
        <f aca="false">B7*uw_fee</f>
        <v>0</v>
      </c>
      <c r="H7" s="117" t="n">
        <f aca="false">B7-G7</f>
        <v>0</v>
      </c>
      <c r="I7" s="132" t="n">
        <f aca="false">H7*'Sources &amp; uses'!$E$31</f>
        <v>0</v>
      </c>
      <c r="J7" s="117" t="n">
        <f aca="false">H7-I7</f>
        <v>0</v>
      </c>
      <c r="K7" s="133" t="n">
        <f aca="false">B7-G7-I7-J7</f>
        <v>0</v>
      </c>
      <c r="L7" s="117" t="n">
        <f aca="false">O6</f>
        <v>0</v>
      </c>
      <c r="M7" s="132" t="n">
        <f aca="false">L7*Paths!AA7</f>
        <v>0</v>
      </c>
      <c r="N7" s="117" t="n">
        <f aca="false">IF(A7=1918,(L7+C7)*russia_writeoff,0)-IF(A7=russia_recog_yr,russia_recog*$N$78,0)</f>
        <v>0</v>
      </c>
      <c r="O7" s="117" t="n">
        <f aca="false">L7+C7-M7-N7</f>
        <v>0</v>
      </c>
      <c r="P7" s="132" t="n">
        <f aca="false">L7*Paths!Z7*Paths!AB7</f>
        <v>0</v>
      </c>
      <c r="Q7" s="117" t="n">
        <f aca="false">T6</f>
        <v>0</v>
      </c>
      <c r="R7" s="132" t="n">
        <f aca="false">Q7*Paths!AA7</f>
        <v>0</v>
      </c>
      <c r="S7" s="117" t="n">
        <f aca="false">IF(A7=1918,(Q7+D7)*russia_writeoff,0)-IF(A7=russia_recog_yr,russia_recog*$S$78,0)</f>
        <v>0</v>
      </c>
      <c r="T7" s="117" t="n">
        <f aca="false">Q7+D7-R7-S7</f>
        <v>0</v>
      </c>
      <c r="U7" s="132" t="n">
        <f aca="false">Q7*Paths!Z7*Paths!AB7</f>
        <v>0</v>
      </c>
      <c r="V7" s="117" t="n">
        <f aca="false">Y6</f>
        <v>0</v>
      </c>
      <c r="W7" s="132" t="n">
        <f aca="false">V7*Paths!AA7</f>
        <v>0</v>
      </c>
      <c r="X7" s="117" t="n">
        <f aca="false">IF(A7=1918,(V7+E7)*russia_writeoff,0)-IF(A7=russia_recog_yr,russia_recog*$X$78,0)</f>
        <v>0</v>
      </c>
      <c r="Y7" s="117" t="n">
        <f aca="false">V7+E7-W7-X7</f>
        <v>0</v>
      </c>
      <c r="Z7" s="132" t="n">
        <f aca="false">V7*Paths!Z7*Paths!AB7</f>
        <v>0</v>
      </c>
      <c r="AA7" s="117" t="n">
        <f aca="false">O7+T7+Y7</f>
        <v>0</v>
      </c>
      <c r="AB7" s="117" t="n">
        <f aca="false">P7+U7+Z7</f>
        <v>0</v>
      </c>
      <c r="AC7" s="134" t="n">
        <f aca="false">IF(E7=0,0,IF(ISNUMBER('Sources &amp; uses'!$E$29),MAX(0,E7-'Sources &amp; uses'!$E$29),"n.a."))</f>
        <v>0</v>
      </c>
      <c r="AD7" s="132" t="str">
        <f aca="false">IF(E7=0,"No new subscription",IF(ISNUMBER('Sources &amp; uses'!$E$29),"MODEL capacity tested","Unverified"))</f>
        <v>No new subscription</v>
      </c>
    </row>
    <row r="8" customFormat="false" ht="19.5" hidden="false" customHeight="true" outlineLevel="0" collapsed="false">
      <c r="A8" s="121" t="n">
        <v>1848</v>
      </c>
      <c r="B8" s="117" t="n">
        <f aca="false">IF(AND(A8&gt;=1914,A8&lt;=1918),entente_total*CHOOSE(A8-1913,0.05,0.1333,0.2333,0.3,0.2834),0)</f>
        <v>0</v>
      </c>
      <c r="C8" s="132" t="n">
        <f aca="false">IF(AND(A8&gt;=1914,A8&lt;=1918),Loans!L8,0)</f>
        <v>0</v>
      </c>
      <c r="D8" s="132" t="n">
        <f aca="false">Abroad!D8</f>
        <v>0</v>
      </c>
      <c r="E8" s="117" t="n">
        <f aca="false">B8*(1-entente_public-entente_private)</f>
        <v>0</v>
      </c>
      <c r="F8" s="133" t="n">
        <f aca="false">B8-SUM(C8:E8)</f>
        <v>0</v>
      </c>
      <c r="G8" s="117" t="n">
        <f aca="false">B8*uw_fee</f>
        <v>0</v>
      </c>
      <c r="H8" s="117" t="n">
        <f aca="false">B8-G8</f>
        <v>0</v>
      </c>
      <c r="I8" s="132" t="n">
        <f aca="false">H8*'Sources &amp; uses'!$E$31</f>
        <v>0</v>
      </c>
      <c r="J8" s="117" t="n">
        <f aca="false">H8-I8</f>
        <v>0</v>
      </c>
      <c r="K8" s="133" t="n">
        <f aca="false">B8-G8-I8-J8</f>
        <v>0</v>
      </c>
      <c r="L8" s="117" t="n">
        <f aca="false">O7</f>
        <v>0</v>
      </c>
      <c r="M8" s="132" t="n">
        <f aca="false">L8*Paths!AA8</f>
        <v>0</v>
      </c>
      <c r="N8" s="117" t="n">
        <f aca="false">IF(A8=1918,(L8+C8)*russia_writeoff,0)-IF(A8=russia_recog_yr,russia_recog*$N$78,0)</f>
        <v>0</v>
      </c>
      <c r="O8" s="117" t="n">
        <f aca="false">L8+C8-M8-N8</f>
        <v>0</v>
      </c>
      <c r="P8" s="132" t="n">
        <f aca="false">L8*Paths!Z8*Paths!AB8</f>
        <v>0</v>
      </c>
      <c r="Q8" s="117" t="n">
        <f aca="false">T7</f>
        <v>0</v>
      </c>
      <c r="R8" s="132" t="n">
        <f aca="false">Q8*Paths!AA8</f>
        <v>0</v>
      </c>
      <c r="S8" s="117" t="n">
        <f aca="false">IF(A8=1918,(Q8+D8)*russia_writeoff,0)-IF(A8=russia_recog_yr,russia_recog*$S$78,0)</f>
        <v>0</v>
      </c>
      <c r="T8" s="117" t="n">
        <f aca="false">Q8+D8-R8-S8</f>
        <v>0</v>
      </c>
      <c r="U8" s="132" t="n">
        <f aca="false">Q8*Paths!Z8*Paths!AB8</f>
        <v>0</v>
      </c>
      <c r="V8" s="117" t="n">
        <f aca="false">Y7</f>
        <v>0</v>
      </c>
      <c r="W8" s="132" t="n">
        <f aca="false">V8*Paths!AA8</f>
        <v>0</v>
      </c>
      <c r="X8" s="117" t="n">
        <f aca="false">IF(A8=1918,(V8+E8)*russia_writeoff,0)-IF(A8=russia_recog_yr,russia_recog*$X$78,0)</f>
        <v>0</v>
      </c>
      <c r="Y8" s="117" t="n">
        <f aca="false">V8+E8-W8-X8</f>
        <v>0</v>
      </c>
      <c r="Z8" s="132" t="n">
        <f aca="false">V8*Paths!Z8*Paths!AB8</f>
        <v>0</v>
      </c>
      <c r="AA8" s="117" t="n">
        <f aca="false">O8+T8+Y8</f>
        <v>0</v>
      </c>
      <c r="AB8" s="117" t="n">
        <f aca="false">P8+U8+Z8</f>
        <v>0</v>
      </c>
      <c r="AC8" s="134" t="n">
        <f aca="false">IF(E8=0,0,IF(ISNUMBER('Sources &amp; uses'!$E$29),MAX(0,E8-'Sources &amp; uses'!$E$29),"n.a."))</f>
        <v>0</v>
      </c>
      <c r="AD8" s="132" t="str">
        <f aca="false">IF(E8=0,"No new subscription",IF(ISNUMBER('Sources &amp; uses'!$E$29),"MODEL capacity tested","Unverified"))</f>
        <v>No new subscription</v>
      </c>
    </row>
    <row r="9" customFormat="false" ht="19.5" hidden="false" customHeight="true" outlineLevel="0" collapsed="false">
      <c r="A9" s="121" t="n">
        <v>1849</v>
      </c>
      <c r="B9" s="117" t="n">
        <f aca="false">IF(AND(A9&gt;=1914,A9&lt;=1918),entente_total*CHOOSE(A9-1913,0.05,0.1333,0.2333,0.3,0.2834),0)</f>
        <v>0</v>
      </c>
      <c r="C9" s="132" t="n">
        <f aca="false">IF(AND(A9&gt;=1914,A9&lt;=1918),Loans!L9,0)</f>
        <v>0</v>
      </c>
      <c r="D9" s="132" t="n">
        <f aca="false">Abroad!D9</f>
        <v>0</v>
      </c>
      <c r="E9" s="117" t="n">
        <f aca="false">B9*(1-entente_public-entente_private)</f>
        <v>0</v>
      </c>
      <c r="F9" s="133" t="n">
        <f aca="false">B9-SUM(C9:E9)</f>
        <v>0</v>
      </c>
      <c r="G9" s="117" t="n">
        <f aca="false">B9*uw_fee</f>
        <v>0</v>
      </c>
      <c r="H9" s="117" t="n">
        <f aca="false">B9-G9</f>
        <v>0</v>
      </c>
      <c r="I9" s="132" t="n">
        <f aca="false">H9*'Sources &amp; uses'!$E$31</f>
        <v>0</v>
      </c>
      <c r="J9" s="117" t="n">
        <f aca="false">H9-I9</f>
        <v>0</v>
      </c>
      <c r="K9" s="133" t="n">
        <f aca="false">B9-G9-I9-J9</f>
        <v>0</v>
      </c>
      <c r="L9" s="117" t="n">
        <f aca="false">O8</f>
        <v>0</v>
      </c>
      <c r="M9" s="132" t="n">
        <f aca="false">L9*Paths!AA9</f>
        <v>0</v>
      </c>
      <c r="N9" s="117" t="n">
        <f aca="false">IF(A9=1918,(L9+C9)*russia_writeoff,0)-IF(A9=russia_recog_yr,russia_recog*$N$78,0)</f>
        <v>0</v>
      </c>
      <c r="O9" s="117" t="n">
        <f aca="false">L9+C9-M9-N9</f>
        <v>0</v>
      </c>
      <c r="P9" s="132" t="n">
        <f aca="false">L9*Paths!Z9*Paths!AB9</f>
        <v>0</v>
      </c>
      <c r="Q9" s="117" t="n">
        <f aca="false">T8</f>
        <v>0</v>
      </c>
      <c r="R9" s="132" t="n">
        <f aca="false">Q9*Paths!AA9</f>
        <v>0</v>
      </c>
      <c r="S9" s="117" t="n">
        <f aca="false">IF(A9=1918,(Q9+D9)*russia_writeoff,0)-IF(A9=russia_recog_yr,russia_recog*$S$78,0)</f>
        <v>0</v>
      </c>
      <c r="T9" s="117" t="n">
        <f aca="false">Q9+D9-R9-S9</f>
        <v>0</v>
      </c>
      <c r="U9" s="132" t="n">
        <f aca="false">Q9*Paths!Z9*Paths!AB9</f>
        <v>0</v>
      </c>
      <c r="V9" s="117" t="n">
        <f aca="false">Y8</f>
        <v>0</v>
      </c>
      <c r="W9" s="132" t="n">
        <f aca="false">V9*Paths!AA9</f>
        <v>0</v>
      </c>
      <c r="X9" s="117" t="n">
        <f aca="false">IF(A9=1918,(V9+E9)*russia_writeoff,0)-IF(A9=russia_recog_yr,russia_recog*$X$78,0)</f>
        <v>0</v>
      </c>
      <c r="Y9" s="117" t="n">
        <f aca="false">V9+E9-W9-X9</f>
        <v>0</v>
      </c>
      <c r="Z9" s="132" t="n">
        <f aca="false">V9*Paths!Z9*Paths!AB9</f>
        <v>0</v>
      </c>
      <c r="AA9" s="117" t="n">
        <f aca="false">O9+T9+Y9</f>
        <v>0</v>
      </c>
      <c r="AB9" s="117" t="n">
        <f aca="false">P9+U9+Z9</f>
        <v>0</v>
      </c>
      <c r="AC9" s="134" t="n">
        <f aca="false">IF(E9=0,0,IF(ISNUMBER('Sources &amp; uses'!$E$29),MAX(0,E9-'Sources &amp; uses'!$E$29),"n.a."))</f>
        <v>0</v>
      </c>
      <c r="AD9" s="132" t="str">
        <f aca="false">IF(E9=0,"No new subscription",IF(ISNUMBER('Sources &amp; uses'!$E$29),"MODEL capacity tested","Unverified"))</f>
        <v>No new subscription</v>
      </c>
    </row>
    <row r="10" customFormat="false" ht="19.5" hidden="false" customHeight="true" outlineLevel="0" collapsed="false">
      <c r="A10" s="121" t="n">
        <v>1850</v>
      </c>
      <c r="B10" s="117" t="n">
        <f aca="false">IF(AND(A10&gt;=1914,A10&lt;=1918),entente_total*CHOOSE(A10-1913,0.05,0.1333,0.2333,0.3,0.2834),0)</f>
        <v>0</v>
      </c>
      <c r="C10" s="132" t="n">
        <f aca="false">IF(AND(A10&gt;=1914,A10&lt;=1918),Loans!L10,0)</f>
        <v>0</v>
      </c>
      <c r="D10" s="132" t="n">
        <f aca="false">Abroad!D10</f>
        <v>0</v>
      </c>
      <c r="E10" s="117" t="n">
        <f aca="false">B10*(1-entente_public-entente_private)</f>
        <v>0</v>
      </c>
      <c r="F10" s="133" t="n">
        <f aca="false">B10-SUM(C10:E10)</f>
        <v>0</v>
      </c>
      <c r="G10" s="117" t="n">
        <f aca="false">B10*uw_fee</f>
        <v>0</v>
      </c>
      <c r="H10" s="117" t="n">
        <f aca="false">B10-G10</f>
        <v>0</v>
      </c>
      <c r="I10" s="132" t="n">
        <f aca="false">H10*'Sources &amp; uses'!$E$31</f>
        <v>0</v>
      </c>
      <c r="J10" s="117" t="n">
        <f aca="false">H10-I10</f>
        <v>0</v>
      </c>
      <c r="K10" s="133" t="n">
        <f aca="false">B10-G10-I10-J10</f>
        <v>0</v>
      </c>
      <c r="L10" s="117" t="n">
        <f aca="false">O9</f>
        <v>0</v>
      </c>
      <c r="M10" s="132" t="n">
        <f aca="false">L10*Paths!AA10</f>
        <v>0</v>
      </c>
      <c r="N10" s="117" t="n">
        <f aca="false">IF(A10=1918,(L10+C10)*russia_writeoff,0)-IF(A10=russia_recog_yr,russia_recog*$N$78,0)</f>
        <v>0</v>
      </c>
      <c r="O10" s="117" t="n">
        <f aca="false">L10+C10-M10-N10</f>
        <v>0</v>
      </c>
      <c r="P10" s="132" t="n">
        <f aca="false">L10*Paths!Z10*Paths!AB10</f>
        <v>0</v>
      </c>
      <c r="Q10" s="117" t="n">
        <f aca="false">T9</f>
        <v>0</v>
      </c>
      <c r="R10" s="132" t="n">
        <f aca="false">Q10*Paths!AA10</f>
        <v>0</v>
      </c>
      <c r="S10" s="117" t="n">
        <f aca="false">IF(A10=1918,(Q10+D10)*russia_writeoff,0)-IF(A10=russia_recog_yr,russia_recog*$S$78,0)</f>
        <v>0</v>
      </c>
      <c r="T10" s="117" t="n">
        <f aca="false">Q10+D10-R10-S10</f>
        <v>0</v>
      </c>
      <c r="U10" s="132" t="n">
        <f aca="false">Q10*Paths!Z10*Paths!AB10</f>
        <v>0</v>
      </c>
      <c r="V10" s="117" t="n">
        <f aca="false">Y9</f>
        <v>0</v>
      </c>
      <c r="W10" s="132" t="n">
        <f aca="false">V10*Paths!AA10</f>
        <v>0</v>
      </c>
      <c r="X10" s="117" t="n">
        <f aca="false">IF(A10=1918,(V10+E10)*russia_writeoff,0)-IF(A10=russia_recog_yr,russia_recog*$X$78,0)</f>
        <v>0</v>
      </c>
      <c r="Y10" s="117" t="n">
        <f aca="false">V10+E10-W10-X10</f>
        <v>0</v>
      </c>
      <c r="Z10" s="132" t="n">
        <f aca="false">V10*Paths!Z10*Paths!AB10</f>
        <v>0</v>
      </c>
      <c r="AA10" s="117" t="n">
        <f aca="false">O10+T10+Y10</f>
        <v>0</v>
      </c>
      <c r="AB10" s="117" t="n">
        <f aca="false">P10+U10+Z10</f>
        <v>0</v>
      </c>
      <c r="AC10" s="134" t="n">
        <f aca="false">IF(E10=0,0,IF(ISNUMBER('Sources &amp; uses'!$E$29),MAX(0,E10-'Sources &amp; uses'!$E$29),"n.a."))</f>
        <v>0</v>
      </c>
      <c r="AD10" s="132" t="str">
        <f aca="false">IF(E10=0,"No new subscription",IF(ISNUMBER('Sources &amp; uses'!$E$29),"MODEL capacity tested","Unverified"))</f>
        <v>No new subscription</v>
      </c>
    </row>
    <row r="11" customFormat="false" ht="19.5" hidden="false" customHeight="true" outlineLevel="0" collapsed="false">
      <c r="A11" s="121" t="n">
        <v>1851</v>
      </c>
      <c r="B11" s="117" t="n">
        <f aca="false">IF(AND(A11&gt;=1914,A11&lt;=1918),entente_total*CHOOSE(A11-1913,0.05,0.1333,0.2333,0.3,0.2834),0)</f>
        <v>0</v>
      </c>
      <c r="C11" s="132" t="n">
        <f aca="false">IF(AND(A11&gt;=1914,A11&lt;=1918),Loans!L11,0)</f>
        <v>0</v>
      </c>
      <c r="D11" s="132" t="n">
        <f aca="false">Abroad!D11</f>
        <v>0</v>
      </c>
      <c r="E11" s="117" t="n">
        <f aca="false">B11*(1-entente_public-entente_private)</f>
        <v>0</v>
      </c>
      <c r="F11" s="133" t="n">
        <f aca="false">B11-SUM(C11:E11)</f>
        <v>0</v>
      </c>
      <c r="G11" s="117" t="n">
        <f aca="false">B11*uw_fee</f>
        <v>0</v>
      </c>
      <c r="H11" s="117" t="n">
        <f aca="false">B11-G11</f>
        <v>0</v>
      </c>
      <c r="I11" s="132" t="n">
        <f aca="false">H11*'Sources &amp; uses'!$E$31</f>
        <v>0</v>
      </c>
      <c r="J11" s="117" t="n">
        <f aca="false">H11-I11</f>
        <v>0</v>
      </c>
      <c r="K11" s="133" t="n">
        <f aca="false">B11-G11-I11-J11</f>
        <v>0</v>
      </c>
      <c r="L11" s="117" t="n">
        <f aca="false">O10</f>
        <v>0</v>
      </c>
      <c r="M11" s="132" t="n">
        <f aca="false">L11*Paths!AA11</f>
        <v>0</v>
      </c>
      <c r="N11" s="117" t="n">
        <f aca="false">IF(A11=1918,(L11+C11)*russia_writeoff,0)-IF(A11=russia_recog_yr,russia_recog*$N$78,0)</f>
        <v>0</v>
      </c>
      <c r="O11" s="117" t="n">
        <f aca="false">L11+C11-M11-N11</f>
        <v>0</v>
      </c>
      <c r="P11" s="132" t="n">
        <f aca="false">L11*Paths!Z11*Paths!AB11</f>
        <v>0</v>
      </c>
      <c r="Q11" s="117" t="n">
        <f aca="false">T10</f>
        <v>0</v>
      </c>
      <c r="R11" s="132" t="n">
        <f aca="false">Q11*Paths!AA11</f>
        <v>0</v>
      </c>
      <c r="S11" s="117" t="n">
        <f aca="false">IF(A11=1918,(Q11+D11)*russia_writeoff,0)-IF(A11=russia_recog_yr,russia_recog*$S$78,0)</f>
        <v>0</v>
      </c>
      <c r="T11" s="117" t="n">
        <f aca="false">Q11+D11-R11-S11</f>
        <v>0</v>
      </c>
      <c r="U11" s="132" t="n">
        <f aca="false">Q11*Paths!Z11*Paths!AB11</f>
        <v>0</v>
      </c>
      <c r="V11" s="117" t="n">
        <f aca="false">Y10</f>
        <v>0</v>
      </c>
      <c r="W11" s="132" t="n">
        <f aca="false">V11*Paths!AA11</f>
        <v>0</v>
      </c>
      <c r="X11" s="117" t="n">
        <f aca="false">IF(A11=1918,(V11+E11)*russia_writeoff,0)-IF(A11=russia_recog_yr,russia_recog*$X$78,0)</f>
        <v>0</v>
      </c>
      <c r="Y11" s="117" t="n">
        <f aca="false">V11+E11-W11-X11</f>
        <v>0</v>
      </c>
      <c r="Z11" s="132" t="n">
        <f aca="false">V11*Paths!Z11*Paths!AB11</f>
        <v>0</v>
      </c>
      <c r="AA11" s="117" t="n">
        <f aca="false">O11+T11+Y11</f>
        <v>0</v>
      </c>
      <c r="AB11" s="117" t="n">
        <f aca="false">P11+U11+Z11</f>
        <v>0</v>
      </c>
      <c r="AC11" s="134" t="n">
        <f aca="false">IF(E11=0,0,IF(ISNUMBER('Sources &amp; uses'!$E$29),MAX(0,E11-'Sources &amp; uses'!$E$29),"n.a."))</f>
        <v>0</v>
      </c>
      <c r="AD11" s="132" t="str">
        <f aca="false">IF(E11=0,"No new subscription",IF(ISNUMBER('Sources &amp; uses'!$E$29),"MODEL capacity tested","Unverified"))</f>
        <v>No new subscription</v>
      </c>
    </row>
    <row r="12" customFormat="false" ht="19.5" hidden="false" customHeight="true" outlineLevel="0" collapsed="false">
      <c r="A12" s="121" t="n">
        <v>1852</v>
      </c>
      <c r="B12" s="117" t="n">
        <f aca="false">IF(AND(A12&gt;=1914,A12&lt;=1918),entente_total*CHOOSE(A12-1913,0.05,0.1333,0.2333,0.3,0.2834),0)</f>
        <v>0</v>
      </c>
      <c r="C12" s="132" t="n">
        <f aca="false">IF(AND(A12&gt;=1914,A12&lt;=1918),Loans!L12,0)</f>
        <v>0</v>
      </c>
      <c r="D12" s="132" t="n">
        <f aca="false">Abroad!D12</f>
        <v>0</v>
      </c>
      <c r="E12" s="117" t="n">
        <f aca="false">B12*(1-entente_public-entente_private)</f>
        <v>0</v>
      </c>
      <c r="F12" s="133" t="n">
        <f aca="false">B12-SUM(C12:E12)</f>
        <v>0</v>
      </c>
      <c r="G12" s="117" t="n">
        <f aca="false">B12*uw_fee</f>
        <v>0</v>
      </c>
      <c r="H12" s="117" t="n">
        <f aca="false">B12-G12</f>
        <v>0</v>
      </c>
      <c r="I12" s="132" t="n">
        <f aca="false">H12*'Sources &amp; uses'!$E$31</f>
        <v>0</v>
      </c>
      <c r="J12" s="117" t="n">
        <f aca="false">H12-I12</f>
        <v>0</v>
      </c>
      <c r="K12" s="133" t="n">
        <f aca="false">B12-G12-I12-J12</f>
        <v>0</v>
      </c>
      <c r="L12" s="117" t="n">
        <f aca="false">O11</f>
        <v>0</v>
      </c>
      <c r="M12" s="132" t="n">
        <f aca="false">L12*Paths!AA12</f>
        <v>0</v>
      </c>
      <c r="N12" s="117" t="n">
        <f aca="false">IF(A12=1918,(L12+C12)*russia_writeoff,0)-IF(A12=russia_recog_yr,russia_recog*$N$78,0)</f>
        <v>0</v>
      </c>
      <c r="O12" s="117" t="n">
        <f aca="false">L12+C12-M12-N12</f>
        <v>0</v>
      </c>
      <c r="P12" s="132" t="n">
        <f aca="false">L12*Paths!Z12*Paths!AB12</f>
        <v>0</v>
      </c>
      <c r="Q12" s="117" t="n">
        <f aca="false">T11</f>
        <v>0</v>
      </c>
      <c r="R12" s="132" t="n">
        <f aca="false">Q12*Paths!AA12</f>
        <v>0</v>
      </c>
      <c r="S12" s="117" t="n">
        <f aca="false">IF(A12=1918,(Q12+D12)*russia_writeoff,0)-IF(A12=russia_recog_yr,russia_recog*$S$78,0)</f>
        <v>0</v>
      </c>
      <c r="T12" s="117" t="n">
        <f aca="false">Q12+D12-R12-S12</f>
        <v>0</v>
      </c>
      <c r="U12" s="132" t="n">
        <f aca="false">Q12*Paths!Z12*Paths!AB12</f>
        <v>0</v>
      </c>
      <c r="V12" s="117" t="n">
        <f aca="false">Y11</f>
        <v>0</v>
      </c>
      <c r="W12" s="132" t="n">
        <f aca="false">V12*Paths!AA12</f>
        <v>0</v>
      </c>
      <c r="X12" s="117" t="n">
        <f aca="false">IF(A12=1918,(V12+E12)*russia_writeoff,0)-IF(A12=russia_recog_yr,russia_recog*$X$78,0)</f>
        <v>0</v>
      </c>
      <c r="Y12" s="117" t="n">
        <f aca="false">V12+E12-W12-X12</f>
        <v>0</v>
      </c>
      <c r="Z12" s="132" t="n">
        <f aca="false">V12*Paths!Z12*Paths!AB12</f>
        <v>0</v>
      </c>
      <c r="AA12" s="117" t="n">
        <f aca="false">O12+T12+Y12</f>
        <v>0</v>
      </c>
      <c r="AB12" s="117" t="n">
        <f aca="false">P12+U12+Z12</f>
        <v>0</v>
      </c>
      <c r="AC12" s="134" t="n">
        <f aca="false">IF(E12=0,0,IF(ISNUMBER('Sources &amp; uses'!$E$29),MAX(0,E12-'Sources &amp; uses'!$E$29),"n.a."))</f>
        <v>0</v>
      </c>
      <c r="AD12" s="132" t="str">
        <f aca="false">IF(E12=0,"No new subscription",IF(ISNUMBER('Sources &amp; uses'!$E$29),"MODEL capacity tested","Unverified"))</f>
        <v>No new subscription</v>
      </c>
    </row>
    <row r="13" customFormat="false" ht="19.5" hidden="false" customHeight="true" outlineLevel="0" collapsed="false">
      <c r="A13" s="121" t="n">
        <v>1853</v>
      </c>
      <c r="B13" s="117" t="n">
        <f aca="false">IF(AND(A13&gt;=1914,A13&lt;=1918),entente_total*CHOOSE(A13-1913,0.05,0.1333,0.2333,0.3,0.2834),0)</f>
        <v>0</v>
      </c>
      <c r="C13" s="132" t="n">
        <f aca="false">IF(AND(A13&gt;=1914,A13&lt;=1918),Loans!L13,0)</f>
        <v>0</v>
      </c>
      <c r="D13" s="132" t="n">
        <f aca="false">Abroad!D13</f>
        <v>0</v>
      </c>
      <c r="E13" s="117" t="n">
        <f aca="false">B13*(1-entente_public-entente_private)</f>
        <v>0</v>
      </c>
      <c r="F13" s="133" t="n">
        <f aca="false">B13-SUM(C13:E13)</f>
        <v>0</v>
      </c>
      <c r="G13" s="117" t="n">
        <f aca="false">B13*uw_fee</f>
        <v>0</v>
      </c>
      <c r="H13" s="117" t="n">
        <f aca="false">B13-G13</f>
        <v>0</v>
      </c>
      <c r="I13" s="132" t="n">
        <f aca="false">H13*'Sources &amp; uses'!$E$31</f>
        <v>0</v>
      </c>
      <c r="J13" s="117" t="n">
        <f aca="false">H13-I13</f>
        <v>0</v>
      </c>
      <c r="K13" s="133" t="n">
        <f aca="false">B13-G13-I13-J13</f>
        <v>0</v>
      </c>
      <c r="L13" s="117" t="n">
        <f aca="false">O12</f>
        <v>0</v>
      </c>
      <c r="M13" s="132" t="n">
        <f aca="false">L13*Paths!AA13</f>
        <v>0</v>
      </c>
      <c r="N13" s="117" t="n">
        <f aca="false">IF(A13=1918,(L13+C13)*russia_writeoff,0)-IF(A13=russia_recog_yr,russia_recog*$N$78,0)</f>
        <v>0</v>
      </c>
      <c r="O13" s="117" t="n">
        <f aca="false">L13+C13-M13-N13</f>
        <v>0</v>
      </c>
      <c r="P13" s="132" t="n">
        <f aca="false">L13*Paths!Z13*Paths!AB13</f>
        <v>0</v>
      </c>
      <c r="Q13" s="117" t="n">
        <f aca="false">T12</f>
        <v>0</v>
      </c>
      <c r="R13" s="132" t="n">
        <f aca="false">Q13*Paths!AA13</f>
        <v>0</v>
      </c>
      <c r="S13" s="117" t="n">
        <f aca="false">IF(A13=1918,(Q13+D13)*russia_writeoff,0)-IF(A13=russia_recog_yr,russia_recog*$S$78,0)</f>
        <v>0</v>
      </c>
      <c r="T13" s="117" t="n">
        <f aca="false">Q13+D13-R13-S13</f>
        <v>0</v>
      </c>
      <c r="U13" s="132" t="n">
        <f aca="false">Q13*Paths!Z13*Paths!AB13</f>
        <v>0</v>
      </c>
      <c r="V13" s="117" t="n">
        <f aca="false">Y12</f>
        <v>0</v>
      </c>
      <c r="W13" s="132" t="n">
        <f aca="false">V13*Paths!AA13</f>
        <v>0</v>
      </c>
      <c r="X13" s="117" t="n">
        <f aca="false">IF(A13=1918,(V13+E13)*russia_writeoff,0)-IF(A13=russia_recog_yr,russia_recog*$X$78,0)</f>
        <v>0</v>
      </c>
      <c r="Y13" s="117" t="n">
        <f aca="false">V13+E13-W13-X13</f>
        <v>0</v>
      </c>
      <c r="Z13" s="132" t="n">
        <f aca="false">V13*Paths!Z13*Paths!AB13</f>
        <v>0</v>
      </c>
      <c r="AA13" s="117" t="n">
        <f aca="false">O13+T13+Y13</f>
        <v>0</v>
      </c>
      <c r="AB13" s="117" t="n">
        <f aca="false">P13+U13+Z13</f>
        <v>0</v>
      </c>
      <c r="AC13" s="134" t="n">
        <f aca="false">IF(E13=0,0,IF(ISNUMBER('Sources &amp; uses'!$E$29),MAX(0,E13-'Sources &amp; uses'!$E$29),"n.a."))</f>
        <v>0</v>
      </c>
      <c r="AD13" s="132" t="str">
        <f aca="false">IF(E13=0,"No new subscription",IF(ISNUMBER('Sources &amp; uses'!$E$29),"MODEL capacity tested","Unverified"))</f>
        <v>No new subscription</v>
      </c>
    </row>
    <row r="14" customFormat="false" ht="19.5" hidden="false" customHeight="true" outlineLevel="0" collapsed="false">
      <c r="A14" s="121" t="n">
        <v>1854</v>
      </c>
      <c r="B14" s="117" t="n">
        <f aca="false">IF(AND(A14&gt;=1914,A14&lt;=1918),entente_total*CHOOSE(A14-1913,0.05,0.1333,0.2333,0.3,0.2834),0)</f>
        <v>0</v>
      </c>
      <c r="C14" s="132" t="n">
        <f aca="false">IF(AND(A14&gt;=1914,A14&lt;=1918),Loans!L14,0)</f>
        <v>0</v>
      </c>
      <c r="D14" s="132" t="n">
        <f aca="false">Abroad!D14</f>
        <v>0</v>
      </c>
      <c r="E14" s="117" t="n">
        <f aca="false">B14*(1-entente_public-entente_private)</f>
        <v>0</v>
      </c>
      <c r="F14" s="133" t="n">
        <f aca="false">B14-SUM(C14:E14)</f>
        <v>0</v>
      </c>
      <c r="G14" s="117" t="n">
        <f aca="false">B14*uw_fee</f>
        <v>0</v>
      </c>
      <c r="H14" s="117" t="n">
        <f aca="false">B14-G14</f>
        <v>0</v>
      </c>
      <c r="I14" s="132" t="n">
        <f aca="false">H14*'Sources &amp; uses'!$E$31</f>
        <v>0</v>
      </c>
      <c r="J14" s="117" t="n">
        <f aca="false">H14-I14</f>
        <v>0</v>
      </c>
      <c r="K14" s="133" t="n">
        <f aca="false">B14-G14-I14-J14</f>
        <v>0</v>
      </c>
      <c r="L14" s="117" t="n">
        <f aca="false">O13</f>
        <v>0</v>
      </c>
      <c r="M14" s="132" t="n">
        <f aca="false">L14*Paths!AA14</f>
        <v>0</v>
      </c>
      <c r="N14" s="117" t="n">
        <f aca="false">IF(A14=1918,(L14+C14)*russia_writeoff,0)-IF(A14=russia_recog_yr,russia_recog*$N$78,0)</f>
        <v>0</v>
      </c>
      <c r="O14" s="117" t="n">
        <f aca="false">L14+C14-M14-N14</f>
        <v>0</v>
      </c>
      <c r="P14" s="132" t="n">
        <f aca="false">L14*Paths!Z14*Paths!AB14</f>
        <v>0</v>
      </c>
      <c r="Q14" s="117" t="n">
        <f aca="false">T13</f>
        <v>0</v>
      </c>
      <c r="R14" s="132" t="n">
        <f aca="false">Q14*Paths!AA14</f>
        <v>0</v>
      </c>
      <c r="S14" s="117" t="n">
        <f aca="false">IF(A14=1918,(Q14+D14)*russia_writeoff,0)-IF(A14=russia_recog_yr,russia_recog*$S$78,0)</f>
        <v>0</v>
      </c>
      <c r="T14" s="117" t="n">
        <f aca="false">Q14+D14-R14-S14</f>
        <v>0</v>
      </c>
      <c r="U14" s="132" t="n">
        <f aca="false">Q14*Paths!Z14*Paths!AB14</f>
        <v>0</v>
      </c>
      <c r="V14" s="117" t="n">
        <f aca="false">Y13</f>
        <v>0</v>
      </c>
      <c r="W14" s="132" t="n">
        <f aca="false">V14*Paths!AA14</f>
        <v>0</v>
      </c>
      <c r="X14" s="117" t="n">
        <f aca="false">IF(A14=1918,(V14+E14)*russia_writeoff,0)-IF(A14=russia_recog_yr,russia_recog*$X$78,0)</f>
        <v>0</v>
      </c>
      <c r="Y14" s="117" t="n">
        <f aca="false">V14+E14-W14-X14</f>
        <v>0</v>
      </c>
      <c r="Z14" s="132" t="n">
        <f aca="false">V14*Paths!Z14*Paths!AB14</f>
        <v>0</v>
      </c>
      <c r="AA14" s="117" t="n">
        <f aca="false">O14+T14+Y14</f>
        <v>0</v>
      </c>
      <c r="AB14" s="117" t="n">
        <f aca="false">P14+U14+Z14</f>
        <v>0</v>
      </c>
      <c r="AC14" s="134" t="n">
        <f aca="false">IF(E14=0,0,IF(ISNUMBER('Sources &amp; uses'!$E$29),MAX(0,E14-'Sources &amp; uses'!$E$29),"n.a."))</f>
        <v>0</v>
      </c>
      <c r="AD14" s="132" t="str">
        <f aca="false">IF(E14=0,"No new subscription",IF(ISNUMBER('Sources &amp; uses'!$E$29),"MODEL capacity tested","Unverified"))</f>
        <v>No new subscription</v>
      </c>
    </row>
    <row r="15" customFormat="false" ht="19.5" hidden="false" customHeight="true" outlineLevel="0" collapsed="false">
      <c r="A15" s="121" t="n">
        <v>1855</v>
      </c>
      <c r="B15" s="117" t="n">
        <f aca="false">IF(AND(A15&gt;=1914,A15&lt;=1918),entente_total*CHOOSE(A15-1913,0.05,0.1333,0.2333,0.3,0.2834),0)</f>
        <v>0</v>
      </c>
      <c r="C15" s="132" t="n">
        <f aca="false">IF(AND(A15&gt;=1914,A15&lt;=1918),Loans!L15,0)</f>
        <v>0</v>
      </c>
      <c r="D15" s="132" t="n">
        <f aca="false">Abroad!D15</f>
        <v>0</v>
      </c>
      <c r="E15" s="117" t="n">
        <f aca="false">B15*(1-entente_public-entente_private)</f>
        <v>0</v>
      </c>
      <c r="F15" s="133" t="n">
        <f aca="false">B15-SUM(C15:E15)</f>
        <v>0</v>
      </c>
      <c r="G15" s="117" t="n">
        <f aca="false">B15*uw_fee</f>
        <v>0</v>
      </c>
      <c r="H15" s="117" t="n">
        <f aca="false">B15-G15</f>
        <v>0</v>
      </c>
      <c r="I15" s="132" t="n">
        <f aca="false">H15*'Sources &amp; uses'!$E$31</f>
        <v>0</v>
      </c>
      <c r="J15" s="117" t="n">
        <f aca="false">H15-I15</f>
        <v>0</v>
      </c>
      <c r="K15" s="133" t="n">
        <f aca="false">B15-G15-I15-J15</f>
        <v>0</v>
      </c>
      <c r="L15" s="117" t="n">
        <f aca="false">O14</f>
        <v>0</v>
      </c>
      <c r="M15" s="132" t="n">
        <f aca="false">L15*Paths!AA15</f>
        <v>0</v>
      </c>
      <c r="N15" s="117" t="n">
        <f aca="false">IF(A15=1918,(L15+C15)*russia_writeoff,0)-IF(A15=russia_recog_yr,russia_recog*$N$78,0)</f>
        <v>0</v>
      </c>
      <c r="O15" s="117" t="n">
        <f aca="false">L15+C15-M15-N15</f>
        <v>0</v>
      </c>
      <c r="P15" s="132" t="n">
        <f aca="false">L15*Paths!Z15*Paths!AB15</f>
        <v>0</v>
      </c>
      <c r="Q15" s="117" t="n">
        <f aca="false">T14</f>
        <v>0</v>
      </c>
      <c r="R15" s="132" t="n">
        <f aca="false">Q15*Paths!AA15</f>
        <v>0</v>
      </c>
      <c r="S15" s="117" t="n">
        <f aca="false">IF(A15=1918,(Q15+D15)*russia_writeoff,0)-IF(A15=russia_recog_yr,russia_recog*$S$78,0)</f>
        <v>0</v>
      </c>
      <c r="T15" s="117" t="n">
        <f aca="false">Q15+D15-R15-S15</f>
        <v>0</v>
      </c>
      <c r="U15" s="132" t="n">
        <f aca="false">Q15*Paths!Z15*Paths!AB15</f>
        <v>0</v>
      </c>
      <c r="V15" s="117" t="n">
        <f aca="false">Y14</f>
        <v>0</v>
      </c>
      <c r="W15" s="132" t="n">
        <f aca="false">V15*Paths!AA15</f>
        <v>0</v>
      </c>
      <c r="X15" s="117" t="n">
        <f aca="false">IF(A15=1918,(V15+E15)*russia_writeoff,0)-IF(A15=russia_recog_yr,russia_recog*$X$78,0)</f>
        <v>0</v>
      </c>
      <c r="Y15" s="117" t="n">
        <f aca="false">V15+E15-W15-X15</f>
        <v>0</v>
      </c>
      <c r="Z15" s="132" t="n">
        <f aca="false">V15*Paths!Z15*Paths!AB15</f>
        <v>0</v>
      </c>
      <c r="AA15" s="117" t="n">
        <f aca="false">O15+T15+Y15</f>
        <v>0</v>
      </c>
      <c r="AB15" s="117" t="n">
        <f aca="false">P15+U15+Z15</f>
        <v>0</v>
      </c>
      <c r="AC15" s="134" t="n">
        <f aca="false">IF(E15=0,0,IF(ISNUMBER('Sources &amp; uses'!$E$29),MAX(0,E15-'Sources &amp; uses'!$E$29),"n.a."))</f>
        <v>0</v>
      </c>
      <c r="AD15" s="132" t="str">
        <f aca="false">IF(E15=0,"No new subscription",IF(ISNUMBER('Sources &amp; uses'!$E$29),"MODEL capacity tested","Unverified"))</f>
        <v>No new subscription</v>
      </c>
    </row>
    <row r="16" customFormat="false" ht="19.5" hidden="false" customHeight="true" outlineLevel="0" collapsed="false">
      <c r="A16" s="121" t="n">
        <v>1856</v>
      </c>
      <c r="B16" s="117" t="n">
        <f aca="false">IF(AND(A16&gt;=1914,A16&lt;=1918),entente_total*CHOOSE(A16-1913,0.05,0.1333,0.2333,0.3,0.2834),0)</f>
        <v>0</v>
      </c>
      <c r="C16" s="132" t="n">
        <f aca="false">IF(AND(A16&gt;=1914,A16&lt;=1918),Loans!L16,0)</f>
        <v>0</v>
      </c>
      <c r="D16" s="132" t="n">
        <f aca="false">Abroad!D16</f>
        <v>0</v>
      </c>
      <c r="E16" s="117" t="n">
        <f aca="false">B16*(1-entente_public-entente_private)</f>
        <v>0</v>
      </c>
      <c r="F16" s="133" t="n">
        <f aca="false">B16-SUM(C16:E16)</f>
        <v>0</v>
      </c>
      <c r="G16" s="117" t="n">
        <f aca="false">B16*uw_fee</f>
        <v>0</v>
      </c>
      <c r="H16" s="117" t="n">
        <f aca="false">B16-G16</f>
        <v>0</v>
      </c>
      <c r="I16" s="132" t="n">
        <f aca="false">H16*'Sources &amp; uses'!$E$31</f>
        <v>0</v>
      </c>
      <c r="J16" s="117" t="n">
        <f aca="false">H16-I16</f>
        <v>0</v>
      </c>
      <c r="K16" s="133" t="n">
        <f aca="false">B16-G16-I16-J16</f>
        <v>0</v>
      </c>
      <c r="L16" s="117" t="n">
        <f aca="false">O15</f>
        <v>0</v>
      </c>
      <c r="M16" s="132" t="n">
        <f aca="false">L16*Paths!AA16</f>
        <v>0</v>
      </c>
      <c r="N16" s="117" t="n">
        <f aca="false">IF(A16=1918,(L16+C16)*russia_writeoff,0)-IF(A16=russia_recog_yr,russia_recog*$N$78,0)</f>
        <v>0</v>
      </c>
      <c r="O16" s="117" t="n">
        <f aca="false">L16+C16-M16-N16</f>
        <v>0</v>
      </c>
      <c r="P16" s="132" t="n">
        <f aca="false">L16*Paths!Z16*Paths!AB16</f>
        <v>0</v>
      </c>
      <c r="Q16" s="117" t="n">
        <f aca="false">T15</f>
        <v>0</v>
      </c>
      <c r="R16" s="132" t="n">
        <f aca="false">Q16*Paths!AA16</f>
        <v>0</v>
      </c>
      <c r="S16" s="117" t="n">
        <f aca="false">IF(A16=1918,(Q16+D16)*russia_writeoff,0)-IF(A16=russia_recog_yr,russia_recog*$S$78,0)</f>
        <v>0</v>
      </c>
      <c r="T16" s="117" t="n">
        <f aca="false">Q16+D16-R16-S16</f>
        <v>0</v>
      </c>
      <c r="U16" s="132" t="n">
        <f aca="false">Q16*Paths!Z16*Paths!AB16</f>
        <v>0</v>
      </c>
      <c r="V16" s="117" t="n">
        <f aca="false">Y15</f>
        <v>0</v>
      </c>
      <c r="W16" s="132" t="n">
        <f aca="false">V16*Paths!AA16</f>
        <v>0</v>
      </c>
      <c r="X16" s="117" t="n">
        <f aca="false">IF(A16=1918,(V16+E16)*russia_writeoff,0)-IF(A16=russia_recog_yr,russia_recog*$X$78,0)</f>
        <v>0</v>
      </c>
      <c r="Y16" s="117" t="n">
        <f aca="false">V16+E16-W16-X16</f>
        <v>0</v>
      </c>
      <c r="Z16" s="132" t="n">
        <f aca="false">V16*Paths!Z16*Paths!AB16</f>
        <v>0</v>
      </c>
      <c r="AA16" s="117" t="n">
        <f aca="false">O16+T16+Y16</f>
        <v>0</v>
      </c>
      <c r="AB16" s="117" t="n">
        <f aca="false">P16+U16+Z16</f>
        <v>0</v>
      </c>
      <c r="AC16" s="134" t="n">
        <f aca="false">IF(E16=0,0,IF(ISNUMBER('Sources &amp; uses'!$E$29),MAX(0,E16-'Sources &amp; uses'!$E$29),"n.a."))</f>
        <v>0</v>
      </c>
      <c r="AD16" s="132" t="str">
        <f aca="false">IF(E16=0,"No new subscription",IF(ISNUMBER('Sources &amp; uses'!$E$29),"MODEL capacity tested","Unverified"))</f>
        <v>No new subscription</v>
      </c>
    </row>
    <row r="17" customFormat="false" ht="19.5" hidden="false" customHeight="true" outlineLevel="0" collapsed="false">
      <c r="A17" s="121" t="n">
        <v>1857</v>
      </c>
      <c r="B17" s="117" t="n">
        <f aca="false">IF(AND(A17&gt;=1914,A17&lt;=1918),entente_total*CHOOSE(A17-1913,0.05,0.1333,0.2333,0.3,0.2834),0)</f>
        <v>0</v>
      </c>
      <c r="C17" s="132" t="n">
        <f aca="false">IF(AND(A17&gt;=1914,A17&lt;=1918),Loans!L17,0)</f>
        <v>0</v>
      </c>
      <c r="D17" s="132" t="n">
        <f aca="false">Abroad!D17</f>
        <v>0</v>
      </c>
      <c r="E17" s="117" t="n">
        <f aca="false">B17*(1-entente_public-entente_private)</f>
        <v>0</v>
      </c>
      <c r="F17" s="133" t="n">
        <f aca="false">B17-SUM(C17:E17)</f>
        <v>0</v>
      </c>
      <c r="G17" s="117" t="n">
        <f aca="false">B17*uw_fee</f>
        <v>0</v>
      </c>
      <c r="H17" s="117" t="n">
        <f aca="false">B17-G17</f>
        <v>0</v>
      </c>
      <c r="I17" s="132" t="n">
        <f aca="false">H17*'Sources &amp; uses'!$E$31</f>
        <v>0</v>
      </c>
      <c r="J17" s="117" t="n">
        <f aca="false">H17-I17</f>
        <v>0</v>
      </c>
      <c r="K17" s="133" t="n">
        <f aca="false">B17-G17-I17-J17</f>
        <v>0</v>
      </c>
      <c r="L17" s="117" t="n">
        <f aca="false">O16</f>
        <v>0</v>
      </c>
      <c r="M17" s="132" t="n">
        <f aca="false">L17*Paths!AA17</f>
        <v>0</v>
      </c>
      <c r="N17" s="117" t="n">
        <f aca="false">IF(A17=1918,(L17+C17)*russia_writeoff,0)-IF(A17=russia_recog_yr,russia_recog*$N$78,0)</f>
        <v>0</v>
      </c>
      <c r="O17" s="117" t="n">
        <f aca="false">L17+C17-M17-N17</f>
        <v>0</v>
      </c>
      <c r="P17" s="132" t="n">
        <f aca="false">L17*Paths!Z17*Paths!AB17</f>
        <v>0</v>
      </c>
      <c r="Q17" s="117" t="n">
        <f aca="false">T16</f>
        <v>0</v>
      </c>
      <c r="R17" s="132" t="n">
        <f aca="false">Q17*Paths!AA17</f>
        <v>0</v>
      </c>
      <c r="S17" s="117" t="n">
        <f aca="false">IF(A17=1918,(Q17+D17)*russia_writeoff,0)-IF(A17=russia_recog_yr,russia_recog*$S$78,0)</f>
        <v>0</v>
      </c>
      <c r="T17" s="117" t="n">
        <f aca="false">Q17+D17-R17-S17</f>
        <v>0</v>
      </c>
      <c r="U17" s="132" t="n">
        <f aca="false">Q17*Paths!Z17*Paths!AB17</f>
        <v>0</v>
      </c>
      <c r="V17" s="117" t="n">
        <f aca="false">Y16</f>
        <v>0</v>
      </c>
      <c r="W17" s="132" t="n">
        <f aca="false">V17*Paths!AA17</f>
        <v>0</v>
      </c>
      <c r="X17" s="117" t="n">
        <f aca="false">IF(A17=1918,(V17+E17)*russia_writeoff,0)-IF(A17=russia_recog_yr,russia_recog*$X$78,0)</f>
        <v>0</v>
      </c>
      <c r="Y17" s="117" t="n">
        <f aca="false">V17+E17-W17-X17</f>
        <v>0</v>
      </c>
      <c r="Z17" s="132" t="n">
        <f aca="false">V17*Paths!Z17*Paths!AB17</f>
        <v>0</v>
      </c>
      <c r="AA17" s="117" t="n">
        <f aca="false">O17+T17+Y17</f>
        <v>0</v>
      </c>
      <c r="AB17" s="117" t="n">
        <f aca="false">P17+U17+Z17</f>
        <v>0</v>
      </c>
      <c r="AC17" s="134" t="n">
        <f aca="false">IF(E17=0,0,IF(ISNUMBER('Sources &amp; uses'!$E$29),MAX(0,E17-'Sources &amp; uses'!$E$29),"n.a."))</f>
        <v>0</v>
      </c>
      <c r="AD17" s="132" t="str">
        <f aca="false">IF(E17=0,"No new subscription",IF(ISNUMBER('Sources &amp; uses'!$E$29),"MODEL capacity tested","Unverified"))</f>
        <v>No new subscription</v>
      </c>
    </row>
    <row r="18" customFormat="false" ht="19.5" hidden="false" customHeight="true" outlineLevel="0" collapsed="false">
      <c r="A18" s="121" t="n">
        <v>1858</v>
      </c>
      <c r="B18" s="117" t="n">
        <f aca="false">IF(AND(A18&gt;=1914,A18&lt;=1918),entente_total*CHOOSE(A18-1913,0.05,0.1333,0.2333,0.3,0.2834),0)</f>
        <v>0</v>
      </c>
      <c r="C18" s="132" t="n">
        <f aca="false">IF(AND(A18&gt;=1914,A18&lt;=1918),Loans!L18,0)</f>
        <v>0</v>
      </c>
      <c r="D18" s="132" t="n">
        <f aca="false">Abroad!D18</f>
        <v>0</v>
      </c>
      <c r="E18" s="117" t="n">
        <f aca="false">B18*(1-entente_public-entente_private)</f>
        <v>0</v>
      </c>
      <c r="F18" s="133" t="n">
        <f aca="false">B18-SUM(C18:E18)</f>
        <v>0</v>
      </c>
      <c r="G18" s="117" t="n">
        <f aca="false">B18*uw_fee</f>
        <v>0</v>
      </c>
      <c r="H18" s="117" t="n">
        <f aca="false">B18-G18</f>
        <v>0</v>
      </c>
      <c r="I18" s="132" t="n">
        <f aca="false">H18*'Sources &amp; uses'!$E$31</f>
        <v>0</v>
      </c>
      <c r="J18" s="117" t="n">
        <f aca="false">H18-I18</f>
        <v>0</v>
      </c>
      <c r="K18" s="133" t="n">
        <f aca="false">B18-G18-I18-J18</f>
        <v>0</v>
      </c>
      <c r="L18" s="117" t="n">
        <f aca="false">O17</f>
        <v>0</v>
      </c>
      <c r="M18" s="132" t="n">
        <f aca="false">L18*Paths!AA18</f>
        <v>0</v>
      </c>
      <c r="N18" s="117" t="n">
        <f aca="false">IF(A18=1918,(L18+C18)*russia_writeoff,0)-IF(A18=russia_recog_yr,russia_recog*$N$78,0)</f>
        <v>0</v>
      </c>
      <c r="O18" s="117" t="n">
        <f aca="false">L18+C18-M18-N18</f>
        <v>0</v>
      </c>
      <c r="P18" s="132" t="n">
        <f aca="false">L18*Paths!Z18*Paths!AB18</f>
        <v>0</v>
      </c>
      <c r="Q18" s="117" t="n">
        <f aca="false">T17</f>
        <v>0</v>
      </c>
      <c r="R18" s="132" t="n">
        <f aca="false">Q18*Paths!AA18</f>
        <v>0</v>
      </c>
      <c r="S18" s="117" t="n">
        <f aca="false">IF(A18=1918,(Q18+D18)*russia_writeoff,0)-IF(A18=russia_recog_yr,russia_recog*$S$78,0)</f>
        <v>0</v>
      </c>
      <c r="T18" s="117" t="n">
        <f aca="false">Q18+D18-R18-S18</f>
        <v>0</v>
      </c>
      <c r="U18" s="132" t="n">
        <f aca="false">Q18*Paths!Z18*Paths!AB18</f>
        <v>0</v>
      </c>
      <c r="V18" s="117" t="n">
        <f aca="false">Y17</f>
        <v>0</v>
      </c>
      <c r="W18" s="132" t="n">
        <f aca="false">V18*Paths!AA18</f>
        <v>0</v>
      </c>
      <c r="X18" s="117" t="n">
        <f aca="false">IF(A18=1918,(V18+E18)*russia_writeoff,0)-IF(A18=russia_recog_yr,russia_recog*$X$78,0)</f>
        <v>0</v>
      </c>
      <c r="Y18" s="117" t="n">
        <f aca="false">V18+E18-W18-X18</f>
        <v>0</v>
      </c>
      <c r="Z18" s="132" t="n">
        <f aca="false">V18*Paths!Z18*Paths!AB18</f>
        <v>0</v>
      </c>
      <c r="AA18" s="117" t="n">
        <f aca="false">O18+T18+Y18</f>
        <v>0</v>
      </c>
      <c r="AB18" s="117" t="n">
        <f aca="false">P18+U18+Z18</f>
        <v>0</v>
      </c>
      <c r="AC18" s="134" t="n">
        <f aca="false">IF(E18=0,0,IF(ISNUMBER('Sources &amp; uses'!$E$29),MAX(0,E18-'Sources &amp; uses'!$E$29),"n.a."))</f>
        <v>0</v>
      </c>
      <c r="AD18" s="132" t="str">
        <f aca="false">IF(E18=0,"No new subscription",IF(ISNUMBER('Sources &amp; uses'!$E$29),"MODEL capacity tested","Unverified"))</f>
        <v>No new subscription</v>
      </c>
    </row>
    <row r="19" customFormat="false" ht="19.5" hidden="false" customHeight="true" outlineLevel="0" collapsed="false">
      <c r="A19" s="121" t="n">
        <v>1859</v>
      </c>
      <c r="B19" s="117" t="n">
        <f aca="false">IF(AND(A19&gt;=1914,A19&lt;=1918),entente_total*CHOOSE(A19-1913,0.05,0.1333,0.2333,0.3,0.2834),0)</f>
        <v>0</v>
      </c>
      <c r="C19" s="132" t="n">
        <f aca="false">IF(AND(A19&gt;=1914,A19&lt;=1918),Loans!L19,0)</f>
        <v>0</v>
      </c>
      <c r="D19" s="132" t="n">
        <f aca="false">Abroad!D19</f>
        <v>0</v>
      </c>
      <c r="E19" s="117" t="n">
        <f aca="false">B19*(1-entente_public-entente_private)</f>
        <v>0</v>
      </c>
      <c r="F19" s="133" t="n">
        <f aca="false">B19-SUM(C19:E19)</f>
        <v>0</v>
      </c>
      <c r="G19" s="117" t="n">
        <f aca="false">B19*uw_fee</f>
        <v>0</v>
      </c>
      <c r="H19" s="117" t="n">
        <f aca="false">B19-G19</f>
        <v>0</v>
      </c>
      <c r="I19" s="132" t="n">
        <f aca="false">H19*'Sources &amp; uses'!$E$31</f>
        <v>0</v>
      </c>
      <c r="J19" s="117" t="n">
        <f aca="false">H19-I19</f>
        <v>0</v>
      </c>
      <c r="K19" s="133" t="n">
        <f aca="false">B19-G19-I19-J19</f>
        <v>0</v>
      </c>
      <c r="L19" s="117" t="n">
        <f aca="false">O18</f>
        <v>0</v>
      </c>
      <c r="M19" s="132" t="n">
        <f aca="false">L19*Paths!AA19</f>
        <v>0</v>
      </c>
      <c r="N19" s="117" t="n">
        <f aca="false">IF(A19=1918,(L19+C19)*russia_writeoff,0)-IF(A19=russia_recog_yr,russia_recog*$N$78,0)</f>
        <v>0</v>
      </c>
      <c r="O19" s="117" t="n">
        <f aca="false">L19+C19-M19-N19</f>
        <v>0</v>
      </c>
      <c r="P19" s="132" t="n">
        <f aca="false">L19*Paths!Z19*Paths!AB19</f>
        <v>0</v>
      </c>
      <c r="Q19" s="117" t="n">
        <f aca="false">T18</f>
        <v>0</v>
      </c>
      <c r="R19" s="132" t="n">
        <f aca="false">Q19*Paths!AA19</f>
        <v>0</v>
      </c>
      <c r="S19" s="117" t="n">
        <f aca="false">IF(A19=1918,(Q19+D19)*russia_writeoff,0)-IF(A19=russia_recog_yr,russia_recog*$S$78,0)</f>
        <v>0</v>
      </c>
      <c r="T19" s="117" t="n">
        <f aca="false">Q19+D19-R19-S19</f>
        <v>0</v>
      </c>
      <c r="U19" s="132" t="n">
        <f aca="false">Q19*Paths!Z19*Paths!AB19</f>
        <v>0</v>
      </c>
      <c r="V19" s="117" t="n">
        <f aca="false">Y18</f>
        <v>0</v>
      </c>
      <c r="W19" s="132" t="n">
        <f aca="false">V19*Paths!AA19</f>
        <v>0</v>
      </c>
      <c r="X19" s="117" t="n">
        <f aca="false">IF(A19=1918,(V19+E19)*russia_writeoff,0)-IF(A19=russia_recog_yr,russia_recog*$X$78,0)</f>
        <v>0</v>
      </c>
      <c r="Y19" s="117" t="n">
        <f aca="false">V19+E19-W19-X19</f>
        <v>0</v>
      </c>
      <c r="Z19" s="132" t="n">
        <f aca="false">V19*Paths!Z19*Paths!AB19</f>
        <v>0</v>
      </c>
      <c r="AA19" s="117" t="n">
        <f aca="false">O19+T19+Y19</f>
        <v>0</v>
      </c>
      <c r="AB19" s="117" t="n">
        <f aca="false">P19+U19+Z19</f>
        <v>0</v>
      </c>
      <c r="AC19" s="134" t="n">
        <f aca="false">IF(E19=0,0,IF(ISNUMBER('Sources &amp; uses'!$E$29),MAX(0,E19-'Sources &amp; uses'!$E$29),"n.a."))</f>
        <v>0</v>
      </c>
      <c r="AD19" s="132" t="str">
        <f aca="false">IF(E19=0,"No new subscription",IF(ISNUMBER('Sources &amp; uses'!$E$29),"MODEL capacity tested","Unverified"))</f>
        <v>No new subscription</v>
      </c>
    </row>
    <row r="20" customFormat="false" ht="19.5" hidden="false" customHeight="true" outlineLevel="0" collapsed="false">
      <c r="A20" s="121" t="n">
        <v>1860</v>
      </c>
      <c r="B20" s="117" t="n">
        <f aca="false">IF(AND(A20&gt;=1914,A20&lt;=1918),entente_total*CHOOSE(A20-1913,0.05,0.1333,0.2333,0.3,0.2834),0)</f>
        <v>0</v>
      </c>
      <c r="C20" s="132" t="n">
        <f aca="false">IF(AND(A20&gt;=1914,A20&lt;=1918),Loans!L20,0)</f>
        <v>0</v>
      </c>
      <c r="D20" s="132" t="n">
        <f aca="false">Abroad!D20</f>
        <v>0</v>
      </c>
      <c r="E20" s="117" t="n">
        <f aca="false">B20*(1-entente_public-entente_private)</f>
        <v>0</v>
      </c>
      <c r="F20" s="133" t="n">
        <f aca="false">B20-SUM(C20:E20)</f>
        <v>0</v>
      </c>
      <c r="G20" s="117" t="n">
        <f aca="false">B20*uw_fee</f>
        <v>0</v>
      </c>
      <c r="H20" s="117" t="n">
        <f aca="false">B20-G20</f>
        <v>0</v>
      </c>
      <c r="I20" s="132" t="n">
        <f aca="false">H20*'Sources &amp; uses'!$E$31</f>
        <v>0</v>
      </c>
      <c r="J20" s="117" t="n">
        <f aca="false">H20-I20</f>
        <v>0</v>
      </c>
      <c r="K20" s="133" t="n">
        <f aca="false">B20-G20-I20-J20</f>
        <v>0</v>
      </c>
      <c r="L20" s="117" t="n">
        <f aca="false">O19</f>
        <v>0</v>
      </c>
      <c r="M20" s="132" t="n">
        <f aca="false">L20*Paths!AA20</f>
        <v>0</v>
      </c>
      <c r="N20" s="117" t="n">
        <f aca="false">IF(A20=1918,(L20+C20)*russia_writeoff,0)-IF(A20=russia_recog_yr,russia_recog*$N$78,0)</f>
        <v>0</v>
      </c>
      <c r="O20" s="117" t="n">
        <f aca="false">L20+C20-M20-N20</f>
        <v>0</v>
      </c>
      <c r="P20" s="132" t="n">
        <f aca="false">L20*Paths!Z20*Paths!AB20</f>
        <v>0</v>
      </c>
      <c r="Q20" s="117" t="n">
        <f aca="false">T19</f>
        <v>0</v>
      </c>
      <c r="R20" s="132" t="n">
        <f aca="false">Q20*Paths!AA20</f>
        <v>0</v>
      </c>
      <c r="S20" s="117" t="n">
        <f aca="false">IF(A20=1918,(Q20+D20)*russia_writeoff,0)-IF(A20=russia_recog_yr,russia_recog*$S$78,0)</f>
        <v>0</v>
      </c>
      <c r="T20" s="117" t="n">
        <f aca="false">Q20+D20-R20-S20</f>
        <v>0</v>
      </c>
      <c r="U20" s="132" t="n">
        <f aca="false">Q20*Paths!Z20*Paths!AB20</f>
        <v>0</v>
      </c>
      <c r="V20" s="117" t="n">
        <f aca="false">Y19</f>
        <v>0</v>
      </c>
      <c r="W20" s="132" t="n">
        <f aca="false">V20*Paths!AA20</f>
        <v>0</v>
      </c>
      <c r="X20" s="117" t="n">
        <f aca="false">IF(A20=1918,(V20+E20)*russia_writeoff,0)-IF(A20=russia_recog_yr,russia_recog*$X$78,0)</f>
        <v>0</v>
      </c>
      <c r="Y20" s="117" t="n">
        <f aca="false">V20+E20-W20-X20</f>
        <v>0</v>
      </c>
      <c r="Z20" s="132" t="n">
        <f aca="false">V20*Paths!Z20*Paths!AB20</f>
        <v>0</v>
      </c>
      <c r="AA20" s="117" t="n">
        <f aca="false">O20+T20+Y20</f>
        <v>0</v>
      </c>
      <c r="AB20" s="117" t="n">
        <f aca="false">P20+U20+Z20</f>
        <v>0</v>
      </c>
      <c r="AC20" s="134" t="n">
        <f aca="false">IF(E20=0,0,IF(ISNUMBER('Sources &amp; uses'!$E$29),MAX(0,E20-'Sources &amp; uses'!$E$29),"n.a."))</f>
        <v>0</v>
      </c>
      <c r="AD20" s="132" t="str">
        <f aca="false">IF(E20=0,"No new subscription",IF(ISNUMBER('Sources &amp; uses'!$E$29),"MODEL capacity tested","Unverified"))</f>
        <v>No new subscription</v>
      </c>
    </row>
    <row r="21" customFormat="false" ht="19.5" hidden="false" customHeight="true" outlineLevel="0" collapsed="false">
      <c r="A21" s="121" t="n">
        <v>1861</v>
      </c>
      <c r="B21" s="117" t="n">
        <f aca="false">IF(AND(A21&gt;=1914,A21&lt;=1918),entente_total*CHOOSE(A21-1913,0.05,0.1333,0.2333,0.3,0.2834),0)</f>
        <v>0</v>
      </c>
      <c r="C21" s="132" t="n">
        <f aca="false">IF(AND(A21&gt;=1914,A21&lt;=1918),Loans!L21,0)</f>
        <v>0</v>
      </c>
      <c r="D21" s="132" t="n">
        <f aca="false">Abroad!D21</f>
        <v>0</v>
      </c>
      <c r="E21" s="117" t="n">
        <f aca="false">B21*(1-entente_public-entente_private)</f>
        <v>0</v>
      </c>
      <c r="F21" s="133" t="n">
        <f aca="false">B21-SUM(C21:E21)</f>
        <v>0</v>
      </c>
      <c r="G21" s="117" t="n">
        <f aca="false">B21*uw_fee</f>
        <v>0</v>
      </c>
      <c r="H21" s="117" t="n">
        <f aca="false">B21-G21</f>
        <v>0</v>
      </c>
      <c r="I21" s="132" t="n">
        <f aca="false">H21*'Sources &amp; uses'!$E$31</f>
        <v>0</v>
      </c>
      <c r="J21" s="117" t="n">
        <f aca="false">H21-I21</f>
        <v>0</v>
      </c>
      <c r="K21" s="133" t="n">
        <f aca="false">B21-G21-I21-J21</f>
        <v>0</v>
      </c>
      <c r="L21" s="117" t="n">
        <f aca="false">O20</f>
        <v>0</v>
      </c>
      <c r="M21" s="132" t="n">
        <f aca="false">L21*Paths!AA21</f>
        <v>0</v>
      </c>
      <c r="N21" s="117" t="n">
        <f aca="false">IF(A21=1918,(L21+C21)*russia_writeoff,0)-IF(A21=russia_recog_yr,russia_recog*$N$78,0)</f>
        <v>0</v>
      </c>
      <c r="O21" s="117" t="n">
        <f aca="false">L21+C21-M21-N21</f>
        <v>0</v>
      </c>
      <c r="P21" s="132" t="n">
        <f aca="false">L21*Paths!Z21*Paths!AB21</f>
        <v>0</v>
      </c>
      <c r="Q21" s="117" t="n">
        <f aca="false">T20</f>
        <v>0</v>
      </c>
      <c r="R21" s="132" t="n">
        <f aca="false">Q21*Paths!AA21</f>
        <v>0</v>
      </c>
      <c r="S21" s="117" t="n">
        <f aca="false">IF(A21=1918,(Q21+D21)*russia_writeoff,0)-IF(A21=russia_recog_yr,russia_recog*$S$78,0)</f>
        <v>0</v>
      </c>
      <c r="T21" s="117" t="n">
        <f aca="false">Q21+D21-R21-S21</f>
        <v>0</v>
      </c>
      <c r="U21" s="132" t="n">
        <f aca="false">Q21*Paths!Z21*Paths!AB21</f>
        <v>0</v>
      </c>
      <c r="V21" s="117" t="n">
        <f aca="false">Y20</f>
        <v>0</v>
      </c>
      <c r="W21" s="132" t="n">
        <f aca="false">V21*Paths!AA21</f>
        <v>0</v>
      </c>
      <c r="X21" s="117" t="n">
        <f aca="false">IF(A21=1918,(V21+E21)*russia_writeoff,0)-IF(A21=russia_recog_yr,russia_recog*$X$78,0)</f>
        <v>0</v>
      </c>
      <c r="Y21" s="117" t="n">
        <f aca="false">V21+E21-W21-X21</f>
        <v>0</v>
      </c>
      <c r="Z21" s="132" t="n">
        <f aca="false">V21*Paths!Z21*Paths!AB21</f>
        <v>0</v>
      </c>
      <c r="AA21" s="117" t="n">
        <f aca="false">O21+T21+Y21</f>
        <v>0</v>
      </c>
      <c r="AB21" s="117" t="n">
        <f aca="false">P21+U21+Z21</f>
        <v>0</v>
      </c>
      <c r="AC21" s="134" t="n">
        <f aca="false">IF(E21=0,0,IF(ISNUMBER('Sources &amp; uses'!$E$29),MAX(0,E21-'Sources &amp; uses'!$E$29),"n.a."))</f>
        <v>0</v>
      </c>
      <c r="AD21" s="132" t="str">
        <f aca="false">IF(E21=0,"No new subscription",IF(ISNUMBER('Sources &amp; uses'!$E$29),"MODEL capacity tested","Unverified"))</f>
        <v>No new subscription</v>
      </c>
    </row>
    <row r="22" customFormat="false" ht="19.5" hidden="false" customHeight="true" outlineLevel="0" collapsed="false">
      <c r="A22" s="121" t="n">
        <v>1862</v>
      </c>
      <c r="B22" s="117" t="n">
        <f aca="false">IF(AND(A22&gt;=1914,A22&lt;=1918),entente_total*CHOOSE(A22-1913,0.05,0.1333,0.2333,0.3,0.2834),0)</f>
        <v>0</v>
      </c>
      <c r="C22" s="132" t="n">
        <f aca="false">IF(AND(A22&gt;=1914,A22&lt;=1918),Loans!L22,0)</f>
        <v>0</v>
      </c>
      <c r="D22" s="132" t="n">
        <f aca="false">Abroad!D22</f>
        <v>0</v>
      </c>
      <c r="E22" s="117" t="n">
        <f aca="false">B22*(1-entente_public-entente_private)</f>
        <v>0</v>
      </c>
      <c r="F22" s="133" t="n">
        <f aca="false">B22-SUM(C22:E22)</f>
        <v>0</v>
      </c>
      <c r="G22" s="117" t="n">
        <f aca="false">B22*uw_fee</f>
        <v>0</v>
      </c>
      <c r="H22" s="117" t="n">
        <f aca="false">B22-G22</f>
        <v>0</v>
      </c>
      <c r="I22" s="132" t="n">
        <f aca="false">H22*'Sources &amp; uses'!$E$31</f>
        <v>0</v>
      </c>
      <c r="J22" s="117" t="n">
        <f aca="false">H22-I22</f>
        <v>0</v>
      </c>
      <c r="K22" s="133" t="n">
        <f aca="false">B22-G22-I22-J22</f>
        <v>0</v>
      </c>
      <c r="L22" s="117" t="n">
        <f aca="false">O21</f>
        <v>0</v>
      </c>
      <c r="M22" s="132" t="n">
        <f aca="false">L22*Paths!AA22</f>
        <v>0</v>
      </c>
      <c r="N22" s="117" t="n">
        <f aca="false">IF(A22=1918,(L22+C22)*russia_writeoff,0)-IF(A22=russia_recog_yr,russia_recog*$N$78,0)</f>
        <v>0</v>
      </c>
      <c r="O22" s="117" t="n">
        <f aca="false">L22+C22-M22-N22</f>
        <v>0</v>
      </c>
      <c r="P22" s="132" t="n">
        <f aca="false">L22*Paths!Z22*Paths!AB22</f>
        <v>0</v>
      </c>
      <c r="Q22" s="117" t="n">
        <f aca="false">T21</f>
        <v>0</v>
      </c>
      <c r="R22" s="132" t="n">
        <f aca="false">Q22*Paths!AA22</f>
        <v>0</v>
      </c>
      <c r="S22" s="117" t="n">
        <f aca="false">IF(A22=1918,(Q22+D22)*russia_writeoff,0)-IF(A22=russia_recog_yr,russia_recog*$S$78,0)</f>
        <v>0</v>
      </c>
      <c r="T22" s="117" t="n">
        <f aca="false">Q22+D22-R22-S22</f>
        <v>0</v>
      </c>
      <c r="U22" s="132" t="n">
        <f aca="false">Q22*Paths!Z22*Paths!AB22</f>
        <v>0</v>
      </c>
      <c r="V22" s="117" t="n">
        <f aca="false">Y21</f>
        <v>0</v>
      </c>
      <c r="W22" s="132" t="n">
        <f aca="false">V22*Paths!AA22</f>
        <v>0</v>
      </c>
      <c r="X22" s="117" t="n">
        <f aca="false">IF(A22=1918,(V22+E22)*russia_writeoff,0)-IF(A22=russia_recog_yr,russia_recog*$X$78,0)</f>
        <v>0</v>
      </c>
      <c r="Y22" s="117" t="n">
        <f aca="false">V22+E22-W22-X22</f>
        <v>0</v>
      </c>
      <c r="Z22" s="132" t="n">
        <f aca="false">V22*Paths!Z22*Paths!AB22</f>
        <v>0</v>
      </c>
      <c r="AA22" s="117" t="n">
        <f aca="false">O22+T22+Y22</f>
        <v>0</v>
      </c>
      <c r="AB22" s="117" t="n">
        <f aca="false">P22+U22+Z22</f>
        <v>0</v>
      </c>
      <c r="AC22" s="134" t="n">
        <f aca="false">IF(E22=0,0,IF(ISNUMBER('Sources &amp; uses'!$E$29),MAX(0,E22-'Sources &amp; uses'!$E$29),"n.a."))</f>
        <v>0</v>
      </c>
      <c r="AD22" s="132" t="str">
        <f aca="false">IF(E22=0,"No new subscription",IF(ISNUMBER('Sources &amp; uses'!$E$29),"MODEL capacity tested","Unverified"))</f>
        <v>No new subscription</v>
      </c>
    </row>
    <row r="23" customFormat="false" ht="19.5" hidden="false" customHeight="true" outlineLevel="0" collapsed="false">
      <c r="A23" s="121" t="n">
        <v>1863</v>
      </c>
      <c r="B23" s="117" t="n">
        <f aca="false">IF(AND(A23&gt;=1914,A23&lt;=1918),entente_total*CHOOSE(A23-1913,0.05,0.1333,0.2333,0.3,0.2834),0)</f>
        <v>0</v>
      </c>
      <c r="C23" s="132" t="n">
        <f aca="false">IF(AND(A23&gt;=1914,A23&lt;=1918),Loans!L23,0)</f>
        <v>0</v>
      </c>
      <c r="D23" s="132" t="n">
        <f aca="false">Abroad!D23</f>
        <v>0</v>
      </c>
      <c r="E23" s="117" t="n">
        <f aca="false">B23*(1-entente_public-entente_private)</f>
        <v>0</v>
      </c>
      <c r="F23" s="133" t="n">
        <f aca="false">B23-SUM(C23:E23)</f>
        <v>0</v>
      </c>
      <c r="G23" s="117" t="n">
        <f aca="false">B23*uw_fee</f>
        <v>0</v>
      </c>
      <c r="H23" s="117" t="n">
        <f aca="false">B23-G23</f>
        <v>0</v>
      </c>
      <c r="I23" s="132" t="n">
        <f aca="false">H23*'Sources &amp; uses'!$E$31</f>
        <v>0</v>
      </c>
      <c r="J23" s="117" t="n">
        <f aca="false">H23-I23</f>
        <v>0</v>
      </c>
      <c r="K23" s="133" t="n">
        <f aca="false">B23-G23-I23-J23</f>
        <v>0</v>
      </c>
      <c r="L23" s="117" t="n">
        <f aca="false">O22</f>
        <v>0</v>
      </c>
      <c r="M23" s="132" t="n">
        <f aca="false">L23*Paths!AA23</f>
        <v>0</v>
      </c>
      <c r="N23" s="117" t="n">
        <f aca="false">IF(A23=1918,(L23+C23)*russia_writeoff,0)-IF(A23=russia_recog_yr,russia_recog*$N$78,0)</f>
        <v>0</v>
      </c>
      <c r="O23" s="117" t="n">
        <f aca="false">L23+C23-M23-N23</f>
        <v>0</v>
      </c>
      <c r="P23" s="132" t="n">
        <f aca="false">L23*Paths!Z23*Paths!AB23</f>
        <v>0</v>
      </c>
      <c r="Q23" s="117" t="n">
        <f aca="false">T22</f>
        <v>0</v>
      </c>
      <c r="R23" s="132" t="n">
        <f aca="false">Q23*Paths!AA23</f>
        <v>0</v>
      </c>
      <c r="S23" s="117" t="n">
        <f aca="false">IF(A23=1918,(Q23+D23)*russia_writeoff,0)-IF(A23=russia_recog_yr,russia_recog*$S$78,0)</f>
        <v>0</v>
      </c>
      <c r="T23" s="117" t="n">
        <f aca="false">Q23+D23-R23-S23</f>
        <v>0</v>
      </c>
      <c r="U23" s="132" t="n">
        <f aca="false">Q23*Paths!Z23*Paths!AB23</f>
        <v>0</v>
      </c>
      <c r="V23" s="117" t="n">
        <f aca="false">Y22</f>
        <v>0</v>
      </c>
      <c r="W23" s="132" t="n">
        <f aca="false">V23*Paths!AA23</f>
        <v>0</v>
      </c>
      <c r="X23" s="117" t="n">
        <f aca="false">IF(A23=1918,(V23+E23)*russia_writeoff,0)-IF(A23=russia_recog_yr,russia_recog*$X$78,0)</f>
        <v>0</v>
      </c>
      <c r="Y23" s="117" t="n">
        <f aca="false">V23+E23-W23-X23</f>
        <v>0</v>
      </c>
      <c r="Z23" s="132" t="n">
        <f aca="false">V23*Paths!Z23*Paths!AB23</f>
        <v>0</v>
      </c>
      <c r="AA23" s="117" t="n">
        <f aca="false">O23+T23+Y23</f>
        <v>0</v>
      </c>
      <c r="AB23" s="117" t="n">
        <f aca="false">P23+U23+Z23</f>
        <v>0</v>
      </c>
      <c r="AC23" s="134" t="n">
        <f aca="false">IF(E23=0,0,IF(ISNUMBER('Sources &amp; uses'!$E$29),MAX(0,E23-'Sources &amp; uses'!$E$29),"n.a."))</f>
        <v>0</v>
      </c>
      <c r="AD23" s="132" t="str">
        <f aca="false">IF(E23=0,"No new subscription",IF(ISNUMBER('Sources &amp; uses'!$E$29),"MODEL capacity tested","Unverified"))</f>
        <v>No new subscription</v>
      </c>
    </row>
    <row r="24" customFormat="false" ht="19.5" hidden="false" customHeight="true" outlineLevel="0" collapsed="false">
      <c r="A24" s="121" t="n">
        <v>1864</v>
      </c>
      <c r="B24" s="117" t="n">
        <f aca="false">IF(AND(A24&gt;=1914,A24&lt;=1918),entente_total*CHOOSE(A24-1913,0.05,0.1333,0.2333,0.3,0.2834),0)</f>
        <v>0</v>
      </c>
      <c r="C24" s="132" t="n">
        <f aca="false">IF(AND(A24&gt;=1914,A24&lt;=1918),Loans!L24,0)</f>
        <v>0</v>
      </c>
      <c r="D24" s="132" t="n">
        <f aca="false">Abroad!D24</f>
        <v>0</v>
      </c>
      <c r="E24" s="117" t="n">
        <f aca="false">B24*(1-entente_public-entente_private)</f>
        <v>0</v>
      </c>
      <c r="F24" s="133" t="n">
        <f aca="false">B24-SUM(C24:E24)</f>
        <v>0</v>
      </c>
      <c r="G24" s="117" t="n">
        <f aca="false">B24*uw_fee</f>
        <v>0</v>
      </c>
      <c r="H24" s="117" t="n">
        <f aca="false">B24-G24</f>
        <v>0</v>
      </c>
      <c r="I24" s="132" t="n">
        <f aca="false">H24*'Sources &amp; uses'!$E$31</f>
        <v>0</v>
      </c>
      <c r="J24" s="117" t="n">
        <f aca="false">H24-I24</f>
        <v>0</v>
      </c>
      <c r="K24" s="133" t="n">
        <f aca="false">B24-G24-I24-J24</f>
        <v>0</v>
      </c>
      <c r="L24" s="117" t="n">
        <f aca="false">O23</f>
        <v>0</v>
      </c>
      <c r="M24" s="132" t="n">
        <f aca="false">L24*Paths!AA24</f>
        <v>0</v>
      </c>
      <c r="N24" s="117" t="n">
        <f aca="false">IF(A24=1918,(L24+C24)*russia_writeoff,0)-IF(A24=russia_recog_yr,russia_recog*$N$78,0)</f>
        <v>0</v>
      </c>
      <c r="O24" s="117" t="n">
        <f aca="false">L24+C24-M24-N24</f>
        <v>0</v>
      </c>
      <c r="P24" s="132" t="n">
        <f aca="false">L24*Paths!Z24*Paths!AB24</f>
        <v>0</v>
      </c>
      <c r="Q24" s="117" t="n">
        <f aca="false">T23</f>
        <v>0</v>
      </c>
      <c r="R24" s="132" t="n">
        <f aca="false">Q24*Paths!AA24</f>
        <v>0</v>
      </c>
      <c r="S24" s="117" t="n">
        <f aca="false">IF(A24=1918,(Q24+D24)*russia_writeoff,0)-IF(A24=russia_recog_yr,russia_recog*$S$78,0)</f>
        <v>0</v>
      </c>
      <c r="T24" s="117" t="n">
        <f aca="false">Q24+D24-R24-S24</f>
        <v>0</v>
      </c>
      <c r="U24" s="132" t="n">
        <f aca="false">Q24*Paths!Z24*Paths!AB24</f>
        <v>0</v>
      </c>
      <c r="V24" s="117" t="n">
        <f aca="false">Y23</f>
        <v>0</v>
      </c>
      <c r="W24" s="132" t="n">
        <f aca="false">V24*Paths!AA24</f>
        <v>0</v>
      </c>
      <c r="X24" s="117" t="n">
        <f aca="false">IF(A24=1918,(V24+E24)*russia_writeoff,0)-IF(A24=russia_recog_yr,russia_recog*$X$78,0)</f>
        <v>0</v>
      </c>
      <c r="Y24" s="117" t="n">
        <f aca="false">V24+E24-W24-X24</f>
        <v>0</v>
      </c>
      <c r="Z24" s="132" t="n">
        <f aca="false">V24*Paths!Z24*Paths!AB24</f>
        <v>0</v>
      </c>
      <c r="AA24" s="117" t="n">
        <f aca="false">O24+T24+Y24</f>
        <v>0</v>
      </c>
      <c r="AB24" s="117" t="n">
        <f aca="false">P24+U24+Z24</f>
        <v>0</v>
      </c>
      <c r="AC24" s="134" t="n">
        <f aca="false">IF(E24=0,0,IF(ISNUMBER('Sources &amp; uses'!$E$29),MAX(0,E24-'Sources &amp; uses'!$E$29),"n.a."))</f>
        <v>0</v>
      </c>
      <c r="AD24" s="132" t="str">
        <f aca="false">IF(E24=0,"No new subscription",IF(ISNUMBER('Sources &amp; uses'!$E$29),"MODEL capacity tested","Unverified"))</f>
        <v>No new subscription</v>
      </c>
    </row>
    <row r="25" customFormat="false" ht="19.5" hidden="false" customHeight="true" outlineLevel="0" collapsed="false">
      <c r="A25" s="121" t="n">
        <v>1865</v>
      </c>
      <c r="B25" s="117" t="n">
        <f aca="false">IF(AND(A25&gt;=1914,A25&lt;=1918),entente_total*CHOOSE(A25-1913,0.05,0.1333,0.2333,0.3,0.2834),0)</f>
        <v>0</v>
      </c>
      <c r="C25" s="132" t="n">
        <f aca="false">IF(AND(A25&gt;=1914,A25&lt;=1918),Loans!L25,0)</f>
        <v>0</v>
      </c>
      <c r="D25" s="132" t="n">
        <f aca="false">Abroad!D25</f>
        <v>0</v>
      </c>
      <c r="E25" s="117" t="n">
        <f aca="false">B25*(1-entente_public-entente_private)</f>
        <v>0</v>
      </c>
      <c r="F25" s="133" t="n">
        <f aca="false">B25-SUM(C25:E25)</f>
        <v>0</v>
      </c>
      <c r="G25" s="117" t="n">
        <f aca="false">B25*uw_fee</f>
        <v>0</v>
      </c>
      <c r="H25" s="117" t="n">
        <f aca="false">B25-G25</f>
        <v>0</v>
      </c>
      <c r="I25" s="132" t="n">
        <f aca="false">H25*'Sources &amp; uses'!$E$31</f>
        <v>0</v>
      </c>
      <c r="J25" s="117" t="n">
        <f aca="false">H25-I25</f>
        <v>0</v>
      </c>
      <c r="K25" s="133" t="n">
        <f aca="false">B25-G25-I25-J25</f>
        <v>0</v>
      </c>
      <c r="L25" s="117" t="n">
        <f aca="false">O24</f>
        <v>0</v>
      </c>
      <c r="M25" s="132" t="n">
        <f aca="false">L25*Paths!AA25</f>
        <v>0</v>
      </c>
      <c r="N25" s="117" t="n">
        <f aca="false">IF(A25=1918,(L25+C25)*russia_writeoff,0)-IF(A25=russia_recog_yr,russia_recog*$N$78,0)</f>
        <v>0</v>
      </c>
      <c r="O25" s="117" t="n">
        <f aca="false">L25+C25-M25-N25</f>
        <v>0</v>
      </c>
      <c r="P25" s="132" t="n">
        <f aca="false">L25*Paths!Z25*Paths!AB25</f>
        <v>0</v>
      </c>
      <c r="Q25" s="117" t="n">
        <f aca="false">T24</f>
        <v>0</v>
      </c>
      <c r="R25" s="132" t="n">
        <f aca="false">Q25*Paths!AA25</f>
        <v>0</v>
      </c>
      <c r="S25" s="117" t="n">
        <f aca="false">IF(A25=1918,(Q25+D25)*russia_writeoff,0)-IF(A25=russia_recog_yr,russia_recog*$S$78,0)</f>
        <v>0</v>
      </c>
      <c r="T25" s="117" t="n">
        <f aca="false">Q25+D25-R25-S25</f>
        <v>0</v>
      </c>
      <c r="U25" s="132" t="n">
        <f aca="false">Q25*Paths!Z25*Paths!AB25</f>
        <v>0</v>
      </c>
      <c r="V25" s="117" t="n">
        <f aca="false">Y24</f>
        <v>0</v>
      </c>
      <c r="W25" s="132" t="n">
        <f aca="false">V25*Paths!AA25</f>
        <v>0</v>
      </c>
      <c r="X25" s="117" t="n">
        <f aca="false">IF(A25=1918,(V25+E25)*russia_writeoff,0)-IF(A25=russia_recog_yr,russia_recog*$X$78,0)</f>
        <v>0</v>
      </c>
      <c r="Y25" s="117" t="n">
        <f aca="false">V25+E25-W25-X25</f>
        <v>0</v>
      </c>
      <c r="Z25" s="132" t="n">
        <f aca="false">V25*Paths!Z25*Paths!AB25</f>
        <v>0</v>
      </c>
      <c r="AA25" s="117" t="n">
        <f aca="false">O25+T25+Y25</f>
        <v>0</v>
      </c>
      <c r="AB25" s="117" t="n">
        <f aca="false">P25+U25+Z25</f>
        <v>0</v>
      </c>
      <c r="AC25" s="134" t="n">
        <f aca="false">IF(E25=0,0,IF(ISNUMBER('Sources &amp; uses'!$E$29),MAX(0,E25-'Sources &amp; uses'!$E$29),"n.a."))</f>
        <v>0</v>
      </c>
      <c r="AD25" s="132" t="str">
        <f aca="false">IF(E25=0,"No new subscription",IF(ISNUMBER('Sources &amp; uses'!$E$29),"MODEL capacity tested","Unverified"))</f>
        <v>No new subscription</v>
      </c>
    </row>
    <row r="26" customFormat="false" ht="19.5" hidden="false" customHeight="true" outlineLevel="0" collapsed="false">
      <c r="A26" s="121" t="n">
        <v>1866</v>
      </c>
      <c r="B26" s="117" t="n">
        <f aca="false">IF(AND(A26&gt;=1914,A26&lt;=1918),entente_total*CHOOSE(A26-1913,0.05,0.1333,0.2333,0.3,0.2834),0)</f>
        <v>0</v>
      </c>
      <c r="C26" s="132" t="n">
        <f aca="false">IF(AND(A26&gt;=1914,A26&lt;=1918),Loans!L26,0)</f>
        <v>0</v>
      </c>
      <c r="D26" s="132" t="n">
        <f aca="false">Abroad!D26</f>
        <v>0</v>
      </c>
      <c r="E26" s="117" t="n">
        <f aca="false">B26*(1-entente_public-entente_private)</f>
        <v>0</v>
      </c>
      <c r="F26" s="133" t="n">
        <f aca="false">B26-SUM(C26:E26)</f>
        <v>0</v>
      </c>
      <c r="G26" s="117" t="n">
        <f aca="false">B26*uw_fee</f>
        <v>0</v>
      </c>
      <c r="H26" s="117" t="n">
        <f aca="false">B26-G26</f>
        <v>0</v>
      </c>
      <c r="I26" s="132" t="n">
        <f aca="false">H26*'Sources &amp; uses'!$E$31</f>
        <v>0</v>
      </c>
      <c r="J26" s="117" t="n">
        <f aca="false">H26-I26</f>
        <v>0</v>
      </c>
      <c r="K26" s="133" t="n">
        <f aca="false">B26-G26-I26-J26</f>
        <v>0</v>
      </c>
      <c r="L26" s="117" t="n">
        <f aca="false">O25</f>
        <v>0</v>
      </c>
      <c r="M26" s="132" t="n">
        <f aca="false">L26*Paths!AA26</f>
        <v>0</v>
      </c>
      <c r="N26" s="117" t="n">
        <f aca="false">IF(A26=1918,(L26+C26)*russia_writeoff,0)-IF(A26=russia_recog_yr,russia_recog*$N$78,0)</f>
        <v>0</v>
      </c>
      <c r="O26" s="117" t="n">
        <f aca="false">L26+C26-M26-N26</f>
        <v>0</v>
      </c>
      <c r="P26" s="132" t="n">
        <f aca="false">L26*Paths!Z26*Paths!AB26</f>
        <v>0</v>
      </c>
      <c r="Q26" s="117" t="n">
        <f aca="false">T25</f>
        <v>0</v>
      </c>
      <c r="R26" s="132" t="n">
        <f aca="false">Q26*Paths!AA26</f>
        <v>0</v>
      </c>
      <c r="S26" s="117" t="n">
        <f aca="false">IF(A26=1918,(Q26+D26)*russia_writeoff,0)-IF(A26=russia_recog_yr,russia_recog*$S$78,0)</f>
        <v>0</v>
      </c>
      <c r="T26" s="117" t="n">
        <f aca="false">Q26+D26-R26-S26</f>
        <v>0</v>
      </c>
      <c r="U26" s="132" t="n">
        <f aca="false">Q26*Paths!Z26*Paths!AB26</f>
        <v>0</v>
      </c>
      <c r="V26" s="117" t="n">
        <f aca="false">Y25</f>
        <v>0</v>
      </c>
      <c r="W26" s="132" t="n">
        <f aca="false">V26*Paths!AA26</f>
        <v>0</v>
      </c>
      <c r="X26" s="117" t="n">
        <f aca="false">IF(A26=1918,(V26+E26)*russia_writeoff,0)-IF(A26=russia_recog_yr,russia_recog*$X$78,0)</f>
        <v>0</v>
      </c>
      <c r="Y26" s="117" t="n">
        <f aca="false">V26+E26-W26-X26</f>
        <v>0</v>
      </c>
      <c r="Z26" s="132" t="n">
        <f aca="false">V26*Paths!Z26*Paths!AB26</f>
        <v>0</v>
      </c>
      <c r="AA26" s="117" t="n">
        <f aca="false">O26+T26+Y26</f>
        <v>0</v>
      </c>
      <c r="AB26" s="117" t="n">
        <f aca="false">P26+U26+Z26</f>
        <v>0</v>
      </c>
      <c r="AC26" s="134" t="n">
        <f aca="false">IF(E26=0,0,IF(ISNUMBER('Sources &amp; uses'!$E$29),MAX(0,E26-'Sources &amp; uses'!$E$29),"n.a."))</f>
        <v>0</v>
      </c>
      <c r="AD26" s="132" t="str">
        <f aca="false">IF(E26=0,"No new subscription",IF(ISNUMBER('Sources &amp; uses'!$E$29),"MODEL capacity tested","Unverified"))</f>
        <v>No new subscription</v>
      </c>
    </row>
    <row r="27" customFormat="false" ht="19.5" hidden="false" customHeight="true" outlineLevel="0" collapsed="false">
      <c r="A27" s="121" t="n">
        <v>1867</v>
      </c>
      <c r="B27" s="117" t="n">
        <f aca="false">IF(AND(A27&gt;=1914,A27&lt;=1918),entente_total*CHOOSE(A27-1913,0.05,0.1333,0.2333,0.3,0.2834),0)</f>
        <v>0</v>
      </c>
      <c r="C27" s="132" t="n">
        <f aca="false">IF(AND(A27&gt;=1914,A27&lt;=1918),Loans!L27,0)</f>
        <v>0</v>
      </c>
      <c r="D27" s="132" t="n">
        <f aca="false">Abroad!D27</f>
        <v>0</v>
      </c>
      <c r="E27" s="117" t="n">
        <f aca="false">B27*(1-entente_public-entente_private)</f>
        <v>0</v>
      </c>
      <c r="F27" s="133" t="n">
        <f aca="false">B27-SUM(C27:E27)</f>
        <v>0</v>
      </c>
      <c r="G27" s="117" t="n">
        <f aca="false">B27*uw_fee</f>
        <v>0</v>
      </c>
      <c r="H27" s="117" t="n">
        <f aca="false">B27-G27</f>
        <v>0</v>
      </c>
      <c r="I27" s="132" t="n">
        <f aca="false">H27*'Sources &amp; uses'!$E$31</f>
        <v>0</v>
      </c>
      <c r="J27" s="117" t="n">
        <f aca="false">H27-I27</f>
        <v>0</v>
      </c>
      <c r="K27" s="133" t="n">
        <f aca="false">B27-G27-I27-J27</f>
        <v>0</v>
      </c>
      <c r="L27" s="117" t="n">
        <f aca="false">O26</f>
        <v>0</v>
      </c>
      <c r="M27" s="132" t="n">
        <f aca="false">L27*Paths!AA27</f>
        <v>0</v>
      </c>
      <c r="N27" s="117" t="n">
        <f aca="false">IF(A27=1918,(L27+C27)*russia_writeoff,0)-IF(A27=russia_recog_yr,russia_recog*$N$78,0)</f>
        <v>0</v>
      </c>
      <c r="O27" s="117" t="n">
        <f aca="false">L27+C27-M27-N27</f>
        <v>0</v>
      </c>
      <c r="P27" s="132" t="n">
        <f aca="false">L27*Paths!Z27*Paths!AB27</f>
        <v>0</v>
      </c>
      <c r="Q27" s="117" t="n">
        <f aca="false">T26</f>
        <v>0</v>
      </c>
      <c r="R27" s="132" t="n">
        <f aca="false">Q27*Paths!AA27</f>
        <v>0</v>
      </c>
      <c r="S27" s="117" t="n">
        <f aca="false">IF(A27=1918,(Q27+D27)*russia_writeoff,0)-IF(A27=russia_recog_yr,russia_recog*$S$78,0)</f>
        <v>0</v>
      </c>
      <c r="T27" s="117" t="n">
        <f aca="false">Q27+D27-R27-S27</f>
        <v>0</v>
      </c>
      <c r="U27" s="132" t="n">
        <f aca="false">Q27*Paths!Z27*Paths!AB27</f>
        <v>0</v>
      </c>
      <c r="V27" s="117" t="n">
        <f aca="false">Y26</f>
        <v>0</v>
      </c>
      <c r="W27" s="132" t="n">
        <f aca="false">V27*Paths!AA27</f>
        <v>0</v>
      </c>
      <c r="X27" s="117" t="n">
        <f aca="false">IF(A27=1918,(V27+E27)*russia_writeoff,0)-IF(A27=russia_recog_yr,russia_recog*$X$78,0)</f>
        <v>0</v>
      </c>
      <c r="Y27" s="117" t="n">
        <f aca="false">V27+E27-W27-X27</f>
        <v>0</v>
      </c>
      <c r="Z27" s="132" t="n">
        <f aca="false">V27*Paths!Z27*Paths!AB27</f>
        <v>0</v>
      </c>
      <c r="AA27" s="117" t="n">
        <f aca="false">O27+T27+Y27</f>
        <v>0</v>
      </c>
      <c r="AB27" s="117" t="n">
        <f aca="false">P27+U27+Z27</f>
        <v>0</v>
      </c>
      <c r="AC27" s="134" t="n">
        <f aca="false">IF(E27=0,0,IF(ISNUMBER('Sources &amp; uses'!$E$29),MAX(0,E27-'Sources &amp; uses'!$E$29),"n.a."))</f>
        <v>0</v>
      </c>
      <c r="AD27" s="132" t="str">
        <f aca="false">IF(E27=0,"No new subscription",IF(ISNUMBER('Sources &amp; uses'!$E$29),"MODEL capacity tested","Unverified"))</f>
        <v>No new subscription</v>
      </c>
    </row>
    <row r="28" customFormat="false" ht="19.5" hidden="false" customHeight="true" outlineLevel="0" collapsed="false">
      <c r="A28" s="121" t="n">
        <v>1868</v>
      </c>
      <c r="B28" s="117" t="n">
        <f aca="false">IF(AND(A28&gt;=1914,A28&lt;=1918),entente_total*CHOOSE(A28-1913,0.05,0.1333,0.2333,0.3,0.2834),0)</f>
        <v>0</v>
      </c>
      <c r="C28" s="132" t="n">
        <f aca="false">IF(AND(A28&gt;=1914,A28&lt;=1918),Loans!L28,0)</f>
        <v>0</v>
      </c>
      <c r="D28" s="132" t="n">
        <f aca="false">Abroad!D28</f>
        <v>0</v>
      </c>
      <c r="E28" s="117" t="n">
        <f aca="false">B28*(1-entente_public-entente_private)</f>
        <v>0</v>
      </c>
      <c r="F28" s="133" t="n">
        <f aca="false">B28-SUM(C28:E28)</f>
        <v>0</v>
      </c>
      <c r="G28" s="117" t="n">
        <f aca="false">B28*uw_fee</f>
        <v>0</v>
      </c>
      <c r="H28" s="117" t="n">
        <f aca="false">B28-G28</f>
        <v>0</v>
      </c>
      <c r="I28" s="132" t="n">
        <f aca="false">H28*'Sources &amp; uses'!$E$31</f>
        <v>0</v>
      </c>
      <c r="J28" s="117" t="n">
        <f aca="false">H28-I28</f>
        <v>0</v>
      </c>
      <c r="K28" s="133" t="n">
        <f aca="false">B28-G28-I28-J28</f>
        <v>0</v>
      </c>
      <c r="L28" s="117" t="n">
        <f aca="false">O27</f>
        <v>0</v>
      </c>
      <c r="M28" s="132" t="n">
        <f aca="false">L28*Paths!AA28</f>
        <v>0</v>
      </c>
      <c r="N28" s="117" t="n">
        <f aca="false">IF(A28=1918,(L28+C28)*russia_writeoff,0)-IF(A28=russia_recog_yr,russia_recog*$N$78,0)</f>
        <v>0</v>
      </c>
      <c r="O28" s="117" t="n">
        <f aca="false">L28+C28-M28-N28</f>
        <v>0</v>
      </c>
      <c r="P28" s="132" t="n">
        <f aca="false">L28*Paths!Z28*Paths!AB28</f>
        <v>0</v>
      </c>
      <c r="Q28" s="117" t="n">
        <f aca="false">T27</f>
        <v>0</v>
      </c>
      <c r="R28" s="132" t="n">
        <f aca="false">Q28*Paths!AA28</f>
        <v>0</v>
      </c>
      <c r="S28" s="117" t="n">
        <f aca="false">IF(A28=1918,(Q28+D28)*russia_writeoff,0)-IF(A28=russia_recog_yr,russia_recog*$S$78,0)</f>
        <v>0</v>
      </c>
      <c r="T28" s="117" t="n">
        <f aca="false">Q28+D28-R28-S28</f>
        <v>0</v>
      </c>
      <c r="U28" s="132" t="n">
        <f aca="false">Q28*Paths!Z28*Paths!AB28</f>
        <v>0</v>
      </c>
      <c r="V28" s="117" t="n">
        <f aca="false">Y27</f>
        <v>0</v>
      </c>
      <c r="W28" s="132" t="n">
        <f aca="false">V28*Paths!AA28</f>
        <v>0</v>
      </c>
      <c r="X28" s="117" t="n">
        <f aca="false">IF(A28=1918,(V28+E28)*russia_writeoff,0)-IF(A28=russia_recog_yr,russia_recog*$X$78,0)</f>
        <v>0</v>
      </c>
      <c r="Y28" s="117" t="n">
        <f aca="false">V28+E28-W28-X28</f>
        <v>0</v>
      </c>
      <c r="Z28" s="132" t="n">
        <f aca="false">V28*Paths!Z28*Paths!AB28</f>
        <v>0</v>
      </c>
      <c r="AA28" s="117" t="n">
        <f aca="false">O28+T28+Y28</f>
        <v>0</v>
      </c>
      <c r="AB28" s="117" t="n">
        <f aca="false">P28+U28+Z28</f>
        <v>0</v>
      </c>
      <c r="AC28" s="134" t="n">
        <f aca="false">IF(E28=0,0,IF(ISNUMBER('Sources &amp; uses'!$E$29),MAX(0,E28-'Sources &amp; uses'!$E$29),"n.a."))</f>
        <v>0</v>
      </c>
      <c r="AD28" s="132" t="str">
        <f aca="false">IF(E28=0,"No new subscription",IF(ISNUMBER('Sources &amp; uses'!$E$29),"MODEL capacity tested","Unverified"))</f>
        <v>No new subscription</v>
      </c>
    </row>
    <row r="29" customFormat="false" ht="19.5" hidden="false" customHeight="true" outlineLevel="0" collapsed="false">
      <c r="A29" s="121" t="n">
        <v>1869</v>
      </c>
      <c r="B29" s="117" t="n">
        <f aca="false">IF(AND(A29&gt;=1914,A29&lt;=1918),entente_total*CHOOSE(A29-1913,0.05,0.1333,0.2333,0.3,0.2834),0)</f>
        <v>0</v>
      </c>
      <c r="C29" s="132" t="n">
        <f aca="false">IF(AND(A29&gt;=1914,A29&lt;=1918),Loans!L29,0)</f>
        <v>0</v>
      </c>
      <c r="D29" s="132" t="n">
        <f aca="false">Abroad!D29</f>
        <v>0</v>
      </c>
      <c r="E29" s="117" t="n">
        <f aca="false">B29*(1-entente_public-entente_private)</f>
        <v>0</v>
      </c>
      <c r="F29" s="133" t="n">
        <f aca="false">B29-SUM(C29:E29)</f>
        <v>0</v>
      </c>
      <c r="G29" s="117" t="n">
        <f aca="false">B29*uw_fee</f>
        <v>0</v>
      </c>
      <c r="H29" s="117" t="n">
        <f aca="false">B29-G29</f>
        <v>0</v>
      </c>
      <c r="I29" s="132" t="n">
        <f aca="false">H29*'Sources &amp; uses'!$E$31</f>
        <v>0</v>
      </c>
      <c r="J29" s="117" t="n">
        <f aca="false">H29-I29</f>
        <v>0</v>
      </c>
      <c r="K29" s="133" t="n">
        <f aca="false">B29-G29-I29-J29</f>
        <v>0</v>
      </c>
      <c r="L29" s="117" t="n">
        <f aca="false">O28</f>
        <v>0</v>
      </c>
      <c r="M29" s="132" t="n">
        <f aca="false">L29*Paths!AA29</f>
        <v>0</v>
      </c>
      <c r="N29" s="117" t="n">
        <f aca="false">IF(A29=1918,(L29+C29)*russia_writeoff,0)-IF(A29=russia_recog_yr,russia_recog*$N$78,0)</f>
        <v>0</v>
      </c>
      <c r="O29" s="117" t="n">
        <f aca="false">L29+C29-M29-N29</f>
        <v>0</v>
      </c>
      <c r="P29" s="132" t="n">
        <f aca="false">L29*Paths!Z29*Paths!AB29</f>
        <v>0</v>
      </c>
      <c r="Q29" s="117" t="n">
        <f aca="false">T28</f>
        <v>0</v>
      </c>
      <c r="R29" s="132" t="n">
        <f aca="false">Q29*Paths!AA29</f>
        <v>0</v>
      </c>
      <c r="S29" s="117" t="n">
        <f aca="false">IF(A29=1918,(Q29+D29)*russia_writeoff,0)-IF(A29=russia_recog_yr,russia_recog*$S$78,0)</f>
        <v>0</v>
      </c>
      <c r="T29" s="117" t="n">
        <f aca="false">Q29+D29-R29-S29</f>
        <v>0</v>
      </c>
      <c r="U29" s="132" t="n">
        <f aca="false">Q29*Paths!Z29*Paths!AB29</f>
        <v>0</v>
      </c>
      <c r="V29" s="117" t="n">
        <f aca="false">Y28</f>
        <v>0</v>
      </c>
      <c r="W29" s="132" t="n">
        <f aca="false">V29*Paths!AA29</f>
        <v>0</v>
      </c>
      <c r="X29" s="117" t="n">
        <f aca="false">IF(A29=1918,(V29+E29)*russia_writeoff,0)-IF(A29=russia_recog_yr,russia_recog*$X$78,0)</f>
        <v>0</v>
      </c>
      <c r="Y29" s="117" t="n">
        <f aca="false">V29+E29-W29-X29</f>
        <v>0</v>
      </c>
      <c r="Z29" s="132" t="n">
        <f aca="false">V29*Paths!Z29*Paths!AB29</f>
        <v>0</v>
      </c>
      <c r="AA29" s="117" t="n">
        <f aca="false">O29+T29+Y29</f>
        <v>0</v>
      </c>
      <c r="AB29" s="117" t="n">
        <f aca="false">P29+U29+Z29</f>
        <v>0</v>
      </c>
      <c r="AC29" s="134" t="n">
        <f aca="false">IF(E29=0,0,IF(ISNUMBER('Sources &amp; uses'!$E$29),MAX(0,E29-'Sources &amp; uses'!$E$29),"n.a."))</f>
        <v>0</v>
      </c>
      <c r="AD29" s="132" t="str">
        <f aca="false">IF(E29=0,"No new subscription",IF(ISNUMBER('Sources &amp; uses'!$E$29),"MODEL capacity tested","Unverified"))</f>
        <v>No new subscription</v>
      </c>
    </row>
    <row r="30" customFormat="false" ht="19.5" hidden="false" customHeight="true" outlineLevel="0" collapsed="false">
      <c r="A30" s="121" t="n">
        <v>1870</v>
      </c>
      <c r="B30" s="117" t="n">
        <f aca="false">IF(AND(A30&gt;=1914,A30&lt;=1918),entente_total*CHOOSE(A30-1913,0.05,0.1333,0.2333,0.3,0.2834),0)</f>
        <v>0</v>
      </c>
      <c r="C30" s="132" t="n">
        <f aca="false">IF(AND(A30&gt;=1914,A30&lt;=1918),Loans!L30,0)</f>
        <v>0</v>
      </c>
      <c r="D30" s="132" t="n">
        <f aca="false">Abroad!D30</f>
        <v>0</v>
      </c>
      <c r="E30" s="117" t="n">
        <f aca="false">B30*(1-entente_public-entente_private)</f>
        <v>0</v>
      </c>
      <c r="F30" s="133" t="n">
        <f aca="false">B30-SUM(C30:E30)</f>
        <v>0</v>
      </c>
      <c r="G30" s="117" t="n">
        <f aca="false">B30*uw_fee</f>
        <v>0</v>
      </c>
      <c r="H30" s="117" t="n">
        <f aca="false">B30-G30</f>
        <v>0</v>
      </c>
      <c r="I30" s="132" t="n">
        <f aca="false">H30*'Sources &amp; uses'!$E$31</f>
        <v>0</v>
      </c>
      <c r="J30" s="117" t="n">
        <f aca="false">H30-I30</f>
        <v>0</v>
      </c>
      <c r="K30" s="133" t="n">
        <f aca="false">B30-G30-I30-J30</f>
        <v>0</v>
      </c>
      <c r="L30" s="117" t="n">
        <f aca="false">O29</f>
        <v>0</v>
      </c>
      <c r="M30" s="132" t="n">
        <f aca="false">L30*Paths!AA30</f>
        <v>0</v>
      </c>
      <c r="N30" s="117" t="n">
        <f aca="false">IF(A30=1918,(L30+C30)*russia_writeoff,0)-IF(A30=russia_recog_yr,russia_recog*$N$78,0)</f>
        <v>0</v>
      </c>
      <c r="O30" s="117" t="n">
        <f aca="false">L30+C30-M30-N30</f>
        <v>0</v>
      </c>
      <c r="P30" s="132" t="n">
        <f aca="false">L30*Paths!Z30*Paths!AB30</f>
        <v>0</v>
      </c>
      <c r="Q30" s="117" t="n">
        <f aca="false">T29</f>
        <v>0</v>
      </c>
      <c r="R30" s="132" t="n">
        <f aca="false">Q30*Paths!AA30</f>
        <v>0</v>
      </c>
      <c r="S30" s="117" t="n">
        <f aca="false">IF(A30=1918,(Q30+D30)*russia_writeoff,0)-IF(A30=russia_recog_yr,russia_recog*$S$78,0)</f>
        <v>0</v>
      </c>
      <c r="T30" s="117" t="n">
        <f aca="false">Q30+D30-R30-S30</f>
        <v>0</v>
      </c>
      <c r="U30" s="132" t="n">
        <f aca="false">Q30*Paths!Z30*Paths!AB30</f>
        <v>0</v>
      </c>
      <c r="V30" s="117" t="n">
        <f aca="false">Y29</f>
        <v>0</v>
      </c>
      <c r="W30" s="132" t="n">
        <f aca="false">V30*Paths!AA30</f>
        <v>0</v>
      </c>
      <c r="X30" s="117" t="n">
        <f aca="false">IF(A30=1918,(V30+E30)*russia_writeoff,0)-IF(A30=russia_recog_yr,russia_recog*$X$78,0)</f>
        <v>0</v>
      </c>
      <c r="Y30" s="117" t="n">
        <f aca="false">V30+E30-W30-X30</f>
        <v>0</v>
      </c>
      <c r="Z30" s="132" t="n">
        <f aca="false">V30*Paths!Z30*Paths!AB30</f>
        <v>0</v>
      </c>
      <c r="AA30" s="117" t="n">
        <f aca="false">O30+T30+Y30</f>
        <v>0</v>
      </c>
      <c r="AB30" s="117" t="n">
        <f aca="false">P30+U30+Z30</f>
        <v>0</v>
      </c>
      <c r="AC30" s="134" t="n">
        <f aca="false">IF(E30=0,0,IF(ISNUMBER('Sources &amp; uses'!$E$29),MAX(0,E30-'Sources &amp; uses'!$E$29),"n.a."))</f>
        <v>0</v>
      </c>
      <c r="AD30" s="132" t="str">
        <f aca="false">IF(E30=0,"No new subscription",IF(ISNUMBER('Sources &amp; uses'!$E$29),"MODEL capacity tested","Unverified"))</f>
        <v>No new subscription</v>
      </c>
    </row>
    <row r="31" customFormat="false" ht="19.5" hidden="false" customHeight="true" outlineLevel="0" collapsed="false">
      <c r="A31" s="121" t="n">
        <v>1871</v>
      </c>
      <c r="B31" s="117" t="n">
        <f aca="false">IF(AND(A31&gt;=1914,A31&lt;=1918),entente_total*CHOOSE(A31-1913,0.05,0.1333,0.2333,0.3,0.2834),0)</f>
        <v>0</v>
      </c>
      <c r="C31" s="132" t="n">
        <f aca="false">IF(AND(A31&gt;=1914,A31&lt;=1918),Loans!L31,0)</f>
        <v>0</v>
      </c>
      <c r="D31" s="132" t="n">
        <f aca="false">Abroad!D31</f>
        <v>0</v>
      </c>
      <c r="E31" s="117" t="n">
        <f aca="false">B31*(1-entente_public-entente_private)</f>
        <v>0</v>
      </c>
      <c r="F31" s="133" t="n">
        <f aca="false">B31-SUM(C31:E31)</f>
        <v>0</v>
      </c>
      <c r="G31" s="117" t="n">
        <f aca="false">B31*uw_fee</f>
        <v>0</v>
      </c>
      <c r="H31" s="117" t="n">
        <f aca="false">B31-G31</f>
        <v>0</v>
      </c>
      <c r="I31" s="132" t="n">
        <f aca="false">H31*'Sources &amp; uses'!$E$31</f>
        <v>0</v>
      </c>
      <c r="J31" s="117" t="n">
        <f aca="false">H31-I31</f>
        <v>0</v>
      </c>
      <c r="K31" s="133" t="n">
        <f aca="false">B31-G31-I31-J31</f>
        <v>0</v>
      </c>
      <c r="L31" s="117" t="n">
        <f aca="false">O30</f>
        <v>0</v>
      </c>
      <c r="M31" s="132" t="n">
        <f aca="false">L31*Paths!AA31</f>
        <v>0</v>
      </c>
      <c r="N31" s="117" t="n">
        <f aca="false">IF(A31=1918,(L31+C31)*russia_writeoff,0)-IF(A31=russia_recog_yr,russia_recog*$N$78,0)</f>
        <v>0</v>
      </c>
      <c r="O31" s="117" t="n">
        <f aca="false">L31+C31-M31-N31</f>
        <v>0</v>
      </c>
      <c r="P31" s="132" t="n">
        <f aca="false">L31*Paths!Z31*Paths!AB31</f>
        <v>0</v>
      </c>
      <c r="Q31" s="117" t="n">
        <f aca="false">T30</f>
        <v>0</v>
      </c>
      <c r="R31" s="132" t="n">
        <f aca="false">Q31*Paths!AA31</f>
        <v>0</v>
      </c>
      <c r="S31" s="117" t="n">
        <f aca="false">IF(A31=1918,(Q31+D31)*russia_writeoff,0)-IF(A31=russia_recog_yr,russia_recog*$S$78,0)</f>
        <v>0</v>
      </c>
      <c r="T31" s="117" t="n">
        <f aca="false">Q31+D31-R31-S31</f>
        <v>0</v>
      </c>
      <c r="U31" s="132" t="n">
        <f aca="false">Q31*Paths!Z31*Paths!AB31</f>
        <v>0</v>
      </c>
      <c r="V31" s="117" t="n">
        <f aca="false">Y30</f>
        <v>0</v>
      </c>
      <c r="W31" s="132" t="n">
        <f aca="false">V31*Paths!AA31</f>
        <v>0</v>
      </c>
      <c r="X31" s="117" t="n">
        <f aca="false">IF(A31=1918,(V31+E31)*russia_writeoff,0)-IF(A31=russia_recog_yr,russia_recog*$X$78,0)</f>
        <v>0</v>
      </c>
      <c r="Y31" s="117" t="n">
        <f aca="false">V31+E31-W31-X31</f>
        <v>0</v>
      </c>
      <c r="Z31" s="132" t="n">
        <f aca="false">V31*Paths!Z31*Paths!AB31</f>
        <v>0</v>
      </c>
      <c r="AA31" s="117" t="n">
        <f aca="false">O31+T31+Y31</f>
        <v>0</v>
      </c>
      <c r="AB31" s="117" t="n">
        <f aca="false">P31+U31+Z31</f>
        <v>0</v>
      </c>
      <c r="AC31" s="134" t="n">
        <f aca="false">IF(E31=0,0,IF(ISNUMBER('Sources &amp; uses'!$E$29),MAX(0,E31-'Sources &amp; uses'!$E$29),"n.a."))</f>
        <v>0</v>
      </c>
      <c r="AD31" s="132" t="str">
        <f aca="false">IF(E31=0,"No new subscription",IF(ISNUMBER('Sources &amp; uses'!$E$29),"MODEL capacity tested","Unverified"))</f>
        <v>No new subscription</v>
      </c>
    </row>
    <row r="32" customFormat="false" ht="19.5" hidden="false" customHeight="true" outlineLevel="0" collapsed="false">
      <c r="A32" s="121" t="n">
        <v>1872</v>
      </c>
      <c r="B32" s="117" t="n">
        <f aca="false">IF(AND(A32&gt;=1914,A32&lt;=1918),entente_total*CHOOSE(A32-1913,0.05,0.1333,0.2333,0.3,0.2834),0)</f>
        <v>0</v>
      </c>
      <c r="C32" s="132" t="n">
        <f aca="false">IF(AND(A32&gt;=1914,A32&lt;=1918),Loans!L32,0)</f>
        <v>0</v>
      </c>
      <c r="D32" s="132" t="n">
        <f aca="false">Abroad!D32</f>
        <v>0</v>
      </c>
      <c r="E32" s="117" t="n">
        <f aca="false">B32*(1-entente_public-entente_private)</f>
        <v>0</v>
      </c>
      <c r="F32" s="133" t="n">
        <f aca="false">B32-SUM(C32:E32)</f>
        <v>0</v>
      </c>
      <c r="G32" s="117" t="n">
        <f aca="false">B32*uw_fee</f>
        <v>0</v>
      </c>
      <c r="H32" s="117" t="n">
        <f aca="false">B32-G32</f>
        <v>0</v>
      </c>
      <c r="I32" s="132" t="n">
        <f aca="false">H32*'Sources &amp; uses'!$E$31</f>
        <v>0</v>
      </c>
      <c r="J32" s="117" t="n">
        <f aca="false">H32-I32</f>
        <v>0</v>
      </c>
      <c r="K32" s="133" t="n">
        <f aca="false">B32-G32-I32-J32</f>
        <v>0</v>
      </c>
      <c r="L32" s="117" t="n">
        <f aca="false">O31</f>
        <v>0</v>
      </c>
      <c r="M32" s="132" t="n">
        <f aca="false">L32*Paths!AA32</f>
        <v>0</v>
      </c>
      <c r="N32" s="117" t="n">
        <f aca="false">IF(A32=1918,(L32+C32)*russia_writeoff,0)-IF(A32=russia_recog_yr,russia_recog*$N$78,0)</f>
        <v>0</v>
      </c>
      <c r="O32" s="117" t="n">
        <f aca="false">L32+C32-M32-N32</f>
        <v>0</v>
      </c>
      <c r="P32" s="132" t="n">
        <f aca="false">L32*Paths!Z32*Paths!AB32</f>
        <v>0</v>
      </c>
      <c r="Q32" s="117" t="n">
        <f aca="false">T31</f>
        <v>0</v>
      </c>
      <c r="R32" s="132" t="n">
        <f aca="false">Q32*Paths!AA32</f>
        <v>0</v>
      </c>
      <c r="S32" s="117" t="n">
        <f aca="false">IF(A32=1918,(Q32+D32)*russia_writeoff,0)-IF(A32=russia_recog_yr,russia_recog*$S$78,0)</f>
        <v>0</v>
      </c>
      <c r="T32" s="117" t="n">
        <f aca="false">Q32+D32-R32-S32</f>
        <v>0</v>
      </c>
      <c r="U32" s="132" t="n">
        <f aca="false">Q32*Paths!Z32*Paths!AB32</f>
        <v>0</v>
      </c>
      <c r="V32" s="117" t="n">
        <f aca="false">Y31</f>
        <v>0</v>
      </c>
      <c r="W32" s="132" t="n">
        <f aca="false">V32*Paths!AA32</f>
        <v>0</v>
      </c>
      <c r="X32" s="117" t="n">
        <f aca="false">IF(A32=1918,(V32+E32)*russia_writeoff,0)-IF(A32=russia_recog_yr,russia_recog*$X$78,0)</f>
        <v>0</v>
      </c>
      <c r="Y32" s="117" t="n">
        <f aca="false">V32+E32-W32-X32</f>
        <v>0</v>
      </c>
      <c r="Z32" s="132" t="n">
        <f aca="false">V32*Paths!Z32*Paths!AB32</f>
        <v>0</v>
      </c>
      <c r="AA32" s="117" t="n">
        <f aca="false">O32+T32+Y32</f>
        <v>0</v>
      </c>
      <c r="AB32" s="117" t="n">
        <f aca="false">P32+U32+Z32</f>
        <v>0</v>
      </c>
      <c r="AC32" s="134" t="n">
        <f aca="false">IF(E32=0,0,IF(ISNUMBER('Sources &amp; uses'!$E$29),MAX(0,E32-'Sources &amp; uses'!$E$29),"n.a."))</f>
        <v>0</v>
      </c>
      <c r="AD32" s="132" t="str">
        <f aca="false">IF(E32=0,"No new subscription",IF(ISNUMBER('Sources &amp; uses'!$E$29),"MODEL capacity tested","Unverified"))</f>
        <v>No new subscription</v>
      </c>
    </row>
    <row r="33" customFormat="false" ht="19.5" hidden="false" customHeight="true" outlineLevel="0" collapsed="false">
      <c r="A33" s="121" t="n">
        <v>1873</v>
      </c>
      <c r="B33" s="117" t="n">
        <f aca="false">IF(AND(A33&gt;=1914,A33&lt;=1918),entente_total*CHOOSE(A33-1913,0.05,0.1333,0.2333,0.3,0.2834),0)</f>
        <v>0</v>
      </c>
      <c r="C33" s="132" t="n">
        <f aca="false">IF(AND(A33&gt;=1914,A33&lt;=1918),Loans!L33,0)</f>
        <v>0</v>
      </c>
      <c r="D33" s="132" t="n">
        <f aca="false">Abroad!D33</f>
        <v>0</v>
      </c>
      <c r="E33" s="117" t="n">
        <f aca="false">B33*(1-entente_public-entente_private)</f>
        <v>0</v>
      </c>
      <c r="F33" s="133" t="n">
        <f aca="false">B33-SUM(C33:E33)</f>
        <v>0</v>
      </c>
      <c r="G33" s="117" t="n">
        <f aca="false">B33*uw_fee</f>
        <v>0</v>
      </c>
      <c r="H33" s="117" t="n">
        <f aca="false">B33-G33</f>
        <v>0</v>
      </c>
      <c r="I33" s="132" t="n">
        <f aca="false">H33*'Sources &amp; uses'!$E$31</f>
        <v>0</v>
      </c>
      <c r="J33" s="117" t="n">
        <f aca="false">H33-I33</f>
        <v>0</v>
      </c>
      <c r="K33" s="133" t="n">
        <f aca="false">B33-G33-I33-J33</f>
        <v>0</v>
      </c>
      <c r="L33" s="117" t="n">
        <f aca="false">O32</f>
        <v>0</v>
      </c>
      <c r="M33" s="132" t="n">
        <f aca="false">L33*Paths!AA33</f>
        <v>0</v>
      </c>
      <c r="N33" s="117" t="n">
        <f aca="false">IF(A33=1918,(L33+C33)*russia_writeoff,0)-IF(A33=russia_recog_yr,russia_recog*$N$78,0)</f>
        <v>0</v>
      </c>
      <c r="O33" s="117" t="n">
        <f aca="false">L33+C33-M33-N33</f>
        <v>0</v>
      </c>
      <c r="P33" s="132" t="n">
        <f aca="false">L33*Paths!Z33*Paths!AB33</f>
        <v>0</v>
      </c>
      <c r="Q33" s="117" t="n">
        <f aca="false">T32</f>
        <v>0</v>
      </c>
      <c r="R33" s="132" t="n">
        <f aca="false">Q33*Paths!AA33</f>
        <v>0</v>
      </c>
      <c r="S33" s="117" t="n">
        <f aca="false">IF(A33=1918,(Q33+D33)*russia_writeoff,0)-IF(A33=russia_recog_yr,russia_recog*$S$78,0)</f>
        <v>0</v>
      </c>
      <c r="T33" s="117" t="n">
        <f aca="false">Q33+D33-R33-S33</f>
        <v>0</v>
      </c>
      <c r="U33" s="132" t="n">
        <f aca="false">Q33*Paths!Z33*Paths!AB33</f>
        <v>0</v>
      </c>
      <c r="V33" s="117" t="n">
        <f aca="false">Y32</f>
        <v>0</v>
      </c>
      <c r="W33" s="132" t="n">
        <f aca="false">V33*Paths!AA33</f>
        <v>0</v>
      </c>
      <c r="X33" s="117" t="n">
        <f aca="false">IF(A33=1918,(V33+E33)*russia_writeoff,0)-IF(A33=russia_recog_yr,russia_recog*$X$78,0)</f>
        <v>0</v>
      </c>
      <c r="Y33" s="117" t="n">
        <f aca="false">V33+E33-W33-X33</f>
        <v>0</v>
      </c>
      <c r="Z33" s="132" t="n">
        <f aca="false">V33*Paths!Z33*Paths!AB33</f>
        <v>0</v>
      </c>
      <c r="AA33" s="117" t="n">
        <f aca="false">O33+T33+Y33</f>
        <v>0</v>
      </c>
      <c r="AB33" s="117" t="n">
        <f aca="false">P33+U33+Z33</f>
        <v>0</v>
      </c>
      <c r="AC33" s="134" t="n">
        <f aca="false">IF(E33=0,0,IF(ISNUMBER('Sources &amp; uses'!$E$29),MAX(0,E33-'Sources &amp; uses'!$E$29),"n.a."))</f>
        <v>0</v>
      </c>
      <c r="AD33" s="132" t="str">
        <f aca="false">IF(E33=0,"No new subscription",IF(ISNUMBER('Sources &amp; uses'!$E$29),"MODEL capacity tested","Unverified"))</f>
        <v>No new subscription</v>
      </c>
    </row>
    <row r="34" customFormat="false" ht="19.5" hidden="false" customHeight="true" outlineLevel="0" collapsed="false">
      <c r="A34" s="121" t="n">
        <v>1874</v>
      </c>
      <c r="B34" s="117" t="n">
        <f aca="false">IF(AND(A34&gt;=1914,A34&lt;=1918),entente_total*CHOOSE(A34-1913,0.05,0.1333,0.2333,0.3,0.2834),0)</f>
        <v>0</v>
      </c>
      <c r="C34" s="132" t="n">
        <f aca="false">IF(AND(A34&gt;=1914,A34&lt;=1918),Loans!L34,0)</f>
        <v>0</v>
      </c>
      <c r="D34" s="132" t="n">
        <f aca="false">Abroad!D34</f>
        <v>0</v>
      </c>
      <c r="E34" s="117" t="n">
        <f aca="false">B34*(1-entente_public-entente_private)</f>
        <v>0</v>
      </c>
      <c r="F34" s="133" t="n">
        <f aca="false">B34-SUM(C34:E34)</f>
        <v>0</v>
      </c>
      <c r="G34" s="117" t="n">
        <f aca="false">B34*uw_fee</f>
        <v>0</v>
      </c>
      <c r="H34" s="117" t="n">
        <f aca="false">B34-G34</f>
        <v>0</v>
      </c>
      <c r="I34" s="132" t="n">
        <f aca="false">H34*'Sources &amp; uses'!$E$31</f>
        <v>0</v>
      </c>
      <c r="J34" s="117" t="n">
        <f aca="false">H34-I34</f>
        <v>0</v>
      </c>
      <c r="K34" s="133" t="n">
        <f aca="false">B34-G34-I34-J34</f>
        <v>0</v>
      </c>
      <c r="L34" s="117" t="n">
        <f aca="false">O33</f>
        <v>0</v>
      </c>
      <c r="M34" s="132" t="n">
        <f aca="false">L34*Paths!AA34</f>
        <v>0</v>
      </c>
      <c r="N34" s="117" t="n">
        <f aca="false">IF(A34=1918,(L34+C34)*russia_writeoff,0)-IF(A34=russia_recog_yr,russia_recog*$N$78,0)</f>
        <v>0</v>
      </c>
      <c r="O34" s="117" t="n">
        <f aca="false">L34+C34-M34-N34</f>
        <v>0</v>
      </c>
      <c r="P34" s="132" t="n">
        <f aca="false">L34*Paths!Z34*Paths!AB34</f>
        <v>0</v>
      </c>
      <c r="Q34" s="117" t="n">
        <f aca="false">T33</f>
        <v>0</v>
      </c>
      <c r="R34" s="132" t="n">
        <f aca="false">Q34*Paths!AA34</f>
        <v>0</v>
      </c>
      <c r="S34" s="117" t="n">
        <f aca="false">IF(A34=1918,(Q34+D34)*russia_writeoff,0)-IF(A34=russia_recog_yr,russia_recog*$S$78,0)</f>
        <v>0</v>
      </c>
      <c r="T34" s="117" t="n">
        <f aca="false">Q34+D34-R34-S34</f>
        <v>0</v>
      </c>
      <c r="U34" s="132" t="n">
        <f aca="false">Q34*Paths!Z34*Paths!AB34</f>
        <v>0</v>
      </c>
      <c r="V34" s="117" t="n">
        <f aca="false">Y33</f>
        <v>0</v>
      </c>
      <c r="W34" s="132" t="n">
        <f aca="false">V34*Paths!AA34</f>
        <v>0</v>
      </c>
      <c r="X34" s="117" t="n">
        <f aca="false">IF(A34=1918,(V34+E34)*russia_writeoff,0)-IF(A34=russia_recog_yr,russia_recog*$X$78,0)</f>
        <v>0</v>
      </c>
      <c r="Y34" s="117" t="n">
        <f aca="false">V34+E34-W34-X34</f>
        <v>0</v>
      </c>
      <c r="Z34" s="132" t="n">
        <f aca="false">V34*Paths!Z34*Paths!AB34</f>
        <v>0</v>
      </c>
      <c r="AA34" s="117" t="n">
        <f aca="false">O34+T34+Y34</f>
        <v>0</v>
      </c>
      <c r="AB34" s="117" t="n">
        <f aca="false">P34+U34+Z34</f>
        <v>0</v>
      </c>
      <c r="AC34" s="134" t="n">
        <f aca="false">IF(E34=0,0,IF(ISNUMBER('Sources &amp; uses'!$E$29),MAX(0,E34-'Sources &amp; uses'!$E$29),"n.a."))</f>
        <v>0</v>
      </c>
      <c r="AD34" s="132" t="str">
        <f aca="false">IF(E34=0,"No new subscription",IF(ISNUMBER('Sources &amp; uses'!$E$29),"MODEL capacity tested","Unverified"))</f>
        <v>No new subscription</v>
      </c>
    </row>
    <row r="35" customFormat="false" ht="19.5" hidden="false" customHeight="true" outlineLevel="0" collapsed="false">
      <c r="A35" s="121" t="n">
        <v>1875</v>
      </c>
      <c r="B35" s="117" t="n">
        <f aca="false">IF(AND(A35&gt;=1914,A35&lt;=1918),entente_total*CHOOSE(A35-1913,0.05,0.1333,0.2333,0.3,0.2834),0)</f>
        <v>0</v>
      </c>
      <c r="C35" s="132" t="n">
        <f aca="false">IF(AND(A35&gt;=1914,A35&lt;=1918),Loans!L35,0)</f>
        <v>0</v>
      </c>
      <c r="D35" s="132" t="n">
        <f aca="false">Abroad!D35</f>
        <v>0</v>
      </c>
      <c r="E35" s="117" t="n">
        <f aca="false">B35*(1-entente_public-entente_private)</f>
        <v>0</v>
      </c>
      <c r="F35" s="133" t="n">
        <f aca="false">B35-SUM(C35:E35)</f>
        <v>0</v>
      </c>
      <c r="G35" s="117" t="n">
        <f aca="false">B35*uw_fee</f>
        <v>0</v>
      </c>
      <c r="H35" s="117" t="n">
        <f aca="false">B35-G35</f>
        <v>0</v>
      </c>
      <c r="I35" s="132" t="n">
        <f aca="false">H35*'Sources &amp; uses'!$E$31</f>
        <v>0</v>
      </c>
      <c r="J35" s="117" t="n">
        <f aca="false">H35-I35</f>
        <v>0</v>
      </c>
      <c r="K35" s="133" t="n">
        <f aca="false">B35-G35-I35-J35</f>
        <v>0</v>
      </c>
      <c r="L35" s="117" t="n">
        <f aca="false">O34</f>
        <v>0</v>
      </c>
      <c r="M35" s="132" t="n">
        <f aca="false">L35*Paths!AA35</f>
        <v>0</v>
      </c>
      <c r="N35" s="117" t="n">
        <f aca="false">IF(A35=1918,(L35+C35)*russia_writeoff,0)-IF(A35=russia_recog_yr,russia_recog*$N$78,0)</f>
        <v>0</v>
      </c>
      <c r="O35" s="117" t="n">
        <f aca="false">L35+C35-M35-N35</f>
        <v>0</v>
      </c>
      <c r="P35" s="132" t="n">
        <f aca="false">L35*Paths!Z35*Paths!AB35</f>
        <v>0</v>
      </c>
      <c r="Q35" s="117" t="n">
        <f aca="false">T34</f>
        <v>0</v>
      </c>
      <c r="R35" s="132" t="n">
        <f aca="false">Q35*Paths!AA35</f>
        <v>0</v>
      </c>
      <c r="S35" s="117" t="n">
        <f aca="false">IF(A35=1918,(Q35+D35)*russia_writeoff,0)-IF(A35=russia_recog_yr,russia_recog*$S$78,0)</f>
        <v>0</v>
      </c>
      <c r="T35" s="117" t="n">
        <f aca="false">Q35+D35-R35-S35</f>
        <v>0</v>
      </c>
      <c r="U35" s="132" t="n">
        <f aca="false">Q35*Paths!Z35*Paths!AB35</f>
        <v>0</v>
      </c>
      <c r="V35" s="117" t="n">
        <f aca="false">Y34</f>
        <v>0</v>
      </c>
      <c r="W35" s="132" t="n">
        <f aca="false">V35*Paths!AA35</f>
        <v>0</v>
      </c>
      <c r="X35" s="117" t="n">
        <f aca="false">IF(A35=1918,(V35+E35)*russia_writeoff,0)-IF(A35=russia_recog_yr,russia_recog*$X$78,0)</f>
        <v>0</v>
      </c>
      <c r="Y35" s="117" t="n">
        <f aca="false">V35+E35-W35-X35</f>
        <v>0</v>
      </c>
      <c r="Z35" s="132" t="n">
        <f aca="false">V35*Paths!Z35*Paths!AB35</f>
        <v>0</v>
      </c>
      <c r="AA35" s="117" t="n">
        <f aca="false">O35+T35+Y35</f>
        <v>0</v>
      </c>
      <c r="AB35" s="117" t="n">
        <f aca="false">P35+U35+Z35</f>
        <v>0</v>
      </c>
      <c r="AC35" s="134" t="n">
        <f aca="false">IF(E35=0,0,IF(ISNUMBER('Sources &amp; uses'!$E$29),MAX(0,E35-'Sources &amp; uses'!$E$29),"n.a."))</f>
        <v>0</v>
      </c>
      <c r="AD35" s="132" t="str">
        <f aca="false">IF(E35=0,"No new subscription",IF(ISNUMBER('Sources &amp; uses'!$E$29),"MODEL capacity tested","Unverified"))</f>
        <v>No new subscription</v>
      </c>
    </row>
    <row r="36" customFormat="false" ht="19.5" hidden="false" customHeight="true" outlineLevel="0" collapsed="false">
      <c r="A36" s="121" t="n">
        <v>1876</v>
      </c>
      <c r="B36" s="117" t="n">
        <f aca="false">IF(AND(A36&gt;=1914,A36&lt;=1918),entente_total*CHOOSE(A36-1913,0.05,0.1333,0.2333,0.3,0.2834),0)</f>
        <v>0</v>
      </c>
      <c r="C36" s="132" t="n">
        <f aca="false">IF(AND(A36&gt;=1914,A36&lt;=1918),Loans!L36,0)</f>
        <v>0</v>
      </c>
      <c r="D36" s="132" t="n">
        <f aca="false">Abroad!D36</f>
        <v>0</v>
      </c>
      <c r="E36" s="117" t="n">
        <f aca="false">B36*(1-entente_public-entente_private)</f>
        <v>0</v>
      </c>
      <c r="F36" s="133" t="n">
        <f aca="false">B36-SUM(C36:E36)</f>
        <v>0</v>
      </c>
      <c r="G36" s="117" t="n">
        <f aca="false">B36*uw_fee</f>
        <v>0</v>
      </c>
      <c r="H36" s="117" t="n">
        <f aca="false">B36-G36</f>
        <v>0</v>
      </c>
      <c r="I36" s="132" t="n">
        <f aca="false">H36*'Sources &amp; uses'!$E$31</f>
        <v>0</v>
      </c>
      <c r="J36" s="117" t="n">
        <f aca="false">H36-I36</f>
        <v>0</v>
      </c>
      <c r="K36" s="133" t="n">
        <f aca="false">B36-G36-I36-J36</f>
        <v>0</v>
      </c>
      <c r="L36" s="117" t="n">
        <f aca="false">O35</f>
        <v>0</v>
      </c>
      <c r="M36" s="132" t="n">
        <f aca="false">L36*Paths!AA36</f>
        <v>0</v>
      </c>
      <c r="N36" s="117" t="n">
        <f aca="false">IF(A36=1918,(L36+C36)*russia_writeoff,0)-IF(A36=russia_recog_yr,russia_recog*$N$78,0)</f>
        <v>0</v>
      </c>
      <c r="O36" s="117" t="n">
        <f aca="false">L36+C36-M36-N36</f>
        <v>0</v>
      </c>
      <c r="P36" s="132" t="n">
        <f aca="false">L36*Paths!Z36*Paths!AB36</f>
        <v>0</v>
      </c>
      <c r="Q36" s="117" t="n">
        <f aca="false">T35</f>
        <v>0</v>
      </c>
      <c r="R36" s="132" t="n">
        <f aca="false">Q36*Paths!AA36</f>
        <v>0</v>
      </c>
      <c r="S36" s="117" t="n">
        <f aca="false">IF(A36=1918,(Q36+D36)*russia_writeoff,0)-IF(A36=russia_recog_yr,russia_recog*$S$78,0)</f>
        <v>0</v>
      </c>
      <c r="T36" s="117" t="n">
        <f aca="false">Q36+D36-R36-S36</f>
        <v>0</v>
      </c>
      <c r="U36" s="132" t="n">
        <f aca="false">Q36*Paths!Z36*Paths!AB36</f>
        <v>0</v>
      </c>
      <c r="V36" s="117" t="n">
        <f aca="false">Y35</f>
        <v>0</v>
      </c>
      <c r="W36" s="132" t="n">
        <f aca="false">V36*Paths!AA36</f>
        <v>0</v>
      </c>
      <c r="X36" s="117" t="n">
        <f aca="false">IF(A36=1918,(V36+E36)*russia_writeoff,0)-IF(A36=russia_recog_yr,russia_recog*$X$78,0)</f>
        <v>0</v>
      </c>
      <c r="Y36" s="117" t="n">
        <f aca="false">V36+E36-W36-X36</f>
        <v>0</v>
      </c>
      <c r="Z36" s="132" t="n">
        <f aca="false">V36*Paths!Z36*Paths!AB36</f>
        <v>0</v>
      </c>
      <c r="AA36" s="117" t="n">
        <f aca="false">O36+T36+Y36</f>
        <v>0</v>
      </c>
      <c r="AB36" s="117" t="n">
        <f aca="false">P36+U36+Z36</f>
        <v>0</v>
      </c>
      <c r="AC36" s="134" t="n">
        <f aca="false">IF(E36=0,0,IF(ISNUMBER('Sources &amp; uses'!$E$29),MAX(0,E36-'Sources &amp; uses'!$E$29),"n.a."))</f>
        <v>0</v>
      </c>
      <c r="AD36" s="132" t="str">
        <f aca="false">IF(E36=0,"No new subscription",IF(ISNUMBER('Sources &amp; uses'!$E$29),"MODEL capacity tested","Unverified"))</f>
        <v>No new subscription</v>
      </c>
    </row>
    <row r="37" customFormat="false" ht="19.5" hidden="false" customHeight="true" outlineLevel="0" collapsed="false">
      <c r="A37" s="121" t="n">
        <v>1877</v>
      </c>
      <c r="B37" s="117" t="n">
        <f aca="false">IF(AND(A37&gt;=1914,A37&lt;=1918),entente_total*CHOOSE(A37-1913,0.05,0.1333,0.2333,0.3,0.2834),0)</f>
        <v>0</v>
      </c>
      <c r="C37" s="132" t="n">
        <f aca="false">IF(AND(A37&gt;=1914,A37&lt;=1918),Loans!L37,0)</f>
        <v>0</v>
      </c>
      <c r="D37" s="132" t="n">
        <f aca="false">Abroad!D37</f>
        <v>0</v>
      </c>
      <c r="E37" s="117" t="n">
        <f aca="false">B37*(1-entente_public-entente_private)</f>
        <v>0</v>
      </c>
      <c r="F37" s="133" t="n">
        <f aca="false">B37-SUM(C37:E37)</f>
        <v>0</v>
      </c>
      <c r="G37" s="117" t="n">
        <f aca="false">B37*uw_fee</f>
        <v>0</v>
      </c>
      <c r="H37" s="117" t="n">
        <f aca="false">B37-G37</f>
        <v>0</v>
      </c>
      <c r="I37" s="132" t="n">
        <f aca="false">H37*'Sources &amp; uses'!$E$31</f>
        <v>0</v>
      </c>
      <c r="J37" s="117" t="n">
        <f aca="false">H37-I37</f>
        <v>0</v>
      </c>
      <c r="K37" s="133" t="n">
        <f aca="false">B37-G37-I37-J37</f>
        <v>0</v>
      </c>
      <c r="L37" s="117" t="n">
        <f aca="false">O36</f>
        <v>0</v>
      </c>
      <c r="M37" s="132" t="n">
        <f aca="false">L37*Paths!AA37</f>
        <v>0</v>
      </c>
      <c r="N37" s="117" t="n">
        <f aca="false">IF(A37=1918,(L37+C37)*russia_writeoff,0)-IF(A37=russia_recog_yr,russia_recog*$N$78,0)</f>
        <v>0</v>
      </c>
      <c r="O37" s="117" t="n">
        <f aca="false">L37+C37-M37-N37</f>
        <v>0</v>
      </c>
      <c r="P37" s="132" t="n">
        <f aca="false">L37*Paths!Z37*Paths!AB37</f>
        <v>0</v>
      </c>
      <c r="Q37" s="117" t="n">
        <f aca="false">T36</f>
        <v>0</v>
      </c>
      <c r="R37" s="132" t="n">
        <f aca="false">Q37*Paths!AA37</f>
        <v>0</v>
      </c>
      <c r="S37" s="117" t="n">
        <f aca="false">IF(A37=1918,(Q37+D37)*russia_writeoff,0)-IF(A37=russia_recog_yr,russia_recog*$S$78,0)</f>
        <v>0</v>
      </c>
      <c r="T37" s="117" t="n">
        <f aca="false">Q37+D37-R37-S37</f>
        <v>0</v>
      </c>
      <c r="U37" s="132" t="n">
        <f aca="false">Q37*Paths!Z37*Paths!AB37</f>
        <v>0</v>
      </c>
      <c r="V37" s="117" t="n">
        <f aca="false">Y36</f>
        <v>0</v>
      </c>
      <c r="W37" s="132" t="n">
        <f aca="false">V37*Paths!AA37</f>
        <v>0</v>
      </c>
      <c r="X37" s="117" t="n">
        <f aca="false">IF(A37=1918,(V37+E37)*russia_writeoff,0)-IF(A37=russia_recog_yr,russia_recog*$X$78,0)</f>
        <v>0</v>
      </c>
      <c r="Y37" s="117" t="n">
        <f aca="false">V37+E37-W37-X37</f>
        <v>0</v>
      </c>
      <c r="Z37" s="132" t="n">
        <f aca="false">V37*Paths!Z37*Paths!AB37</f>
        <v>0</v>
      </c>
      <c r="AA37" s="117" t="n">
        <f aca="false">O37+T37+Y37</f>
        <v>0</v>
      </c>
      <c r="AB37" s="117" t="n">
        <f aca="false">P37+U37+Z37</f>
        <v>0</v>
      </c>
      <c r="AC37" s="134" t="n">
        <f aca="false">IF(E37=0,0,IF(ISNUMBER('Sources &amp; uses'!$E$29),MAX(0,E37-'Sources &amp; uses'!$E$29),"n.a."))</f>
        <v>0</v>
      </c>
      <c r="AD37" s="132" t="str">
        <f aca="false">IF(E37=0,"No new subscription",IF(ISNUMBER('Sources &amp; uses'!$E$29),"MODEL capacity tested","Unverified"))</f>
        <v>No new subscription</v>
      </c>
    </row>
    <row r="38" customFormat="false" ht="19.5" hidden="false" customHeight="true" outlineLevel="0" collapsed="false">
      <c r="A38" s="121" t="n">
        <v>1878</v>
      </c>
      <c r="B38" s="117" t="n">
        <f aca="false">IF(AND(A38&gt;=1914,A38&lt;=1918),entente_total*CHOOSE(A38-1913,0.05,0.1333,0.2333,0.3,0.2834),0)</f>
        <v>0</v>
      </c>
      <c r="C38" s="132" t="n">
        <f aca="false">IF(AND(A38&gt;=1914,A38&lt;=1918),Loans!L38,0)</f>
        <v>0</v>
      </c>
      <c r="D38" s="132" t="n">
        <f aca="false">Abroad!D38</f>
        <v>0</v>
      </c>
      <c r="E38" s="117" t="n">
        <f aca="false">B38*(1-entente_public-entente_private)</f>
        <v>0</v>
      </c>
      <c r="F38" s="133" t="n">
        <f aca="false">B38-SUM(C38:E38)</f>
        <v>0</v>
      </c>
      <c r="G38" s="117" t="n">
        <f aca="false">B38*uw_fee</f>
        <v>0</v>
      </c>
      <c r="H38" s="117" t="n">
        <f aca="false">B38-G38</f>
        <v>0</v>
      </c>
      <c r="I38" s="132" t="n">
        <f aca="false">H38*'Sources &amp; uses'!$E$31</f>
        <v>0</v>
      </c>
      <c r="J38" s="117" t="n">
        <f aca="false">H38-I38</f>
        <v>0</v>
      </c>
      <c r="K38" s="133" t="n">
        <f aca="false">B38-G38-I38-J38</f>
        <v>0</v>
      </c>
      <c r="L38" s="117" t="n">
        <f aca="false">O37</f>
        <v>0</v>
      </c>
      <c r="M38" s="132" t="n">
        <f aca="false">L38*Paths!AA38</f>
        <v>0</v>
      </c>
      <c r="N38" s="117" t="n">
        <f aca="false">IF(A38=1918,(L38+C38)*russia_writeoff,0)-IF(A38=russia_recog_yr,russia_recog*$N$78,0)</f>
        <v>0</v>
      </c>
      <c r="O38" s="117" t="n">
        <f aca="false">L38+C38-M38-N38</f>
        <v>0</v>
      </c>
      <c r="P38" s="132" t="n">
        <f aca="false">L38*Paths!Z38*Paths!AB38</f>
        <v>0</v>
      </c>
      <c r="Q38" s="117" t="n">
        <f aca="false">T37</f>
        <v>0</v>
      </c>
      <c r="R38" s="132" t="n">
        <f aca="false">Q38*Paths!AA38</f>
        <v>0</v>
      </c>
      <c r="S38" s="117" t="n">
        <f aca="false">IF(A38=1918,(Q38+D38)*russia_writeoff,0)-IF(A38=russia_recog_yr,russia_recog*$S$78,0)</f>
        <v>0</v>
      </c>
      <c r="T38" s="117" t="n">
        <f aca="false">Q38+D38-R38-S38</f>
        <v>0</v>
      </c>
      <c r="U38" s="132" t="n">
        <f aca="false">Q38*Paths!Z38*Paths!AB38</f>
        <v>0</v>
      </c>
      <c r="V38" s="117" t="n">
        <f aca="false">Y37</f>
        <v>0</v>
      </c>
      <c r="W38" s="132" t="n">
        <f aca="false">V38*Paths!AA38</f>
        <v>0</v>
      </c>
      <c r="X38" s="117" t="n">
        <f aca="false">IF(A38=1918,(V38+E38)*russia_writeoff,0)-IF(A38=russia_recog_yr,russia_recog*$X$78,0)</f>
        <v>0</v>
      </c>
      <c r="Y38" s="117" t="n">
        <f aca="false">V38+E38-W38-X38</f>
        <v>0</v>
      </c>
      <c r="Z38" s="132" t="n">
        <f aca="false">V38*Paths!Z38*Paths!AB38</f>
        <v>0</v>
      </c>
      <c r="AA38" s="117" t="n">
        <f aca="false">O38+T38+Y38</f>
        <v>0</v>
      </c>
      <c r="AB38" s="117" t="n">
        <f aca="false">P38+U38+Z38</f>
        <v>0</v>
      </c>
      <c r="AC38" s="134" t="n">
        <f aca="false">IF(E38=0,0,IF(ISNUMBER('Sources &amp; uses'!$E$29),MAX(0,E38-'Sources &amp; uses'!$E$29),"n.a."))</f>
        <v>0</v>
      </c>
      <c r="AD38" s="132" t="str">
        <f aca="false">IF(E38=0,"No new subscription",IF(ISNUMBER('Sources &amp; uses'!$E$29),"MODEL capacity tested","Unverified"))</f>
        <v>No new subscription</v>
      </c>
    </row>
    <row r="39" customFormat="false" ht="19.5" hidden="false" customHeight="true" outlineLevel="0" collapsed="false">
      <c r="A39" s="121" t="n">
        <v>1879</v>
      </c>
      <c r="B39" s="117" t="n">
        <f aca="false">IF(AND(A39&gt;=1914,A39&lt;=1918),entente_total*CHOOSE(A39-1913,0.05,0.1333,0.2333,0.3,0.2834),0)</f>
        <v>0</v>
      </c>
      <c r="C39" s="132" t="n">
        <f aca="false">IF(AND(A39&gt;=1914,A39&lt;=1918),Loans!L39,0)</f>
        <v>0</v>
      </c>
      <c r="D39" s="132" t="n">
        <f aca="false">Abroad!D39</f>
        <v>0</v>
      </c>
      <c r="E39" s="117" t="n">
        <f aca="false">B39*(1-entente_public-entente_private)</f>
        <v>0</v>
      </c>
      <c r="F39" s="133" t="n">
        <f aca="false">B39-SUM(C39:E39)</f>
        <v>0</v>
      </c>
      <c r="G39" s="117" t="n">
        <f aca="false">B39*uw_fee</f>
        <v>0</v>
      </c>
      <c r="H39" s="117" t="n">
        <f aca="false">B39-G39</f>
        <v>0</v>
      </c>
      <c r="I39" s="132" t="n">
        <f aca="false">H39*'Sources &amp; uses'!$E$31</f>
        <v>0</v>
      </c>
      <c r="J39" s="117" t="n">
        <f aca="false">H39-I39</f>
        <v>0</v>
      </c>
      <c r="K39" s="133" t="n">
        <f aca="false">B39-G39-I39-J39</f>
        <v>0</v>
      </c>
      <c r="L39" s="117" t="n">
        <f aca="false">O38</f>
        <v>0</v>
      </c>
      <c r="M39" s="132" t="n">
        <f aca="false">L39*Paths!AA39</f>
        <v>0</v>
      </c>
      <c r="N39" s="117" t="n">
        <f aca="false">IF(A39=1918,(L39+C39)*russia_writeoff,0)-IF(A39=russia_recog_yr,russia_recog*$N$78,0)</f>
        <v>0</v>
      </c>
      <c r="O39" s="117" t="n">
        <f aca="false">L39+C39-M39-N39</f>
        <v>0</v>
      </c>
      <c r="P39" s="132" t="n">
        <f aca="false">L39*Paths!Z39*Paths!AB39</f>
        <v>0</v>
      </c>
      <c r="Q39" s="117" t="n">
        <f aca="false">T38</f>
        <v>0</v>
      </c>
      <c r="R39" s="132" t="n">
        <f aca="false">Q39*Paths!AA39</f>
        <v>0</v>
      </c>
      <c r="S39" s="117" t="n">
        <f aca="false">IF(A39=1918,(Q39+D39)*russia_writeoff,0)-IF(A39=russia_recog_yr,russia_recog*$S$78,0)</f>
        <v>0</v>
      </c>
      <c r="T39" s="117" t="n">
        <f aca="false">Q39+D39-R39-S39</f>
        <v>0</v>
      </c>
      <c r="U39" s="132" t="n">
        <f aca="false">Q39*Paths!Z39*Paths!AB39</f>
        <v>0</v>
      </c>
      <c r="V39" s="117" t="n">
        <f aca="false">Y38</f>
        <v>0</v>
      </c>
      <c r="W39" s="132" t="n">
        <f aca="false">V39*Paths!AA39</f>
        <v>0</v>
      </c>
      <c r="X39" s="117" t="n">
        <f aca="false">IF(A39=1918,(V39+E39)*russia_writeoff,0)-IF(A39=russia_recog_yr,russia_recog*$X$78,0)</f>
        <v>0</v>
      </c>
      <c r="Y39" s="117" t="n">
        <f aca="false">V39+E39-W39-X39</f>
        <v>0</v>
      </c>
      <c r="Z39" s="132" t="n">
        <f aca="false">V39*Paths!Z39*Paths!AB39</f>
        <v>0</v>
      </c>
      <c r="AA39" s="117" t="n">
        <f aca="false">O39+T39+Y39</f>
        <v>0</v>
      </c>
      <c r="AB39" s="117" t="n">
        <f aca="false">P39+U39+Z39</f>
        <v>0</v>
      </c>
      <c r="AC39" s="134" t="n">
        <f aca="false">IF(E39=0,0,IF(ISNUMBER('Sources &amp; uses'!$E$29),MAX(0,E39-'Sources &amp; uses'!$E$29),"n.a."))</f>
        <v>0</v>
      </c>
      <c r="AD39" s="132" t="str">
        <f aca="false">IF(E39=0,"No new subscription",IF(ISNUMBER('Sources &amp; uses'!$E$29),"MODEL capacity tested","Unverified"))</f>
        <v>No new subscription</v>
      </c>
    </row>
    <row r="40" customFormat="false" ht="19.5" hidden="false" customHeight="true" outlineLevel="0" collapsed="false">
      <c r="A40" s="121" t="n">
        <v>1880</v>
      </c>
      <c r="B40" s="117" t="n">
        <f aca="false">IF(AND(A40&gt;=1914,A40&lt;=1918),entente_total*CHOOSE(A40-1913,0.05,0.1333,0.2333,0.3,0.2834),0)</f>
        <v>0</v>
      </c>
      <c r="C40" s="132" t="n">
        <f aca="false">IF(AND(A40&gt;=1914,A40&lt;=1918),Loans!L40,0)</f>
        <v>0</v>
      </c>
      <c r="D40" s="132" t="n">
        <f aca="false">Abroad!D40</f>
        <v>0</v>
      </c>
      <c r="E40" s="117" t="n">
        <f aca="false">B40*(1-entente_public-entente_private)</f>
        <v>0</v>
      </c>
      <c r="F40" s="133" t="n">
        <f aca="false">B40-SUM(C40:E40)</f>
        <v>0</v>
      </c>
      <c r="G40" s="117" t="n">
        <f aca="false">B40*uw_fee</f>
        <v>0</v>
      </c>
      <c r="H40" s="117" t="n">
        <f aca="false">B40-G40</f>
        <v>0</v>
      </c>
      <c r="I40" s="132" t="n">
        <f aca="false">H40*'Sources &amp; uses'!$E$31</f>
        <v>0</v>
      </c>
      <c r="J40" s="117" t="n">
        <f aca="false">H40-I40</f>
        <v>0</v>
      </c>
      <c r="K40" s="133" t="n">
        <f aca="false">B40-G40-I40-J40</f>
        <v>0</v>
      </c>
      <c r="L40" s="117" t="n">
        <f aca="false">O39</f>
        <v>0</v>
      </c>
      <c r="M40" s="132" t="n">
        <f aca="false">L40*Paths!AA40</f>
        <v>0</v>
      </c>
      <c r="N40" s="117" t="n">
        <f aca="false">IF(A40=1918,(L40+C40)*russia_writeoff,0)-IF(A40=russia_recog_yr,russia_recog*$N$78,0)</f>
        <v>0</v>
      </c>
      <c r="O40" s="117" t="n">
        <f aca="false">L40+C40-M40-N40</f>
        <v>0</v>
      </c>
      <c r="P40" s="132" t="n">
        <f aca="false">L40*Paths!Z40*Paths!AB40</f>
        <v>0</v>
      </c>
      <c r="Q40" s="117" t="n">
        <f aca="false">T39</f>
        <v>0</v>
      </c>
      <c r="R40" s="132" t="n">
        <f aca="false">Q40*Paths!AA40</f>
        <v>0</v>
      </c>
      <c r="S40" s="117" t="n">
        <f aca="false">IF(A40=1918,(Q40+D40)*russia_writeoff,0)-IF(A40=russia_recog_yr,russia_recog*$S$78,0)</f>
        <v>0</v>
      </c>
      <c r="T40" s="117" t="n">
        <f aca="false">Q40+D40-R40-S40</f>
        <v>0</v>
      </c>
      <c r="U40" s="132" t="n">
        <f aca="false">Q40*Paths!Z40*Paths!AB40</f>
        <v>0</v>
      </c>
      <c r="V40" s="117" t="n">
        <f aca="false">Y39</f>
        <v>0</v>
      </c>
      <c r="W40" s="132" t="n">
        <f aca="false">V40*Paths!AA40</f>
        <v>0</v>
      </c>
      <c r="X40" s="117" t="n">
        <f aca="false">IF(A40=1918,(V40+E40)*russia_writeoff,0)-IF(A40=russia_recog_yr,russia_recog*$X$78,0)</f>
        <v>0</v>
      </c>
      <c r="Y40" s="117" t="n">
        <f aca="false">V40+E40-W40-X40</f>
        <v>0</v>
      </c>
      <c r="Z40" s="132" t="n">
        <f aca="false">V40*Paths!Z40*Paths!AB40</f>
        <v>0</v>
      </c>
      <c r="AA40" s="117" t="n">
        <f aca="false">O40+T40+Y40</f>
        <v>0</v>
      </c>
      <c r="AB40" s="117" t="n">
        <f aca="false">P40+U40+Z40</f>
        <v>0</v>
      </c>
      <c r="AC40" s="134" t="n">
        <f aca="false">IF(E40=0,0,IF(ISNUMBER('Sources &amp; uses'!$E$29),MAX(0,E40-'Sources &amp; uses'!$E$29),"n.a."))</f>
        <v>0</v>
      </c>
      <c r="AD40" s="132" t="str">
        <f aca="false">IF(E40=0,"No new subscription",IF(ISNUMBER('Sources &amp; uses'!$E$29),"MODEL capacity tested","Unverified"))</f>
        <v>No new subscription</v>
      </c>
    </row>
    <row r="41" customFormat="false" ht="19.5" hidden="false" customHeight="true" outlineLevel="0" collapsed="false">
      <c r="A41" s="121" t="n">
        <v>1881</v>
      </c>
      <c r="B41" s="117" t="n">
        <f aca="false">IF(AND(A41&gt;=1914,A41&lt;=1918),entente_total*CHOOSE(A41-1913,0.05,0.1333,0.2333,0.3,0.2834),0)</f>
        <v>0</v>
      </c>
      <c r="C41" s="132" t="n">
        <f aca="false">IF(AND(A41&gt;=1914,A41&lt;=1918),Loans!L41,0)</f>
        <v>0</v>
      </c>
      <c r="D41" s="132" t="n">
        <f aca="false">Abroad!D41</f>
        <v>0</v>
      </c>
      <c r="E41" s="117" t="n">
        <f aca="false">B41*(1-entente_public-entente_private)</f>
        <v>0</v>
      </c>
      <c r="F41" s="133" t="n">
        <f aca="false">B41-SUM(C41:E41)</f>
        <v>0</v>
      </c>
      <c r="G41" s="117" t="n">
        <f aca="false">B41*uw_fee</f>
        <v>0</v>
      </c>
      <c r="H41" s="117" t="n">
        <f aca="false">B41-G41</f>
        <v>0</v>
      </c>
      <c r="I41" s="132" t="n">
        <f aca="false">H41*'Sources &amp; uses'!$E$31</f>
        <v>0</v>
      </c>
      <c r="J41" s="117" t="n">
        <f aca="false">H41-I41</f>
        <v>0</v>
      </c>
      <c r="K41" s="133" t="n">
        <f aca="false">B41-G41-I41-J41</f>
        <v>0</v>
      </c>
      <c r="L41" s="117" t="n">
        <f aca="false">O40</f>
        <v>0</v>
      </c>
      <c r="M41" s="132" t="n">
        <f aca="false">L41*Paths!AA41</f>
        <v>0</v>
      </c>
      <c r="N41" s="117" t="n">
        <f aca="false">IF(A41=1918,(L41+C41)*russia_writeoff,0)-IF(A41=russia_recog_yr,russia_recog*$N$78,0)</f>
        <v>0</v>
      </c>
      <c r="O41" s="117" t="n">
        <f aca="false">L41+C41-M41-N41</f>
        <v>0</v>
      </c>
      <c r="P41" s="132" t="n">
        <f aca="false">L41*Paths!Z41*Paths!AB41</f>
        <v>0</v>
      </c>
      <c r="Q41" s="117" t="n">
        <f aca="false">T40</f>
        <v>0</v>
      </c>
      <c r="R41" s="132" t="n">
        <f aca="false">Q41*Paths!AA41</f>
        <v>0</v>
      </c>
      <c r="S41" s="117" t="n">
        <f aca="false">IF(A41=1918,(Q41+D41)*russia_writeoff,0)-IF(A41=russia_recog_yr,russia_recog*$S$78,0)</f>
        <v>0</v>
      </c>
      <c r="T41" s="117" t="n">
        <f aca="false">Q41+D41-R41-S41</f>
        <v>0</v>
      </c>
      <c r="U41" s="132" t="n">
        <f aca="false">Q41*Paths!Z41*Paths!AB41</f>
        <v>0</v>
      </c>
      <c r="V41" s="117" t="n">
        <f aca="false">Y40</f>
        <v>0</v>
      </c>
      <c r="W41" s="132" t="n">
        <f aca="false">V41*Paths!AA41</f>
        <v>0</v>
      </c>
      <c r="X41" s="117" t="n">
        <f aca="false">IF(A41=1918,(V41+E41)*russia_writeoff,0)-IF(A41=russia_recog_yr,russia_recog*$X$78,0)</f>
        <v>0</v>
      </c>
      <c r="Y41" s="117" t="n">
        <f aca="false">V41+E41-W41-X41</f>
        <v>0</v>
      </c>
      <c r="Z41" s="132" t="n">
        <f aca="false">V41*Paths!Z41*Paths!AB41</f>
        <v>0</v>
      </c>
      <c r="AA41" s="117" t="n">
        <f aca="false">O41+T41+Y41</f>
        <v>0</v>
      </c>
      <c r="AB41" s="117" t="n">
        <f aca="false">P41+U41+Z41</f>
        <v>0</v>
      </c>
      <c r="AC41" s="134" t="n">
        <f aca="false">IF(E41=0,0,IF(ISNUMBER('Sources &amp; uses'!$E$29),MAX(0,E41-'Sources &amp; uses'!$E$29),"n.a."))</f>
        <v>0</v>
      </c>
      <c r="AD41" s="132" t="str">
        <f aca="false">IF(E41=0,"No new subscription",IF(ISNUMBER('Sources &amp; uses'!$E$29),"MODEL capacity tested","Unverified"))</f>
        <v>No new subscription</v>
      </c>
    </row>
    <row r="42" customFormat="false" ht="19.5" hidden="false" customHeight="true" outlineLevel="0" collapsed="false">
      <c r="A42" s="121" t="n">
        <v>1882</v>
      </c>
      <c r="B42" s="117" t="n">
        <f aca="false">IF(AND(A42&gt;=1914,A42&lt;=1918),entente_total*CHOOSE(A42-1913,0.05,0.1333,0.2333,0.3,0.2834),0)</f>
        <v>0</v>
      </c>
      <c r="C42" s="132" t="n">
        <f aca="false">IF(AND(A42&gt;=1914,A42&lt;=1918),Loans!L42,0)</f>
        <v>0</v>
      </c>
      <c r="D42" s="132" t="n">
        <f aca="false">Abroad!D42</f>
        <v>0</v>
      </c>
      <c r="E42" s="117" t="n">
        <f aca="false">B42*(1-entente_public-entente_private)</f>
        <v>0</v>
      </c>
      <c r="F42" s="133" t="n">
        <f aca="false">B42-SUM(C42:E42)</f>
        <v>0</v>
      </c>
      <c r="G42" s="117" t="n">
        <f aca="false">B42*uw_fee</f>
        <v>0</v>
      </c>
      <c r="H42" s="117" t="n">
        <f aca="false">B42-G42</f>
        <v>0</v>
      </c>
      <c r="I42" s="132" t="n">
        <f aca="false">H42*'Sources &amp; uses'!$E$31</f>
        <v>0</v>
      </c>
      <c r="J42" s="117" t="n">
        <f aca="false">H42-I42</f>
        <v>0</v>
      </c>
      <c r="K42" s="133" t="n">
        <f aca="false">B42-G42-I42-J42</f>
        <v>0</v>
      </c>
      <c r="L42" s="117" t="n">
        <f aca="false">O41</f>
        <v>0</v>
      </c>
      <c r="M42" s="132" t="n">
        <f aca="false">L42*Paths!AA42</f>
        <v>0</v>
      </c>
      <c r="N42" s="117" t="n">
        <f aca="false">IF(A42=1918,(L42+C42)*russia_writeoff,0)-IF(A42=russia_recog_yr,russia_recog*$N$78,0)</f>
        <v>0</v>
      </c>
      <c r="O42" s="117" t="n">
        <f aca="false">L42+C42-M42-N42</f>
        <v>0</v>
      </c>
      <c r="P42" s="132" t="n">
        <f aca="false">L42*Paths!Z42*Paths!AB42</f>
        <v>0</v>
      </c>
      <c r="Q42" s="117" t="n">
        <f aca="false">T41</f>
        <v>0</v>
      </c>
      <c r="R42" s="132" t="n">
        <f aca="false">Q42*Paths!AA42</f>
        <v>0</v>
      </c>
      <c r="S42" s="117" t="n">
        <f aca="false">IF(A42=1918,(Q42+D42)*russia_writeoff,0)-IF(A42=russia_recog_yr,russia_recog*$S$78,0)</f>
        <v>0</v>
      </c>
      <c r="T42" s="117" t="n">
        <f aca="false">Q42+D42-R42-S42</f>
        <v>0</v>
      </c>
      <c r="U42" s="132" t="n">
        <f aca="false">Q42*Paths!Z42*Paths!AB42</f>
        <v>0</v>
      </c>
      <c r="V42" s="117" t="n">
        <f aca="false">Y41</f>
        <v>0</v>
      </c>
      <c r="W42" s="132" t="n">
        <f aca="false">V42*Paths!AA42</f>
        <v>0</v>
      </c>
      <c r="X42" s="117" t="n">
        <f aca="false">IF(A42=1918,(V42+E42)*russia_writeoff,0)-IF(A42=russia_recog_yr,russia_recog*$X$78,0)</f>
        <v>0</v>
      </c>
      <c r="Y42" s="117" t="n">
        <f aca="false">V42+E42-W42-X42</f>
        <v>0</v>
      </c>
      <c r="Z42" s="132" t="n">
        <f aca="false">V42*Paths!Z42*Paths!AB42</f>
        <v>0</v>
      </c>
      <c r="AA42" s="117" t="n">
        <f aca="false">O42+T42+Y42</f>
        <v>0</v>
      </c>
      <c r="AB42" s="117" t="n">
        <f aca="false">P42+U42+Z42</f>
        <v>0</v>
      </c>
      <c r="AC42" s="134" t="n">
        <f aca="false">IF(E42=0,0,IF(ISNUMBER('Sources &amp; uses'!$E$29),MAX(0,E42-'Sources &amp; uses'!$E$29),"n.a."))</f>
        <v>0</v>
      </c>
      <c r="AD42" s="132" t="str">
        <f aca="false">IF(E42=0,"No new subscription",IF(ISNUMBER('Sources &amp; uses'!$E$29),"MODEL capacity tested","Unverified"))</f>
        <v>No new subscription</v>
      </c>
    </row>
    <row r="43" customFormat="false" ht="19.5" hidden="false" customHeight="true" outlineLevel="0" collapsed="false">
      <c r="A43" s="121" t="n">
        <v>1883</v>
      </c>
      <c r="B43" s="117" t="n">
        <f aca="false">IF(AND(A43&gt;=1914,A43&lt;=1918),entente_total*CHOOSE(A43-1913,0.05,0.1333,0.2333,0.3,0.2834),0)</f>
        <v>0</v>
      </c>
      <c r="C43" s="132" t="n">
        <f aca="false">IF(AND(A43&gt;=1914,A43&lt;=1918),Loans!L43,0)</f>
        <v>0</v>
      </c>
      <c r="D43" s="132" t="n">
        <f aca="false">Abroad!D43</f>
        <v>0</v>
      </c>
      <c r="E43" s="117" t="n">
        <f aca="false">B43*(1-entente_public-entente_private)</f>
        <v>0</v>
      </c>
      <c r="F43" s="133" t="n">
        <f aca="false">B43-SUM(C43:E43)</f>
        <v>0</v>
      </c>
      <c r="G43" s="117" t="n">
        <f aca="false">B43*uw_fee</f>
        <v>0</v>
      </c>
      <c r="H43" s="117" t="n">
        <f aca="false">B43-G43</f>
        <v>0</v>
      </c>
      <c r="I43" s="132" t="n">
        <f aca="false">H43*'Sources &amp; uses'!$E$31</f>
        <v>0</v>
      </c>
      <c r="J43" s="117" t="n">
        <f aca="false">H43-I43</f>
        <v>0</v>
      </c>
      <c r="K43" s="133" t="n">
        <f aca="false">B43-G43-I43-J43</f>
        <v>0</v>
      </c>
      <c r="L43" s="117" t="n">
        <f aca="false">O42</f>
        <v>0</v>
      </c>
      <c r="M43" s="132" t="n">
        <f aca="false">L43*Paths!AA43</f>
        <v>0</v>
      </c>
      <c r="N43" s="117" t="n">
        <f aca="false">IF(A43=1918,(L43+C43)*russia_writeoff,0)-IF(A43=russia_recog_yr,russia_recog*$N$78,0)</f>
        <v>0</v>
      </c>
      <c r="O43" s="117" t="n">
        <f aca="false">L43+C43-M43-N43</f>
        <v>0</v>
      </c>
      <c r="P43" s="132" t="n">
        <f aca="false">L43*Paths!Z43*Paths!AB43</f>
        <v>0</v>
      </c>
      <c r="Q43" s="117" t="n">
        <f aca="false">T42</f>
        <v>0</v>
      </c>
      <c r="R43" s="132" t="n">
        <f aca="false">Q43*Paths!AA43</f>
        <v>0</v>
      </c>
      <c r="S43" s="117" t="n">
        <f aca="false">IF(A43=1918,(Q43+D43)*russia_writeoff,0)-IF(A43=russia_recog_yr,russia_recog*$S$78,0)</f>
        <v>0</v>
      </c>
      <c r="T43" s="117" t="n">
        <f aca="false">Q43+D43-R43-S43</f>
        <v>0</v>
      </c>
      <c r="U43" s="132" t="n">
        <f aca="false">Q43*Paths!Z43*Paths!AB43</f>
        <v>0</v>
      </c>
      <c r="V43" s="117" t="n">
        <f aca="false">Y42</f>
        <v>0</v>
      </c>
      <c r="W43" s="132" t="n">
        <f aca="false">V43*Paths!AA43</f>
        <v>0</v>
      </c>
      <c r="X43" s="117" t="n">
        <f aca="false">IF(A43=1918,(V43+E43)*russia_writeoff,0)-IF(A43=russia_recog_yr,russia_recog*$X$78,0)</f>
        <v>0</v>
      </c>
      <c r="Y43" s="117" t="n">
        <f aca="false">V43+E43-W43-X43</f>
        <v>0</v>
      </c>
      <c r="Z43" s="132" t="n">
        <f aca="false">V43*Paths!Z43*Paths!AB43</f>
        <v>0</v>
      </c>
      <c r="AA43" s="117" t="n">
        <f aca="false">O43+T43+Y43</f>
        <v>0</v>
      </c>
      <c r="AB43" s="117" t="n">
        <f aca="false">P43+U43+Z43</f>
        <v>0</v>
      </c>
      <c r="AC43" s="134" t="n">
        <f aca="false">IF(E43=0,0,IF(ISNUMBER('Sources &amp; uses'!$E$29),MAX(0,E43-'Sources &amp; uses'!$E$29),"n.a."))</f>
        <v>0</v>
      </c>
      <c r="AD43" s="132" t="str">
        <f aca="false">IF(E43=0,"No new subscription",IF(ISNUMBER('Sources &amp; uses'!$E$29),"MODEL capacity tested","Unverified"))</f>
        <v>No new subscription</v>
      </c>
    </row>
    <row r="44" customFormat="false" ht="19.5" hidden="false" customHeight="true" outlineLevel="0" collapsed="false">
      <c r="A44" s="121" t="n">
        <v>1884</v>
      </c>
      <c r="B44" s="117" t="n">
        <f aca="false">IF(AND(A44&gt;=1914,A44&lt;=1918),entente_total*CHOOSE(A44-1913,0.05,0.1333,0.2333,0.3,0.2834),0)</f>
        <v>0</v>
      </c>
      <c r="C44" s="132" t="n">
        <f aca="false">IF(AND(A44&gt;=1914,A44&lt;=1918),Loans!L44,0)</f>
        <v>0</v>
      </c>
      <c r="D44" s="132" t="n">
        <f aca="false">Abroad!D44</f>
        <v>0</v>
      </c>
      <c r="E44" s="117" t="n">
        <f aca="false">B44*(1-entente_public-entente_private)</f>
        <v>0</v>
      </c>
      <c r="F44" s="133" t="n">
        <f aca="false">B44-SUM(C44:E44)</f>
        <v>0</v>
      </c>
      <c r="G44" s="117" t="n">
        <f aca="false">B44*uw_fee</f>
        <v>0</v>
      </c>
      <c r="H44" s="117" t="n">
        <f aca="false">B44-G44</f>
        <v>0</v>
      </c>
      <c r="I44" s="132" t="n">
        <f aca="false">H44*'Sources &amp; uses'!$E$31</f>
        <v>0</v>
      </c>
      <c r="J44" s="117" t="n">
        <f aca="false">H44-I44</f>
        <v>0</v>
      </c>
      <c r="K44" s="133" t="n">
        <f aca="false">B44-G44-I44-J44</f>
        <v>0</v>
      </c>
      <c r="L44" s="117" t="n">
        <f aca="false">O43</f>
        <v>0</v>
      </c>
      <c r="M44" s="132" t="n">
        <f aca="false">L44*Paths!AA44</f>
        <v>0</v>
      </c>
      <c r="N44" s="117" t="n">
        <f aca="false">IF(A44=1918,(L44+C44)*russia_writeoff,0)-IF(A44=russia_recog_yr,russia_recog*$N$78,0)</f>
        <v>0</v>
      </c>
      <c r="O44" s="117" t="n">
        <f aca="false">L44+C44-M44-N44</f>
        <v>0</v>
      </c>
      <c r="P44" s="132" t="n">
        <f aca="false">L44*Paths!Z44*Paths!AB44</f>
        <v>0</v>
      </c>
      <c r="Q44" s="117" t="n">
        <f aca="false">T43</f>
        <v>0</v>
      </c>
      <c r="R44" s="132" t="n">
        <f aca="false">Q44*Paths!AA44</f>
        <v>0</v>
      </c>
      <c r="S44" s="117" t="n">
        <f aca="false">IF(A44=1918,(Q44+D44)*russia_writeoff,0)-IF(A44=russia_recog_yr,russia_recog*$S$78,0)</f>
        <v>0</v>
      </c>
      <c r="T44" s="117" t="n">
        <f aca="false">Q44+D44-R44-S44</f>
        <v>0</v>
      </c>
      <c r="U44" s="132" t="n">
        <f aca="false">Q44*Paths!Z44*Paths!AB44</f>
        <v>0</v>
      </c>
      <c r="V44" s="117" t="n">
        <f aca="false">Y43</f>
        <v>0</v>
      </c>
      <c r="W44" s="132" t="n">
        <f aca="false">V44*Paths!AA44</f>
        <v>0</v>
      </c>
      <c r="X44" s="117" t="n">
        <f aca="false">IF(A44=1918,(V44+E44)*russia_writeoff,0)-IF(A44=russia_recog_yr,russia_recog*$X$78,0)</f>
        <v>0</v>
      </c>
      <c r="Y44" s="117" t="n">
        <f aca="false">V44+E44-W44-X44</f>
        <v>0</v>
      </c>
      <c r="Z44" s="132" t="n">
        <f aca="false">V44*Paths!Z44*Paths!AB44</f>
        <v>0</v>
      </c>
      <c r="AA44" s="117" t="n">
        <f aca="false">O44+T44+Y44</f>
        <v>0</v>
      </c>
      <c r="AB44" s="117" t="n">
        <f aca="false">P44+U44+Z44</f>
        <v>0</v>
      </c>
      <c r="AC44" s="134" t="n">
        <f aca="false">IF(E44=0,0,IF(ISNUMBER('Sources &amp; uses'!$E$29),MAX(0,E44-'Sources &amp; uses'!$E$29),"n.a."))</f>
        <v>0</v>
      </c>
      <c r="AD44" s="132" t="str">
        <f aca="false">IF(E44=0,"No new subscription",IF(ISNUMBER('Sources &amp; uses'!$E$29),"MODEL capacity tested","Unverified"))</f>
        <v>No new subscription</v>
      </c>
    </row>
    <row r="45" customFormat="false" ht="19.5" hidden="false" customHeight="true" outlineLevel="0" collapsed="false">
      <c r="A45" s="121" t="n">
        <v>1885</v>
      </c>
      <c r="B45" s="117" t="n">
        <f aca="false">IF(AND(A45&gt;=1914,A45&lt;=1918),entente_total*CHOOSE(A45-1913,0.05,0.1333,0.2333,0.3,0.2834),0)</f>
        <v>0</v>
      </c>
      <c r="C45" s="132" t="n">
        <f aca="false">IF(AND(A45&gt;=1914,A45&lt;=1918),Loans!L45,0)</f>
        <v>0</v>
      </c>
      <c r="D45" s="132" t="n">
        <f aca="false">Abroad!D45</f>
        <v>0</v>
      </c>
      <c r="E45" s="117" t="n">
        <f aca="false">B45*(1-entente_public-entente_private)</f>
        <v>0</v>
      </c>
      <c r="F45" s="133" t="n">
        <f aca="false">B45-SUM(C45:E45)</f>
        <v>0</v>
      </c>
      <c r="G45" s="117" t="n">
        <f aca="false">B45*uw_fee</f>
        <v>0</v>
      </c>
      <c r="H45" s="117" t="n">
        <f aca="false">B45-G45</f>
        <v>0</v>
      </c>
      <c r="I45" s="132" t="n">
        <f aca="false">H45*'Sources &amp; uses'!$E$31</f>
        <v>0</v>
      </c>
      <c r="J45" s="117" t="n">
        <f aca="false">H45-I45</f>
        <v>0</v>
      </c>
      <c r="K45" s="133" t="n">
        <f aca="false">B45-G45-I45-J45</f>
        <v>0</v>
      </c>
      <c r="L45" s="117" t="n">
        <f aca="false">O44</f>
        <v>0</v>
      </c>
      <c r="M45" s="132" t="n">
        <f aca="false">L45*Paths!AA45</f>
        <v>0</v>
      </c>
      <c r="N45" s="117" t="n">
        <f aca="false">IF(A45=1918,(L45+C45)*russia_writeoff,0)-IF(A45=russia_recog_yr,russia_recog*$N$78,0)</f>
        <v>0</v>
      </c>
      <c r="O45" s="117" t="n">
        <f aca="false">L45+C45-M45-N45</f>
        <v>0</v>
      </c>
      <c r="P45" s="132" t="n">
        <f aca="false">L45*Paths!Z45*Paths!AB45</f>
        <v>0</v>
      </c>
      <c r="Q45" s="117" t="n">
        <f aca="false">T44</f>
        <v>0</v>
      </c>
      <c r="R45" s="132" t="n">
        <f aca="false">Q45*Paths!AA45</f>
        <v>0</v>
      </c>
      <c r="S45" s="117" t="n">
        <f aca="false">IF(A45=1918,(Q45+D45)*russia_writeoff,0)-IF(A45=russia_recog_yr,russia_recog*$S$78,0)</f>
        <v>0</v>
      </c>
      <c r="T45" s="117" t="n">
        <f aca="false">Q45+D45-R45-S45</f>
        <v>0</v>
      </c>
      <c r="U45" s="132" t="n">
        <f aca="false">Q45*Paths!Z45*Paths!AB45</f>
        <v>0</v>
      </c>
      <c r="V45" s="117" t="n">
        <f aca="false">Y44</f>
        <v>0</v>
      </c>
      <c r="W45" s="132" t="n">
        <f aca="false">V45*Paths!AA45</f>
        <v>0</v>
      </c>
      <c r="X45" s="117" t="n">
        <f aca="false">IF(A45=1918,(V45+E45)*russia_writeoff,0)-IF(A45=russia_recog_yr,russia_recog*$X$78,0)</f>
        <v>0</v>
      </c>
      <c r="Y45" s="117" t="n">
        <f aca="false">V45+E45-W45-X45</f>
        <v>0</v>
      </c>
      <c r="Z45" s="132" t="n">
        <f aca="false">V45*Paths!Z45*Paths!AB45</f>
        <v>0</v>
      </c>
      <c r="AA45" s="117" t="n">
        <f aca="false">O45+T45+Y45</f>
        <v>0</v>
      </c>
      <c r="AB45" s="117" t="n">
        <f aca="false">P45+U45+Z45</f>
        <v>0</v>
      </c>
      <c r="AC45" s="134" t="n">
        <f aca="false">IF(E45=0,0,IF(ISNUMBER('Sources &amp; uses'!$E$29),MAX(0,E45-'Sources &amp; uses'!$E$29),"n.a."))</f>
        <v>0</v>
      </c>
      <c r="AD45" s="132" t="str">
        <f aca="false">IF(E45=0,"No new subscription",IF(ISNUMBER('Sources &amp; uses'!$E$29),"MODEL capacity tested","Unverified"))</f>
        <v>No new subscription</v>
      </c>
    </row>
    <row r="46" customFormat="false" ht="19.5" hidden="false" customHeight="true" outlineLevel="0" collapsed="false">
      <c r="A46" s="121" t="n">
        <v>1886</v>
      </c>
      <c r="B46" s="117" t="n">
        <f aca="false">IF(AND(A46&gt;=1914,A46&lt;=1918),entente_total*CHOOSE(A46-1913,0.05,0.1333,0.2333,0.3,0.2834),0)</f>
        <v>0</v>
      </c>
      <c r="C46" s="132" t="n">
        <f aca="false">IF(AND(A46&gt;=1914,A46&lt;=1918),Loans!L46,0)</f>
        <v>0</v>
      </c>
      <c r="D46" s="132" t="n">
        <f aca="false">Abroad!D46</f>
        <v>0</v>
      </c>
      <c r="E46" s="117" t="n">
        <f aca="false">B46*(1-entente_public-entente_private)</f>
        <v>0</v>
      </c>
      <c r="F46" s="133" t="n">
        <f aca="false">B46-SUM(C46:E46)</f>
        <v>0</v>
      </c>
      <c r="G46" s="117" t="n">
        <f aca="false">B46*uw_fee</f>
        <v>0</v>
      </c>
      <c r="H46" s="117" t="n">
        <f aca="false">B46-G46</f>
        <v>0</v>
      </c>
      <c r="I46" s="132" t="n">
        <f aca="false">H46*'Sources &amp; uses'!$E$31</f>
        <v>0</v>
      </c>
      <c r="J46" s="117" t="n">
        <f aca="false">H46-I46</f>
        <v>0</v>
      </c>
      <c r="K46" s="133" t="n">
        <f aca="false">B46-G46-I46-J46</f>
        <v>0</v>
      </c>
      <c r="L46" s="117" t="n">
        <f aca="false">O45</f>
        <v>0</v>
      </c>
      <c r="M46" s="132" t="n">
        <f aca="false">L46*Paths!AA46</f>
        <v>0</v>
      </c>
      <c r="N46" s="117" t="n">
        <f aca="false">IF(A46=1918,(L46+C46)*russia_writeoff,0)-IF(A46=russia_recog_yr,russia_recog*$N$78,0)</f>
        <v>0</v>
      </c>
      <c r="O46" s="117" t="n">
        <f aca="false">L46+C46-M46-N46</f>
        <v>0</v>
      </c>
      <c r="P46" s="132" t="n">
        <f aca="false">L46*Paths!Z46*Paths!AB46</f>
        <v>0</v>
      </c>
      <c r="Q46" s="117" t="n">
        <f aca="false">T45</f>
        <v>0</v>
      </c>
      <c r="R46" s="132" t="n">
        <f aca="false">Q46*Paths!AA46</f>
        <v>0</v>
      </c>
      <c r="S46" s="117" t="n">
        <f aca="false">IF(A46=1918,(Q46+D46)*russia_writeoff,0)-IF(A46=russia_recog_yr,russia_recog*$S$78,0)</f>
        <v>0</v>
      </c>
      <c r="T46" s="117" t="n">
        <f aca="false">Q46+D46-R46-S46</f>
        <v>0</v>
      </c>
      <c r="U46" s="132" t="n">
        <f aca="false">Q46*Paths!Z46*Paths!AB46</f>
        <v>0</v>
      </c>
      <c r="V46" s="117" t="n">
        <f aca="false">Y45</f>
        <v>0</v>
      </c>
      <c r="W46" s="132" t="n">
        <f aca="false">V46*Paths!AA46</f>
        <v>0</v>
      </c>
      <c r="X46" s="117" t="n">
        <f aca="false">IF(A46=1918,(V46+E46)*russia_writeoff,0)-IF(A46=russia_recog_yr,russia_recog*$X$78,0)</f>
        <v>0</v>
      </c>
      <c r="Y46" s="117" t="n">
        <f aca="false">V46+E46-W46-X46</f>
        <v>0</v>
      </c>
      <c r="Z46" s="132" t="n">
        <f aca="false">V46*Paths!Z46*Paths!AB46</f>
        <v>0</v>
      </c>
      <c r="AA46" s="117" t="n">
        <f aca="false">O46+T46+Y46</f>
        <v>0</v>
      </c>
      <c r="AB46" s="117" t="n">
        <f aca="false">P46+U46+Z46</f>
        <v>0</v>
      </c>
      <c r="AC46" s="134" t="n">
        <f aca="false">IF(E46=0,0,IF(ISNUMBER('Sources &amp; uses'!$E$29),MAX(0,E46-'Sources &amp; uses'!$E$29),"n.a."))</f>
        <v>0</v>
      </c>
      <c r="AD46" s="132" t="str">
        <f aca="false">IF(E46=0,"No new subscription",IF(ISNUMBER('Sources &amp; uses'!$E$29),"MODEL capacity tested","Unverified"))</f>
        <v>No new subscription</v>
      </c>
    </row>
    <row r="47" customFormat="false" ht="19.5" hidden="false" customHeight="true" outlineLevel="0" collapsed="false">
      <c r="A47" s="121" t="n">
        <v>1887</v>
      </c>
      <c r="B47" s="117" t="n">
        <f aca="false">IF(AND(A47&gt;=1914,A47&lt;=1918),entente_total*CHOOSE(A47-1913,0.05,0.1333,0.2333,0.3,0.2834),0)</f>
        <v>0</v>
      </c>
      <c r="C47" s="132" t="n">
        <f aca="false">IF(AND(A47&gt;=1914,A47&lt;=1918),Loans!L47,0)</f>
        <v>0</v>
      </c>
      <c r="D47" s="132" t="n">
        <f aca="false">Abroad!D47</f>
        <v>0</v>
      </c>
      <c r="E47" s="117" t="n">
        <f aca="false">B47*(1-entente_public-entente_private)</f>
        <v>0</v>
      </c>
      <c r="F47" s="133" t="n">
        <f aca="false">B47-SUM(C47:E47)</f>
        <v>0</v>
      </c>
      <c r="G47" s="117" t="n">
        <f aca="false">B47*uw_fee</f>
        <v>0</v>
      </c>
      <c r="H47" s="117" t="n">
        <f aca="false">B47-G47</f>
        <v>0</v>
      </c>
      <c r="I47" s="132" t="n">
        <f aca="false">H47*'Sources &amp; uses'!$E$31</f>
        <v>0</v>
      </c>
      <c r="J47" s="117" t="n">
        <f aca="false">H47-I47</f>
        <v>0</v>
      </c>
      <c r="K47" s="133" t="n">
        <f aca="false">B47-G47-I47-J47</f>
        <v>0</v>
      </c>
      <c r="L47" s="117" t="n">
        <f aca="false">O46</f>
        <v>0</v>
      </c>
      <c r="M47" s="132" t="n">
        <f aca="false">L47*Paths!AA47</f>
        <v>0</v>
      </c>
      <c r="N47" s="117" t="n">
        <f aca="false">IF(A47=1918,(L47+C47)*russia_writeoff,0)-IF(A47=russia_recog_yr,russia_recog*$N$78,0)</f>
        <v>0</v>
      </c>
      <c r="O47" s="117" t="n">
        <f aca="false">L47+C47-M47-N47</f>
        <v>0</v>
      </c>
      <c r="P47" s="132" t="n">
        <f aca="false">L47*Paths!Z47*Paths!AB47</f>
        <v>0</v>
      </c>
      <c r="Q47" s="117" t="n">
        <f aca="false">T46</f>
        <v>0</v>
      </c>
      <c r="R47" s="132" t="n">
        <f aca="false">Q47*Paths!AA47</f>
        <v>0</v>
      </c>
      <c r="S47" s="117" t="n">
        <f aca="false">IF(A47=1918,(Q47+D47)*russia_writeoff,0)-IF(A47=russia_recog_yr,russia_recog*$S$78,0)</f>
        <v>0</v>
      </c>
      <c r="T47" s="117" t="n">
        <f aca="false">Q47+D47-R47-S47</f>
        <v>0</v>
      </c>
      <c r="U47" s="132" t="n">
        <f aca="false">Q47*Paths!Z47*Paths!AB47</f>
        <v>0</v>
      </c>
      <c r="V47" s="117" t="n">
        <f aca="false">Y46</f>
        <v>0</v>
      </c>
      <c r="W47" s="132" t="n">
        <f aca="false">V47*Paths!AA47</f>
        <v>0</v>
      </c>
      <c r="X47" s="117" t="n">
        <f aca="false">IF(A47=1918,(V47+E47)*russia_writeoff,0)-IF(A47=russia_recog_yr,russia_recog*$X$78,0)</f>
        <v>0</v>
      </c>
      <c r="Y47" s="117" t="n">
        <f aca="false">V47+E47-W47-X47</f>
        <v>0</v>
      </c>
      <c r="Z47" s="132" t="n">
        <f aca="false">V47*Paths!Z47*Paths!AB47</f>
        <v>0</v>
      </c>
      <c r="AA47" s="117" t="n">
        <f aca="false">O47+T47+Y47</f>
        <v>0</v>
      </c>
      <c r="AB47" s="117" t="n">
        <f aca="false">P47+U47+Z47</f>
        <v>0</v>
      </c>
      <c r="AC47" s="134" t="n">
        <f aca="false">IF(E47=0,0,IF(ISNUMBER('Sources &amp; uses'!$E$29),MAX(0,E47-'Sources &amp; uses'!$E$29),"n.a."))</f>
        <v>0</v>
      </c>
      <c r="AD47" s="132" t="str">
        <f aca="false">IF(E47=0,"No new subscription",IF(ISNUMBER('Sources &amp; uses'!$E$29),"MODEL capacity tested","Unverified"))</f>
        <v>No new subscription</v>
      </c>
    </row>
    <row r="48" customFormat="false" ht="19.5" hidden="false" customHeight="true" outlineLevel="0" collapsed="false">
      <c r="A48" s="121" t="n">
        <v>1888</v>
      </c>
      <c r="B48" s="117" t="n">
        <f aca="false">IF(AND(A48&gt;=1914,A48&lt;=1918),entente_total*CHOOSE(A48-1913,0.05,0.1333,0.2333,0.3,0.2834),0)</f>
        <v>0</v>
      </c>
      <c r="C48" s="132" t="n">
        <f aca="false">IF(AND(A48&gt;=1914,A48&lt;=1918),Loans!L48,0)</f>
        <v>0</v>
      </c>
      <c r="D48" s="132" t="n">
        <f aca="false">Abroad!D48</f>
        <v>0</v>
      </c>
      <c r="E48" s="117" t="n">
        <f aca="false">B48*(1-entente_public-entente_private)</f>
        <v>0</v>
      </c>
      <c r="F48" s="133" t="n">
        <f aca="false">B48-SUM(C48:E48)</f>
        <v>0</v>
      </c>
      <c r="G48" s="117" t="n">
        <f aca="false">B48*uw_fee</f>
        <v>0</v>
      </c>
      <c r="H48" s="117" t="n">
        <f aca="false">B48-G48</f>
        <v>0</v>
      </c>
      <c r="I48" s="132" t="n">
        <f aca="false">H48*'Sources &amp; uses'!$E$31</f>
        <v>0</v>
      </c>
      <c r="J48" s="117" t="n">
        <f aca="false">H48-I48</f>
        <v>0</v>
      </c>
      <c r="K48" s="133" t="n">
        <f aca="false">B48-G48-I48-J48</f>
        <v>0</v>
      </c>
      <c r="L48" s="117" t="n">
        <f aca="false">O47</f>
        <v>0</v>
      </c>
      <c r="M48" s="132" t="n">
        <f aca="false">L48*Paths!AA48</f>
        <v>0</v>
      </c>
      <c r="N48" s="117" t="n">
        <f aca="false">IF(A48=1918,(L48+C48)*russia_writeoff,0)-IF(A48=russia_recog_yr,russia_recog*$N$78,0)</f>
        <v>0</v>
      </c>
      <c r="O48" s="117" t="n">
        <f aca="false">L48+C48-M48-N48</f>
        <v>0</v>
      </c>
      <c r="P48" s="132" t="n">
        <f aca="false">L48*Paths!Z48*Paths!AB48</f>
        <v>0</v>
      </c>
      <c r="Q48" s="117" t="n">
        <f aca="false">T47</f>
        <v>0</v>
      </c>
      <c r="R48" s="132" t="n">
        <f aca="false">Q48*Paths!AA48</f>
        <v>0</v>
      </c>
      <c r="S48" s="117" t="n">
        <f aca="false">IF(A48=1918,(Q48+D48)*russia_writeoff,0)-IF(A48=russia_recog_yr,russia_recog*$S$78,0)</f>
        <v>0</v>
      </c>
      <c r="T48" s="117" t="n">
        <f aca="false">Q48+D48-R48-S48</f>
        <v>0</v>
      </c>
      <c r="U48" s="132" t="n">
        <f aca="false">Q48*Paths!Z48*Paths!AB48</f>
        <v>0</v>
      </c>
      <c r="V48" s="117" t="n">
        <f aca="false">Y47</f>
        <v>0</v>
      </c>
      <c r="W48" s="132" t="n">
        <f aca="false">V48*Paths!AA48</f>
        <v>0</v>
      </c>
      <c r="X48" s="117" t="n">
        <f aca="false">IF(A48=1918,(V48+E48)*russia_writeoff,0)-IF(A48=russia_recog_yr,russia_recog*$X$78,0)</f>
        <v>0</v>
      </c>
      <c r="Y48" s="117" t="n">
        <f aca="false">V48+E48-W48-X48</f>
        <v>0</v>
      </c>
      <c r="Z48" s="132" t="n">
        <f aca="false">V48*Paths!Z48*Paths!AB48</f>
        <v>0</v>
      </c>
      <c r="AA48" s="117" t="n">
        <f aca="false">O48+T48+Y48</f>
        <v>0</v>
      </c>
      <c r="AB48" s="117" t="n">
        <f aca="false">P48+U48+Z48</f>
        <v>0</v>
      </c>
      <c r="AC48" s="134" t="n">
        <f aca="false">IF(E48=0,0,IF(ISNUMBER('Sources &amp; uses'!$E$29),MAX(0,E48-'Sources &amp; uses'!$E$29),"n.a."))</f>
        <v>0</v>
      </c>
      <c r="AD48" s="132" t="str">
        <f aca="false">IF(E48=0,"No new subscription",IF(ISNUMBER('Sources &amp; uses'!$E$29),"MODEL capacity tested","Unverified"))</f>
        <v>No new subscription</v>
      </c>
    </row>
    <row r="49" customFormat="false" ht="19.5" hidden="false" customHeight="true" outlineLevel="0" collapsed="false">
      <c r="A49" s="121" t="n">
        <v>1889</v>
      </c>
      <c r="B49" s="117" t="n">
        <f aca="false">IF(AND(A49&gt;=1914,A49&lt;=1918),entente_total*CHOOSE(A49-1913,0.05,0.1333,0.2333,0.3,0.2834),0)</f>
        <v>0</v>
      </c>
      <c r="C49" s="132" t="n">
        <f aca="false">IF(AND(A49&gt;=1914,A49&lt;=1918),Loans!L49,0)</f>
        <v>0</v>
      </c>
      <c r="D49" s="132" t="n">
        <f aca="false">Abroad!D49</f>
        <v>0</v>
      </c>
      <c r="E49" s="117" t="n">
        <f aca="false">B49*(1-entente_public-entente_private)</f>
        <v>0</v>
      </c>
      <c r="F49" s="133" t="n">
        <f aca="false">B49-SUM(C49:E49)</f>
        <v>0</v>
      </c>
      <c r="G49" s="117" t="n">
        <f aca="false">B49*uw_fee</f>
        <v>0</v>
      </c>
      <c r="H49" s="117" t="n">
        <f aca="false">B49-G49</f>
        <v>0</v>
      </c>
      <c r="I49" s="132" t="n">
        <f aca="false">H49*'Sources &amp; uses'!$E$31</f>
        <v>0</v>
      </c>
      <c r="J49" s="117" t="n">
        <f aca="false">H49-I49</f>
        <v>0</v>
      </c>
      <c r="K49" s="133" t="n">
        <f aca="false">B49-G49-I49-J49</f>
        <v>0</v>
      </c>
      <c r="L49" s="117" t="n">
        <f aca="false">O48</f>
        <v>0</v>
      </c>
      <c r="M49" s="132" t="n">
        <f aca="false">L49*Paths!AA49</f>
        <v>0</v>
      </c>
      <c r="N49" s="117" t="n">
        <f aca="false">IF(A49=1918,(L49+C49)*russia_writeoff,0)-IF(A49=russia_recog_yr,russia_recog*$N$78,0)</f>
        <v>0</v>
      </c>
      <c r="O49" s="117" t="n">
        <f aca="false">L49+C49-M49-N49</f>
        <v>0</v>
      </c>
      <c r="P49" s="132" t="n">
        <f aca="false">L49*Paths!Z49*Paths!AB49</f>
        <v>0</v>
      </c>
      <c r="Q49" s="117" t="n">
        <f aca="false">T48</f>
        <v>0</v>
      </c>
      <c r="R49" s="132" t="n">
        <f aca="false">Q49*Paths!AA49</f>
        <v>0</v>
      </c>
      <c r="S49" s="117" t="n">
        <f aca="false">IF(A49=1918,(Q49+D49)*russia_writeoff,0)-IF(A49=russia_recog_yr,russia_recog*$S$78,0)</f>
        <v>0</v>
      </c>
      <c r="T49" s="117" t="n">
        <f aca="false">Q49+D49-R49-S49</f>
        <v>0</v>
      </c>
      <c r="U49" s="132" t="n">
        <f aca="false">Q49*Paths!Z49*Paths!AB49</f>
        <v>0</v>
      </c>
      <c r="V49" s="117" t="n">
        <f aca="false">Y48</f>
        <v>0</v>
      </c>
      <c r="W49" s="132" t="n">
        <f aca="false">V49*Paths!AA49</f>
        <v>0</v>
      </c>
      <c r="X49" s="117" t="n">
        <f aca="false">IF(A49=1918,(V49+E49)*russia_writeoff,0)-IF(A49=russia_recog_yr,russia_recog*$X$78,0)</f>
        <v>0</v>
      </c>
      <c r="Y49" s="117" t="n">
        <f aca="false">V49+E49-W49-X49</f>
        <v>0</v>
      </c>
      <c r="Z49" s="132" t="n">
        <f aca="false">V49*Paths!Z49*Paths!AB49</f>
        <v>0</v>
      </c>
      <c r="AA49" s="117" t="n">
        <f aca="false">O49+T49+Y49</f>
        <v>0</v>
      </c>
      <c r="AB49" s="117" t="n">
        <f aca="false">P49+U49+Z49</f>
        <v>0</v>
      </c>
      <c r="AC49" s="134" t="n">
        <f aca="false">IF(E49=0,0,IF(ISNUMBER('Sources &amp; uses'!$E$29),MAX(0,E49-'Sources &amp; uses'!$E$29),"n.a."))</f>
        <v>0</v>
      </c>
      <c r="AD49" s="132" t="str">
        <f aca="false">IF(E49=0,"No new subscription",IF(ISNUMBER('Sources &amp; uses'!$E$29),"MODEL capacity tested","Unverified"))</f>
        <v>No new subscription</v>
      </c>
    </row>
    <row r="50" customFormat="false" ht="19.5" hidden="false" customHeight="true" outlineLevel="0" collapsed="false">
      <c r="A50" s="121" t="n">
        <v>1890</v>
      </c>
      <c r="B50" s="117" t="n">
        <f aca="false">IF(AND(A50&gt;=1914,A50&lt;=1918),entente_total*CHOOSE(A50-1913,0.05,0.1333,0.2333,0.3,0.2834),0)</f>
        <v>0</v>
      </c>
      <c r="C50" s="132" t="n">
        <f aca="false">IF(AND(A50&gt;=1914,A50&lt;=1918),Loans!L50,0)</f>
        <v>0</v>
      </c>
      <c r="D50" s="132" t="n">
        <f aca="false">Abroad!D50</f>
        <v>0</v>
      </c>
      <c r="E50" s="117" t="n">
        <f aca="false">B50*(1-entente_public-entente_private)</f>
        <v>0</v>
      </c>
      <c r="F50" s="133" t="n">
        <f aca="false">B50-SUM(C50:E50)</f>
        <v>0</v>
      </c>
      <c r="G50" s="117" t="n">
        <f aca="false">B50*uw_fee</f>
        <v>0</v>
      </c>
      <c r="H50" s="117" t="n">
        <f aca="false">B50-G50</f>
        <v>0</v>
      </c>
      <c r="I50" s="132" t="n">
        <f aca="false">H50*'Sources &amp; uses'!$E$31</f>
        <v>0</v>
      </c>
      <c r="J50" s="117" t="n">
        <f aca="false">H50-I50</f>
        <v>0</v>
      </c>
      <c r="K50" s="133" t="n">
        <f aca="false">B50-G50-I50-J50</f>
        <v>0</v>
      </c>
      <c r="L50" s="117" t="n">
        <f aca="false">O49</f>
        <v>0</v>
      </c>
      <c r="M50" s="132" t="n">
        <f aca="false">L50*Paths!AA50</f>
        <v>0</v>
      </c>
      <c r="N50" s="117" t="n">
        <f aca="false">IF(A50=1918,(L50+C50)*russia_writeoff,0)-IF(A50=russia_recog_yr,russia_recog*$N$78,0)</f>
        <v>0</v>
      </c>
      <c r="O50" s="117" t="n">
        <f aca="false">L50+C50-M50-N50</f>
        <v>0</v>
      </c>
      <c r="P50" s="132" t="n">
        <f aca="false">L50*Paths!Z50*Paths!AB50</f>
        <v>0</v>
      </c>
      <c r="Q50" s="117" t="n">
        <f aca="false">T49</f>
        <v>0</v>
      </c>
      <c r="R50" s="132" t="n">
        <f aca="false">Q50*Paths!AA50</f>
        <v>0</v>
      </c>
      <c r="S50" s="117" t="n">
        <f aca="false">IF(A50=1918,(Q50+D50)*russia_writeoff,0)-IF(A50=russia_recog_yr,russia_recog*$S$78,0)</f>
        <v>0</v>
      </c>
      <c r="T50" s="117" t="n">
        <f aca="false">Q50+D50-R50-S50</f>
        <v>0</v>
      </c>
      <c r="U50" s="132" t="n">
        <f aca="false">Q50*Paths!Z50*Paths!AB50</f>
        <v>0</v>
      </c>
      <c r="V50" s="117" t="n">
        <f aca="false">Y49</f>
        <v>0</v>
      </c>
      <c r="W50" s="132" t="n">
        <f aca="false">V50*Paths!AA50</f>
        <v>0</v>
      </c>
      <c r="X50" s="117" t="n">
        <f aca="false">IF(A50=1918,(V50+E50)*russia_writeoff,0)-IF(A50=russia_recog_yr,russia_recog*$X$78,0)</f>
        <v>0</v>
      </c>
      <c r="Y50" s="117" t="n">
        <f aca="false">V50+E50-W50-X50</f>
        <v>0</v>
      </c>
      <c r="Z50" s="132" t="n">
        <f aca="false">V50*Paths!Z50*Paths!AB50</f>
        <v>0</v>
      </c>
      <c r="AA50" s="117" t="n">
        <f aca="false">O50+T50+Y50</f>
        <v>0</v>
      </c>
      <c r="AB50" s="117" t="n">
        <f aca="false">P50+U50+Z50</f>
        <v>0</v>
      </c>
      <c r="AC50" s="134" t="n">
        <f aca="false">IF(E50=0,0,IF(ISNUMBER('Sources &amp; uses'!$E$29),MAX(0,E50-'Sources &amp; uses'!$E$29),"n.a."))</f>
        <v>0</v>
      </c>
      <c r="AD50" s="132" t="str">
        <f aca="false">IF(E50=0,"No new subscription",IF(ISNUMBER('Sources &amp; uses'!$E$29),"MODEL capacity tested","Unverified"))</f>
        <v>No new subscription</v>
      </c>
    </row>
    <row r="51" customFormat="false" ht="19.5" hidden="false" customHeight="true" outlineLevel="0" collapsed="false">
      <c r="A51" s="121" t="n">
        <v>1891</v>
      </c>
      <c r="B51" s="117" t="n">
        <f aca="false">IF(AND(A51&gt;=1914,A51&lt;=1918),entente_total*CHOOSE(A51-1913,0.05,0.1333,0.2333,0.3,0.2834),0)</f>
        <v>0</v>
      </c>
      <c r="C51" s="132" t="n">
        <f aca="false">IF(AND(A51&gt;=1914,A51&lt;=1918),Loans!L51,0)</f>
        <v>0</v>
      </c>
      <c r="D51" s="132" t="n">
        <f aca="false">Abroad!D51</f>
        <v>0</v>
      </c>
      <c r="E51" s="117" t="n">
        <f aca="false">B51*(1-entente_public-entente_private)</f>
        <v>0</v>
      </c>
      <c r="F51" s="133" t="n">
        <f aca="false">B51-SUM(C51:E51)</f>
        <v>0</v>
      </c>
      <c r="G51" s="117" t="n">
        <f aca="false">B51*uw_fee</f>
        <v>0</v>
      </c>
      <c r="H51" s="117" t="n">
        <f aca="false">B51-G51</f>
        <v>0</v>
      </c>
      <c r="I51" s="132" t="n">
        <f aca="false">H51*'Sources &amp; uses'!$E$31</f>
        <v>0</v>
      </c>
      <c r="J51" s="117" t="n">
        <f aca="false">H51-I51</f>
        <v>0</v>
      </c>
      <c r="K51" s="133" t="n">
        <f aca="false">B51-G51-I51-J51</f>
        <v>0</v>
      </c>
      <c r="L51" s="117" t="n">
        <f aca="false">O50</f>
        <v>0</v>
      </c>
      <c r="M51" s="132" t="n">
        <f aca="false">L51*Paths!AA51</f>
        <v>0</v>
      </c>
      <c r="N51" s="117" t="n">
        <f aca="false">IF(A51=1918,(L51+C51)*russia_writeoff,0)-IF(A51=russia_recog_yr,russia_recog*$N$78,0)</f>
        <v>0</v>
      </c>
      <c r="O51" s="117" t="n">
        <f aca="false">L51+C51-M51-N51</f>
        <v>0</v>
      </c>
      <c r="P51" s="132" t="n">
        <f aca="false">L51*Paths!Z51*Paths!AB51</f>
        <v>0</v>
      </c>
      <c r="Q51" s="117" t="n">
        <f aca="false">T50</f>
        <v>0</v>
      </c>
      <c r="R51" s="132" t="n">
        <f aca="false">Q51*Paths!AA51</f>
        <v>0</v>
      </c>
      <c r="S51" s="117" t="n">
        <f aca="false">IF(A51=1918,(Q51+D51)*russia_writeoff,0)-IF(A51=russia_recog_yr,russia_recog*$S$78,0)</f>
        <v>0</v>
      </c>
      <c r="T51" s="117" t="n">
        <f aca="false">Q51+D51-R51-S51</f>
        <v>0</v>
      </c>
      <c r="U51" s="132" t="n">
        <f aca="false">Q51*Paths!Z51*Paths!AB51</f>
        <v>0</v>
      </c>
      <c r="V51" s="117" t="n">
        <f aca="false">Y50</f>
        <v>0</v>
      </c>
      <c r="W51" s="132" t="n">
        <f aca="false">V51*Paths!AA51</f>
        <v>0</v>
      </c>
      <c r="X51" s="117" t="n">
        <f aca="false">IF(A51=1918,(V51+E51)*russia_writeoff,0)-IF(A51=russia_recog_yr,russia_recog*$X$78,0)</f>
        <v>0</v>
      </c>
      <c r="Y51" s="117" t="n">
        <f aca="false">V51+E51-W51-X51</f>
        <v>0</v>
      </c>
      <c r="Z51" s="132" t="n">
        <f aca="false">V51*Paths!Z51*Paths!AB51</f>
        <v>0</v>
      </c>
      <c r="AA51" s="117" t="n">
        <f aca="false">O51+T51+Y51</f>
        <v>0</v>
      </c>
      <c r="AB51" s="117" t="n">
        <f aca="false">P51+U51+Z51</f>
        <v>0</v>
      </c>
      <c r="AC51" s="134" t="n">
        <f aca="false">IF(E51=0,0,IF(ISNUMBER('Sources &amp; uses'!$E$29),MAX(0,E51-'Sources &amp; uses'!$E$29),"n.a."))</f>
        <v>0</v>
      </c>
      <c r="AD51" s="132" t="str">
        <f aca="false">IF(E51=0,"No new subscription",IF(ISNUMBER('Sources &amp; uses'!$E$29),"MODEL capacity tested","Unverified"))</f>
        <v>No new subscription</v>
      </c>
    </row>
    <row r="52" customFormat="false" ht="19.5" hidden="false" customHeight="true" outlineLevel="0" collapsed="false">
      <c r="A52" s="121" t="n">
        <v>1892</v>
      </c>
      <c r="B52" s="117" t="n">
        <f aca="false">IF(AND(A52&gt;=1914,A52&lt;=1918),entente_total*CHOOSE(A52-1913,0.05,0.1333,0.2333,0.3,0.2834),0)</f>
        <v>0</v>
      </c>
      <c r="C52" s="132" t="n">
        <f aca="false">IF(AND(A52&gt;=1914,A52&lt;=1918),Loans!L52,0)</f>
        <v>0</v>
      </c>
      <c r="D52" s="132" t="n">
        <f aca="false">Abroad!D52</f>
        <v>0</v>
      </c>
      <c r="E52" s="117" t="n">
        <f aca="false">B52*(1-entente_public-entente_private)</f>
        <v>0</v>
      </c>
      <c r="F52" s="133" t="n">
        <f aca="false">B52-SUM(C52:E52)</f>
        <v>0</v>
      </c>
      <c r="G52" s="117" t="n">
        <f aca="false">B52*uw_fee</f>
        <v>0</v>
      </c>
      <c r="H52" s="117" t="n">
        <f aca="false">B52-G52</f>
        <v>0</v>
      </c>
      <c r="I52" s="132" t="n">
        <f aca="false">H52*'Sources &amp; uses'!$E$31</f>
        <v>0</v>
      </c>
      <c r="J52" s="117" t="n">
        <f aca="false">H52-I52</f>
        <v>0</v>
      </c>
      <c r="K52" s="133" t="n">
        <f aca="false">B52-G52-I52-J52</f>
        <v>0</v>
      </c>
      <c r="L52" s="117" t="n">
        <f aca="false">O51</f>
        <v>0</v>
      </c>
      <c r="M52" s="132" t="n">
        <f aca="false">L52*Paths!AA52</f>
        <v>0</v>
      </c>
      <c r="N52" s="117" t="n">
        <f aca="false">IF(A52=1918,(L52+C52)*russia_writeoff,0)-IF(A52=russia_recog_yr,russia_recog*$N$78,0)</f>
        <v>0</v>
      </c>
      <c r="O52" s="117" t="n">
        <f aca="false">L52+C52-M52-N52</f>
        <v>0</v>
      </c>
      <c r="P52" s="132" t="n">
        <f aca="false">L52*Paths!Z52*Paths!AB52</f>
        <v>0</v>
      </c>
      <c r="Q52" s="117" t="n">
        <f aca="false">T51</f>
        <v>0</v>
      </c>
      <c r="R52" s="132" t="n">
        <f aca="false">Q52*Paths!AA52</f>
        <v>0</v>
      </c>
      <c r="S52" s="117" t="n">
        <f aca="false">IF(A52=1918,(Q52+D52)*russia_writeoff,0)-IF(A52=russia_recog_yr,russia_recog*$S$78,0)</f>
        <v>0</v>
      </c>
      <c r="T52" s="117" t="n">
        <f aca="false">Q52+D52-R52-S52</f>
        <v>0</v>
      </c>
      <c r="U52" s="132" t="n">
        <f aca="false">Q52*Paths!Z52*Paths!AB52</f>
        <v>0</v>
      </c>
      <c r="V52" s="117" t="n">
        <f aca="false">Y51</f>
        <v>0</v>
      </c>
      <c r="W52" s="132" t="n">
        <f aca="false">V52*Paths!AA52</f>
        <v>0</v>
      </c>
      <c r="X52" s="117" t="n">
        <f aca="false">IF(A52=1918,(V52+E52)*russia_writeoff,0)-IF(A52=russia_recog_yr,russia_recog*$X$78,0)</f>
        <v>0</v>
      </c>
      <c r="Y52" s="117" t="n">
        <f aca="false">V52+E52-W52-X52</f>
        <v>0</v>
      </c>
      <c r="Z52" s="132" t="n">
        <f aca="false">V52*Paths!Z52*Paths!AB52</f>
        <v>0</v>
      </c>
      <c r="AA52" s="117" t="n">
        <f aca="false">O52+T52+Y52</f>
        <v>0</v>
      </c>
      <c r="AB52" s="117" t="n">
        <f aca="false">P52+U52+Z52</f>
        <v>0</v>
      </c>
      <c r="AC52" s="134" t="n">
        <f aca="false">IF(E52=0,0,IF(ISNUMBER('Sources &amp; uses'!$E$29),MAX(0,E52-'Sources &amp; uses'!$E$29),"n.a."))</f>
        <v>0</v>
      </c>
      <c r="AD52" s="132" t="str">
        <f aca="false">IF(E52=0,"No new subscription",IF(ISNUMBER('Sources &amp; uses'!$E$29),"MODEL capacity tested","Unverified"))</f>
        <v>No new subscription</v>
      </c>
    </row>
    <row r="53" customFormat="false" ht="19.5" hidden="false" customHeight="true" outlineLevel="0" collapsed="false">
      <c r="A53" s="121" t="n">
        <v>1893</v>
      </c>
      <c r="B53" s="117" t="n">
        <f aca="false">IF(AND(A53&gt;=1914,A53&lt;=1918),entente_total*CHOOSE(A53-1913,0.05,0.1333,0.2333,0.3,0.2834),0)</f>
        <v>0</v>
      </c>
      <c r="C53" s="132" t="n">
        <f aca="false">IF(AND(A53&gt;=1914,A53&lt;=1918),Loans!L53,0)</f>
        <v>0</v>
      </c>
      <c r="D53" s="132" t="n">
        <f aca="false">Abroad!D53</f>
        <v>0</v>
      </c>
      <c r="E53" s="117" t="n">
        <f aca="false">B53*(1-entente_public-entente_private)</f>
        <v>0</v>
      </c>
      <c r="F53" s="133" t="n">
        <f aca="false">B53-SUM(C53:E53)</f>
        <v>0</v>
      </c>
      <c r="G53" s="117" t="n">
        <f aca="false">B53*uw_fee</f>
        <v>0</v>
      </c>
      <c r="H53" s="117" t="n">
        <f aca="false">B53-G53</f>
        <v>0</v>
      </c>
      <c r="I53" s="132" t="n">
        <f aca="false">H53*'Sources &amp; uses'!$E$31</f>
        <v>0</v>
      </c>
      <c r="J53" s="117" t="n">
        <f aca="false">H53-I53</f>
        <v>0</v>
      </c>
      <c r="K53" s="133" t="n">
        <f aca="false">B53-G53-I53-J53</f>
        <v>0</v>
      </c>
      <c r="L53" s="117" t="n">
        <f aca="false">O52</f>
        <v>0</v>
      </c>
      <c r="M53" s="132" t="n">
        <f aca="false">L53*Paths!AA53</f>
        <v>0</v>
      </c>
      <c r="N53" s="117" t="n">
        <f aca="false">IF(A53=1918,(L53+C53)*russia_writeoff,0)-IF(A53=russia_recog_yr,russia_recog*$N$78,0)</f>
        <v>0</v>
      </c>
      <c r="O53" s="117" t="n">
        <f aca="false">L53+C53-M53-N53</f>
        <v>0</v>
      </c>
      <c r="P53" s="132" t="n">
        <f aca="false">L53*Paths!Z53*Paths!AB53</f>
        <v>0</v>
      </c>
      <c r="Q53" s="117" t="n">
        <f aca="false">T52</f>
        <v>0</v>
      </c>
      <c r="R53" s="132" t="n">
        <f aca="false">Q53*Paths!AA53</f>
        <v>0</v>
      </c>
      <c r="S53" s="117" t="n">
        <f aca="false">IF(A53=1918,(Q53+D53)*russia_writeoff,0)-IF(A53=russia_recog_yr,russia_recog*$S$78,0)</f>
        <v>0</v>
      </c>
      <c r="T53" s="117" t="n">
        <f aca="false">Q53+D53-R53-S53</f>
        <v>0</v>
      </c>
      <c r="U53" s="132" t="n">
        <f aca="false">Q53*Paths!Z53*Paths!AB53</f>
        <v>0</v>
      </c>
      <c r="V53" s="117" t="n">
        <f aca="false">Y52</f>
        <v>0</v>
      </c>
      <c r="W53" s="132" t="n">
        <f aca="false">V53*Paths!AA53</f>
        <v>0</v>
      </c>
      <c r="X53" s="117" t="n">
        <f aca="false">IF(A53=1918,(V53+E53)*russia_writeoff,0)-IF(A53=russia_recog_yr,russia_recog*$X$78,0)</f>
        <v>0</v>
      </c>
      <c r="Y53" s="117" t="n">
        <f aca="false">V53+E53-W53-X53</f>
        <v>0</v>
      </c>
      <c r="Z53" s="132" t="n">
        <f aca="false">V53*Paths!Z53*Paths!AB53</f>
        <v>0</v>
      </c>
      <c r="AA53" s="117" t="n">
        <f aca="false">O53+T53+Y53</f>
        <v>0</v>
      </c>
      <c r="AB53" s="117" t="n">
        <f aca="false">P53+U53+Z53</f>
        <v>0</v>
      </c>
      <c r="AC53" s="134" t="n">
        <f aca="false">IF(E53=0,0,IF(ISNUMBER('Sources &amp; uses'!$E$29),MAX(0,E53-'Sources &amp; uses'!$E$29),"n.a."))</f>
        <v>0</v>
      </c>
      <c r="AD53" s="132" t="str">
        <f aca="false">IF(E53=0,"No new subscription",IF(ISNUMBER('Sources &amp; uses'!$E$29),"MODEL capacity tested","Unverified"))</f>
        <v>No new subscription</v>
      </c>
    </row>
    <row r="54" customFormat="false" ht="19.5" hidden="false" customHeight="true" outlineLevel="0" collapsed="false">
      <c r="A54" s="121" t="n">
        <v>1894</v>
      </c>
      <c r="B54" s="117" t="n">
        <f aca="false">IF(AND(A54&gt;=1914,A54&lt;=1918),entente_total*CHOOSE(A54-1913,0.05,0.1333,0.2333,0.3,0.2834),0)</f>
        <v>0</v>
      </c>
      <c r="C54" s="132" t="n">
        <f aca="false">IF(AND(A54&gt;=1914,A54&lt;=1918),Loans!L54,0)</f>
        <v>0</v>
      </c>
      <c r="D54" s="132" t="n">
        <f aca="false">Abroad!D54</f>
        <v>0</v>
      </c>
      <c r="E54" s="117" t="n">
        <f aca="false">B54*(1-entente_public-entente_private)</f>
        <v>0</v>
      </c>
      <c r="F54" s="133" t="n">
        <f aca="false">B54-SUM(C54:E54)</f>
        <v>0</v>
      </c>
      <c r="G54" s="117" t="n">
        <f aca="false">B54*uw_fee</f>
        <v>0</v>
      </c>
      <c r="H54" s="117" t="n">
        <f aca="false">B54-G54</f>
        <v>0</v>
      </c>
      <c r="I54" s="132" t="n">
        <f aca="false">H54*'Sources &amp; uses'!$E$31</f>
        <v>0</v>
      </c>
      <c r="J54" s="117" t="n">
        <f aca="false">H54-I54</f>
        <v>0</v>
      </c>
      <c r="K54" s="133" t="n">
        <f aca="false">B54-G54-I54-J54</f>
        <v>0</v>
      </c>
      <c r="L54" s="117" t="n">
        <f aca="false">O53</f>
        <v>0</v>
      </c>
      <c r="M54" s="132" t="n">
        <f aca="false">L54*Paths!AA54</f>
        <v>0</v>
      </c>
      <c r="N54" s="117" t="n">
        <f aca="false">IF(A54=1918,(L54+C54)*russia_writeoff,0)-IF(A54=russia_recog_yr,russia_recog*$N$78,0)</f>
        <v>0</v>
      </c>
      <c r="O54" s="117" t="n">
        <f aca="false">L54+C54-M54-N54</f>
        <v>0</v>
      </c>
      <c r="P54" s="132" t="n">
        <f aca="false">L54*Paths!Z54*Paths!AB54</f>
        <v>0</v>
      </c>
      <c r="Q54" s="117" t="n">
        <f aca="false">T53</f>
        <v>0</v>
      </c>
      <c r="R54" s="132" t="n">
        <f aca="false">Q54*Paths!AA54</f>
        <v>0</v>
      </c>
      <c r="S54" s="117" t="n">
        <f aca="false">IF(A54=1918,(Q54+D54)*russia_writeoff,0)-IF(A54=russia_recog_yr,russia_recog*$S$78,0)</f>
        <v>0</v>
      </c>
      <c r="T54" s="117" t="n">
        <f aca="false">Q54+D54-R54-S54</f>
        <v>0</v>
      </c>
      <c r="U54" s="132" t="n">
        <f aca="false">Q54*Paths!Z54*Paths!AB54</f>
        <v>0</v>
      </c>
      <c r="V54" s="117" t="n">
        <f aca="false">Y53</f>
        <v>0</v>
      </c>
      <c r="W54" s="132" t="n">
        <f aca="false">V54*Paths!AA54</f>
        <v>0</v>
      </c>
      <c r="X54" s="117" t="n">
        <f aca="false">IF(A54=1918,(V54+E54)*russia_writeoff,0)-IF(A54=russia_recog_yr,russia_recog*$X$78,0)</f>
        <v>0</v>
      </c>
      <c r="Y54" s="117" t="n">
        <f aca="false">V54+E54-W54-X54</f>
        <v>0</v>
      </c>
      <c r="Z54" s="132" t="n">
        <f aca="false">V54*Paths!Z54*Paths!AB54</f>
        <v>0</v>
      </c>
      <c r="AA54" s="117" t="n">
        <f aca="false">O54+T54+Y54</f>
        <v>0</v>
      </c>
      <c r="AB54" s="117" t="n">
        <f aca="false">P54+U54+Z54</f>
        <v>0</v>
      </c>
      <c r="AC54" s="134" t="n">
        <f aca="false">IF(E54=0,0,IF(ISNUMBER('Sources &amp; uses'!$E$29),MAX(0,E54-'Sources &amp; uses'!$E$29),"n.a."))</f>
        <v>0</v>
      </c>
      <c r="AD54" s="132" t="str">
        <f aca="false">IF(E54=0,"No new subscription",IF(ISNUMBER('Sources &amp; uses'!$E$29),"MODEL capacity tested","Unverified"))</f>
        <v>No new subscription</v>
      </c>
    </row>
    <row r="55" customFormat="false" ht="19.5" hidden="false" customHeight="true" outlineLevel="0" collapsed="false">
      <c r="A55" s="121" t="n">
        <v>1895</v>
      </c>
      <c r="B55" s="117" t="n">
        <f aca="false">IF(AND(A55&gt;=1914,A55&lt;=1918),entente_total*CHOOSE(A55-1913,0.05,0.1333,0.2333,0.3,0.2834),0)</f>
        <v>0</v>
      </c>
      <c r="C55" s="132" t="n">
        <f aca="false">IF(AND(A55&gt;=1914,A55&lt;=1918),Loans!L55,0)</f>
        <v>0</v>
      </c>
      <c r="D55" s="132" t="n">
        <f aca="false">Abroad!D55</f>
        <v>0</v>
      </c>
      <c r="E55" s="117" t="n">
        <f aca="false">B55*(1-entente_public-entente_private)</f>
        <v>0</v>
      </c>
      <c r="F55" s="133" t="n">
        <f aca="false">B55-SUM(C55:E55)</f>
        <v>0</v>
      </c>
      <c r="G55" s="117" t="n">
        <f aca="false">B55*uw_fee</f>
        <v>0</v>
      </c>
      <c r="H55" s="117" t="n">
        <f aca="false">B55-G55</f>
        <v>0</v>
      </c>
      <c r="I55" s="132" t="n">
        <f aca="false">H55*'Sources &amp; uses'!$E$31</f>
        <v>0</v>
      </c>
      <c r="J55" s="117" t="n">
        <f aca="false">H55-I55</f>
        <v>0</v>
      </c>
      <c r="K55" s="133" t="n">
        <f aca="false">B55-G55-I55-J55</f>
        <v>0</v>
      </c>
      <c r="L55" s="117" t="n">
        <f aca="false">O54</f>
        <v>0</v>
      </c>
      <c r="M55" s="132" t="n">
        <f aca="false">L55*Paths!AA55</f>
        <v>0</v>
      </c>
      <c r="N55" s="117" t="n">
        <f aca="false">IF(A55=1918,(L55+C55)*russia_writeoff,0)-IF(A55=russia_recog_yr,russia_recog*$N$78,0)</f>
        <v>0</v>
      </c>
      <c r="O55" s="117" t="n">
        <f aca="false">L55+C55-M55-N55</f>
        <v>0</v>
      </c>
      <c r="P55" s="132" t="n">
        <f aca="false">L55*Paths!Z55*Paths!AB55</f>
        <v>0</v>
      </c>
      <c r="Q55" s="117" t="n">
        <f aca="false">T54</f>
        <v>0</v>
      </c>
      <c r="R55" s="132" t="n">
        <f aca="false">Q55*Paths!AA55</f>
        <v>0</v>
      </c>
      <c r="S55" s="117" t="n">
        <f aca="false">IF(A55=1918,(Q55+D55)*russia_writeoff,0)-IF(A55=russia_recog_yr,russia_recog*$S$78,0)</f>
        <v>0</v>
      </c>
      <c r="T55" s="117" t="n">
        <f aca="false">Q55+D55-R55-S55</f>
        <v>0</v>
      </c>
      <c r="U55" s="132" t="n">
        <f aca="false">Q55*Paths!Z55*Paths!AB55</f>
        <v>0</v>
      </c>
      <c r="V55" s="117" t="n">
        <f aca="false">Y54</f>
        <v>0</v>
      </c>
      <c r="W55" s="132" t="n">
        <f aca="false">V55*Paths!AA55</f>
        <v>0</v>
      </c>
      <c r="X55" s="117" t="n">
        <f aca="false">IF(A55=1918,(V55+E55)*russia_writeoff,0)-IF(A55=russia_recog_yr,russia_recog*$X$78,0)</f>
        <v>0</v>
      </c>
      <c r="Y55" s="117" t="n">
        <f aca="false">V55+E55-W55-X55</f>
        <v>0</v>
      </c>
      <c r="Z55" s="132" t="n">
        <f aca="false">V55*Paths!Z55*Paths!AB55</f>
        <v>0</v>
      </c>
      <c r="AA55" s="117" t="n">
        <f aca="false">O55+T55+Y55</f>
        <v>0</v>
      </c>
      <c r="AB55" s="117" t="n">
        <f aca="false">P55+U55+Z55</f>
        <v>0</v>
      </c>
      <c r="AC55" s="134" t="n">
        <f aca="false">IF(E55=0,0,IF(ISNUMBER('Sources &amp; uses'!$E$29),MAX(0,E55-'Sources &amp; uses'!$E$29),"n.a."))</f>
        <v>0</v>
      </c>
      <c r="AD55" s="132" t="str">
        <f aca="false">IF(E55=0,"No new subscription",IF(ISNUMBER('Sources &amp; uses'!$E$29),"MODEL capacity tested","Unverified"))</f>
        <v>No new subscription</v>
      </c>
    </row>
    <row r="56" customFormat="false" ht="19.5" hidden="false" customHeight="true" outlineLevel="0" collapsed="false">
      <c r="A56" s="121" t="n">
        <v>1896</v>
      </c>
      <c r="B56" s="117" t="n">
        <f aca="false">IF(AND(A56&gt;=1914,A56&lt;=1918),entente_total*CHOOSE(A56-1913,0.05,0.1333,0.2333,0.3,0.2834),0)</f>
        <v>0</v>
      </c>
      <c r="C56" s="132" t="n">
        <f aca="false">IF(AND(A56&gt;=1914,A56&lt;=1918),Loans!L56,0)</f>
        <v>0</v>
      </c>
      <c r="D56" s="132" t="n">
        <f aca="false">Abroad!D56</f>
        <v>0</v>
      </c>
      <c r="E56" s="117" t="n">
        <f aca="false">B56*(1-entente_public-entente_private)</f>
        <v>0</v>
      </c>
      <c r="F56" s="133" t="n">
        <f aca="false">B56-SUM(C56:E56)</f>
        <v>0</v>
      </c>
      <c r="G56" s="117" t="n">
        <f aca="false">B56*uw_fee</f>
        <v>0</v>
      </c>
      <c r="H56" s="117" t="n">
        <f aca="false">B56-G56</f>
        <v>0</v>
      </c>
      <c r="I56" s="132" t="n">
        <f aca="false">H56*'Sources &amp; uses'!$E$31</f>
        <v>0</v>
      </c>
      <c r="J56" s="117" t="n">
        <f aca="false">H56-I56</f>
        <v>0</v>
      </c>
      <c r="K56" s="133" t="n">
        <f aca="false">B56-G56-I56-J56</f>
        <v>0</v>
      </c>
      <c r="L56" s="117" t="n">
        <f aca="false">O55</f>
        <v>0</v>
      </c>
      <c r="M56" s="132" t="n">
        <f aca="false">L56*Paths!AA56</f>
        <v>0</v>
      </c>
      <c r="N56" s="117" t="n">
        <f aca="false">IF(A56=1918,(L56+C56)*russia_writeoff,0)-IF(A56=russia_recog_yr,russia_recog*$N$78,0)</f>
        <v>0</v>
      </c>
      <c r="O56" s="117" t="n">
        <f aca="false">L56+C56-M56-N56</f>
        <v>0</v>
      </c>
      <c r="P56" s="132" t="n">
        <f aca="false">L56*Paths!Z56*Paths!AB56</f>
        <v>0</v>
      </c>
      <c r="Q56" s="117" t="n">
        <f aca="false">T55</f>
        <v>0</v>
      </c>
      <c r="R56" s="132" t="n">
        <f aca="false">Q56*Paths!AA56</f>
        <v>0</v>
      </c>
      <c r="S56" s="117" t="n">
        <f aca="false">IF(A56=1918,(Q56+D56)*russia_writeoff,0)-IF(A56=russia_recog_yr,russia_recog*$S$78,0)</f>
        <v>0</v>
      </c>
      <c r="T56" s="117" t="n">
        <f aca="false">Q56+D56-R56-S56</f>
        <v>0</v>
      </c>
      <c r="U56" s="132" t="n">
        <f aca="false">Q56*Paths!Z56*Paths!AB56</f>
        <v>0</v>
      </c>
      <c r="V56" s="117" t="n">
        <f aca="false">Y55</f>
        <v>0</v>
      </c>
      <c r="W56" s="132" t="n">
        <f aca="false">V56*Paths!AA56</f>
        <v>0</v>
      </c>
      <c r="X56" s="117" t="n">
        <f aca="false">IF(A56=1918,(V56+E56)*russia_writeoff,0)-IF(A56=russia_recog_yr,russia_recog*$X$78,0)</f>
        <v>0</v>
      </c>
      <c r="Y56" s="117" t="n">
        <f aca="false">V56+E56-W56-X56</f>
        <v>0</v>
      </c>
      <c r="Z56" s="132" t="n">
        <f aca="false">V56*Paths!Z56*Paths!AB56</f>
        <v>0</v>
      </c>
      <c r="AA56" s="117" t="n">
        <f aca="false">O56+T56+Y56</f>
        <v>0</v>
      </c>
      <c r="AB56" s="117" t="n">
        <f aca="false">P56+U56+Z56</f>
        <v>0</v>
      </c>
      <c r="AC56" s="134" t="n">
        <f aca="false">IF(E56=0,0,IF(ISNUMBER('Sources &amp; uses'!$E$29),MAX(0,E56-'Sources &amp; uses'!$E$29),"n.a."))</f>
        <v>0</v>
      </c>
      <c r="AD56" s="132" t="str">
        <f aca="false">IF(E56=0,"No new subscription",IF(ISNUMBER('Sources &amp; uses'!$E$29),"MODEL capacity tested","Unverified"))</f>
        <v>No new subscription</v>
      </c>
    </row>
    <row r="57" customFormat="false" ht="19.5" hidden="false" customHeight="true" outlineLevel="0" collapsed="false">
      <c r="A57" s="121" t="n">
        <v>1897</v>
      </c>
      <c r="B57" s="117" t="n">
        <f aca="false">IF(AND(A57&gt;=1914,A57&lt;=1918),entente_total*CHOOSE(A57-1913,0.05,0.1333,0.2333,0.3,0.2834),0)</f>
        <v>0</v>
      </c>
      <c r="C57" s="132" t="n">
        <f aca="false">IF(AND(A57&gt;=1914,A57&lt;=1918),Loans!L57,0)</f>
        <v>0</v>
      </c>
      <c r="D57" s="132" t="n">
        <f aca="false">Abroad!D57</f>
        <v>0</v>
      </c>
      <c r="E57" s="117" t="n">
        <f aca="false">B57*(1-entente_public-entente_private)</f>
        <v>0</v>
      </c>
      <c r="F57" s="133" t="n">
        <f aca="false">B57-SUM(C57:E57)</f>
        <v>0</v>
      </c>
      <c r="G57" s="117" t="n">
        <f aca="false">B57*uw_fee</f>
        <v>0</v>
      </c>
      <c r="H57" s="117" t="n">
        <f aca="false">B57-G57</f>
        <v>0</v>
      </c>
      <c r="I57" s="132" t="n">
        <f aca="false">H57*'Sources &amp; uses'!$E$31</f>
        <v>0</v>
      </c>
      <c r="J57" s="117" t="n">
        <f aca="false">H57-I57</f>
        <v>0</v>
      </c>
      <c r="K57" s="133" t="n">
        <f aca="false">B57-G57-I57-J57</f>
        <v>0</v>
      </c>
      <c r="L57" s="117" t="n">
        <f aca="false">O56</f>
        <v>0</v>
      </c>
      <c r="M57" s="132" t="n">
        <f aca="false">L57*Paths!AA57</f>
        <v>0</v>
      </c>
      <c r="N57" s="117" t="n">
        <f aca="false">IF(A57=1918,(L57+C57)*russia_writeoff,0)-IF(A57=russia_recog_yr,russia_recog*$N$78,0)</f>
        <v>0</v>
      </c>
      <c r="O57" s="117" t="n">
        <f aca="false">L57+C57-M57-N57</f>
        <v>0</v>
      </c>
      <c r="P57" s="132" t="n">
        <f aca="false">L57*Paths!Z57*Paths!AB57</f>
        <v>0</v>
      </c>
      <c r="Q57" s="117" t="n">
        <f aca="false">T56</f>
        <v>0</v>
      </c>
      <c r="R57" s="132" t="n">
        <f aca="false">Q57*Paths!AA57</f>
        <v>0</v>
      </c>
      <c r="S57" s="117" t="n">
        <f aca="false">IF(A57=1918,(Q57+D57)*russia_writeoff,0)-IF(A57=russia_recog_yr,russia_recog*$S$78,0)</f>
        <v>0</v>
      </c>
      <c r="T57" s="117" t="n">
        <f aca="false">Q57+D57-R57-S57</f>
        <v>0</v>
      </c>
      <c r="U57" s="132" t="n">
        <f aca="false">Q57*Paths!Z57*Paths!AB57</f>
        <v>0</v>
      </c>
      <c r="V57" s="117" t="n">
        <f aca="false">Y56</f>
        <v>0</v>
      </c>
      <c r="W57" s="132" t="n">
        <f aca="false">V57*Paths!AA57</f>
        <v>0</v>
      </c>
      <c r="X57" s="117" t="n">
        <f aca="false">IF(A57=1918,(V57+E57)*russia_writeoff,0)-IF(A57=russia_recog_yr,russia_recog*$X$78,0)</f>
        <v>0</v>
      </c>
      <c r="Y57" s="117" t="n">
        <f aca="false">V57+E57-W57-X57</f>
        <v>0</v>
      </c>
      <c r="Z57" s="132" t="n">
        <f aca="false">V57*Paths!Z57*Paths!AB57</f>
        <v>0</v>
      </c>
      <c r="AA57" s="117" t="n">
        <f aca="false">O57+T57+Y57</f>
        <v>0</v>
      </c>
      <c r="AB57" s="117" t="n">
        <f aca="false">P57+U57+Z57</f>
        <v>0</v>
      </c>
      <c r="AC57" s="134" t="n">
        <f aca="false">IF(E57=0,0,IF(ISNUMBER('Sources &amp; uses'!$E$29),MAX(0,E57-'Sources &amp; uses'!$E$29),"n.a."))</f>
        <v>0</v>
      </c>
      <c r="AD57" s="132" t="str">
        <f aca="false">IF(E57=0,"No new subscription",IF(ISNUMBER('Sources &amp; uses'!$E$29),"MODEL capacity tested","Unverified"))</f>
        <v>No new subscription</v>
      </c>
    </row>
    <row r="58" customFormat="false" ht="19.5" hidden="false" customHeight="true" outlineLevel="0" collapsed="false">
      <c r="A58" s="121" t="n">
        <v>1898</v>
      </c>
      <c r="B58" s="117" t="n">
        <f aca="false">IF(AND(A58&gt;=1914,A58&lt;=1918),entente_total*CHOOSE(A58-1913,0.05,0.1333,0.2333,0.3,0.2834),0)</f>
        <v>0</v>
      </c>
      <c r="C58" s="132" t="n">
        <f aca="false">IF(AND(A58&gt;=1914,A58&lt;=1918),Loans!L58,0)</f>
        <v>0</v>
      </c>
      <c r="D58" s="132" t="n">
        <f aca="false">Abroad!D58</f>
        <v>0</v>
      </c>
      <c r="E58" s="117" t="n">
        <f aca="false">B58*(1-entente_public-entente_private)</f>
        <v>0</v>
      </c>
      <c r="F58" s="133" t="n">
        <f aca="false">B58-SUM(C58:E58)</f>
        <v>0</v>
      </c>
      <c r="G58" s="117" t="n">
        <f aca="false">B58*uw_fee</f>
        <v>0</v>
      </c>
      <c r="H58" s="117" t="n">
        <f aca="false">B58-G58</f>
        <v>0</v>
      </c>
      <c r="I58" s="132" t="n">
        <f aca="false">H58*'Sources &amp; uses'!$E$31</f>
        <v>0</v>
      </c>
      <c r="J58" s="117" t="n">
        <f aca="false">H58-I58</f>
        <v>0</v>
      </c>
      <c r="K58" s="133" t="n">
        <f aca="false">B58-G58-I58-J58</f>
        <v>0</v>
      </c>
      <c r="L58" s="117" t="n">
        <f aca="false">O57</f>
        <v>0</v>
      </c>
      <c r="M58" s="132" t="n">
        <f aca="false">L58*Paths!AA58</f>
        <v>0</v>
      </c>
      <c r="N58" s="117" t="n">
        <f aca="false">IF(A58=1918,(L58+C58)*russia_writeoff,0)-IF(A58=russia_recog_yr,russia_recog*$N$78,0)</f>
        <v>0</v>
      </c>
      <c r="O58" s="117" t="n">
        <f aca="false">L58+C58-M58-N58</f>
        <v>0</v>
      </c>
      <c r="P58" s="132" t="n">
        <f aca="false">L58*Paths!Z58*Paths!AB58</f>
        <v>0</v>
      </c>
      <c r="Q58" s="117" t="n">
        <f aca="false">T57</f>
        <v>0</v>
      </c>
      <c r="R58" s="132" t="n">
        <f aca="false">Q58*Paths!AA58</f>
        <v>0</v>
      </c>
      <c r="S58" s="117" t="n">
        <f aca="false">IF(A58=1918,(Q58+D58)*russia_writeoff,0)-IF(A58=russia_recog_yr,russia_recog*$S$78,0)</f>
        <v>0</v>
      </c>
      <c r="T58" s="117" t="n">
        <f aca="false">Q58+D58-R58-S58</f>
        <v>0</v>
      </c>
      <c r="U58" s="132" t="n">
        <f aca="false">Q58*Paths!Z58*Paths!AB58</f>
        <v>0</v>
      </c>
      <c r="V58" s="117" t="n">
        <f aca="false">Y57</f>
        <v>0</v>
      </c>
      <c r="W58" s="132" t="n">
        <f aca="false">V58*Paths!AA58</f>
        <v>0</v>
      </c>
      <c r="X58" s="117" t="n">
        <f aca="false">IF(A58=1918,(V58+E58)*russia_writeoff,0)-IF(A58=russia_recog_yr,russia_recog*$X$78,0)</f>
        <v>0</v>
      </c>
      <c r="Y58" s="117" t="n">
        <f aca="false">V58+E58-W58-X58</f>
        <v>0</v>
      </c>
      <c r="Z58" s="132" t="n">
        <f aca="false">V58*Paths!Z58*Paths!AB58</f>
        <v>0</v>
      </c>
      <c r="AA58" s="117" t="n">
        <f aca="false">O58+T58+Y58</f>
        <v>0</v>
      </c>
      <c r="AB58" s="117" t="n">
        <f aca="false">P58+U58+Z58</f>
        <v>0</v>
      </c>
      <c r="AC58" s="134" t="n">
        <f aca="false">IF(E58=0,0,IF(ISNUMBER('Sources &amp; uses'!$E$29),MAX(0,E58-'Sources &amp; uses'!$E$29),"n.a."))</f>
        <v>0</v>
      </c>
      <c r="AD58" s="132" t="str">
        <f aca="false">IF(E58=0,"No new subscription",IF(ISNUMBER('Sources &amp; uses'!$E$29),"MODEL capacity tested","Unverified"))</f>
        <v>No new subscription</v>
      </c>
    </row>
    <row r="59" customFormat="false" ht="19.5" hidden="false" customHeight="true" outlineLevel="0" collapsed="false">
      <c r="A59" s="121" t="n">
        <v>1899</v>
      </c>
      <c r="B59" s="117" t="n">
        <f aca="false">IF(AND(A59&gt;=1914,A59&lt;=1918),entente_total*CHOOSE(A59-1913,0.05,0.1333,0.2333,0.3,0.2834),0)</f>
        <v>0</v>
      </c>
      <c r="C59" s="132" t="n">
        <f aca="false">IF(AND(A59&gt;=1914,A59&lt;=1918),Loans!L59,0)</f>
        <v>0</v>
      </c>
      <c r="D59" s="132" t="n">
        <f aca="false">Abroad!D59</f>
        <v>0</v>
      </c>
      <c r="E59" s="117" t="n">
        <f aca="false">B59*(1-entente_public-entente_private)</f>
        <v>0</v>
      </c>
      <c r="F59" s="133" t="n">
        <f aca="false">B59-SUM(C59:E59)</f>
        <v>0</v>
      </c>
      <c r="G59" s="117" t="n">
        <f aca="false">B59*uw_fee</f>
        <v>0</v>
      </c>
      <c r="H59" s="117" t="n">
        <f aca="false">B59-G59</f>
        <v>0</v>
      </c>
      <c r="I59" s="132" t="n">
        <f aca="false">H59*'Sources &amp; uses'!$E$31</f>
        <v>0</v>
      </c>
      <c r="J59" s="117" t="n">
        <f aca="false">H59-I59</f>
        <v>0</v>
      </c>
      <c r="K59" s="133" t="n">
        <f aca="false">B59-G59-I59-J59</f>
        <v>0</v>
      </c>
      <c r="L59" s="117" t="n">
        <f aca="false">O58</f>
        <v>0</v>
      </c>
      <c r="M59" s="132" t="n">
        <f aca="false">L59*Paths!AA59</f>
        <v>0</v>
      </c>
      <c r="N59" s="117" t="n">
        <f aca="false">IF(A59=1918,(L59+C59)*russia_writeoff,0)-IF(A59=russia_recog_yr,russia_recog*$N$78,0)</f>
        <v>0</v>
      </c>
      <c r="O59" s="117" t="n">
        <f aca="false">L59+C59-M59-N59</f>
        <v>0</v>
      </c>
      <c r="P59" s="132" t="n">
        <f aca="false">L59*Paths!Z59*Paths!AB59</f>
        <v>0</v>
      </c>
      <c r="Q59" s="117" t="n">
        <f aca="false">T58</f>
        <v>0</v>
      </c>
      <c r="R59" s="132" t="n">
        <f aca="false">Q59*Paths!AA59</f>
        <v>0</v>
      </c>
      <c r="S59" s="117" t="n">
        <f aca="false">IF(A59=1918,(Q59+D59)*russia_writeoff,0)-IF(A59=russia_recog_yr,russia_recog*$S$78,0)</f>
        <v>0</v>
      </c>
      <c r="T59" s="117" t="n">
        <f aca="false">Q59+D59-R59-S59</f>
        <v>0</v>
      </c>
      <c r="U59" s="132" t="n">
        <f aca="false">Q59*Paths!Z59*Paths!AB59</f>
        <v>0</v>
      </c>
      <c r="V59" s="117" t="n">
        <f aca="false">Y58</f>
        <v>0</v>
      </c>
      <c r="W59" s="132" t="n">
        <f aca="false">V59*Paths!AA59</f>
        <v>0</v>
      </c>
      <c r="X59" s="117" t="n">
        <f aca="false">IF(A59=1918,(V59+E59)*russia_writeoff,0)-IF(A59=russia_recog_yr,russia_recog*$X$78,0)</f>
        <v>0</v>
      </c>
      <c r="Y59" s="117" t="n">
        <f aca="false">V59+E59-W59-X59</f>
        <v>0</v>
      </c>
      <c r="Z59" s="132" t="n">
        <f aca="false">V59*Paths!Z59*Paths!AB59</f>
        <v>0</v>
      </c>
      <c r="AA59" s="117" t="n">
        <f aca="false">O59+T59+Y59</f>
        <v>0</v>
      </c>
      <c r="AB59" s="117" t="n">
        <f aca="false">P59+U59+Z59</f>
        <v>0</v>
      </c>
      <c r="AC59" s="134" t="n">
        <f aca="false">IF(E59=0,0,IF(ISNUMBER('Sources &amp; uses'!$E$29),MAX(0,E59-'Sources &amp; uses'!$E$29),"n.a."))</f>
        <v>0</v>
      </c>
      <c r="AD59" s="132" t="str">
        <f aca="false">IF(E59=0,"No new subscription",IF(ISNUMBER('Sources &amp; uses'!$E$29),"MODEL capacity tested","Unverified"))</f>
        <v>No new subscription</v>
      </c>
    </row>
    <row r="60" customFormat="false" ht="19.5" hidden="false" customHeight="true" outlineLevel="0" collapsed="false">
      <c r="A60" s="121" t="n">
        <v>1900</v>
      </c>
      <c r="B60" s="117" t="n">
        <f aca="false">IF(AND(A60&gt;=1914,A60&lt;=1918),entente_total*CHOOSE(A60-1913,0.05,0.1333,0.2333,0.3,0.2834),0)</f>
        <v>0</v>
      </c>
      <c r="C60" s="132" t="n">
        <f aca="false">IF(AND(A60&gt;=1914,A60&lt;=1918),Loans!L60,0)</f>
        <v>0</v>
      </c>
      <c r="D60" s="132" t="n">
        <f aca="false">Abroad!D60</f>
        <v>0</v>
      </c>
      <c r="E60" s="117" t="n">
        <f aca="false">B60*(1-entente_public-entente_private)</f>
        <v>0</v>
      </c>
      <c r="F60" s="133" t="n">
        <f aca="false">B60-SUM(C60:E60)</f>
        <v>0</v>
      </c>
      <c r="G60" s="117" t="n">
        <f aca="false">B60*uw_fee</f>
        <v>0</v>
      </c>
      <c r="H60" s="117" t="n">
        <f aca="false">B60-G60</f>
        <v>0</v>
      </c>
      <c r="I60" s="132" t="n">
        <f aca="false">H60*'Sources &amp; uses'!$E$31</f>
        <v>0</v>
      </c>
      <c r="J60" s="117" t="n">
        <f aca="false">H60-I60</f>
        <v>0</v>
      </c>
      <c r="K60" s="133" t="n">
        <f aca="false">B60-G60-I60-J60</f>
        <v>0</v>
      </c>
      <c r="L60" s="117" t="n">
        <f aca="false">O59</f>
        <v>0</v>
      </c>
      <c r="M60" s="132" t="n">
        <f aca="false">L60*Paths!AA60</f>
        <v>0</v>
      </c>
      <c r="N60" s="117" t="n">
        <f aca="false">IF(A60=1918,(L60+C60)*russia_writeoff,0)-IF(A60=russia_recog_yr,russia_recog*$N$78,0)</f>
        <v>0</v>
      </c>
      <c r="O60" s="117" t="n">
        <f aca="false">L60+C60-M60-N60</f>
        <v>0</v>
      </c>
      <c r="P60" s="132" t="n">
        <f aca="false">L60*Paths!Z60*Paths!AB60</f>
        <v>0</v>
      </c>
      <c r="Q60" s="117" t="n">
        <f aca="false">T59</f>
        <v>0</v>
      </c>
      <c r="R60" s="132" t="n">
        <f aca="false">Q60*Paths!AA60</f>
        <v>0</v>
      </c>
      <c r="S60" s="117" t="n">
        <f aca="false">IF(A60=1918,(Q60+D60)*russia_writeoff,0)-IF(A60=russia_recog_yr,russia_recog*$S$78,0)</f>
        <v>0</v>
      </c>
      <c r="T60" s="117" t="n">
        <f aca="false">Q60+D60-R60-S60</f>
        <v>0</v>
      </c>
      <c r="U60" s="132" t="n">
        <f aca="false">Q60*Paths!Z60*Paths!AB60</f>
        <v>0</v>
      </c>
      <c r="V60" s="117" t="n">
        <f aca="false">Y59</f>
        <v>0</v>
      </c>
      <c r="W60" s="132" t="n">
        <f aca="false">V60*Paths!AA60</f>
        <v>0</v>
      </c>
      <c r="X60" s="117" t="n">
        <f aca="false">IF(A60=1918,(V60+E60)*russia_writeoff,0)-IF(A60=russia_recog_yr,russia_recog*$X$78,0)</f>
        <v>0</v>
      </c>
      <c r="Y60" s="117" t="n">
        <f aca="false">V60+E60-W60-X60</f>
        <v>0</v>
      </c>
      <c r="Z60" s="132" t="n">
        <f aca="false">V60*Paths!Z60*Paths!AB60</f>
        <v>0</v>
      </c>
      <c r="AA60" s="117" t="n">
        <f aca="false">O60+T60+Y60</f>
        <v>0</v>
      </c>
      <c r="AB60" s="117" t="n">
        <f aca="false">P60+U60+Z60</f>
        <v>0</v>
      </c>
      <c r="AC60" s="134" t="n">
        <f aca="false">IF(E60=0,0,IF(ISNUMBER('Sources &amp; uses'!$E$29),MAX(0,E60-'Sources &amp; uses'!$E$29),"n.a."))</f>
        <v>0</v>
      </c>
      <c r="AD60" s="132" t="str">
        <f aca="false">IF(E60=0,"No new subscription",IF(ISNUMBER('Sources &amp; uses'!$E$29),"MODEL capacity tested","Unverified"))</f>
        <v>No new subscription</v>
      </c>
    </row>
    <row r="61" customFormat="false" ht="19.5" hidden="false" customHeight="true" outlineLevel="0" collapsed="false">
      <c r="A61" s="121" t="n">
        <v>1901</v>
      </c>
      <c r="B61" s="117" t="n">
        <f aca="false">IF(AND(A61&gt;=1914,A61&lt;=1918),entente_total*CHOOSE(A61-1913,0.05,0.1333,0.2333,0.3,0.2834),0)</f>
        <v>0</v>
      </c>
      <c r="C61" s="132" t="n">
        <f aca="false">IF(AND(A61&gt;=1914,A61&lt;=1918),Loans!L61,0)</f>
        <v>0</v>
      </c>
      <c r="D61" s="132" t="n">
        <f aca="false">Abroad!D61</f>
        <v>0</v>
      </c>
      <c r="E61" s="117" t="n">
        <f aca="false">B61*(1-entente_public-entente_private)</f>
        <v>0</v>
      </c>
      <c r="F61" s="133" t="n">
        <f aca="false">B61-SUM(C61:E61)</f>
        <v>0</v>
      </c>
      <c r="G61" s="117" t="n">
        <f aca="false">B61*uw_fee</f>
        <v>0</v>
      </c>
      <c r="H61" s="117" t="n">
        <f aca="false">B61-G61</f>
        <v>0</v>
      </c>
      <c r="I61" s="132" t="n">
        <f aca="false">H61*'Sources &amp; uses'!$E$31</f>
        <v>0</v>
      </c>
      <c r="J61" s="117" t="n">
        <f aca="false">H61-I61</f>
        <v>0</v>
      </c>
      <c r="K61" s="133" t="n">
        <f aca="false">B61-G61-I61-J61</f>
        <v>0</v>
      </c>
      <c r="L61" s="117" t="n">
        <f aca="false">O60</f>
        <v>0</v>
      </c>
      <c r="M61" s="132" t="n">
        <f aca="false">L61*Paths!AA61</f>
        <v>0</v>
      </c>
      <c r="N61" s="117" t="n">
        <f aca="false">IF(A61=1918,(L61+C61)*russia_writeoff,0)-IF(A61=russia_recog_yr,russia_recog*$N$78,0)</f>
        <v>0</v>
      </c>
      <c r="O61" s="117" t="n">
        <f aca="false">L61+C61-M61-N61</f>
        <v>0</v>
      </c>
      <c r="P61" s="132" t="n">
        <f aca="false">L61*Paths!Z61*Paths!AB61</f>
        <v>0</v>
      </c>
      <c r="Q61" s="117" t="n">
        <f aca="false">T60</f>
        <v>0</v>
      </c>
      <c r="R61" s="132" t="n">
        <f aca="false">Q61*Paths!AA61</f>
        <v>0</v>
      </c>
      <c r="S61" s="117" t="n">
        <f aca="false">IF(A61=1918,(Q61+D61)*russia_writeoff,0)-IF(A61=russia_recog_yr,russia_recog*$S$78,0)</f>
        <v>0</v>
      </c>
      <c r="T61" s="117" t="n">
        <f aca="false">Q61+D61-R61-S61</f>
        <v>0</v>
      </c>
      <c r="U61" s="132" t="n">
        <f aca="false">Q61*Paths!Z61*Paths!AB61</f>
        <v>0</v>
      </c>
      <c r="V61" s="117" t="n">
        <f aca="false">Y60</f>
        <v>0</v>
      </c>
      <c r="W61" s="132" t="n">
        <f aca="false">V61*Paths!AA61</f>
        <v>0</v>
      </c>
      <c r="X61" s="117" t="n">
        <f aca="false">IF(A61=1918,(V61+E61)*russia_writeoff,0)-IF(A61=russia_recog_yr,russia_recog*$X$78,0)</f>
        <v>0</v>
      </c>
      <c r="Y61" s="117" t="n">
        <f aca="false">V61+E61-W61-X61</f>
        <v>0</v>
      </c>
      <c r="Z61" s="132" t="n">
        <f aca="false">V61*Paths!Z61*Paths!AB61</f>
        <v>0</v>
      </c>
      <c r="AA61" s="117" t="n">
        <f aca="false">O61+T61+Y61</f>
        <v>0</v>
      </c>
      <c r="AB61" s="117" t="n">
        <f aca="false">P61+U61+Z61</f>
        <v>0</v>
      </c>
      <c r="AC61" s="134" t="n">
        <f aca="false">IF(E61=0,0,IF(ISNUMBER('Sources &amp; uses'!$E$29),MAX(0,E61-'Sources &amp; uses'!$E$29),"n.a."))</f>
        <v>0</v>
      </c>
      <c r="AD61" s="132" t="str">
        <f aca="false">IF(E61=0,"No new subscription",IF(ISNUMBER('Sources &amp; uses'!$E$29),"MODEL capacity tested","Unverified"))</f>
        <v>No new subscription</v>
      </c>
    </row>
    <row r="62" customFormat="false" ht="19.5" hidden="false" customHeight="true" outlineLevel="0" collapsed="false">
      <c r="A62" s="121" t="n">
        <v>1902</v>
      </c>
      <c r="B62" s="117" t="n">
        <f aca="false">IF(AND(A62&gt;=1914,A62&lt;=1918),entente_total*CHOOSE(A62-1913,0.05,0.1333,0.2333,0.3,0.2834),0)</f>
        <v>0</v>
      </c>
      <c r="C62" s="132" t="n">
        <f aca="false">IF(AND(A62&gt;=1914,A62&lt;=1918),Loans!L62,0)</f>
        <v>0</v>
      </c>
      <c r="D62" s="132" t="n">
        <f aca="false">Abroad!D62</f>
        <v>0</v>
      </c>
      <c r="E62" s="117" t="n">
        <f aca="false">B62*(1-entente_public-entente_private)</f>
        <v>0</v>
      </c>
      <c r="F62" s="133" t="n">
        <f aca="false">B62-SUM(C62:E62)</f>
        <v>0</v>
      </c>
      <c r="G62" s="117" t="n">
        <f aca="false">B62*uw_fee</f>
        <v>0</v>
      </c>
      <c r="H62" s="117" t="n">
        <f aca="false">B62-G62</f>
        <v>0</v>
      </c>
      <c r="I62" s="132" t="n">
        <f aca="false">H62*'Sources &amp; uses'!$E$31</f>
        <v>0</v>
      </c>
      <c r="J62" s="117" t="n">
        <f aca="false">H62-I62</f>
        <v>0</v>
      </c>
      <c r="K62" s="133" t="n">
        <f aca="false">B62-G62-I62-J62</f>
        <v>0</v>
      </c>
      <c r="L62" s="117" t="n">
        <f aca="false">O61</f>
        <v>0</v>
      </c>
      <c r="M62" s="132" t="n">
        <f aca="false">L62*Paths!AA62</f>
        <v>0</v>
      </c>
      <c r="N62" s="117" t="n">
        <f aca="false">IF(A62=1918,(L62+C62)*russia_writeoff,0)-IF(A62=russia_recog_yr,russia_recog*$N$78,0)</f>
        <v>0</v>
      </c>
      <c r="O62" s="117" t="n">
        <f aca="false">L62+C62-M62-N62</f>
        <v>0</v>
      </c>
      <c r="P62" s="132" t="n">
        <f aca="false">L62*Paths!Z62*Paths!AB62</f>
        <v>0</v>
      </c>
      <c r="Q62" s="117" t="n">
        <f aca="false">T61</f>
        <v>0</v>
      </c>
      <c r="R62" s="132" t="n">
        <f aca="false">Q62*Paths!AA62</f>
        <v>0</v>
      </c>
      <c r="S62" s="117" t="n">
        <f aca="false">IF(A62=1918,(Q62+D62)*russia_writeoff,0)-IF(A62=russia_recog_yr,russia_recog*$S$78,0)</f>
        <v>0</v>
      </c>
      <c r="T62" s="117" t="n">
        <f aca="false">Q62+D62-R62-S62</f>
        <v>0</v>
      </c>
      <c r="U62" s="132" t="n">
        <f aca="false">Q62*Paths!Z62*Paths!AB62</f>
        <v>0</v>
      </c>
      <c r="V62" s="117" t="n">
        <f aca="false">Y61</f>
        <v>0</v>
      </c>
      <c r="W62" s="132" t="n">
        <f aca="false">V62*Paths!AA62</f>
        <v>0</v>
      </c>
      <c r="X62" s="117" t="n">
        <f aca="false">IF(A62=1918,(V62+E62)*russia_writeoff,0)-IF(A62=russia_recog_yr,russia_recog*$X$78,0)</f>
        <v>0</v>
      </c>
      <c r="Y62" s="117" t="n">
        <f aca="false">V62+E62-W62-X62</f>
        <v>0</v>
      </c>
      <c r="Z62" s="132" t="n">
        <f aca="false">V62*Paths!Z62*Paths!AB62</f>
        <v>0</v>
      </c>
      <c r="AA62" s="117" t="n">
        <f aca="false">O62+T62+Y62</f>
        <v>0</v>
      </c>
      <c r="AB62" s="117" t="n">
        <f aca="false">P62+U62+Z62</f>
        <v>0</v>
      </c>
      <c r="AC62" s="134" t="n">
        <f aca="false">IF(E62=0,0,IF(ISNUMBER('Sources &amp; uses'!$E$29),MAX(0,E62-'Sources &amp; uses'!$E$29),"n.a."))</f>
        <v>0</v>
      </c>
      <c r="AD62" s="132" t="str">
        <f aca="false">IF(E62=0,"No new subscription",IF(ISNUMBER('Sources &amp; uses'!$E$29),"MODEL capacity tested","Unverified"))</f>
        <v>No new subscription</v>
      </c>
    </row>
    <row r="63" customFormat="false" ht="19.5" hidden="false" customHeight="true" outlineLevel="0" collapsed="false">
      <c r="A63" s="121" t="n">
        <v>1903</v>
      </c>
      <c r="B63" s="117" t="n">
        <f aca="false">IF(AND(A63&gt;=1914,A63&lt;=1918),entente_total*CHOOSE(A63-1913,0.05,0.1333,0.2333,0.3,0.2834),0)</f>
        <v>0</v>
      </c>
      <c r="C63" s="132" t="n">
        <f aca="false">IF(AND(A63&gt;=1914,A63&lt;=1918),Loans!L63,0)</f>
        <v>0</v>
      </c>
      <c r="D63" s="132" t="n">
        <f aca="false">Abroad!D63</f>
        <v>0</v>
      </c>
      <c r="E63" s="117" t="n">
        <f aca="false">B63*(1-entente_public-entente_private)</f>
        <v>0</v>
      </c>
      <c r="F63" s="133" t="n">
        <f aca="false">B63-SUM(C63:E63)</f>
        <v>0</v>
      </c>
      <c r="G63" s="117" t="n">
        <f aca="false">B63*uw_fee</f>
        <v>0</v>
      </c>
      <c r="H63" s="117" t="n">
        <f aca="false">B63-G63</f>
        <v>0</v>
      </c>
      <c r="I63" s="132" t="n">
        <f aca="false">H63*'Sources &amp; uses'!$E$31</f>
        <v>0</v>
      </c>
      <c r="J63" s="117" t="n">
        <f aca="false">H63-I63</f>
        <v>0</v>
      </c>
      <c r="K63" s="133" t="n">
        <f aca="false">B63-G63-I63-J63</f>
        <v>0</v>
      </c>
      <c r="L63" s="117" t="n">
        <f aca="false">O62</f>
        <v>0</v>
      </c>
      <c r="M63" s="132" t="n">
        <f aca="false">L63*Paths!AA63</f>
        <v>0</v>
      </c>
      <c r="N63" s="117" t="n">
        <f aca="false">IF(A63=1918,(L63+C63)*russia_writeoff,0)-IF(A63=russia_recog_yr,russia_recog*$N$78,0)</f>
        <v>0</v>
      </c>
      <c r="O63" s="117" t="n">
        <f aca="false">L63+C63-M63-N63</f>
        <v>0</v>
      </c>
      <c r="P63" s="132" t="n">
        <f aca="false">L63*Paths!Z63*Paths!AB63</f>
        <v>0</v>
      </c>
      <c r="Q63" s="117" t="n">
        <f aca="false">T62</f>
        <v>0</v>
      </c>
      <c r="R63" s="132" t="n">
        <f aca="false">Q63*Paths!AA63</f>
        <v>0</v>
      </c>
      <c r="S63" s="117" t="n">
        <f aca="false">IF(A63=1918,(Q63+D63)*russia_writeoff,0)-IF(A63=russia_recog_yr,russia_recog*$S$78,0)</f>
        <v>0</v>
      </c>
      <c r="T63" s="117" t="n">
        <f aca="false">Q63+D63-R63-S63</f>
        <v>0</v>
      </c>
      <c r="U63" s="132" t="n">
        <f aca="false">Q63*Paths!Z63*Paths!AB63</f>
        <v>0</v>
      </c>
      <c r="V63" s="117" t="n">
        <f aca="false">Y62</f>
        <v>0</v>
      </c>
      <c r="W63" s="132" t="n">
        <f aca="false">V63*Paths!AA63</f>
        <v>0</v>
      </c>
      <c r="X63" s="117" t="n">
        <f aca="false">IF(A63=1918,(V63+E63)*russia_writeoff,0)-IF(A63=russia_recog_yr,russia_recog*$X$78,0)</f>
        <v>0</v>
      </c>
      <c r="Y63" s="117" t="n">
        <f aca="false">V63+E63-W63-X63</f>
        <v>0</v>
      </c>
      <c r="Z63" s="132" t="n">
        <f aca="false">V63*Paths!Z63*Paths!AB63</f>
        <v>0</v>
      </c>
      <c r="AA63" s="117" t="n">
        <f aca="false">O63+T63+Y63</f>
        <v>0</v>
      </c>
      <c r="AB63" s="117" t="n">
        <f aca="false">P63+U63+Z63</f>
        <v>0</v>
      </c>
      <c r="AC63" s="134" t="n">
        <f aca="false">IF(E63=0,0,IF(ISNUMBER('Sources &amp; uses'!$E$29),MAX(0,E63-'Sources &amp; uses'!$E$29),"n.a."))</f>
        <v>0</v>
      </c>
      <c r="AD63" s="132" t="str">
        <f aca="false">IF(E63=0,"No new subscription",IF(ISNUMBER('Sources &amp; uses'!$E$29),"MODEL capacity tested","Unverified"))</f>
        <v>No new subscription</v>
      </c>
    </row>
    <row r="64" customFormat="false" ht="19.5" hidden="false" customHeight="true" outlineLevel="0" collapsed="false">
      <c r="A64" s="121" t="n">
        <v>1904</v>
      </c>
      <c r="B64" s="117" t="n">
        <f aca="false">IF(AND(A64&gt;=1914,A64&lt;=1918),entente_total*CHOOSE(A64-1913,0.05,0.1333,0.2333,0.3,0.2834),0)</f>
        <v>0</v>
      </c>
      <c r="C64" s="132" t="n">
        <f aca="false">IF(AND(A64&gt;=1914,A64&lt;=1918),Loans!L64,0)</f>
        <v>0</v>
      </c>
      <c r="D64" s="132" t="n">
        <f aca="false">Abroad!D64</f>
        <v>0</v>
      </c>
      <c r="E64" s="117" t="n">
        <f aca="false">B64*(1-entente_public-entente_private)</f>
        <v>0</v>
      </c>
      <c r="F64" s="133" t="n">
        <f aca="false">B64-SUM(C64:E64)</f>
        <v>0</v>
      </c>
      <c r="G64" s="117" t="n">
        <f aca="false">B64*uw_fee</f>
        <v>0</v>
      </c>
      <c r="H64" s="117" t="n">
        <f aca="false">B64-G64</f>
        <v>0</v>
      </c>
      <c r="I64" s="132" t="n">
        <f aca="false">H64*'Sources &amp; uses'!$E$31</f>
        <v>0</v>
      </c>
      <c r="J64" s="117" t="n">
        <f aca="false">H64-I64</f>
        <v>0</v>
      </c>
      <c r="K64" s="133" t="n">
        <f aca="false">B64-G64-I64-J64</f>
        <v>0</v>
      </c>
      <c r="L64" s="117" t="n">
        <f aca="false">O63</f>
        <v>0</v>
      </c>
      <c r="M64" s="132" t="n">
        <f aca="false">L64*Paths!AA64</f>
        <v>0</v>
      </c>
      <c r="N64" s="117" t="n">
        <f aca="false">IF(A64=1918,(L64+C64)*russia_writeoff,0)-IF(A64=russia_recog_yr,russia_recog*$N$78,0)</f>
        <v>0</v>
      </c>
      <c r="O64" s="117" t="n">
        <f aca="false">L64+C64-M64-N64</f>
        <v>0</v>
      </c>
      <c r="P64" s="132" t="n">
        <f aca="false">L64*Paths!Z64*Paths!AB64</f>
        <v>0</v>
      </c>
      <c r="Q64" s="117" t="n">
        <f aca="false">T63</f>
        <v>0</v>
      </c>
      <c r="R64" s="132" t="n">
        <f aca="false">Q64*Paths!AA64</f>
        <v>0</v>
      </c>
      <c r="S64" s="117" t="n">
        <f aca="false">IF(A64=1918,(Q64+D64)*russia_writeoff,0)-IF(A64=russia_recog_yr,russia_recog*$S$78,0)</f>
        <v>0</v>
      </c>
      <c r="T64" s="117" t="n">
        <f aca="false">Q64+D64-R64-S64</f>
        <v>0</v>
      </c>
      <c r="U64" s="132" t="n">
        <f aca="false">Q64*Paths!Z64*Paths!AB64</f>
        <v>0</v>
      </c>
      <c r="V64" s="117" t="n">
        <f aca="false">Y63</f>
        <v>0</v>
      </c>
      <c r="W64" s="132" t="n">
        <f aca="false">V64*Paths!AA64</f>
        <v>0</v>
      </c>
      <c r="X64" s="117" t="n">
        <f aca="false">IF(A64=1918,(V64+E64)*russia_writeoff,0)-IF(A64=russia_recog_yr,russia_recog*$X$78,0)</f>
        <v>0</v>
      </c>
      <c r="Y64" s="117" t="n">
        <f aca="false">V64+E64-W64-X64</f>
        <v>0</v>
      </c>
      <c r="Z64" s="132" t="n">
        <f aca="false">V64*Paths!Z64*Paths!AB64</f>
        <v>0</v>
      </c>
      <c r="AA64" s="117" t="n">
        <f aca="false">O64+T64+Y64</f>
        <v>0</v>
      </c>
      <c r="AB64" s="117" t="n">
        <f aca="false">P64+U64+Z64</f>
        <v>0</v>
      </c>
      <c r="AC64" s="134" t="n">
        <f aca="false">IF(E64=0,0,IF(ISNUMBER('Sources &amp; uses'!$E$29),MAX(0,E64-'Sources &amp; uses'!$E$29),"n.a."))</f>
        <v>0</v>
      </c>
      <c r="AD64" s="132" t="str">
        <f aca="false">IF(E64=0,"No new subscription",IF(ISNUMBER('Sources &amp; uses'!$E$29),"MODEL capacity tested","Unverified"))</f>
        <v>No new subscription</v>
      </c>
    </row>
    <row r="65" customFormat="false" ht="19.5" hidden="false" customHeight="true" outlineLevel="0" collapsed="false">
      <c r="A65" s="121" t="n">
        <v>1905</v>
      </c>
      <c r="B65" s="117" t="n">
        <f aca="false">IF(AND(A65&gt;=1914,A65&lt;=1918),entente_total*CHOOSE(A65-1913,0.05,0.1333,0.2333,0.3,0.2834),0)</f>
        <v>0</v>
      </c>
      <c r="C65" s="132" t="n">
        <f aca="false">IF(AND(A65&gt;=1914,A65&lt;=1918),Loans!L65,0)</f>
        <v>0</v>
      </c>
      <c r="D65" s="132" t="n">
        <f aca="false">Abroad!D65</f>
        <v>0</v>
      </c>
      <c r="E65" s="117" t="n">
        <f aca="false">B65*(1-entente_public-entente_private)</f>
        <v>0</v>
      </c>
      <c r="F65" s="133" t="n">
        <f aca="false">B65-SUM(C65:E65)</f>
        <v>0</v>
      </c>
      <c r="G65" s="117" t="n">
        <f aca="false">B65*uw_fee</f>
        <v>0</v>
      </c>
      <c r="H65" s="117" t="n">
        <f aca="false">B65-G65</f>
        <v>0</v>
      </c>
      <c r="I65" s="132" t="n">
        <f aca="false">H65*'Sources &amp; uses'!$E$31</f>
        <v>0</v>
      </c>
      <c r="J65" s="117" t="n">
        <f aca="false">H65-I65</f>
        <v>0</v>
      </c>
      <c r="K65" s="133" t="n">
        <f aca="false">B65-G65-I65-J65</f>
        <v>0</v>
      </c>
      <c r="L65" s="117" t="n">
        <f aca="false">O64</f>
        <v>0</v>
      </c>
      <c r="M65" s="132" t="n">
        <f aca="false">L65*Paths!AA65</f>
        <v>0</v>
      </c>
      <c r="N65" s="117" t="n">
        <f aca="false">IF(A65=1918,(L65+C65)*russia_writeoff,0)-IF(A65=russia_recog_yr,russia_recog*$N$78,0)</f>
        <v>0</v>
      </c>
      <c r="O65" s="117" t="n">
        <f aca="false">L65+C65-M65-N65</f>
        <v>0</v>
      </c>
      <c r="P65" s="132" t="n">
        <f aca="false">L65*Paths!Z65*Paths!AB65</f>
        <v>0</v>
      </c>
      <c r="Q65" s="117" t="n">
        <f aca="false">T64</f>
        <v>0</v>
      </c>
      <c r="R65" s="132" t="n">
        <f aca="false">Q65*Paths!AA65</f>
        <v>0</v>
      </c>
      <c r="S65" s="117" t="n">
        <f aca="false">IF(A65=1918,(Q65+D65)*russia_writeoff,0)-IF(A65=russia_recog_yr,russia_recog*$S$78,0)</f>
        <v>0</v>
      </c>
      <c r="T65" s="117" t="n">
        <f aca="false">Q65+D65-R65-S65</f>
        <v>0</v>
      </c>
      <c r="U65" s="132" t="n">
        <f aca="false">Q65*Paths!Z65*Paths!AB65</f>
        <v>0</v>
      </c>
      <c r="V65" s="117" t="n">
        <f aca="false">Y64</f>
        <v>0</v>
      </c>
      <c r="W65" s="132" t="n">
        <f aca="false">V65*Paths!AA65</f>
        <v>0</v>
      </c>
      <c r="X65" s="117" t="n">
        <f aca="false">IF(A65=1918,(V65+E65)*russia_writeoff,0)-IF(A65=russia_recog_yr,russia_recog*$X$78,0)</f>
        <v>0</v>
      </c>
      <c r="Y65" s="117" t="n">
        <f aca="false">V65+E65-W65-X65</f>
        <v>0</v>
      </c>
      <c r="Z65" s="132" t="n">
        <f aca="false">V65*Paths!Z65*Paths!AB65</f>
        <v>0</v>
      </c>
      <c r="AA65" s="117" t="n">
        <f aca="false">O65+T65+Y65</f>
        <v>0</v>
      </c>
      <c r="AB65" s="117" t="n">
        <f aca="false">P65+U65+Z65</f>
        <v>0</v>
      </c>
      <c r="AC65" s="134" t="n">
        <f aca="false">IF(E65=0,0,IF(ISNUMBER('Sources &amp; uses'!$E$29),MAX(0,E65-'Sources &amp; uses'!$E$29),"n.a."))</f>
        <v>0</v>
      </c>
      <c r="AD65" s="132" t="str">
        <f aca="false">IF(E65=0,"No new subscription",IF(ISNUMBER('Sources &amp; uses'!$E$29),"MODEL capacity tested","Unverified"))</f>
        <v>No new subscription</v>
      </c>
    </row>
    <row r="66" customFormat="false" ht="19.5" hidden="false" customHeight="true" outlineLevel="0" collapsed="false">
      <c r="A66" s="121" t="n">
        <v>1906</v>
      </c>
      <c r="B66" s="117" t="n">
        <f aca="false">IF(AND(A66&gt;=1914,A66&lt;=1918),entente_total*CHOOSE(A66-1913,0.05,0.1333,0.2333,0.3,0.2834),0)</f>
        <v>0</v>
      </c>
      <c r="C66" s="132" t="n">
        <f aca="false">IF(AND(A66&gt;=1914,A66&lt;=1918),Loans!L66,0)</f>
        <v>0</v>
      </c>
      <c r="D66" s="132" t="n">
        <f aca="false">Abroad!D66</f>
        <v>0</v>
      </c>
      <c r="E66" s="117" t="n">
        <f aca="false">B66*(1-entente_public-entente_private)</f>
        <v>0</v>
      </c>
      <c r="F66" s="133" t="n">
        <f aca="false">B66-SUM(C66:E66)</f>
        <v>0</v>
      </c>
      <c r="G66" s="117" t="n">
        <f aca="false">B66*uw_fee</f>
        <v>0</v>
      </c>
      <c r="H66" s="117" t="n">
        <f aca="false">B66-G66</f>
        <v>0</v>
      </c>
      <c r="I66" s="132" t="n">
        <f aca="false">H66*'Sources &amp; uses'!$E$31</f>
        <v>0</v>
      </c>
      <c r="J66" s="117" t="n">
        <f aca="false">H66-I66</f>
        <v>0</v>
      </c>
      <c r="K66" s="133" t="n">
        <f aca="false">B66-G66-I66-J66</f>
        <v>0</v>
      </c>
      <c r="L66" s="117" t="n">
        <f aca="false">O65</f>
        <v>0</v>
      </c>
      <c r="M66" s="132" t="n">
        <f aca="false">L66*Paths!AA66</f>
        <v>0</v>
      </c>
      <c r="N66" s="117" t="n">
        <f aca="false">IF(A66=1918,(L66+C66)*russia_writeoff,0)-IF(A66=russia_recog_yr,russia_recog*$N$78,0)</f>
        <v>0</v>
      </c>
      <c r="O66" s="117" t="n">
        <f aca="false">L66+C66-M66-N66</f>
        <v>0</v>
      </c>
      <c r="P66" s="132" t="n">
        <f aca="false">L66*Paths!Z66*Paths!AB66</f>
        <v>0</v>
      </c>
      <c r="Q66" s="117" t="n">
        <f aca="false">T65</f>
        <v>0</v>
      </c>
      <c r="R66" s="132" t="n">
        <f aca="false">Q66*Paths!AA66</f>
        <v>0</v>
      </c>
      <c r="S66" s="117" t="n">
        <f aca="false">IF(A66=1918,(Q66+D66)*russia_writeoff,0)-IF(A66=russia_recog_yr,russia_recog*$S$78,0)</f>
        <v>0</v>
      </c>
      <c r="T66" s="117" t="n">
        <f aca="false">Q66+D66-R66-S66</f>
        <v>0</v>
      </c>
      <c r="U66" s="132" t="n">
        <f aca="false">Q66*Paths!Z66*Paths!AB66</f>
        <v>0</v>
      </c>
      <c r="V66" s="117" t="n">
        <f aca="false">Y65</f>
        <v>0</v>
      </c>
      <c r="W66" s="132" t="n">
        <f aca="false">V66*Paths!AA66</f>
        <v>0</v>
      </c>
      <c r="X66" s="117" t="n">
        <f aca="false">IF(A66=1918,(V66+E66)*russia_writeoff,0)-IF(A66=russia_recog_yr,russia_recog*$X$78,0)</f>
        <v>0</v>
      </c>
      <c r="Y66" s="117" t="n">
        <f aca="false">V66+E66-W66-X66</f>
        <v>0</v>
      </c>
      <c r="Z66" s="132" t="n">
        <f aca="false">V66*Paths!Z66*Paths!AB66</f>
        <v>0</v>
      </c>
      <c r="AA66" s="117" t="n">
        <f aca="false">O66+T66+Y66</f>
        <v>0</v>
      </c>
      <c r="AB66" s="117" t="n">
        <f aca="false">P66+U66+Z66</f>
        <v>0</v>
      </c>
      <c r="AC66" s="134" t="n">
        <f aca="false">IF(E66=0,0,IF(ISNUMBER('Sources &amp; uses'!$E$29),MAX(0,E66-'Sources &amp; uses'!$E$29),"n.a."))</f>
        <v>0</v>
      </c>
      <c r="AD66" s="132" t="str">
        <f aca="false">IF(E66=0,"No new subscription",IF(ISNUMBER('Sources &amp; uses'!$E$29),"MODEL capacity tested","Unverified"))</f>
        <v>No new subscription</v>
      </c>
    </row>
    <row r="67" customFormat="false" ht="19.5" hidden="false" customHeight="true" outlineLevel="0" collapsed="false">
      <c r="A67" s="121" t="n">
        <v>1907</v>
      </c>
      <c r="B67" s="117" t="n">
        <f aca="false">IF(AND(A67&gt;=1914,A67&lt;=1918),entente_total*CHOOSE(A67-1913,0.05,0.1333,0.2333,0.3,0.2834),0)</f>
        <v>0</v>
      </c>
      <c r="C67" s="132" t="n">
        <f aca="false">IF(AND(A67&gt;=1914,A67&lt;=1918),Loans!L67,0)</f>
        <v>0</v>
      </c>
      <c r="D67" s="132" t="n">
        <f aca="false">Abroad!D67</f>
        <v>0</v>
      </c>
      <c r="E67" s="117" t="n">
        <f aca="false">B67*(1-entente_public-entente_private)</f>
        <v>0</v>
      </c>
      <c r="F67" s="133" t="n">
        <f aca="false">B67-SUM(C67:E67)</f>
        <v>0</v>
      </c>
      <c r="G67" s="117" t="n">
        <f aca="false">B67*uw_fee</f>
        <v>0</v>
      </c>
      <c r="H67" s="117" t="n">
        <f aca="false">B67-G67</f>
        <v>0</v>
      </c>
      <c r="I67" s="132" t="n">
        <f aca="false">H67*'Sources &amp; uses'!$E$31</f>
        <v>0</v>
      </c>
      <c r="J67" s="117" t="n">
        <f aca="false">H67-I67</f>
        <v>0</v>
      </c>
      <c r="K67" s="133" t="n">
        <f aca="false">B67-G67-I67-J67</f>
        <v>0</v>
      </c>
      <c r="L67" s="117" t="n">
        <f aca="false">O66</f>
        <v>0</v>
      </c>
      <c r="M67" s="132" t="n">
        <f aca="false">L67*Paths!AA67</f>
        <v>0</v>
      </c>
      <c r="N67" s="117" t="n">
        <f aca="false">IF(A67=1918,(L67+C67)*russia_writeoff,0)-IF(A67=russia_recog_yr,russia_recog*$N$78,0)</f>
        <v>0</v>
      </c>
      <c r="O67" s="117" t="n">
        <f aca="false">L67+C67-M67-N67</f>
        <v>0</v>
      </c>
      <c r="P67" s="132" t="n">
        <f aca="false">L67*Paths!Z67*Paths!AB67</f>
        <v>0</v>
      </c>
      <c r="Q67" s="117" t="n">
        <f aca="false">T66</f>
        <v>0</v>
      </c>
      <c r="R67" s="132" t="n">
        <f aca="false">Q67*Paths!AA67</f>
        <v>0</v>
      </c>
      <c r="S67" s="117" t="n">
        <f aca="false">IF(A67=1918,(Q67+D67)*russia_writeoff,0)-IF(A67=russia_recog_yr,russia_recog*$S$78,0)</f>
        <v>0</v>
      </c>
      <c r="T67" s="117" t="n">
        <f aca="false">Q67+D67-R67-S67</f>
        <v>0</v>
      </c>
      <c r="U67" s="132" t="n">
        <f aca="false">Q67*Paths!Z67*Paths!AB67</f>
        <v>0</v>
      </c>
      <c r="V67" s="117" t="n">
        <f aca="false">Y66</f>
        <v>0</v>
      </c>
      <c r="W67" s="132" t="n">
        <f aca="false">V67*Paths!AA67</f>
        <v>0</v>
      </c>
      <c r="X67" s="117" t="n">
        <f aca="false">IF(A67=1918,(V67+E67)*russia_writeoff,0)-IF(A67=russia_recog_yr,russia_recog*$X$78,0)</f>
        <v>0</v>
      </c>
      <c r="Y67" s="117" t="n">
        <f aca="false">V67+E67-W67-X67</f>
        <v>0</v>
      </c>
      <c r="Z67" s="132" t="n">
        <f aca="false">V67*Paths!Z67*Paths!AB67</f>
        <v>0</v>
      </c>
      <c r="AA67" s="117" t="n">
        <f aca="false">O67+T67+Y67</f>
        <v>0</v>
      </c>
      <c r="AB67" s="117" t="n">
        <f aca="false">P67+U67+Z67</f>
        <v>0</v>
      </c>
      <c r="AC67" s="134" t="n">
        <f aca="false">IF(E67=0,0,IF(ISNUMBER('Sources &amp; uses'!$E$29),MAX(0,E67-'Sources &amp; uses'!$E$29),"n.a."))</f>
        <v>0</v>
      </c>
      <c r="AD67" s="132" t="str">
        <f aca="false">IF(E67=0,"No new subscription",IF(ISNUMBER('Sources &amp; uses'!$E$29),"MODEL capacity tested","Unverified"))</f>
        <v>No new subscription</v>
      </c>
    </row>
    <row r="68" customFormat="false" ht="19.5" hidden="false" customHeight="true" outlineLevel="0" collapsed="false">
      <c r="A68" s="121" t="n">
        <v>1908</v>
      </c>
      <c r="B68" s="117" t="n">
        <f aca="false">IF(AND(A68&gt;=1914,A68&lt;=1918),entente_total*CHOOSE(A68-1913,0.05,0.1333,0.2333,0.3,0.2834),0)</f>
        <v>0</v>
      </c>
      <c r="C68" s="132" t="n">
        <f aca="false">IF(AND(A68&gt;=1914,A68&lt;=1918),Loans!L68,0)</f>
        <v>0</v>
      </c>
      <c r="D68" s="132" t="n">
        <f aca="false">Abroad!D68</f>
        <v>0</v>
      </c>
      <c r="E68" s="117" t="n">
        <f aca="false">B68*(1-entente_public-entente_private)</f>
        <v>0</v>
      </c>
      <c r="F68" s="133" t="n">
        <f aca="false">B68-SUM(C68:E68)</f>
        <v>0</v>
      </c>
      <c r="G68" s="117" t="n">
        <f aca="false">B68*uw_fee</f>
        <v>0</v>
      </c>
      <c r="H68" s="117" t="n">
        <f aca="false">B68-G68</f>
        <v>0</v>
      </c>
      <c r="I68" s="132" t="n">
        <f aca="false">H68*'Sources &amp; uses'!$E$31</f>
        <v>0</v>
      </c>
      <c r="J68" s="117" t="n">
        <f aca="false">H68-I68</f>
        <v>0</v>
      </c>
      <c r="K68" s="133" t="n">
        <f aca="false">B68-G68-I68-J68</f>
        <v>0</v>
      </c>
      <c r="L68" s="117" t="n">
        <f aca="false">O67</f>
        <v>0</v>
      </c>
      <c r="M68" s="132" t="n">
        <f aca="false">L68*Paths!AA68</f>
        <v>0</v>
      </c>
      <c r="N68" s="117" t="n">
        <f aca="false">IF(A68=1918,(L68+C68)*russia_writeoff,0)-IF(A68=russia_recog_yr,russia_recog*$N$78,0)</f>
        <v>0</v>
      </c>
      <c r="O68" s="117" t="n">
        <f aca="false">L68+C68-M68-N68</f>
        <v>0</v>
      </c>
      <c r="P68" s="132" t="n">
        <f aca="false">L68*Paths!Z68*Paths!AB68</f>
        <v>0</v>
      </c>
      <c r="Q68" s="117" t="n">
        <f aca="false">T67</f>
        <v>0</v>
      </c>
      <c r="R68" s="132" t="n">
        <f aca="false">Q68*Paths!AA68</f>
        <v>0</v>
      </c>
      <c r="S68" s="117" t="n">
        <f aca="false">IF(A68=1918,(Q68+D68)*russia_writeoff,0)-IF(A68=russia_recog_yr,russia_recog*$S$78,0)</f>
        <v>0</v>
      </c>
      <c r="T68" s="117" t="n">
        <f aca="false">Q68+D68-R68-S68</f>
        <v>0</v>
      </c>
      <c r="U68" s="132" t="n">
        <f aca="false">Q68*Paths!Z68*Paths!AB68</f>
        <v>0</v>
      </c>
      <c r="V68" s="117" t="n">
        <f aca="false">Y67</f>
        <v>0</v>
      </c>
      <c r="W68" s="132" t="n">
        <f aca="false">V68*Paths!AA68</f>
        <v>0</v>
      </c>
      <c r="X68" s="117" t="n">
        <f aca="false">IF(A68=1918,(V68+E68)*russia_writeoff,0)-IF(A68=russia_recog_yr,russia_recog*$X$78,0)</f>
        <v>0</v>
      </c>
      <c r="Y68" s="117" t="n">
        <f aca="false">V68+E68-W68-X68</f>
        <v>0</v>
      </c>
      <c r="Z68" s="132" t="n">
        <f aca="false">V68*Paths!Z68*Paths!AB68</f>
        <v>0</v>
      </c>
      <c r="AA68" s="117" t="n">
        <f aca="false">O68+T68+Y68</f>
        <v>0</v>
      </c>
      <c r="AB68" s="117" t="n">
        <f aca="false">P68+U68+Z68</f>
        <v>0</v>
      </c>
      <c r="AC68" s="134" t="n">
        <f aca="false">IF(E68=0,0,IF(ISNUMBER('Sources &amp; uses'!$E$29),MAX(0,E68-'Sources &amp; uses'!$E$29),"n.a."))</f>
        <v>0</v>
      </c>
      <c r="AD68" s="132" t="str">
        <f aca="false">IF(E68=0,"No new subscription",IF(ISNUMBER('Sources &amp; uses'!$E$29),"MODEL capacity tested","Unverified"))</f>
        <v>No new subscription</v>
      </c>
    </row>
    <row r="69" customFormat="false" ht="19.5" hidden="false" customHeight="true" outlineLevel="0" collapsed="false">
      <c r="A69" s="121" t="n">
        <v>1909</v>
      </c>
      <c r="B69" s="117" t="n">
        <f aca="false">IF(AND(A69&gt;=1914,A69&lt;=1918),entente_total*CHOOSE(A69-1913,0.05,0.1333,0.2333,0.3,0.2834),0)</f>
        <v>0</v>
      </c>
      <c r="C69" s="132" t="n">
        <f aca="false">IF(AND(A69&gt;=1914,A69&lt;=1918),Loans!L69,0)</f>
        <v>0</v>
      </c>
      <c r="D69" s="132" t="n">
        <f aca="false">Abroad!D69</f>
        <v>0</v>
      </c>
      <c r="E69" s="117" t="n">
        <f aca="false">B69*(1-entente_public-entente_private)</f>
        <v>0</v>
      </c>
      <c r="F69" s="133" t="n">
        <f aca="false">B69-SUM(C69:E69)</f>
        <v>0</v>
      </c>
      <c r="G69" s="117" t="n">
        <f aca="false">B69*uw_fee</f>
        <v>0</v>
      </c>
      <c r="H69" s="117" t="n">
        <f aca="false">B69-G69</f>
        <v>0</v>
      </c>
      <c r="I69" s="132" t="n">
        <f aca="false">H69*'Sources &amp; uses'!$E$31</f>
        <v>0</v>
      </c>
      <c r="J69" s="117" t="n">
        <f aca="false">H69-I69</f>
        <v>0</v>
      </c>
      <c r="K69" s="133" t="n">
        <f aca="false">B69-G69-I69-J69</f>
        <v>0</v>
      </c>
      <c r="L69" s="117" t="n">
        <f aca="false">O68</f>
        <v>0</v>
      </c>
      <c r="M69" s="132" t="n">
        <f aca="false">L69*Paths!AA69</f>
        <v>0</v>
      </c>
      <c r="N69" s="117" t="n">
        <f aca="false">IF(A69=1918,(L69+C69)*russia_writeoff,0)-IF(A69=russia_recog_yr,russia_recog*$N$78,0)</f>
        <v>0</v>
      </c>
      <c r="O69" s="117" t="n">
        <f aca="false">L69+C69-M69-N69</f>
        <v>0</v>
      </c>
      <c r="P69" s="132" t="n">
        <f aca="false">L69*Paths!Z69*Paths!AB69</f>
        <v>0</v>
      </c>
      <c r="Q69" s="117" t="n">
        <f aca="false">T68</f>
        <v>0</v>
      </c>
      <c r="R69" s="132" t="n">
        <f aca="false">Q69*Paths!AA69</f>
        <v>0</v>
      </c>
      <c r="S69" s="117" t="n">
        <f aca="false">IF(A69=1918,(Q69+D69)*russia_writeoff,0)-IF(A69=russia_recog_yr,russia_recog*$S$78,0)</f>
        <v>0</v>
      </c>
      <c r="T69" s="117" t="n">
        <f aca="false">Q69+D69-R69-S69</f>
        <v>0</v>
      </c>
      <c r="U69" s="132" t="n">
        <f aca="false">Q69*Paths!Z69*Paths!AB69</f>
        <v>0</v>
      </c>
      <c r="V69" s="117" t="n">
        <f aca="false">Y68</f>
        <v>0</v>
      </c>
      <c r="W69" s="132" t="n">
        <f aca="false">V69*Paths!AA69</f>
        <v>0</v>
      </c>
      <c r="X69" s="117" t="n">
        <f aca="false">IF(A69=1918,(V69+E69)*russia_writeoff,0)-IF(A69=russia_recog_yr,russia_recog*$X$78,0)</f>
        <v>0</v>
      </c>
      <c r="Y69" s="117" t="n">
        <f aca="false">V69+E69-W69-X69</f>
        <v>0</v>
      </c>
      <c r="Z69" s="132" t="n">
        <f aca="false">V69*Paths!Z69*Paths!AB69</f>
        <v>0</v>
      </c>
      <c r="AA69" s="117" t="n">
        <f aca="false">O69+T69+Y69</f>
        <v>0</v>
      </c>
      <c r="AB69" s="117" t="n">
        <f aca="false">P69+U69+Z69</f>
        <v>0</v>
      </c>
      <c r="AC69" s="134" t="n">
        <f aca="false">IF(E69=0,0,IF(ISNUMBER('Sources &amp; uses'!$E$29),MAX(0,E69-'Sources &amp; uses'!$E$29),"n.a."))</f>
        <v>0</v>
      </c>
      <c r="AD69" s="132" t="str">
        <f aca="false">IF(E69=0,"No new subscription",IF(ISNUMBER('Sources &amp; uses'!$E$29),"MODEL capacity tested","Unverified"))</f>
        <v>No new subscription</v>
      </c>
    </row>
    <row r="70" customFormat="false" ht="19.5" hidden="false" customHeight="true" outlineLevel="0" collapsed="false">
      <c r="A70" s="121" t="n">
        <v>1910</v>
      </c>
      <c r="B70" s="117" t="n">
        <f aca="false">IF(AND(A70&gt;=1914,A70&lt;=1918),entente_total*CHOOSE(A70-1913,0.05,0.1333,0.2333,0.3,0.2834),0)</f>
        <v>0</v>
      </c>
      <c r="C70" s="132" t="n">
        <f aca="false">IF(AND(A70&gt;=1914,A70&lt;=1918),Loans!L70,0)</f>
        <v>0</v>
      </c>
      <c r="D70" s="132" t="n">
        <f aca="false">Abroad!D70</f>
        <v>0</v>
      </c>
      <c r="E70" s="117" t="n">
        <f aca="false">B70*(1-entente_public-entente_private)</f>
        <v>0</v>
      </c>
      <c r="F70" s="133" t="n">
        <f aca="false">B70-SUM(C70:E70)</f>
        <v>0</v>
      </c>
      <c r="G70" s="117" t="n">
        <f aca="false">B70*uw_fee</f>
        <v>0</v>
      </c>
      <c r="H70" s="117" t="n">
        <f aca="false">B70-G70</f>
        <v>0</v>
      </c>
      <c r="I70" s="132" t="n">
        <f aca="false">H70*'Sources &amp; uses'!$E$31</f>
        <v>0</v>
      </c>
      <c r="J70" s="117" t="n">
        <f aca="false">H70-I70</f>
        <v>0</v>
      </c>
      <c r="K70" s="133" t="n">
        <f aca="false">B70-G70-I70-J70</f>
        <v>0</v>
      </c>
      <c r="L70" s="117" t="n">
        <f aca="false">O69</f>
        <v>0</v>
      </c>
      <c r="M70" s="132" t="n">
        <f aca="false">L70*Paths!AA70</f>
        <v>0</v>
      </c>
      <c r="N70" s="117" t="n">
        <f aca="false">IF(A70=1918,(L70+C70)*russia_writeoff,0)-IF(A70=russia_recog_yr,russia_recog*$N$78,0)</f>
        <v>0</v>
      </c>
      <c r="O70" s="117" t="n">
        <f aca="false">L70+C70-M70-N70</f>
        <v>0</v>
      </c>
      <c r="P70" s="132" t="n">
        <f aca="false">L70*Paths!Z70*Paths!AB70</f>
        <v>0</v>
      </c>
      <c r="Q70" s="117" t="n">
        <f aca="false">T69</f>
        <v>0</v>
      </c>
      <c r="R70" s="132" t="n">
        <f aca="false">Q70*Paths!AA70</f>
        <v>0</v>
      </c>
      <c r="S70" s="117" t="n">
        <f aca="false">IF(A70=1918,(Q70+D70)*russia_writeoff,0)-IF(A70=russia_recog_yr,russia_recog*$S$78,0)</f>
        <v>0</v>
      </c>
      <c r="T70" s="117" t="n">
        <f aca="false">Q70+D70-R70-S70</f>
        <v>0</v>
      </c>
      <c r="U70" s="132" t="n">
        <f aca="false">Q70*Paths!Z70*Paths!AB70</f>
        <v>0</v>
      </c>
      <c r="V70" s="117" t="n">
        <f aca="false">Y69</f>
        <v>0</v>
      </c>
      <c r="W70" s="132" t="n">
        <f aca="false">V70*Paths!AA70</f>
        <v>0</v>
      </c>
      <c r="X70" s="117" t="n">
        <f aca="false">IF(A70=1918,(V70+E70)*russia_writeoff,0)-IF(A70=russia_recog_yr,russia_recog*$X$78,0)</f>
        <v>0</v>
      </c>
      <c r="Y70" s="117" t="n">
        <f aca="false">V70+E70-W70-X70</f>
        <v>0</v>
      </c>
      <c r="Z70" s="132" t="n">
        <f aca="false">V70*Paths!Z70*Paths!AB70</f>
        <v>0</v>
      </c>
      <c r="AA70" s="117" t="n">
        <f aca="false">O70+T70+Y70</f>
        <v>0</v>
      </c>
      <c r="AB70" s="117" t="n">
        <f aca="false">P70+U70+Z70</f>
        <v>0</v>
      </c>
      <c r="AC70" s="134" t="n">
        <f aca="false">IF(E70=0,0,IF(ISNUMBER('Sources &amp; uses'!$E$29),MAX(0,E70-'Sources &amp; uses'!$E$29),"n.a."))</f>
        <v>0</v>
      </c>
      <c r="AD70" s="132" t="str">
        <f aca="false">IF(E70=0,"No new subscription",IF(ISNUMBER('Sources &amp; uses'!$E$29),"MODEL capacity tested","Unverified"))</f>
        <v>No new subscription</v>
      </c>
    </row>
    <row r="71" customFormat="false" ht="19.5" hidden="false" customHeight="true" outlineLevel="0" collapsed="false">
      <c r="A71" s="121" t="n">
        <v>1911</v>
      </c>
      <c r="B71" s="117" t="n">
        <f aca="false">IF(AND(A71&gt;=1914,A71&lt;=1918),entente_total*CHOOSE(A71-1913,0.05,0.1333,0.2333,0.3,0.2834),0)</f>
        <v>0</v>
      </c>
      <c r="C71" s="132" t="n">
        <f aca="false">IF(AND(A71&gt;=1914,A71&lt;=1918),Loans!L71,0)</f>
        <v>0</v>
      </c>
      <c r="D71" s="132" t="n">
        <f aca="false">Abroad!D71</f>
        <v>0</v>
      </c>
      <c r="E71" s="117" t="n">
        <f aca="false">B71*(1-entente_public-entente_private)</f>
        <v>0</v>
      </c>
      <c r="F71" s="133" t="n">
        <f aca="false">B71-SUM(C71:E71)</f>
        <v>0</v>
      </c>
      <c r="G71" s="117" t="n">
        <f aca="false">B71*uw_fee</f>
        <v>0</v>
      </c>
      <c r="H71" s="117" t="n">
        <f aca="false">B71-G71</f>
        <v>0</v>
      </c>
      <c r="I71" s="132" t="n">
        <f aca="false">H71*'Sources &amp; uses'!$E$31</f>
        <v>0</v>
      </c>
      <c r="J71" s="117" t="n">
        <f aca="false">H71-I71</f>
        <v>0</v>
      </c>
      <c r="K71" s="133" t="n">
        <f aca="false">B71-G71-I71-J71</f>
        <v>0</v>
      </c>
      <c r="L71" s="117" t="n">
        <f aca="false">O70</f>
        <v>0</v>
      </c>
      <c r="M71" s="132" t="n">
        <f aca="false">L71*Paths!AA71</f>
        <v>0</v>
      </c>
      <c r="N71" s="117" t="n">
        <f aca="false">IF(A71=1918,(L71+C71)*russia_writeoff,0)-IF(A71=russia_recog_yr,russia_recog*$N$78,0)</f>
        <v>0</v>
      </c>
      <c r="O71" s="117" t="n">
        <f aca="false">L71+C71-M71-N71</f>
        <v>0</v>
      </c>
      <c r="P71" s="132" t="n">
        <f aca="false">L71*Paths!Z71*Paths!AB71</f>
        <v>0</v>
      </c>
      <c r="Q71" s="117" t="n">
        <f aca="false">T70</f>
        <v>0</v>
      </c>
      <c r="R71" s="132" t="n">
        <f aca="false">Q71*Paths!AA71</f>
        <v>0</v>
      </c>
      <c r="S71" s="117" t="n">
        <f aca="false">IF(A71=1918,(Q71+D71)*russia_writeoff,0)-IF(A71=russia_recog_yr,russia_recog*$S$78,0)</f>
        <v>0</v>
      </c>
      <c r="T71" s="117" t="n">
        <f aca="false">Q71+D71-R71-S71</f>
        <v>0</v>
      </c>
      <c r="U71" s="132" t="n">
        <f aca="false">Q71*Paths!Z71*Paths!AB71</f>
        <v>0</v>
      </c>
      <c r="V71" s="117" t="n">
        <f aca="false">Y70</f>
        <v>0</v>
      </c>
      <c r="W71" s="132" t="n">
        <f aca="false">V71*Paths!AA71</f>
        <v>0</v>
      </c>
      <c r="X71" s="117" t="n">
        <f aca="false">IF(A71=1918,(V71+E71)*russia_writeoff,0)-IF(A71=russia_recog_yr,russia_recog*$X$78,0)</f>
        <v>0</v>
      </c>
      <c r="Y71" s="117" t="n">
        <f aca="false">V71+E71-W71-X71</f>
        <v>0</v>
      </c>
      <c r="Z71" s="132" t="n">
        <f aca="false">V71*Paths!Z71*Paths!AB71</f>
        <v>0</v>
      </c>
      <c r="AA71" s="117" t="n">
        <f aca="false">O71+T71+Y71</f>
        <v>0</v>
      </c>
      <c r="AB71" s="117" t="n">
        <f aca="false">P71+U71+Z71</f>
        <v>0</v>
      </c>
      <c r="AC71" s="134" t="n">
        <f aca="false">IF(E71=0,0,IF(ISNUMBER('Sources &amp; uses'!$E$29),MAX(0,E71-'Sources &amp; uses'!$E$29),"n.a."))</f>
        <v>0</v>
      </c>
      <c r="AD71" s="132" t="str">
        <f aca="false">IF(E71=0,"No new subscription",IF(ISNUMBER('Sources &amp; uses'!$E$29),"MODEL capacity tested","Unverified"))</f>
        <v>No new subscription</v>
      </c>
    </row>
    <row r="72" customFormat="false" ht="19.5" hidden="false" customHeight="true" outlineLevel="0" collapsed="false">
      <c r="A72" s="121" t="n">
        <v>1912</v>
      </c>
      <c r="B72" s="117" t="n">
        <f aca="false">IF(AND(A72&gt;=1914,A72&lt;=1918),entente_total*CHOOSE(A72-1913,0.05,0.1333,0.2333,0.3,0.2834),0)</f>
        <v>0</v>
      </c>
      <c r="C72" s="132" t="n">
        <f aca="false">IF(AND(A72&gt;=1914,A72&lt;=1918),Loans!L72,0)</f>
        <v>0</v>
      </c>
      <c r="D72" s="132" t="n">
        <f aca="false">Abroad!D72</f>
        <v>0</v>
      </c>
      <c r="E72" s="117" t="n">
        <f aca="false">B72*(1-entente_public-entente_private)</f>
        <v>0</v>
      </c>
      <c r="F72" s="133" t="n">
        <f aca="false">B72-SUM(C72:E72)</f>
        <v>0</v>
      </c>
      <c r="G72" s="117" t="n">
        <f aca="false">B72*uw_fee</f>
        <v>0</v>
      </c>
      <c r="H72" s="117" t="n">
        <f aca="false">B72-G72</f>
        <v>0</v>
      </c>
      <c r="I72" s="132" t="n">
        <f aca="false">H72*'Sources &amp; uses'!$E$31</f>
        <v>0</v>
      </c>
      <c r="J72" s="117" t="n">
        <f aca="false">H72-I72</f>
        <v>0</v>
      </c>
      <c r="K72" s="133" t="n">
        <f aca="false">B72-G72-I72-J72</f>
        <v>0</v>
      </c>
      <c r="L72" s="117" t="n">
        <f aca="false">O71</f>
        <v>0</v>
      </c>
      <c r="M72" s="132" t="n">
        <f aca="false">L72*Paths!AA72</f>
        <v>0</v>
      </c>
      <c r="N72" s="117" t="n">
        <f aca="false">IF(A72=1918,(L72+C72)*russia_writeoff,0)-IF(A72=russia_recog_yr,russia_recog*$N$78,0)</f>
        <v>0</v>
      </c>
      <c r="O72" s="117" t="n">
        <f aca="false">L72+C72-M72-N72</f>
        <v>0</v>
      </c>
      <c r="P72" s="132" t="n">
        <f aca="false">L72*Paths!Z72*Paths!AB72</f>
        <v>0</v>
      </c>
      <c r="Q72" s="117" t="n">
        <f aca="false">T71</f>
        <v>0</v>
      </c>
      <c r="R72" s="132" t="n">
        <f aca="false">Q72*Paths!AA72</f>
        <v>0</v>
      </c>
      <c r="S72" s="117" t="n">
        <f aca="false">IF(A72=1918,(Q72+D72)*russia_writeoff,0)-IF(A72=russia_recog_yr,russia_recog*$S$78,0)</f>
        <v>0</v>
      </c>
      <c r="T72" s="117" t="n">
        <f aca="false">Q72+D72-R72-S72</f>
        <v>0</v>
      </c>
      <c r="U72" s="132" t="n">
        <f aca="false">Q72*Paths!Z72*Paths!AB72</f>
        <v>0</v>
      </c>
      <c r="V72" s="117" t="n">
        <f aca="false">Y71</f>
        <v>0</v>
      </c>
      <c r="W72" s="132" t="n">
        <f aca="false">V72*Paths!AA72</f>
        <v>0</v>
      </c>
      <c r="X72" s="117" t="n">
        <f aca="false">IF(A72=1918,(V72+E72)*russia_writeoff,0)-IF(A72=russia_recog_yr,russia_recog*$X$78,0)</f>
        <v>0</v>
      </c>
      <c r="Y72" s="117" t="n">
        <f aca="false">V72+E72-W72-X72</f>
        <v>0</v>
      </c>
      <c r="Z72" s="132" t="n">
        <f aca="false">V72*Paths!Z72*Paths!AB72</f>
        <v>0</v>
      </c>
      <c r="AA72" s="117" t="n">
        <f aca="false">O72+T72+Y72</f>
        <v>0</v>
      </c>
      <c r="AB72" s="117" t="n">
        <f aca="false">P72+U72+Z72</f>
        <v>0</v>
      </c>
      <c r="AC72" s="134" t="n">
        <f aca="false">IF(E72=0,0,IF(ISNUMBER('Sources &amp; uses'!$E$29),MAX(0,E72-'Sources &amp; uses'!$E$29),"n.a."))</f>
        <v>0</v>
      </c>
      <c r="AD72" s="132" t="str">
        <f aca="false">IF(E72=0,"No new subscription",IF(ISNUMBER('Sources &amp; uses'!$E$29),"MODEL capacity tested","Unverified"))</f>
        <v>No new subscription</v>
      </c>
    </row>
    <row r="73" customFormat="false" ht="19.5" hidden="false" customHeight="true" outlineLevel="0" collapsed="false">
      <c r="A73" s="121" t="n">
        <v>1913</v>
      </c>
      <c r="B73" s="117" t="n">
        <f aca="false">IF(AND(A73&gt;=1914,A73&lt;=1918),entente_total*CHOOSE(A73-1913,0.05,0.1333,0.2333,0.3,0.2834),0)</f>
        <v>0</v>
      </c>
      <c r="C73" s="132" t="n">
        <f aca="false">IF(AND(A73&gt;=1914,A73&lt;=1918),Loans!L73,0)</f>
        <v>0</v>
      </c>
      <c r="D73" s="132" t="n">
        <f aca="false">Abroad!D73</f>
        <v>0</v>
      </c>
      <c r="E73" s="117" t="n">
        <f aca="false">B73*(1-entente_public-entente_private)</f>
        <v>0</v>
      </c>
      <c r="F73" s="133" t="n">
        <f aca="false">B73-SUM(C73:E73)</f>
        <v>0</v>
      </c>
      <c r="G73" s="117" t="n">
        <f aca="false">B73*uw_fee</f>
        <v>0</v>
      </c>
      <c r="H73" s="117" t="n">
        <f aca="false">B73-G73</f>
        <v>0</v>
      </c>
      <c r="I73" s="132" t="n">
        <f aca="false">H73*'Sources &amp; uses'!$E$31</f>
        <v>0</v>
      </c>
      <c r="J73" s="117" t="n">
        <f aca="false">H73-I73</f>
        <v>0</v>
      </c>
      <c r="K73" s="133" t="n">
        <f aca="false">B73-G73-I73-J73</f>
        <v>0</v>
      </c>
      <c r="L73" s="117" t="n">
        <f aca="false">O72</f>
        <v>0</v>
      </c>
      <c r="M73" s="132" t="n">
        <f aca="false">L73*Paths!AA73</f>
        <v>0</v>
      </c>
      <c r="N73" s="117" t="n">
        <f aca="false">IF(A73=1918,(L73+C73)*russia_writeoff,0)-IF(A73=russia_recog_yr,russia_recog*$N$78,0)</f>
        <v>0</v>
      </c>
      <c r="O73" s="117" t="n">
        <f aca="false">L73+C73-M73-N73</f>
        <v>0</v>
      </c>
      <c r="P73" s="132" t="n">
        <f aca="false">L73*Paths!Z73*Paths!AB73</f>
        <v>0</v>
      </c>
      <c r="Q73" s="117" t="n">
        <f aca="false">T72</f>
        <v>0</v>
      </c>
      <c r="R73" s="132" t="n">
        <f aca="false">Q73*Paths!AA73</f>
        <v>0</v>
      </c>
      <c r="S73" s="117" t="n">
        <f aca="false">IF(A73=1918,(Q73+D73)*russia_writeoff,0)-IF(A73=russia_recog_yr,russia_recog*$S$78,0)</f>
        <v>0</v>
      </c>
      <c r="T73" s="117" t="n">
        <f aca="false">Q73+D73-R73-S73</f>
        <v>0</v>
      </c>
      <c r="U73" s="132" t="n">
        <f aca="false">Q73*Paths!Z73*Paths!AB73</f>
        <v>0</v>
      </c>
      <c r="V73" s="117" t="n">
        <f aca="false">Y72</f>
        <v>0</v>
      </c>
      <c r="W73" s="132" t="n">
        <f aca="false">V73*Paths!AA73</f>
        <v>0</v>
      </c>
      <c r="X73" s="117" t="n">
        <f aca="false">IF(A73=1918,(V73+E73)*russia_writeoff,0)-IF(A73=russia_recog_yr,russia_recog*$X$78,0)</f>
        <v>0</v>
      </c>
      <c r="Y73" s="117" t="n">
        <f aca="false">V73+E73-W73-X73</f>
        <v>0</v>
      </c>
      <c r="Z73" s="132" t="n">
        <f aca="false">V73*Paths!Z73*Paths!AB73</f>
        <v>0</v>
      </c>
      <c r="AA73" s="117" t="n">
        <f aca="false">O73+T73+Y73</f>
        <v>0</v>
      </c>
      <c r="AB73" s="117" t="n">
        <f aca="false">P73+U73+Z73</f>
        <v>0</v>
      </c>
      <c r="AC73" s="134" t="n">
        <f aca="false">IF(E73=0,0,IF(ISNUMBER('Sources &amp; uses'!$E$29),MAX(0,E73-'Sources &amp; uses'!$E$29),"n.a."))</f>
        <v>0</v>
      </c>
      <c r="AD73" s="132" t="str">
        <f aca="false">IF(E73=0,"No new subscription",IF(ISNUMBER('Sources &amp; uses'!$E$29),"MODEL capacity tested","Unverified"))</f>
        <v>No new subscription</v>
      </c>
    </row>
    <row r="74" customFormat="false" ht="19.5" hidden="false" customHeight="true" outlineLevel="0" collapsed="false">
      <c r="A74" s="121" t="n">
        <v>1914</v>
      </c>
      <c r="B74" s="117" t="n">
        <f aca="false">IF(AND(A74&gt;=1914,A74&lt;=1918),entente_total*CHOOSE(A74-1913,0.05,0.1333,0.2333,0.3,0.2834),0)</f>
        <v>425</v>
      </c>
      <c r="C74" s="132" t="n">
        <f aca="false">IF(AND(A74&gt;=1914,A74&lt;=1918),Loans!L74,0)</f>
        <v>85</v>
      </c>
      <c r="D74" s="132" t="n">
        <f aca="false">Abroad!D74</f>
        <v>340</v>
      </c>
      <c r="E74" s="117" t="n">
        <f aca="false">MIN(B74-C74,'Entente subscribers'!G6)</f>
        <v>0</v>
      </c>
      <c r="F74" s="133" t="n">
        <f aca="false">B74-SUM(C74:E74)</f>
        <v>0</v>
      </c>
      <c r="G74" s="117" t="n">
        <f aca="false">B74*uw_fee</f>
        <v>10.625</v>
      </c>
      <c r="H74" s="117" t="n">
        <f aca="false">B74-G74</f>
        <v>414.375</v>
      </c>
      <c r="I74" s="132" t="n">
        <f aca="false">H74*'Sources &amp; uses'!$E$31</f>
        <v>82.875</v>
      </c>
      <c r="J74" s="117" t="n">
        <f aca="false">H74-I74</f>
        <v>331.5</v>
      </c>
      <c r="K74" s="133" t="n">
        <f aca="false">B74-G74-I74-J74</f>
        <v>0</v>
      </c>
      <c r="L74" s="117" t="n">
        <f aca="false">O73</f>
        <v>0</v>
      </c>
      <c r="M74" s="132" t="n">
        <f aca="false">L74*Paths!AA74</f>
        <v>0</v>
      </c>
      <c r="N74" s="117" t="n">
        <f aca="false">IF(A74=1918,(L74+C74)*russia_writeoff,0)-IF(A74=russia_recog_yr,russia_recog*$N$78,0)</f>
        <v>0</v>
      </c>
      <c r="O74" s="117" t="n">
        <f aca="false">L74+C74-M74-N74</f>
        <v>85</v>
      </c>
      <c r="P74" s="132" t="n">
        <f aca="false">L74*Paths!Z74*Paths!AB74</f>
        <v>0</v>
      </c>
      <c r="Q74" s="117" t="n">
        <f aca="false">T73</f>
        <v>0</v>
      </c>
      <c r="R74" s="132" t="n">
        <f aca="false">Q74*Paths!AA74</f>
        <v>0</v>
      </c>
      <c r="S74" s="117" t="n">
        <f aca="false">IF(A74=1918,(Q74+D74)*russia_writeoff,0)-IF(A74=russia_recog_yr,russia_recog*$S$78,0)</f>
        <v>0</v>
      </c>
      <c r="T74" s="117" t="n">
        <f aca="false">Q74+D74-R74-S74</f>
        <v>340</v>
      </c>
      <c r="U74" s="132" t="n">
        <f aca="false">Q74*Paths!Z74*Paths!AB74</f>
        <v>0</v>
      </c>
      <c r="V74" s="117" t="n">
        <f aca="false">Y73</f>
        <v>0</v>
      </c>
      <c r="W74" s="132" t="n">
        <f aca="false">V74*Paths!AA74</f>
        <v>0</v>
      </c>
      <c r="X74" s="117" t="n">
        <f aca="false">IF(A74=1918,(V74+E74)*russia_writeoff,0)-IF(A74=russia_recog_yr,russia_recog*$X$78,0)</f>
        <v>0</v>
      </c>
      <c r="Y74" s="117" t="n">
        <f aca="false">V74+E74-W74-X74</f>
        <v>0</v>
      </c>
      <c r="Z74" s="132" t="n">
        <f aca="false">V74*Paths!Z74*Paths!AB74</f>
        <v>0</v>
      </c>
      <c r="AA74" s="117" t="n">
        <f aca="false">O74+T74+Y74</f>
        <v>425</v>
      </c>
      <c r="AB74" s="117" t="n">
        <f aca="false">P74+U74+Z74</f>
        <v>0</v>
      </c>
      <c r="AC74" s="134" t="n">
        <f aca="false">'Entente subscribers'!I6</f>
        <v>0</v>
      </c>
      <c r="AD74" s="132" t="str">
        <f aca="false">IF(E74=0,"No new subscription",IF(AC74&lt;0.001,"MODEL capacity: named subscribers","Subscriber gap"))</f>
        <v>No new subscription</v>
      </c>
    </row>
    <row r="75" customFormat="false" ht="19.5" hidden="false" customHeight="true" outlineLevel="0" collapsed="false">
      <c r="A75" s="121" t="n">
        <v>1915</v>
      </c>
      <c r="B75" s="117" t="n">
        <f aca="false">IF(AND(A75&gt;=1914,A75&lt;=1918),entente_total*CHOOSE(A75-1913,0.05,0.1333,0.2333,0.3,0.2834),0)</f>
        <v>1133.05</v>
      </c>
      <c r="C75" s="132" t="n">
        <f aca="false">IF(AND(A75&gt;=1914,A75&lt;=1918),Loans!L75,0)</f>
        <v>226.61</v>
      </c>
      <c r="D75" s="132" t="n">
        <f aca="false">Abroad!D75</f>
        <v>381.44</v>
      </c>
      <c r="E75" s="117" t="n">
        <f aca="false">MIN(B75-C75,'Entente subscribers'!G7)</f>
        <v>525</v>
      </c>
      <c r="F75" s="133" t="n">
        <f aca="false">B75-SUM(C75:E75)</f>
        <v>0</v>
      </c>
      <c r="G75" s="117" t="n">
        <f aca="false">B75*uw_fee</f>
        <v>28.32625</v>
      </c>
      <c r="H75" s="117" t="n">
        <f aca="false">B75-G75</f>
        <v>1104.72375</v>
      </c>
      <c r="I75" s="132" t="n">
        <f aca="false">H75*'Sources &amp; uses'!$E$31</f>
        <v>220.94475</v>
      </c>
      <c r="J75" s="117" t="n">
        <f aca="false">H75-I75</f>
        <v>883.779</v>
      </c>
      <c r="K75" s="133" t="n">
        <f aca="false">B75-G75-I75-J75</f>
        <v>0</v>
      </c>
      <c r="L75" s="117" t="n">
        <f aca="false">O74</f>
        <v>85</v>
      </c>
      <c r="M75" s="132" t="n">
        <f aca="false">L75*Paths!AA75</f>
        <v>0</v>
      </c>
      <c r="N75" s="117" t="n">
        <f aca="false">IF(A75=1918,(L75+C75)*russia_writeoff,0)-IF(A75=russia_recog_yr,russia_recog*$N$78,0)</f>
        <v>0</v>
      </c>
      <c r="O75" s="117" t="n">
        <f aca="false">L75+C75-M75-N75</f>
        <v>311.61</v>
      </c>
      <c r="P75" s="132" t="n">
        <f aca="false">L75*Paths!Z75*Paths!AB75</f>
        <v>4.25</v>
      </c>
      <c r="Q75" s="117" t="n">
        <f aca="false">T74</f>
        <v>340</v>
      </c>
      <c r="R75" s="132" t="n">
        <f aca="false">Q75*Paths!AA75</f>
        <v>0</v>
      </c>
      <c r="S75" s="117" t="n">
        <f aca="false">IF(A75=1918,(Q75+D75)*russia_writeoff,0)-IF(A75=russia_recog_yr,russia_recog*$S$78,0)</f>
        <v>0</v>
      </c>
      <c r="T75" s="117" t="n">
        <f aca="false">Q75+D75-R75-S75</f>
        <v>721.44</v>
      </c>
      <c r="U75" s="132" t="n">
        <f aca="false">Q75*Paths!Z75*Paths!AB75</f>
        <v>17</v>
      </c>
      <c r="V75" s="117" t="n">
        <f aca="false">Y74</f>
        <v>0</v>
      </c>
      <c r="W75" s="132" t="n">
        <f aca="false">V75*Paths!AA75</f>
        <v>0</v>
      </c>
      <c r="X75" s="117" t="n">
        <f aca="false">IF(A75=1918,(V75+E75)*russia_writeoff,0)-IF(A75=russia_recog_yr,russia_recog*$X$78,0)</f>
        <v>0</v>
      </c>
      <c r="Y75" s="117" t="n">
        <f aca="false">V75+E75-W75-X75</f>
        <v>525</v>
      </c>
      <c r="Z75" s="132" t="n">
        <f aca="false">V75*Paths!Z75*Paths!AB75</f>
        <v>0</v>
      </c>
      <c r="AA75" s="117" t="n">
        <f aca="false">O75+T75+Y75</f>
        <v>1558.05</v>
      </c>
      <c r="AB75" s="117" t="n">
        <f aca="false">P75+U75+Z75</f>
        <v>21.25</v>
      </c>
      <c r="AC75" s="134" t="n">
        <f aca="false">'Entente subscribers'!I7</f>
        <v>0</v>
      </c>
      <c r="AD75" s="132" t="str">
        <f aca="false">IF(E75=0,"No new subscription",IF(AC75&lt;0.001,"MODEL capacity: named subscribers","Subscriber gap"))</f>
        <v>MODEL capacity: named subscribers</v>
      </c>
    </row>
    <row r="76" customFormat="false" ht="19.5" hidden="false" customHeight="true" outlineLevel="0" collapsed="false">
      <c r="A76" s="121" t="n">
        <v>1916</v>
      </c>
      <c r="B76" s="117" t="n">
        <f aca="false">IF(AND(A76&gt;=1914,A76&lt;=1918),entente_total*CHOOSE(A76-1913,0.05,0.1333,0.2333,0.3,0.2834),0)</f>
        <v>1983.05</v>
      </c>
      <c r="C76" s="132" t="n">
        <f aca="false">IF(AND(A76&gt;=1914,A76&lt;=1918),Loans!L76,0)</f>
        <v>396.61</v>
      </c>
      <c r="D76" s="132" t="n">
        <f aca="false">Abroad!D76</f>
        <v>536.44</v>
      </c>
      <c r="E76" s="117" t="n">
        <f aca="false">MIN(B76-C76,'Entente subscribers'!G8)</f>
        <v>1050</v>
      </c>
      <c r="F76" s="133" t="n">
        <f aca="false">B76-SUM(C76:E76)</f>
        <v>0</v>
      </c>
      <c r="G76" s="117" t="n">
        <f aca="false">B76*uw_fee</f>
        <v>49.57625</v>
      </c>
      <c r="H76" s="117" t="n">
        <f aca="false">B76-G76</f>
        <v>1933.47375</v>
      </c>
      <c r="I76" s="132" t="n">
        <f aca="false">H76*'Sources &amp; uses'!$E$31</f>
        <v>386.69475</v>
      </c>
      <c r="J76" s="117" t="n">
        <f aca="false">H76-I76</f>
        <v>1546.779</v>
      </c>
      <c r="K76" s="133" t="n">
        <f aca="false">B76-G76-I76-J76</f>
        <v>0</v>
      </c>
      <c r="L76" s="117" t="n">
        <f aca="false">O75</f>
        <v>311.61</v>
      </c>
      <c r="M76" s="132" t="n">
        <f aca="false">L76*Paths!AA76</f>
        <v>0</v>
      </c>
      <c r="N76" s="117" t="n">
        <f aca="false">IF(A76=1918,(L76+C76)*russia_writeoff,0)-IF(A76=russia_recog_yr,russia_recog*$N$78,0)</f>
        <v>0</v>
      </c>
      <c r="O76" s="117" t="n">
        <f aca="false">L76+C76-M76-N76</f>
        <v>708.22</v>
      </c>
      <c r="P76" s="132" t="n">
        <f aca="false">L76*Paths!Z76*Paths!AB76</f>
        <v>15.5805</v>
      </c>
      <c r="Q76" s="117" t="n">
        <f aca="false">T75</f>
        <v>721.44</v>
      </c>
      <c r="R76" s="132" t="n">
        <f aca="false">Q76*Paths!AA76</f>
        <v>0</v>
      </c>
      <c r="S76" s="117" t="n">
        <f aca="false">IF(A76=1918,(Q76+D76)*russia_writeoff,0)-IF(A76=russia_recog_yr,russia_recog*$S$78,0)</f>
        <v>0</v>
      </c>
      <c r="T76" s="117" t="n">
        <f aca="false">Q76+D76-R76-S76</f>
        <v>1257.88</v>
      </c>
      <c r="U76" s="132" t="n">
        <f aca="false">Q76*Paths!Z76*Paths!AB76</f>
        <v>36.072</v>
      </c>
      <c r="V76" s="117" t="n">
        <f aca="false">Y75</f>
        <v>525</v>
      </c>
      <c r="W76" s="132" t="n">
        <f aca="false">V76*Paths!AA76</f>
        <v>0</v>
      </c>
      <c r="X76" s="117" t="n">
        <f aca="false">IF(A76=1918,(V76+E76)*russia_writeoff,0)-IF(A76=russia_recog_yr,russia_recog*$X$78,0)</f>
        <v>0</v>
      </c>
      <c r="Y76" s="117" t="n">
        <f aca="false">V76+E76-W76-X76</f>
        <v>1575</v>
      </c>
      <c r="Z76" s="132" t="n">
        <f aca="false">V76*Paths!Z76*Paths!AB76</f>
        <v>26.25</v>
      </c>
      <c r="AA76" s="117" t="n">
        <f aca="false">O76+T76+Y76</f>
        <v>3541.1</v>
      </c>
      <c r="AB76" s="117" t="n">
        <f aca="false">P76+U76+Z76</f>
        <v>77.9025</v>
      </c>
      <c r="AC76" s="134" t="n">
        <f aca="false">'Entente subscribers'!I8</f>
        <v>0</v>
      </c>
      <c r="AD76" s="132" t="str">
        <f aca="false">IF(E76=0,"No new subscription",IF(AC76&lt;0.001,"MODEL capacity: named subscribers","Subscriber gap"))</f>
        <v>MODEL capacity: named subscribers</v>
      </c>
    </row>
    <row r="77" customFormat="false" ht="19.5" hidden="false" customHeight="true" outlineLevel="0" collapsed="false">
      <c r="A77" s="121" t="n">
        <v>1917</v>
      </c>
      <c r="B77" s="117" t="n">
        <f aca="false">IF(AND(A77&gt;=1914,A77&lt;=1918),entente_total*CHOOSE(A77-1913,0.05,0.1333,0.2333,0.3,0.2834),0)</f>
        <v>2550</v>
      </c>
      <c r="C77" s="132" t="n">
        <f aca="false">IF(AND(A77&gt;=1914,A77&lt;=1918),Loans!L77,0)</f>
        <v>510</v>
      </c>
      <c r="D77" s="132" t="n">
        <f aca="false">Abroad!D77</f>
        <v>840</v>
      </c>
      <c r="E77" s="117" t="n">
        <f aca="false">MIN(B77-C77,'Entente subscribers'!G9)</f>
        <v>1200</v>
      </c>
      <c r="F77" s="133" t="n">
        <f aca="false">B77-SUM(C77:E77)</f>
        <v>0</v>
      </c>
      <c r="G77" s="117" t="n">
        <f aca="false">B77*uw_fee</f>
        <v>63.75</v>
      </c>
      <c r="H77" s="117" t="n">
        <f aca="false">B77-G77</f>
        <v>2486.25</v>
      </c>
      <c r="I77" s="132" t="n">
        <f aca="false">H77*'Sources &amp; uses'!$E$31</f>
        <v>497.25</v>
      </c>
      <c r="J77" s="117" t="n">
        <f aca="false">H77-I77</f>
        <v>1989</v>
      </c>
      <c r="K77" s="133" t="n">
        <f aca="false">B77-G77-I77-J77</f>
        <v>0</v>
      </c>
      <c r="L77" s="117" t="n">
        <f aca="false">O76</f>
        <v>708.22</v>
      </c>
      <c r="M77" s="132" t="n">
        <f aca="false">L77*Paths!AA77</f>
        <v>0</v>
      </c>
      <c r="N77" s="117" t="n">
        <f aca="false">IF(A77=1918,(L77+C77)*russia_writeoff,0)-IF(A77=russia_recog_yr,russia_recog*$N$78,0)</f>
        <v>0</v>
      </c>
      <c r="O77" s="117" t="n">
        <f aca="false">L77+C77-M77-N77</f>
        <v>1218.22</v>
      </c>
      <c r="P77" s="132" t="n">
        <f aca="false">L77*Paths!Z77*Paths!AB77</f>
        <v>35.411</v>
      </c>
      <c r="Q77" s="117" t="n">
        <f aca="false">T76</f>
        <v>1257.88</v>
      </c>
      <c r="R77" s="132" t="n">
        <f aca="false">Q77*Paths!AA77</f>
        <v>0</v>
      </c>
      <c r="S77" s="117" t="n">
        <f aca="false">IF(A77=1918,(Q77+D77)*russia_writeoff,0)-IF(A77=russia_recog_yr,russia_recog*$S$78,0)</f>
        <v>0</v>
      </c>
      <c r="T77" s="117" t="n">
        <f aca="false">Q77+D77-R77-S77</f>
        <v>2097.88</v>
      </c>
      <c r="U77" s="132" t="n">
        <f aca="false">Q77*Paths!Z77*Paths!AB77</f>
        <v>62.894</v>
      </c>
      <c r="V77" s="117" t="n">
        <f aca="false">Y76</f>
        <v>1575</v>
      </c>
      <c r="W77" s="132" t="n">
        <f aca="false">V77*Paths!AA77</f>
        <v>0</v>
      </c>
      <c r="X77" s="117" t="n">
        <f aca="false">IF(A77=1918,(V77+E77)*russia_writeoff,0)-IF(A77=russia_recog_yr,russia_recog*$X$78,0)</f>
        <v>0</v>
      </c>
      <c r="Y77" s="117" t="n">
        <f aca="false">V77+E77-W77-X77</f>
        <v>2775</v>
      </c>
      <c r="Z77" s="132" t="n">
        <f aca="false">V77*Paths!Z77*Paths!AB77</f>
        <v>78.75</v>
      </c>
      <c r="AA77" s="117" t="n">
        <f aca="false">O77+T77+Y77</f>
        <v>6091.1</v>
      </c>
      <c r="AB77" s="117" t="n">
        <f aca="false">P77+U77+Z77</f>
        <v>177.055</v>
      </c>
      <c r="AC77" s="134" t="n">
        <f aca="false">'Entente subscribers'!I9</f>
        <v>0</v>
      </c>
      <c r="AD77" s="132" t="str">
        <f aca="false">IF(E77=0,"No new subscription",IF(AC77&lt;0.001,"MODEL capacity: named subscribers","Subscriber gap"))</f>
        <v>MODEL capacity: named subscribers</v>
      </c>
    </row>
    <row r="78" customFormat="false" ht="19.5" hidden="false" customHeight="true" outlineLevel="0" collapsed="false">
      <c r="A78" s="121" t="n">
        <v>1918</v>
      </c>
      <c r="B78" s="117" t="n">
        <f aca="false">IF(AND(A78&gt;=1914,A78&lt;=1918),entente_total*CHOOSE(A78-1913,0.05,0.1333,0.2333,0.3,0.2834),0)</f>
        <v>2408.9</v>
      </c>
      <c r="C78" s="132" t="n">
        <f aca="false">IF(AND(A78&gt;=1914,A78&lt;=1918),Loans!L78,0)</f>
        <v>481.78</v>
      </c>
      <c r="D78" s="132" t="n">
        <f aca="false">Abroad!D78</f>
        <v>752.12</v>
      </c>
      <c r="E78" s="117" t="n">
        <f aca="false">MIN(B78-C78,'Entente subscribers'!G10)</f>
        <v>1175</v>
      </c>
      <c r="F78" s="133" t="n">
        <f aca="false">B78-SUM(C78:E78)</f>
        <v>0</v>
      </c>
      <c r="G78" s="117" t="n">
        <f aca="false">B78*uw_fee</f>
        <v>60.2225</v>
      </c>
      <c r="H78" s="117" t="n">
        <f aca="false">B78-G78</f>
        <v>2348.6775</v>
      </c>
      <c r="I78" s="132" t="n">
        <f aca="false">H78*'Sources &amp; uses'!$E$31</f>
        <v>469.7355</v>
      </c>
      <c r="J78" s="117" t="n">
        <f aca="false">H78-I78</f>
        <v>1878.942</v>
      </c>
      <c r="K78" s="133" t="n">
        <f aca="false">B78-G78-I78-J78</f>
        <v>0</v>
      </c>
      <c r="L78" s="117" t="n">
        <f aca="false">O77</f>
        <v>1218.22</v>
      </c>
      <c r="M78" s="132" t="n">
        <f aca="false">L78*Paths!AA78</f>
        <v>0</v>
      </c>
      <c r="N78" s="117" t="n">
        <f aca="false">IF(A78=1918,(L78+C78)*russia_writeoff,0)-IF(A78=russia_recog_yr,russia_recog*$N$78,0)</f>
        <v>204</v>
      </c>
      <c r="O78" s="117" t="n">
        <f aca="false">L78+C78-M78-N78</f>
        <v>1496</v>
      </c>
      <c r="P78" s="132" t="n">
        <f aca="false">L78*Paths!Z78*Paths!AB78</f>
        <v>60.911</v>
      </c>
      <c r="Q78" s="117" t="n">
        <f aca="false">T77</f>
        <v>2097.88</v>
      </c>
      <c r="R78" s="132" t="n">
        <f aca="false">Q78*Paths!AA78</f>
        <v>0</v>
      </c>
      <c r="S78" s="117" t="n">
        <f aca="false">IF(A78=1918,(Q78+D78)*russia_writeoff,0)-IF(A78=russia_recog_yr,russia_recog*$S$78,0)</f>
        <v>342</v>
      </c>
      <c r="T78" s="117" t="n">
        <f aca="false">Q78+D78-R78-S78</f>
        <v>2508</v>
      </c>
      <c r="U78" s="132" t="n">
        <f aca="false">Q78*Paths!Z78*Paths!AB78</f>
        <v>104.894</v>
      </c>
      <c r="V78" s="117" t="n">
        <f aca="false">Y77</f>
        <v>2775</v>
      </c>
      <c r="W78" s="132" t="n">
        <f aca="false">V78*Paths!AA78</f>
        <v>0</v>
      </c>
      <c r="X78" s="117" t="n">
        <f aca="false">IF(A78=1918,(V78+E78)*russia_writeoff,0)-IF(A78=russia_recog_yr,russia_recog*$X$78,0)</f>
        <v>474</v>
      </c>
      <c r="Y78" s="117" t="n">
        <f aca="false">V78+E78-W78-X78</f>
        <v>3476</v>
      </c>
      <c r="Z78" s="132" t="n">
        <f aca="false">V78*Paths!Z78*Paths!AB78</f>
        <v>138.75</v>
      </c>
      <c r="AA78" s="117" t="n">
        <f aca="false">O78+T78+Y78</f>
        <v>7480</v>
      </c>
      <c r="AB78" s="117" t="n">
        <f aca="false">P78+U78+Z78</f>
        <v>304.555</v>
      </c>
      <c r="AC78" s="134" t="n">
        <f aca="false">'Entente subscribers'!I10</f>
        <v>0</v>
      </c>
      <c r="AD78" s="132" t="str">
        <f aca="false">IF(E78=0,"No new subscription",IF(AC78&lt;0.001,"MODEL capacity: named subscribers","Subscriber gap"))</f>
        <v>MODEL capacity: named subscribers</v>
      </c>
    </row>
    <row r="79" customFormat="false" ht="19.5" hidden="false" customHeight="true" outlineLevel="0" collapsed="false">
      <c r="A79" s="121" t="n">
        <v>1919</v>
      </c>
      <c r="B79" s="117" t="n">
        <f aca="false">IF(AND(A79&gt;=1914,A79&lt;=1918),entente_total*CHOOSE(A79-1913,0.05,0.1333,0.2333,0.3,0.2834),0)</f>
        <v>0</v>
      </c>
      <c r="C79" s="132" t="n">
        <f aca="false">IF(AND(A79&gt;=1914,A79&lt;=1918),Loans!L79,0)</f>
        <v>0</v>
      </c>
      <c r="D79" s="132" t="n">
        <f aca="false">Abroad!D79</f>
        <v>0</v>
      </c>
      <c r="E79" s="117" t="n">
        <f aca="false">B79*(1-entente_public-entente_private)</f>
        <v>0</v>
      </c>
      <c r="F79" s="133" t="n">
        <f aca="false">B79-SUM(C79:E79)</f>
        <v>0</v>
      </c>
      <c r="G79" s="117" t="n">
        <f aca="false">B79*uw_fee</f>
        <v>0</v>
      </c>
      <c r="H79" s="117" t="n">
        <f aca="false">B79-G79</f>
        <v>0</v>
      </c>
      <c r="I79" s="132" t="n">
        <f aca="false">H79*'Sources &amp; uses'!$E$31</f>
        <v>0</v>
      </c>
      <c r="J79" s="117" t="n">
        <f aca="false">H79-I79</f>
        <v>0</v>
      </c>
      <c r="K79" s="133" t="n">
        <f aca="false">B79-G79-I79-J79</f>
        <v>0</v>
      </c>
      <c r="L79" s="117" t="n">
        <f aca="false">O78</f>
        <v>1496</v>
      </c>
      <c r="M79" s="132" t="n">
        <f aca="false">L79*Paths!AA79</f>
        <v>0</v>
      </c>
      <c r="N79" s="117" t="n">
        <f aca="false">IF(A79=1918,(L79+C79)*russia_writeoff,0)-IF(A79=russia_recog_yr,russia_recog*$N$78,0)</f>
        <v>0</v>
      </c>
      <c r="O79" s="117" t="n">
        <f aca="false">L79+C79-M79-N79</f>
        <v>1496</v>
      </c>
      <c r="P79" s="132" t="n">
        <f aca="false">L79*Paths!Z79*Paths!AB79</f>
        <v>74.8</v>
      </c>
      <c r="Q79" s="117" t="n">
        <f aca="false">T78</f>
        <v>2508</v>
      </c>
      <c r="R79" s="132" t="n">
        <f aca="false">Q79*Paths!AA79</f>
        <v>0</v>
      </c>
      <c r="S79" s="117" t="n">
        <f aca="false">IF(A79=1918,(Q79+D79)*russia_writeoff,0)-IF(A79=russia_recog_yr,russia_recog*$S$78,0)</f>
        <v>0</v>
      </c>
      <c r="T79" s="117" t="n">
        <f aca="false">Q79+D79-R79-S79</f>
        <v>2508</v>
      </c>
      <c r="U79" s="132" t="n">
        <f aca="false">Q79*Paths!Z79*Paths!AB79</f>
        <v>125.4</v>
      </c>
      <c r="V79" s="117" t="n">
        <f aca="false">Y78</f>
        <v>3476</v>
      </c>
      <c r="W79" s="132" t="n">
        <f aca="false">V79*Paths!AA79</f>
        <v>0</v>
      </c>
      <c r="X79" s="117" t="n">
        <f aca="false">IF(A79=1918,(V79+E79)*russia_writeoff,0)-IF(A79=russia_recog_yr,russia_recog*$X$78,0)</f>
        <v>0</v>
      </c>
      <c r="Y79" s="117" t="n">
        <f aca="false">V79+E79-W79-X79</f>
        <v>3476</v>
      </c>
      <c r="Z79" s="132" t="n">
        <f aca="false">V79*Paths!Z79*Paths!AB79</f>
        <v>173.8</v>
      </c>
      <c r="AA79" s="117" t="n">
        <f aca="false">O79+T79+Y79</f>
        <v>7480</v>
      </c>
      <c r="AB79" s="117" t="n">
        <f aca="false">P79+U79+Z79</f>
        <v>374</v>
      </c>
      <c r="AC79" s="134" t="n">
        <f aca="false">IF(E79=0,0,IF(ISNUMBER('Sources &amp; uses'!$E$29),MAX(0,E79-'Sources &amp; uses'!$E$29),"n.a."))</f>
        <v>0</v>
      </c>
      <c r="AD79" s="132" t="str">
        <f aca="false">IF(E79=0,"No new subscription",IF(ISNUMBER('Sources &amp; uses'!$E$29),"MODEL capacity tested","Unverified"))</f>
        <v>No new subscription</v>
      </c>
    </row>
    <row r="80" customFormat="false" ht="19.5" hidden="false" customHeight="true" outlineLevel="0" collapsed="false">
      <c r="A80" s="121" t="n">
        <v>1920</v>
      </c>
      <c r="B80" s="117" t="n">
        <f aca="false">IF(AND(A80&gt;=1914,A80&lt;=1918),entente_total*CHOOSE(A80-1913,0.05,0.1333,0.2333,0.3,0.2834),0)</f>
        <v>0</v>
      </c>
      <c r="C80" s="132" t="n">
        <f aca="false">IF(AND(A80&gt;=1914,A80&lt;=1918),Loans!L80,0)</f>
        <v>0</v>
      </c>
      <c r="D80" s="132" t="n">
        <f aca="false">Abroad!D80</f>
        <v>0</v>
      </c>
      <c r="E80" s="117" t="n">
        <f aca="false">B80*(1-entente_public-entente_private)</f>
        <v>0</v>
      </c>
      <c r="F80" s="133" t="n">
        <f aca="false">B80-SUM(C80:E80)</f>
        <v>0</v>
      </c>
      <c r="G80" s="117" t="n">
        <f aca="false">B80*uw_fee</f>
        <v>0</v>
      </c>
      <c r="H80" s="117" t="n">
        <f aca="false">B80-G80</f>
        <v>0</v>
      </c>
      <c r="I80" s="132" t="n">
        <f aca="false">H80*'Sources &amp; uses'!$E$31</f>
        <v>0</v>
      </c>
      <c r="J80" s="117" t="n">
        <f aca="false">H80-I80</f>
        <v>0</v>
      </c>
      <c r="K80" s="133" t="n">
        <f aca="false">B80-G80-I80-J80</f>
        <v>0</v>
      </c>
      <c r="L80" s="117" t="n">
        <f aca="false">O79</f>
        <v>1496</v>
      </c>
      <c r="M80" s="132" t="n">
        <f aca="false">L80*Paths!AA80</f>
        <v>0</v>
      </c>
      <c r="N80" s="117" t="n">
        <f aca="false">IF(A80=1918,(L80+C80)*russia_writeoff,0)-IF(A80=russia_recog_yr,russia_recog*$N$78,0)</f>
        <v>0</v>
      </c>
      <c r="O80" s="117" t="n">
        <f aca="false">L80+C80-M80-N80</f>
        <v>1496</v>
      </c>
      <c r="P80" s="132" t="n">
        <f aca="false">L80*Paths!Z80*Paths!AB80</f>
        <v>74.8</v>
      </c>
      <c r="Q80" s="117" t="n">
        <f aca="false">T79</f>
        <v>2508</v>
      </c>
      <c r="R80" s="132" t="n">
        <f aca="false">Q80*Paths!AA80</f>
        <v>0</v>
      </c>
      <c r="S80" s="117" t="n">
        <f aca="false">IF(A80=1918,(Q80+D80)*russia_writeoff,0)-IF(A80=russia_recog_yr,russia_recog*$S$78,0)</f>
        <v>0</v>
      </c>
      <c r="T80" s="117" t="n">
        <f aca="false">Q80+D80-R80-S80</f>
        <v>2508</v>
      </c>
      <c r="U80" s="132" t="n">
        <f aca="false">Q80*Paths!Z80*Paths!AB80</f>
        <v>125.4</v>
      </c>
      <c r="V80" s="117" t="n">
        <f aca="false">Y79</f>
        <v>3476</v>
      </c>
      <c r="W80" s="132" t="n">
        <f aca="false">V80*Paths!AA80</f>
        <v>0</v>
      </c>
      <c r="X80" s="117" t="n">
        <f aca="false">IF(A80=1918,(V80+E80)*russia_writeoff,0)-IF(A80=russia_recog_yr,russia_recog*$X$78,0)</f>
        <v>0</v>
      </c>
      <c r="Y80" s="117" t="n">
        <f aca="false">V80+E80-W80-X80</f>
        <v>3476</v>
      </c>
      <c r="Z80" s="132" t="n">
        <f aca="false">V80*Paths!Z80*Paths!AB80</f>
        <v>173.8</v>
      </c>
      <c r="AA80" s="117" t="n">
        <f aca="false">O80+T80+Y80</f>
        <v>7480</v>
      </c>
      <c r="AB80" s="117" t="n">
        <f aca="false">P80+U80+Z80</f>
        <v>374</v>
      </c>
      <c r="AC80" s="134" t="n">
        <f aca="false">IF(E80=0,0,IF(ISNUMBER('Sources &amp; uses'!$E$29),MAX(0,E80-'Sources &amp; uses'!$E$29),"n.a."))</f>
        <v>0</v>
      </c>
      <c r="AD80" s="132" t="str">
        <f aca="false">IF(E80=0,"No new subscription",IF(ISNUMBER('Sources &amp; uses'!$E$29),"MODEL capacity tested","Unverified"))</f>
        <v>No new subscription</v>
      </c>
    </row>
    <row r="81" customFormat="false" ht="19.5" hidden="false" customHeight="true" outlineLevel="0" collapsed="false">
      <c r="A81" s="121" t="n">
        <v>1921</v>
      </c>
      <c r="B81" s="117" t="n">
        <f aca="false">IF(AND(A81&gt;=1914,A81&lt;=1918),entente_total*CHOOSE(A81-1913,0.05,0.1333,0.2333,0.3,0.2834),0)</f>
        <v>0</v>
      </c>
      <c r="C81" s="132" t="n">
        <f aca="false">IF(AND(A81&gt;=1914,A81&lt;=1918),Loans!L81,0)</f>
        <v>0</v>
      </c>
      <c r="D81" s="132" t="n">
        <f aca="false">Abroad!D81</f>
        <v>0</v>
      </c>
      <c r="E81" s="117" t="n">
        <f aca="false">B81*(1-entente_public-entente_private)</f>
        <v>0</v>
      </c>
      <c r="F81" s="133" t="n">
        <f aca="false">B81-SUM(C81:E81)</f>
        <v>0</v>
      </c>
      <c r="G81" s="117" t="n">
        <f aca="false">B81*uw_fee</f>
        <v>0</v>
      </c>
      <c r="H81" s="117" t="n">
        <f aca="false">B81-G81</f>
        <v>0</v>
      </c>
      <c r="I81" s="132" t="n">
        <f aca="false">H81*'Sources &amp; uses'!$E$31</f>
        <v>0</v>
      </c>
      <c r="J81" s="117" t="n">
        <f aca="false">H81-I81</f>
        <v>0</v>
      </c>
      <c r="K81" s="133" t="n">
        <f aca="false">B81-G81-I81-J81</f>
        <v>0</v>
      </c>
      <c r="L81" s="117" t="n">
        <f aca="false">O80</f>
        <v>1496</v>
      </c>
      <c r="M81" s="132" t="n">
        <f aca="false">L81*Paths!AA81</f>
        <v>0</v>
      </c>
      <c r="N81" s="117" t="n">
        <f aca="false">IF(A81=1918,(L81+C81)*russia_writeoff,0)-IF(A81=russia_recog_yr,russia_recog*$N$78,0)</f>
        <v>0</v>
      </c>
      <c r="O81" s="117" t="n">
        <f aca="false">L81+C81-M81-N81</f>
        <v>1496</v>
      </c>
      <c r="P81" s="132" t="n">
        <f aca="false">L81*Paths!Z81*Paths!AB81</f>
        <v>74.8</v>
      </c>
      <c r="Q81" s="117" t="n">
        <f aca="false">T80</f>
        <v>2508</v>
      </c>
      <c r="R81" s="132" t="n">
        <f aca="false">Q81*Paths!AA81</f>
        <v>0</v>
      </c>
      <c r="S81" s="117" t="n">
        <f aca="false">IF(A81=1918,(Q81+D81)*russia_writeoff,0)-IF(A81=russia_recog_yr,russia_recog*$S$78,0)</f>
        <v>0</v>
      </c>
      <c r="T81" s="117" t="n">
        <f aca="false">Q81+D81-R81-S81</f>
        <v>2508</v>
      </c>
      <c r="U81" s="132" t="n">
        <f aca="false">Q81*Paths!Z81*Paths!AB81</f>
        <v>125.4</v>
      </c>
      <c r="V81" s="117" t="n">
        <f aca="false">Y80</f>
        <v>3476</v>
      </c>
      <c r="W81" s="132" t="n">
        <f aca="false">V81*Paths!AA81</f>
        <v>0</v>
      </c>
      <c r="X81" s="117" t="n">
        <f aca="false">IF(A81=1918,(V81+E81)*russia_writeoff,0)-IF(A81=russia_recog_yr,russia_recog*$X$78,0)</f>
        <v>0</v>
      </c>
      <c r="Y81" s="117" t="n">
        <f aca="false">V81+E81-W81-X81</f>
        <v>3476</v>
      </c>
      <c r="Z81" s="132" t="n">
        <f aca="false">V81*Paths!Z81*Paths!AB81</f>
        <v>173.8</v>
      </c>
      <c r="AA81" s="117" t="n">
        <f aca="false">O81+T81+Y81</f>
        <v>7480</v>
      </c>
      <c r="AB81" s="117" t="n">
        <f aca="false">P81+U81+Z81</f>
        <v>374</v>
      </c>
      <c r="AC81" s="134" t="n">
        <f aca="false">IF(E81=0,0,IF(ISNUMBER('Sources &amp; uses'!$E$29),MAX(0,E81-'Sources &amp; uses'!$E$29),"n.a."))</f>
        <v>0</v>
      </c>
      <c r="AD81" s="132" t="str">
        <f aca="false">IF(E81=0,"No new subscription",IF(ISNUMBER('Sources &amp; uses'!$E$29),"MODEL capacity tested","Unverified"))</f>
        <v>No new subscription</v>
      </c>
    </row>
    <row r="82" customFormat="false" ht="19.5" hidden="false" customHeight="true" outlineLevel="0" collapsed="false">
      <c r="A82" s="121" t="n">
        <v>1922</v>
      </c>
      <c r="B82" s="117" t="n">
        <f aca="false">IF(AND(A82&gt;=1914,A82&lt;=1918),entente_total*CHOOSE(A82-1913,0.05,0.1333,0.2333,0.3,0.2834),0)</f>
        <v>0</v>
      </c>
      <c r="C82" s="132" t="n">
        <f aca="false">IF(AND(A82&gt;=1914,A82&lt;=1918),Loans!L82,0)</f>
        <v>0</v>
      </c>
      <c r="D82" s="132" t="n">
        <f aca="false">Abroad!D82</f>
        <v>0</v>
      </c>
      <c r="E82" s="117" t="n">
        <f aca="false">B82*(1-entente_public-entente_private)</f>
        <v>0</v>
      </c>
      <c r="F82" s="133" t="n">
        <f aca="false">B82-SUM(C82:E82)</f>
        <v>0</v>
      </c>
      <c r="G82" s="117" t="n">
        <f aca="false">B82*uw_fee</f>
        <v>0</v>
      </c>
      <c r="H82" s="117" t="n">
        <f aca="false">B82-G82</f>
        <v>0</v>
      </c>
      <c r="I82" s="132" t="n">
        <f aca="false">H82*'Sources &amp; uses'!$E$31</f>
        <v>0</v>
      </c>
      <c r="J82" s="117" t="n">
        <f aca="false">H82-I82</f>
        <v>0</v>
      </c>
      <c r="K82" s="133" t="n">
        <f aca="false">B82-G82-I82-J82</f>
        <v>0</v>
      </c>
      <c r="L82" s="117" t="n">
        <f aca="false">O81</f>
        <v>1496</v>
      </c>
      <c r="M82" s="132" t="n">
        <f aca="false">L82*Paths!AA82</f>
        <v>0</v>
      </c>
      <c r="N82" s="117" t="n">
        <f aca="false">IF(A82=1918,(L82+C82)*russia_writeoff,0)-IF(A82=russia_recog_yr,russia_recog*$N$78,0)</f>
        <v>-153</v>
      </c>
      <c r="O82" s="117" t="n">
        <f aca="false">L82+C82-M82-N82</f>
        <v>1649</v>
      </c>
      <c r="P82" s="132" t="n">
        <f aca="false">L82*Paths!Z82*Paths!AB82</f>
        <v>74.8</v>
      </c>
      <c r="Q82" s="117" t="n">
        <f aca="false">T81</f>
        <v>2508</v>
      </c>
      <c r="R82" s="132" t="n">
        <f aca="false">Q82*Paths!AA82</f>
        <v>0</v>
      </c>
      <c r="S82" s="117" t="n">
        <f aca="false">IF(A82=1918,(Q82+D82)*russia_writeoff,0)-IF(A82=russia_recog_yr,russia_recog*$S$78,0)</f>
        <v>-256.5</v>
      </c>
      <c r="T82" s="117" t="n">
        <f aca="false">Q82+D82-R82-S82</f>
        <v>2764.5</v>
      </c>
      <c r="U82" s="132" t="n">
        <f aca="false">Q82*Paths!Z82*Paths!AB82</f>
        <v>125.4</v>
      </c>
      <c r="V82" s="117" t="n">
        <f aca="false">Y81</f>
        <v>3476</v>
      </c>
      <c r="W82" s="132" t="n">
        <f aca="false">V82*Paths!AA82</f>
        <v>0</v>
      </c>
      <c r="X82" s="117" t="n">
        <f aca="false">IF(A82=1918,(V82+E82)*russia_writeoff,0)-IF(A82=russia_recog_yr,russia_recog*$X$78,0)</f>
        <v>-355.5</v>
      </c>
      <c r="Y82" s="117" t="n">
        <f aca="false">V82+E82-W82-X82</f>
        <v>3831.5</v>
      </c>
      <c r="Z82" s="132" t="n">
        <f aca="false">V82*Paths!Z82*Paths!AB82</f>
        <v>173.8</v>
      </c>
      <c r="AA82" s="117" t="n">
        <f aca="false">O82+T82+Y82</f>
        <v>8245</v>
      </c>
      <c r="AB82" s="117" t="n">
        <f aca="false">P82+U82+Z82</f>
        <v>374</v>
      </c>
      <c r="AC82" s="134" t="n">
        <f aca="false">IF(E82=0,0,IF(ISNUMBER('Sources &amp; uses'!$E$29),MAX(0,E82-'Sources &amp; uses'!$E$29),"n.a."))</f>
        <v>0</v>
      </c>
      <c r="AD82" s="132" t="str">
        <f aca="false">IF(E82=0,"No new subscription",IF(ISNUMBER('Sources &amp; uses'!$E$29),"MODEL capacity tested","Unverified"))</f>
        <v>No new subscription</v>
      </c>
    </row>
    <row r="83" customFormat="false" ht="19.5" hidden="false" customHeight="true" outlineLevel="0" collapsed="false">
      <c r="A83" s="121" t="n">
        <v>1923</v>
      </c>
      <c r="B83" s="117" t="n">
        <f aca="false">IF(AND(A83&gt;=1914,A83&lt;=1918),entente_total*CHOOSE(A83-1913,0.05,0.1333,0.2333,0.3,0.2834),0)</f>
        <v>0</v>
      </c>
      <c r="C83" s="132" t="n">
        <f aca="false">IF(AND(A83&gt;=1914,A83&lt;=1918),Loans!L83,0)</f>
        <v>0</v>
      </c>
      <c r="D83" s="132" t="n">
        <f aca="false">Abroad!D83</f>
        <v>0</v>
      </c>
      <c r="E83" s="117" t="n">
        <f aca="false">B83*(1-entente_public-entente_private)</f>
        <v>0</v>
      </c>
      <c r="F83" s="133" t="n">
        <f aca="false">B83-SUM(C83:E83)</f>
        <v>0</v>
      </c>
      <c r="G83" s="117" t="n">
        <f aca="false">B83*uw_fee</f>
        <v>0</v>
      </c>
      <c r="H83" s="117" t="n">
        <f aca="false">B83-G83</f>
        <v>0</v>
      </c>
      <c r="I83" s="132" t="n">
        <f aca="false">H83*'Sources &amp; uses'!$E$31</f>
        <v>0</v>
      </c>
      <c r="J83" s="117" t="n">
        <f aca="false">H83-I83</f>
        <v>0</v>
      </c>
      <c r="K83" s="133" t="n">
        <f aca="false">B83-G83-I83-J83</f>
        <v>0</v>
      </c>
      <c r="L83" s="117" t="n">
        <f aca="false">O82</f>
        <v>1649</v>
      </c>
      <c r="M83" s="132" t="n">
        <f aca="false">L83*Paths!AA83</f>
        <v>26.384</v>
      </c>
      <c r="N83" s="117" t="n">
        <f aca="false">IF(A83=1918,(L83+C83)*russia_writeoff,0)-IF(A83=russia_recog_yr,russia_recog*$N$78,0)</f>
        <v>0</v>
      </c>
      <c r="O83" s="117" t="n">
        <f aca="false">L83+C83-M83-N83</f>
        <v>1622.616</v>
      </c>
      <c r="P83" s="132" t="n">
        <f aca="false">L83*Paths!Z83*Paths!AB83</f>
        <v>54.417</v>
      </c>
      <c r="Q83" s="117" t="n">
        <f aca="false">T82</f>
        <v>2764.5</v>
      </c>
      <c r="R83" s="132" t="n">
        <f aca="false">Q83*Paths!AA83</f>
        <v>44.232</v>
      </c>
      <c r="S83" s="117" t="n">
        <f aca="false">IF(A83=1918,(Q83+D83)*russia_writeoff,0)-IF(A83=russia_recog_yr,russia_recog*$S$78,0)</f>
        <v>0</v>
      </c>
      <c r="T83" s="117" t="n">
        <f aca="false">Q83+D83-R83-S83</f>
        <v>2720.268</v>
      </c>
      <c r="U83" s="132" t="n">
        <f aca="false">Q83*Paths!Z83*Paths!AB83</f>
        <v>91.2285</v>
      </c>
      <c r="V83" s="117" t="n">
        <f aca="false">Y82</f>
        <v>3831.5</v>
      </c>
      <c r="W83" s="132" t="n">
        <f aca="false">V83*Paths!AA83</f>
        <v>61.304</v>
      </c>
      <c r="X83" s="117" t="n">
        <f aca="false">IF(A83=1918,(V83+E83)*russia_writeoff,0)-IF(A83=russia_recog_yr,russia_recog*$X$78,0)</f>
        <v>0</v>
      </c>
      <c r="Y83" s="117" t="n">
        <f aca="false">V83+E83-W83-X83</f>
        <v>3770.196</v>
      </c>
      <c r="Z83" s="132" t="n">
        <f aca="false">V83*Paths!Z83*Paths!AB83</f>
        <v>126.4395</v>
      </c>
      <c r="AA83" s="117" t="n">
        <f aca="false">O83+T83+Y83</f>
        <v>8113.08</v>
      </c>
      <c r="AB83" s="117" t="n">
        <f aca="false">P83+U83+Z83</f>
        <v>272.085</v>
      </c>
      <c r="AC83" s="134" t="n">
        <f aca="false">IF(E83=0,0,IF(ISNUMBER('Sources &amp; uses'!$E$29),MAX(0,E83-'Sources &amp; uses'!$E$29),"n.a."))</f>
        <v>0</v>
      </c>
      <c r="AD83" s="132" t="str">
        <f aca="false">IF(E83=0,"No new subscription",IF(ISNUMBER('Sources &amp; uses'!$E$29),"MODEL capacity tested","Unverified"))</f>
        <v>No new subscription</v>
      </c>
    </row>
    <row r="84" customFormat="false" ht="19.5" hidden="false" customHeight="true" outlineLevel="0" collapsed="false">
      <c r="A84" s="121" t="n">
        <v>1924</v>
      </c>
      <c r="B84" s="117" t="n">
        <f aca="false">IF(AND(A84&gt;=1914,A84&lt;=1918),entente_total*CHOOSE(A84-1913,0.05,0.1333,0.2333,0.3,0.2834),0)</f>
        <v>0</v>
      </c>
      <c r="C84" s="132" t="n">
        <f aca="false">IF(AND(A84&gt;=1914,A84&lt;=1918),Loans!L84,0)</f>
        <v>0</v>
      </c>
      <c r="D84" s="132" t="n">
        <f aca="false">Abroad!D84</f>
        <v>0</v>
      </c>
      <c r="E84" s="117" t="n">
        <f aca="false">B84*(1-entente_public-entente_private)</f>
        <v>0</v>
      </c>
      <c r="F84" s="133" t="n">
        <f aca="false">B84-SUM(C84:E84)</f>
        <v>0</v>
      </c>
      <c r="G84" s="117" t="n">
        <f aca="false">B84*uw_fee</f>
        <v>0</v>
      </c>
      <c r="H84" s="117" t="n">
        <f aca="false">B84-G84</f>
        <v>0</v>
      </c>
      <c r="I84" s="132" t="n">
        <f aca="false">H84*'Sources &amp; uses'!$E$31</f>
        <v>0</v>
      </c>
      <c r="J84" s="117" t="n">
        <f aca="false">H84-I84</f>
        <v>0</v>
      </c>
      <c r="K84" s="133" t="n">
        <f aca="false">B84-G84-I84-J84</f>
        <v>0</v>
      </c>
      <c r="L84" s="117" t="n">
        <f aca="false">O83</f>
        <v>1622.616</v>
      </c>
      <c r="M84" s="132" t="n">
        <f aca="false">L84*Paths!AA84</f>
        <v>25.961856</v>
      </c>
      <c r="N84" s="117" t="n">
        <f aca="false">IF(A84=1918,(L84+C84)*russia_writeoff,0)-IF(A84=russia_recog_yr,russia_recog*$N$78,0)</f>
        <v>0</v>
      </c>
      <c r="O84" s="117" t="n">
        <f aca="false">L84+C84-M84-N84</f>
        <v>1596.654144</v>
      </c>
      <c r="P84" s="132" t="n">
        <f aca="false">L84*Paths!Z84*Paths!AB84</f>
        <v>53.546328</v>
      </c>
      <c r="Q84" s="117" t="n">
        <f aca="false">T83</f>
        <v>2720.268</v>
      </c>
      <c r="R84" s="132" t="n">
        <f aca="false">Q84*Paths!AA84</f>
        <v>43.524288</v>
      </c>
      <c r="S84" s="117" t="n">
        <f aca="false">IF(A84=1918,(Q84+D84)*russia_writeoff,0)-IF(A84=russia_recog_yr,russia_recog*$S$78,0)</f>
        <v>0</v>
      </c>
      <c r="T84" s="117" t="n">
        <f aca="false">Q84+D84-R84-S84</f>
        <v>2676.743712</v>
      </c>
      <c r="U84" s="132" t="n">
        <f aca="false">Q84*Paths!Z84*Paths!AB84</f>
        <v>89.768844</v>
      </c>
      <c r="V84" s="117" t="n">
        <f aca="false">Y83</f>
        <v>3770.196</v>
      </c>
      <c r="W84" s="132" t="n">
        <f aca="false">V84*Paths!AA84</f>
        <v>60.323136</v>
      </c>
      <c r="X84" s="117" t="n">
        <f aca="false">IF(A84=1918,(V84+E84)*russia_writeoff,0)-IF(A84=russia_recog_yr,russia_recog*$X$78,0)</f>
        <v>0</v>
      </c>
      <c r="Y84" s="117" t="n">
        <f aca="false">V84+E84-W84-X84</f>
        <v>3709.872864</v>
      </c>
      <c r="Z84" s="132" t="n">
        <f aca="false">V84*Paths!Z84*Paths!AB84</f>
        <v>124.416468</v>
      </c>
      <c r="AA84" s="117" t="n">
        <f aca="false">O84+T84+Y84</f>
        <v>7983.27072</v>
      </c>
      <c r="AB84" s="117" t="n">
        <f aca="false">P84+U84+Z84</f>
        <v>267.73164</v>
      </c>
      <c r="AC84" s="134" t="n">
        <f aca="false">IF(E84=0,0,IF(ISNUMBER('Sources &amp; uses'!$E$29),MAX(0,E84-'Sources &amp; uses'!$E$29),"n.a."))</f>
        <v>0</v>
      </c>
      <c r="AD84" s="132" t="str">
        <f aca="false">IF(E84=0,"No new subscription",IF(ISNUMBER('Sources &amp; uses'!$E$29),"MODEL capacity tested","Unverified"))</f>
        <v>No new subscription</v>
      </c>
    </row>
    <row r="85" customFormat="false" ht="19.5" hidden="false" customHeight="true" outlineLevel="0" collapsed="false">
      <c r="A85" s="121" t="n">
        <v>1925</v>
      </c>
      <c r="B85" s="117" t="n">
        <f aca="false">IF(AND(A85&gt;=1914,A85&lt;=1918),entente_total*CHOOSE(A85-1913,0.05,0.1333,0.2333,0.3,0.2834),0)</f>
        <v>0</v>
      </c>
      <c r="C85" s="132" t="n">
        <f aca="false">IF(AND(A85&gt;=1914,A85&lt;=1918),Loans!L85,0)</f>
        <v>0</v>
      </c>
      <c r="D85" s="132" t="n">
        <f aca="false">Abroad!D85</f>
        <v>0</v>
      </c>
      <c r="E85" s="117" t="n">
        <f aca="false">B85*(1-entente_public-entente_private)</f>
        <v>0</v>
      </c>
      <c r="F85" s="133" t="n">
        <f aca="false">B85-SUM(C85:E85)</f>
        <v>0</v>
      </c>
      <c r="G85" s="117" t="n">
        <f aca="false">B85*uw_fee</f>
        <v>0</v>
      </c>
      <c r="H85" s="117" t="n">
        <f aca="false">B85-G85</f>
        <v>0</v>
      </c>
      <c r="I85" s="132" t="n">
        <f aca="false">H85*'Sources &amp; uses'!$E$31</f>
        <v>0</v>
      </c>
      <c r="J85" s="117" t="n">
        <f aca="false">H85-I85</f>
        <v>0</v>
      </c>
      <c r="K85" s="133" t="n">
        <f aca="false">B85-G85-I85-J85</f>
        <v>0</v>
      </c>
      <c r="L85" s="117" t="n">
        <f aca="false">O84</f>
        <v>1596.654144</v>
      </c>
      <c r="M85" s="132" t="n">
        <f aca="false">L85*Paths!AA85</f>
        <v>25.546466304</v>
      </c>
      <c r="N85" s="117" t="n">
        <f aca="false">IF(A85=1918,(L85+C85)*russia_writeoff,0)-IF(A85=russia_recog_yr,russia_recog*$N$78,0)</f>
        <v>0</v>
      </c>
      <c r="O85" s="117" t="n">
        <f aca="false">L85+C85-M85-N85</f>
        <v>1571.107677696</v>
      </c>
      <c r="P85" s="132" t="n">
        <f aca="false">L85*Paths!Z85*Paths!AB85</f>
        <v>52.689586752</v>
      </c>
      <c r="Q85" s="117" t="n">
        <f aca="false">T84</f>
        <v>2676.743712</v>
      </c>
      <c r="R85" s="132" t="n">
        <f aca="false">Q85*Paths!AA85</f>
        <v>42.827899392</v>
      </c>
      <c r="S85" s="117" t="n">
        <f aca="false">IF(A85=1918,(Q85+D85)*russia_writeoff,0)-IF(A85=russia_recog_yr,russia_recog*$S$78,0)</f>
        <v>0</v>
      </c>
      <c r="T85" s="117" t="n">
        <f aca="false">Q85+D85-R85-S85</f>
        <v>2633.915812608</v>
      </c>
      <c r="U85" s="132" t="n">
        <f aca="false">Q85*Paths!Z85*Paths!AB85</f>
        <v>88.332542496</v>
      </c>
      <c r="V85" s="117" t="n">
        <f aca="false">Y84</f>
        <v>3709.872864</v>
      </c>
      <c r="W85" s="132" t="n">
        <f aca="false">V85*Paths!AA85</f>
        <v>59.357965824</v>
      </c>
      <c r="X85" s="117" t="n">
        <f aca="false">IF(A85=1918,(V85+E85)*russia_writeoff,0)-IF(A85=russia_recog_yr,russia_recog*$X$78,0)</f>
        <v>0</v>
      </c>
      <c r="Y85" s="117" t="n">
        <f aca="false">V85+E85-W85-X85</f>
        <v>3650.514898176</v>
      </c>
      <c r="Z85" s="132" t="n">
        <f aca="false">V85*Paths!Z85*Paths!AB85</f>
        <v>122.425804512</v>
      </c>
      <c r="AA85" s="117" t="n">
        <f aca="false">O85+T85+Y85</f>
        <v>7855.53838848</v>
      </c>
      <c r="AB85" s="117" t="n">
        <f aca="false">P85+U85+Z85</f>
        <v>263.44793376</v>
      </c>
      <c r="AC85" s="134" t="n">
        <f aca="false">IF(E85=0,0,IF(ISNUMBER('Sources &amp; uses'!$E$29),MAX(0,E85-'Sources &amp; uses'!$E$29),"n.a."))</f>
        <v>0</v>
      </c>
      <c r="AD85" s="132" t="str">
        <f aca="false">IF(E85=0,"No new subscription",IF(ISNUMBER('Sources &amp; uses'!$E$29),"MODEL capacity tested","Unverified"))</f>
        <v>No new subscription</v>
      </c>
    </row>
    <row r="86" customFormat="false" ht="19.5" hidden="false" customHeight="true" outlineLevel="0" collapsed="false">
      <c r="A86" s="121" t="n">
        <v>1926</v>
      </c>
      <c r="B86" s="117" t="n">
        <f aca="false">IF(AND(A86&gt;=1914,A86&lt;=1918),entente_total*CHOOSE(A86-1913,0.05,0.1333,0.2333,0.3,0.2834),0)</f>
        <v>0</v>
      </c>
      <c r="C86" s="132" t="n">
        <f aca="false">IF(AND(A86&gt;=1914,A86&lt;=1918),Loans!L86,0)</f>
        <v>0</v>
      </c>
      <c r="D86" s="132" t="n">
        <f aca="false">Abroad!D86</f>
        <v>0</v>
      </c>
      <c r="E86" s="117" t="n">
        <f aca="false">B86*(1-entente_public-entente_private)</f>
        <v>0</v>
      </c>
      <c r="F86" s="133" t="n">
        <f aca="false">B86-SUM(C86:E86)</f>
        <v>0</v>
      </c>
      <c r="G86" s="117" t="n">
        <f aca="false">B86*uw_fee</f>
        <v>0</v>
      </c>
      <c r="H86" s="117" t="n">
        <f aca="false">B86-G86</f>
        <v>0</v>
      </c>
      <c r="I86" s="132" t="n">
        <f aca="false">H86*'Sources &amp; uses'!$E$31</f>
        <v>0</v>
      </c>
      <c r="J86" s="117" t="n">
        <f aca="false">H86-I86</f>
        <v>0</v>
      </c>
      <c r="K86" s="133" t="n">
        <f aca="false">B86-G86-I86-J86</f>
        <v>0</v>
      </c>
      <c r="L86" s="117" t="n">
        <f aca="false">O85</f>
        <v>1571.107677696</v>
      </c>
      <c r="M86" s="132" t="n">
        <f aca="false">L86*Paths!AA86</f>
        <v>25.137722843136</v>
      </c>
      <c r="N86" s="117" t="n">
        <f aca="false">IF(A86=1918,(L86+C86)*russia_writeoff,0)-IF(A86=russia_recog_yr,russia_recog*$N$78,0)</f>
        <v>0</v>
      </c>
      <c r="O86" s="117" t="n">
        <f aca="false">L86+C86-M86-N86</f>
        <v>1545.96995485286</v>
      </c>
      <c r="P86" s="132" t="n">
        <f aca="false">L86*Paths!Z86*Paths!AB86</f>
        <v>51.846553363968</v>
      </c>
      <c r="Q86" s="117" t="n">
        <f aca="false">T85</f>
        <v>2633.915812608</v>
      </c>
      <c r="R86" s="132" t="n">
        <f aca="false">Q86*Paths!AA86</f>
        <v>42.142653001728</v>
      </c>
      <c r="S86" s="117" t="n">
        <f aca="false">IF(A86=1918,(Q86+D86)*russia_writeoff,0)-IF(A86=russia_recog_yr,russia_recog*$S$78,0)</f>
        <v>0</v>
      </c>
      <c r="T86" s="117" t="n">
        <f aca="false">Q86+D86-R86-S86</f>
        <v>2591.77315960627</v>
      </c>
      <c r="U86" s="132" t="n">
        <f aca="false">Q86*Paths!Z86*Paths!AB86</f>
        <v>86.919221816064</v>
      </c>
      <c r="V86" s="117" t="n">
        <f aca="false">Y85</f>
        <v>3650.514898176</v>
      </c>
      <c r="W86" s="132" t="n">
        <f aca="false">V86*Paths!AA86</f>
        <v>58.408238370816</v>
      </c>
      <c r="X86" s="117" t="n">
        <f aca="false">IF(A86=1918,(V86+E86)*russia_writeoff,0)-IF(A86=russia_recog_yr,russia_recog*$X$78,0)</f>
        <v>0</v>
      </c>
      <c r="Y86" s="117" t="n">
        <f aca="false">V86+E86-W86-X86</f>
        <v>3592.10665980518</v>
      </c>
      <c r="Z86" s="132" t="n">
        <f aca="false">V86*Paths!Z86*Paths!AB86</f>
        <v>120.466991639808</v>
      </c>
      <c r="AA86" s="117" t="n">
        <f aca="false">O86+T86+Y86</f>
        <v>7729.84977426432</v>
      </c>
      <c r="AB86" s="117" t="n">
        <f aca="false">P86+U86+Z86</f>
        <v>259.23276681984</v>
      </c>
      <c r="AC86" s="134" t="n">
        <f aca="false">IF(E86=0,0,IF(ISNUMBER('Sources &amp; uses'!$E$29),MAX(0,E86-'Sources &amp; uses'!$E$29),"n.a."))</f>
        <v>0</v>
      </c>
      <c r="AD86" s="132" t="str">
        <f aca="false">IF(E86=0,"No new subscription",IF(ISNUMBER('Sources &amp; uses'!$E$29),"MODEL capacity tested","Unverified"))</f>
        <v>No new subscription</v>
      </c>
    </row>
    <row r="87" customFormat="false" ht="19.5" hidden="false" customHeight="true" outlineLevel="0" collapsed="false">
      <c r="A87" s="121" t="n">
        <v>1927</v>
      </c>
      <c r="B87" s="117" t="n">
        <f aca="false">IF(AND(A87&gt;=1914,A87&lt;=1918),entente_total*CHOOSE(A87-1913,0.05,0.1333,0.2333,0.3,0.2834),0)</f>
        <v>0</v>
      </c>
      <c r="C87" s="132" t="n">
        <f aca="false">IF(AND(A87&gt;=1914,A87&lt;=1918),Loans!L87,0)</f>
        <v>0</v>
      </c>
      <c r="D87" s="132" t="n">
        <f aca="false">Abroad!D87</f>
        <v>0</v>
      </c>
      <c r="E87" s="117" t="n">
        <f aca="false">B87*(1-entente_public-entente_private)</f>
        <v>0</v>
      </c>
      <c r="F87" s="133" t="n">
        <f aca="false">B87-SUM(C87:E87)</f>
        <v>0</v>
      </c>
      <c r="G87" s="117" t="n">
        <f aca="false">B87*uw_fee</f>
        <v>0</v>
      </c>
      <c r="H87" s="117" t="n">
        <f aca="false">B87-G87</f>
        <v>0</v>
      </c>
      <c r="I87" s="132" t="n">
        <f aca="false">H87*'Sources &amp; uses'!$E$31</f>
        <v>0</v>
      </c>
      <c r="J87" s="117" t="n">
        <f aca="false">H87-I87</f>
        <v>0</v>
      </c>
      <c r="K87" s="133" t="n">
        <f aca="false">B87-G87-I87-J87</f>
        <v>0</v>
      </c>
      <c r="L87" s="117" t="n">
        <f aca="false">O86</f>
        <v>1545.96995485286</v>
      </c>
      <c r="M87" s="132" t="n">
        <f aca="false">L87*Paths!AA87</f>
        <v>24.7355192776458</v>
      </c>
      <c r="N87" s="117" t="n">
        <f aca="false">IF(A87=1918,(L87+C87)*russia_writeoff,0)-IF(A87=russia_recog_yr,russia_recog*$N$78,0)</f>
        <v>0</v>
      </c>
      <c r="O87" s="117" t="n">
        <f aca="false">L87+C87-M87-N87</f>
        <v>1521.23443557522</v>
      </c>
      <c r="P87" s="132" t="n">
        <f aca="false">L87*Paths!Z87*Paths!AB87</f>
        <v>51.0170085101445</v>
      </c>
      <c r="Q87" s="117" t="n">
        <f aca="false">T86</f>
        <v>2591.77315960627</v>
      </c>
      <c r="R87" s="132" t="n">
        <f aca="false">Q87*Paths!AA87</f>
        <v>41.4683705537004</v>
      </c>
      <c r="S87" s="117" t="n">
        <f aca="false">IF(A87=1918,(Q87+D87)*russia_writeoff,0)-IF(A87=russia_recog_yr,russia_recog*$S$78,0)</f>
        <v>0</v>
      </c>
      <c r="T87" s="117" t="n">
        <f aca="false">Q87+D87-R87-S87</f>
        <v>2550.30478905257</v>
      </c>
      <c r="U87" s="132" t="n">
        <f aca="false">Q87*Paths!Z87*Paths!AB87</f>
        <v>85.528514267007</v>
      </c>
      <c r="V87" s="117" t="n">
        <f aca="false">Y86</f>
        <v>3592.10665980518</v>
      </c>
      <c r="W87" s="132" t="n">
        <f aca="false">V87*Paths!AA87</f>
        <v>57.4737065568829</v>
      </c>
      <c r="X87" s="117" t="n">
        <f aca="false">IF(A87=1918,(V87+E87)*russia_writeoff,0)-IF(A87=russia_recog_yr,russia_recog*$X$78,0)</f>
        <v>0</v>
      </c>
      <c r="Y87" s="117" t="n">
        <f aca="false">V87+E87-W87-X87</f>
        <v>3534.6329532483</v>
      </c>
      <c r="Z87" s="132" t="n">
        <f aca="false">V87*Paths!Z87*Paths!AB87</f>
        <v>118.539519773571</v>
      </c>
      <c r="AA87" s="117" t="n">
        <f aca="false">O87+T87+Y87</f>
        <v>7606.17217787609</v>
      </c>
      <c r="AB87" s="117" t="n">
        <f aca="false">P87+U87+Z87</f>
        <v>255.085042550723</v>
      </c>
      <c r="AC87" s="134" t="n">
        <f aca="false">IF(E87=0,0,IF(ISNUMBER('Sources &amp; uses'!$E$29),MAX(0,E87-'Sources &amp; uses'!$E$29),"n.a."))</f>
        <v>0</v>
      </c>
      <c r="AD87" s="132" t="str">
        <f aca="false">IF(E87=0,"No new subscription",IF(ISNUMBER('Sources &amp; uses'!$E$29),"MODEL capacity tested","Unverified"))</f>
        <v>No new subscription</v>
      </c>
    </row>
    <row r="88" customFormat="false" ht="19.5" hidden="false" customHeight="true" outlineLevel="0" collapsed="false">
      <c r="A88" s="121" t="n">
        <v>1928</v>
      </c>
      <c r="B88" s="117" t="n">
        <f aca="false">IF(AND(A88&gt;=1914,A88&lt;=1918),entente_total*CHOOSE(A88-1913,0.05,0.1333,0.2333,0.3,0.2834),0)</f>
        <v>0</v>
      </c>
      <c r="C88" s="132" t="n">
        <f aca="false">IF(AND(A88&gt;=1914,A88&lt;=1918),Loans!L88,0)</f>
        <v>0</v>
      </c>
      <c r="D88" s="132" t="n">
        <f aca="false">Abroad!D88</f>
        <v>0</v>
      </c>
      <c r="E88" s="117" t="n">
        <f aca="false">B88*(1-entente_public-entente_private)</f>
        <v>0</v>
      </c>
      <c r="F88" s="133" t="n">
        <f aca="false">B88-SUM(C88:E88)</f>
        <v>0</v>
      </c>
      <c r="G88" s="117" t="n">
        <f aca="false">B88*uw_fee</f>
        <v>0</v>
      </c>
      <c r="H88" s="117" t="n">
        <f aca="false">B88-G88</f>
        <v>0</v>
      </c>
      <c r="I88" s="132" t="n">
        <f aca="false">H88*'Sources &amp; uses'!$E$31</f>
        <v>0</v>
      </c>
      <c r="J88" s="117" t="n">
        <f aca="false">H88-I88</f>
        <v>0</v>
      </c>
      <c r="K88" s="133" t="n">
        <f aca="false">B88-G88-I88-J88</f>
        <v>0</v>
      </c>
      <c r="L88" s="117" t="n">
        <f aca="false">O87</f>
        <v>1521.23443557522</v>
      </c>
      <c r="M88" s="132" t="n">
        <f aca="false">L88*Paths!AA88</f>
        <v>24.3397509692035</v>
      </c>
      <c r="N88" s="117" t="n">
        <f aca="false">IF(A88=1918,(L88+C88)*russia_writeoff,0)-IF(A88=russia_recog_yr,russia_recog*$N$78,0)</f>
        <v>0</v>
      </c>
      <c r="O88" s="117" t="n">
        <f aca="false">L88+C88-M88-N88</f>
        <v>1496.89468460601</v>
      </c>
      <c r="P88" s="132" t="n">
        <f aca="false">L88*Paths!Z88*Paths!AB88</f>
        <v>50.2007363739822</v>
      </c>
      <c r="Q88" s="117" t="n">
        <f aca="false">T87</f>
        <v>2550.30478905257</v>
      </c>
      <c r="R88" s="132" t="n">
        <f aca="false">Q88*Paths!AA88</f>
        <v>40.8048766248412</v>
      </c>
      <c r="S88" s="117" t="n">
        <f aca="false">IF(A88=1918,(Q88+D88)*russia_writeoff,0)-IF(A88=russia_recog_yr,russia_recog*$S$78,0)</f>
        <v>0</v>
      </c>
      <c r="T88" s="117" t="n">
        <f aca="false">Q88+D88-R88-S88</f>
        <v>2509.49991242773</v>
      </c>
      <c r="U88" s="132" t="n">
        <f aca="false">Q88*Paths!Z88*Paths!AB88</f>
        <v>84.1600580387349</v>
      </c>
      <c r="V88" s="117" t="n">
        <f aca="false">Y87</f>
        <v>3534.6329532483</v>
      </c>
      <c r="W88" s="132" t="n">
        <f aca="false">V88*Paths!AA88</f>
        <v>56.5541272519728</v>
      </c>
      <c r="X88" s="117" t="n">
        <f aca="false">IF(A88=1918,(V88+E88)*russia_writeoff,0)-IF(A88=russia_recog_yr,russia_recog*$X$78,0)</f>
        <v>0</v>
      </c>
      <c r="Y88" s="117" t="n">
        <f aca="false">V88+E88-W88-X88</f>
        <v>3478.07882599633</v>
      </c>
      <c r="Z88" s="132" t="n">
        <f aca="false">V88*Paths!Z88*Paths!AB88</f>
        <v>116.642887457194</v>
      </c>
      <c r="AA88" s="117" t="n">
        <f aca="false">O88+T88+Y88</f>
        <v>7484.47342303007</v>
      </c>
      <c r="AB88" s="117" t="n">
        <f aca="false">P88+U88+Z88</f>
        <v>251.003681869911</v>
      </c>
      <c r="AC88" s="134" t="n">
        <f aca="false">IF(E88=0,0,IF(ISNUMBER('Sources &amp; uses'!$E$29),MAX(0,E88-'Sources &amp; uses'!$E$29),"n.a."))</f>
        <v>0</v>
      </c>
      <c r="AD88" s="132" t="str">
        <f aca="false">IF(E88=0,"No new subscription",IF(ISNUMBER('Sources &amp; uses'!$E$29),"MODEL capacity tested","Unverified"))</f>
        <v>No new subscription</v>
      </c>
    </row>
    <row r="89" customFormat="false" ht="19.5" hidden="false" customHeight="true" outlineLevel="0" collapsed="false">
      <c r="A89" s="121" t="n">
        <v>1929</v>
      </c>
      <c r="B89" s="117" t="n">
        <f aca="false">IF(AND(A89&gt;=1914,A89&lt;=1918),entente_total*CHOOSE(A89-1913,0.05,0.1333,0.2333,0.3,0.2834),0)</f>
        <v>0</v>
      </c>
      <c r="C89" s="132" t="n">
        <f aca="false">IF(AND(A89&gt;=1914,A89&lt;=1918),Loans!L89,0)</f>
        <v>0</v>
      </c>
      <c r="D89" s="132" t="n">
        <f aca="false">Abroad!D89</f>
        <v>0</v>
      </c>
      <c r="E89" s="117" t="n">
        <f aca="false">B89*(1-entente_public-entente_private)</f>
        <v>0</v>
      </c>
      <c r="F89" s="133" t="n">
        <f aca="false">B89-SUM(C89:E89)</f>
        <v>0</v>
      </c>
      <c r="G89" s="117" t="n">
        <f aca="false">B89*uw_fee</f>
        <v>0</v>
      </c>
      <c r="H89" s="117" t="n">
        <f aca="false">B89-G89</f>
        <v>0</v>
      </c>
      <c r="I89" s="132" t="n">
        <f aca="false">H89*'Sources &amp; uses'!$E$31</f>
        <v>0</v>
      </c>
      <c r="J89" s="117" t="n">
        <f aca="false">H89-I89</f>
        <v>0</v>
      </c>
      <c r="K89" s="133" t="n">
        <f aca="false">B89-G89-I89-J89</f>
        <v>0</v>
      </c>
      <c r="L89" s="117" t="n">
        <f aca="false">O88</f>
        <v>1496.89468460601</v>
      </c>
      <c r="M89" s="132" t="n">
        <f aca="false">L89*Paths!AA89</f>
        <v>23.9503149536962</v>
      </c>
      <c r="N89" s="117" t="n">
        <f aca="false">IF(A89=1918,(L89+C89)*russia_writeoff,0)-IF(A89=russia_recog_yr,russia_recog*$N$78,0)</f>
        <v>0</v>
      </c>
      <c r="O89" s="117" t="n">
        <f aca="false">L89+C89-M89-N89</f>
        <v>1472.94436965232</v>
      </c>
      <c r="P89" s="132" t="n">
        <f aca="false">L89*Paths!Z89*Paths!AB89</f>
        <v>49.3975245919985</v>
      </c>
      <c r="Q89" s="117" t="n">
        <f aca="false">T88</f>
        <v>2509.49991242773</v>
      </c>
      <c r="R89" s="132" t="n">
        <f aca="false">Q89*Paths!AA89</f>
        <v>40.1519985988437</v>
      </c>
      <c r="S89" s="117" t="n">
        <f aca="false">IF(A89=1918,(Q89+D89)*russia_writeoff,0)-IF(A89=russia_recog_yr,russia_recog*$S$78,0)</f>
        <v>0</v>
      </c>
      <c r="T89" s="117" t="n">
        <f aca="false">Q89+D89-R89-S89</f>
        <v>2469.34791382889</v>
      </c>
      <c r="U89" s="132" t="n">
        <f aca="false">Q89*Paths!Z89*Paths!AB89</f>
        <v>82.8134971101151</v>
      </c>
      <c r="V89" s="117" t="n">
        <f aca="false">Y88</f>
        <v>3478.07882599633</v>
      </c>
      <c r="W89" s="132" t="n">
        <f aca="false">V89*Paths!AA89</f>
        <v>55.6492612159413</v>
      </c>
      <c r="X89" s="117" t="n">
        <f aca="false">IF(A89=1918,(V89+E89)*russia_writeoff,0)-IF(A89=russia_recog_yr,russia_recog*$X$78,0)</f>
        <v>0</v>
      </c>
      <c r="Y89" s="117" t="n">
        <f aca="false">V89+E89-W89-X89</f>
        <v>3422.42956478039</v>
      </c>
      <c r="Z89" s="132" t="n">
        <f aca="false">V89*Paths!Z89*Paths!AB89</f>
        <v>114.776601257879</v>
      </c>
      <c r="AA89" s="117" t="n">
        <f aca="false">O89+T89+Y89</f>
        <v>7364.72184826159</v>
      </c>
      <c r="AB89" s="117" t="n">
        <f aca="false">P89+U89+Z89</f>
        <v>246.987622959992</v>
      </c>
      <c r="AC89" s="134" t="n">
        <f aca="false">IF(E89=0,0,IF(ISNUMBER('Sources &amp; uses'!$E$29),MAX(0,E89-'Sources &amp; uses'!$E$29),"n.a."))</f>
        <v>0</v>
      </c>
      <c r="AD89" s="132" t="str">
        <f aca="false">IF(E89=0,"No new subscription",IF(ISNUMBER('Sources &amp; uses'!$E$29),"MODEL capacity tested","Unverified"))</f>
        <v>No new subscription</v>
      </c>
    </row>
    <row r="90" customFormat="false" ht="19.5" hidden="false" customHeight="true" outlineLevel="0" collapsed="false">
      <c r="A90" s="121" t="n">
        <v>1930</v>
      </c>
      <c r="B90" s="117" t="n">
        <f aca="false">IF(AND(A90&gt;=1914,A90&lt;=1918),entente_total*CHOOSE(A90-1913,0.05,0.1333,0.2333,0.3,0.2834),0)</f>
        <v>0</v>
      </c>
      <c r="C90" s="132" t="n">
        <f aca="false">IF(AND(A90&gt;=1914,A90&lt;=1918),Loans!L90,0)</f>
        <v>0</v>
      </c>
      <c r="D90" s="132" t="n">
        <f aca="false">Abroad!D90</f>
        <v>0</v>
      </c>
      <c r="E90" s="117" t="n">
        <f aca="false">B90*(1-entente_public-entente_private)</f>
        <v>0</v>
      </c>
      <c r="F90" s="133" t="n">
        <f aca="false">B90-SUM(C90:E90)</f>
        <v>0</v>
      </c>
      <c r="G90" s="117" t="n">
        <f aca="false">B90*uw_fee</f>
        <v>0</v>
      </c>
      <c r="H90" s="117" t="n">
        <f aca="false">B90-G90</f>
        <v>0</v>
      </c>
      <c r="I90" s="132" t="n">
        <f aca="false">H90*'Sources &amp; uses'!$E$31</f>
        <v>0</v>
      </c>
      <c r="J90" s="117" t="n">
        <f aca="false">H90-I90</f>
        <v>0</v>
      </c>
      <c r="K90" s="133" t="n">
        <f aca="false">B90-G90-I90-J90</f>
        <v>0</v>
      </c>
      <c r="L90" s="117" t="n">
        <f aca="false">O89</f>
        <v>1472.94436965232</v>
      </c>
      <c r="M90" s="132" t="n">
        <f aca="false">L90*Paths!AA90</f>
        <v>23.5671099144371</v>
      </c>
      <c r="N90" s="117" t="n">
        <f aca="false">IF(A90=1918,(L90+C90)*russia_writeoff,0)-IF(A90=russia_recog_yr,russia_recog*$N$78,0)</f>
        <v>0</v>
      </c>
      <c r="O90" s="117" t="n">
        <f aca="false">L90+C90-M90-N90</f>
        <v>1449.37725973788</v>
      </c>
      <c r="P90" s="132" t="n">
        <f aca="false">L90*Paths!Z90*Paths!AB90</f>
        <v>48.6071641985265</v>
      </c>
      <c r="Q90" s="117" t="n">
        <f aca="false">T89</f>
        <v>2469.34791382889</v>
      </c>
      <c r="R90" s="132" t="n">
        <f aca="false">Q90*Paths!AA90</f>
        <v>39.5095666212622</v>
      </c>
      <c r="S90" s="117" t="n">
        <f aca="false">IF(A90=1918,(Q90+D90)*russia_writeoff,0)-IF(A90=russia_recog_yr,russia_recog*$S$78,0)</f>
        <v>0</v>
      </c>
      <c r="T90" s="117" t="n">
        <f aca="false">Q90+D90-R90-S90</f>
        <v>2429.83834720762</v>
      </c>
      <c r="U90" s="132" t="n">
        <f aca="false">Q90*Paths!Z90*Paths!AB90</f>
        <v>81.4884811563533</v>
      </c>
      <c r="V90" s="117" t="n">
        <f aca="false">Y89</f>
        <v>3422.42956478039</v>
      </c>
      <c r="W90" s="132" t="n">
        <f aca="false">V90*Paths!AA90</f>
        <v>54.7588730364862</v>
      </c>
      <c r="X90" s="117" t="n">
        <f aca="false">IF(A90=1918,(V90+E90)*russia_writeoff,0)-IF(A90=russia_recog_yr,russia_recog*$X$78,0)</f>
        <v>0</v>
      </c>
      <c r="Y90" s="117" t="n">
        <f aca="false">V90+E90-W90-X90</f>
        <v>3367.6706917439</v>
      </c>
      <c r="Z90" s="132" t="n">
        <f aca="false">V90*Paths!Z90*Paths!AB90</f>
        <v>112.940175637753</v>
      </c>
      <c r="AA90" s="117" t="n">
        <f aca="false">O90+T90+Y90</f>
        <v>7246.88629868941</v>
      </c>
      <c r="AB90" s="117" t="n">
        <f aca="false">P90+U90+Z90</f>
        <v>243.035820992633</v>
      </c>
      <c r="AC90" s="134" t="n">
        <f aca="false">IF(E90=0,0,IF(ISNUMBER('Sources &amp; uses'!$E$29),MAX(0,E90-'Sources &amp; uses'!$E$29),"n.a."))</f>
        <v>0</v>
      </c>
      <c r="AD90" s="132" t="str">
        <f aca="false">IF(E90=0,"No new subscription",IF(ISNUMBER('Sources &amp; uses'!$E$29),"MODEL capacity tested","Unverified"))</f>
        <v>No new subscription</v>
      </c>
    </row>
    <row r="91" customFormat="false" ht="19.5" hidden="false" customHeight="true" outlineLevel="0" collapsed="false">
      <c r="A91" s="121" t="n">
        <v>1931</v>
      </c>
      <c r="B91" s="117" t="n">
        <f aca="false">IF(AND(A91&gt;=1914,A91&lt;=1918),entente_total*CHOOSE(A91-1913,0.05,0.1333,0.2333,0.3,0.2834),0)</f>
        <v>0</v>
      </c>
      <c r="C91" s="132" t="n">
        <f aca="false">IF(AND(A91&gt;=1914,A91&lt;=1918),Loans!L91,0)</f>
        <v>0</v>
      </c>
      <c r="D91" s="132" t="n">
        <f aca="false">Abroad!D91</f>
        <v>0</v>
      </c>
      <c r="E91" s="117" t="n">
        <f aca="false">B91*(1-entente_public-entente_private)</f>
        <v>0</v>
      </c>
      <c r="F91" s="133" t="n">
        <f aca="false">B91-SUM(C91:E91)</f>
        <v>0</v>
      </c>
      <c r="G91" s="117" t="n">
        <f aca="false">B91*uw_fee</f>
        <v>0</v>
      </c>
      <c r="H91" s="117" t="n">
        <f aca="false">B91-G91</f>
        <v>0</v>
      </c>
      <c r="I91" s="132" t="n">
        <f aca="false">H91*'Sources &amp; uses'!$E$31</f>
        <v>0</v>
      </c>
      <c r="J91" s="117" t="n">
        <f aca="false">H91-I91</f>
        <v>0</v>
      </c>
      <c r="K91" s="133" t="n">
        <f aca="false">B91-G91-I91-J91</f>
        <v>0</v>
      </c>
      <c r="L91" s="117" t="n">
        <f aca="false">O90</f>
        <v>1449.37725973788</v>
      </c>
      <c r="M91" s="132" t="n">
        <f aca="false">L91*Paths!AA91</f>
        <v>0</v>
      </c>
      <c r="N91" s="117" t="n">
        <f aca="false">IF(A91=1918,(L91+C91)*russia_writeoff,0)-IF(A91=russia_recog_yr,russia_recog*$N$78,0)</f>
        <v>0</v>
      </c>
      <c r="O91" s="117" t="n">
        <f aca="false">L91+C91-M91-N91</f>
        <v>1449.37725973788</v>
      </c>
      <c r="P91" s="132" t="n">
        <f aca="false">L91*Paths!Z91*Paths!AB91</f>
        <v>0</v>
      </c>
      <c r="Q91" s="117" t="n">
        <f aca="false">T90</f>
        <v>2429.83834720762</v>
      </c>
      <c r="R91" s="132" t="n">
        <f aca="false">Q91*Paths!AA91</f>
        <v>0</v>
      </c>
      <c r="S91" s="117" t="n">
        <f aca="false">IF(A91=1918,(Q91+D91)*russia_writeoff,0)-IF(A91=russia_recog_yr,russia_recog*$S$78,0)</f>
        <v>0</v>
      </c>
      <c r="T91" s="117" t="n">
        <f aca="false">Q91+D91-R91-S91</f>
        <v>2429.83834720762</v>
      </c>
      <c r="U91" s="132" t="n">
        <f aca="false">Q91*Paths!Z91*Paths!AB91</f>
        <v>0</v>
      </c>
      <c r="V91" s="117" t="n">
        <f aca="false">Y90</f>
        <v>3367.6706917439</v>
      </c>
      <c r="W91" s="132" t="n">
        <f aca="false">V91*Paths!AA91</f>
        <v>0</v>
      </c>
      <c r="X91" s="117" t="n">
        <f aca="false">IF(A91=1918,(V91+E91)*russia_writeoff,0)-IF(A91=russia_recog_yr,russia_recog*$X$78,0)</f>
        <v>0</v>
      </c>
      <c r="Y91" s="117" t="n">
        <f aca="false">V91+E91-W91-X91</f>
        <v>3367.6706917439</v>
      </c>
      <c r="Z91" s="132" t="n">
        <f aca="false">V91*Paths!Z91*Paths!AB91</f>
        <v>0</v>
      </c>
      <c r="AA91" s="117" t="n">
        <f aca="false">O91+T91+Y91</f>
        <v>7246.88629868941</v>
      </c>
      <c r="AB91" s="117" t="n">
        <f aca="false">P91+U91+Z91</f>
        <v>0</v>
      </c>
      <c r="AC91" s="134" t="n">
        <f aca="false">IF(E91=0,0,IF(ISNUMBER('Sources &amp; uses'!$E$29),MAX(0,E91-'Sources &amp; uses'!$E$29),"n.a."))</f>
        <v>0</v>
      </c>
      <c r="AD91" s="132" t="str">
        <f aca="false">IF(E91=0,"No new subscription",IF(ISNUMBER('Sources &amp; uses'!$E$29),"MODEL capacity tested","Unverified"))</f>
        <v>No new subscription</v>
      </c>
    </row>
    <row r="92" customFormat="false" ht="19.5" hidden="false" customHeight="true" outlineLevel="0" collapsed="false">
      <c r="A92" s="121" t="n">
        <v>1932</v>
      </c>
      <c r="B92" s="117" t="n">
        <f aca="false">IF(AND(A92&gt;=1914,A92&lt;=1918),entente_total*CHOOSE(A92-1913,0.05,0.1333,0.2333,0.3,0.2834),0)</f>
        <v>0</v>
      </c>
      <c r="C92" s="132" t="n">
        <f aca="false">IF(AND(A92&gt;=1914,A92&lt;=1918),Loans!L92,0)</f>
        <v>0</v>
      </c>
      <c r="D92" s="132" t="n">
        <f aca="false">Abroad!D92</f>
        <v>0</v>
      </c>
      <c r="E92" s="117" t="n">
        <f aca="false">B92*(1-entente_public-entente_private)</f>
        <v>0</v>
      </c>
      <c r="F92" s="133" t="n">
        <f aca="false">B92-SUM(C92:E92)</f>
        <v>0</v>
      </c>
      <c r="G92" s="117" t="n">
        <f aca="false">B92*uw_fee</f>
        <v>0</v>
      </c>
      <c r="H92" s="117" t="n">
        <f aca="false">B92-G92</f>
        <v>0</v>
      </c>
      <c r="I92" s="132" t="n">
        <f aca="false">H92*'Sources &amp; uses'!$E$31</f>
        <v>0</v>
      </c>
      <c r="J92" s="117" t="n">
        <f aca="false">H92-I92</f>
        <v>0</v>
      </c>
      <c r="K92" s="133" t="n">
        <f aca="false">B92-G92-I92-J92</f>
        <v>0</v>
      </c>
      <c r="L92" s="117" t="n">
        <f aca="false">O91</f>
        <v>1449.37725973788</v>
      </c>
      <c r="M92" s="132" t="n">
        <f aca="false">L92*Paths!AA92</f>
        <v>0</v>
      </c>
      <c r="N92" s="117" t="n">
        <f aca="false">IF(A92=1918,(L92+C92)*russia_writeoff,0)-IF(A92=russia_recog_yr,russia_recog*$N$78,0)</f>
        <v>0</v>
      </c>
      <c r="O92" s="117" t="n">
        <f aca="false">L92+C92-M92-N92</f>
        <v>1449.37725973788</v>
      </c>
      <c r="P92" s="132" t="n">
        <f aca="false">L92*Paths!Z92*Paths!AB92</f>
        <v>0</v>
      </c>
      <c r="Q92" s="117" t="n">
        <f aca="false">T91</f>
        <v>2429.83834720762</v>
      </c>
      <c r="R92" s="132" t="n">
        <f aca="false">Q92*Paths!AA92</f>
        <v>0</v>
      </c>
      <c r="S92" s="117" t="n">
        <f aca="false">IF(A92=1918,(Q92+D92)*russia_writeoff,0)-IF(A92=russia_recog_yr,russia_recog*$S$78,0)</f>
        <v>0</v>
      </c>
      <c r="T92" s="117" t="n">
        <f aca="false">Q92+D92-R92-S92</f>
        <v>2429.83834720762</v>
      </c>
      <c r="U92" s="132" t="n">
        <f aca="false">Q92*Paths!Z92*Paths!AB92</f>
        <v>0</v>
      </c>
      <c r="V92" s="117" t="n">
        <f aca="false">Y91</f>
        <v>3367.6706917439</v>
      </c>
      <c r="W92" s="132" t="n">
        <f aca="false">V92*Paths!AA92</f>
        <v>0</v>
      </c>
      <c r="X92" s="117" t="n">
        <f aca="false">IF(A92=1918,(V92+E92)*russia_writeoff,0)-IF(A92=russia_recog_yr,russia_recog*$X$78,0)</f>
        <v>0</v>
      </c>
      <c r="Y92" s="117" t="n">
        <f aca="false">V92+E92-W92-X92</f>
        <v>3367.6706917439</v>
      </c>
      <c r="Z92" s="132" t="n">
        <f aca="false">V92*Paths!Z92*Paths!AB92</f>
        <v>0</v>
      </c>
      <c r="AA92" s="117" t="n">
        <f aca="false">O92+T92+Y92</f>
        <v>7246.88629868941</v>
      </c>
      <c r="AB92" s="117" t="n">
        <f aca="false">P92+U92+Z92</f>
        <v>0</v>
      </c>
      <c r="AC92" s="134" t="n">
        <f aca="false">IF(E92=0,0,IF(ISNUMBER('Sources &amp; uses'!$E$29),MAX(0,E92-'Sources &amp; uses'!$E$29),"n.a."))</f>
        <v>0</v>
      </c>
      <c r="AD92" s="132" t="str">
        <f aca="false">IF(E92=0,"No new subscription",IF(ISNUMBER('Sources &amp; uses'!$E$29),"MODEL capacity tested","Unverified"))</f>
        <v>No new subscription</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8671875" defaultRowHeight="14.25" zeroHeight="false" outlineLevelRow="0" outlineLevelCol="0"/>
  <cols>
    <col collapsed="false" customWidth="true" hidden="false" outlineLevel="0" max="1" min="1" style="1" width="46"/>
    <col collapsed="false" customWidth="true" hidden="false" outlineLevel="0" max="5" min="2" style="1" width="17"/>
    <col collapsed="false" customWidth="true" hidden="false" outlineLevel="0" max="6" min="6" style="1" width="36"/>
    <col collapsed="false" customWidth="true" hidden="false" outlineLevel="0" max="22" min="7" style="1" width="17"/>
  </cols>
  <sheetData>
    <row r="1" customFormat="false" ht="19.5" hidden="false" customHeight="true" outlineLevel="0" collapsed="false">
      <c r="A1" s="109" t="s">
        <v>2516</v>
      </c>
      <c r="B1" s="110"/>
      <c r="C1" s="110"/>
      <c r="D1" s="110"/>
      <c r="E1" s="110"/>
      <c r="F1" s="110"/>
      <c r="G1" s="110"/>
      <c r="H1" s="110"/>
      <c r="I1" s="110"/>
      <c r="J1" s="110"/>
      <c r="K1" s="110"/>
      <c r="L1" s="110"/>
      <c r="M1" s="110"/>
      <c r="N1" s="110"/>
      <c r="O1" s="110"/>
      <c r="P1" s="110"/>
      <c r="Q1" s="110"/>
      <c r="R1" s="110"/>
      <c r="S1" s="110"/>
      <c r="T1" s="110"/>
      <c r="U1" s="110"/>
      <c r="V1" s="110"/>
    </row>
    <row r="2" customFormat="false" ht="19.5" hidden="false" customHeight="true" outlineLevel="0" collapsed="false">
      <c r="A2" s="111" t="s">
        <v>2517</v>
      </c>
      <c r="B2" s="110"/>
      <c r="C2" s="110"/>
      <c r="D2" s="110"/>
      <c r="E2" s="110"/>
      <c r="F2" s="110"/>
      <c r="G2" s="110"/>
      <c r="H2" s="110"/>
      <c r="I2" s="110"/>
      <c r="J2" s="110"/>
      <c r="K2" s="110"/>
      <c r="L2" s="110"/>
      <c r="M2" s="110"/>
      <c r="N2" s="110"/>
      <c r="O2" s="110"/>
      <c r="P2" s="110"/>
      <c r="Q2" s="110"/>
      <c r="R2" s="110"/>
      <c r="S2" s="110"/>
      <c r="T2" s="110"/>
      <c r="U2" s="110"/>
      <c r="V2" s="110"/>
    </row>
    <row r="3" customFormat="false" ht="19.5" hidden="false" customHeight="true" outlineLevel="0" collapsed="false">
      <c r="A3" s="110" t="s">
        <v>2246</v>
      </c>
      <c r="B3" s="110"/>
      <c r="C3" s="110"/>
      <c r="D3" s="110"/>
      <c r="E3" s="129" t="str">
        <f aca="false">Levers!F4</f>
        <v>Story case</v>
      </c>
      <c r="F3" s="110"/>
      <c r="G3" s="110"/>
      <c r="H3" s="110"/>
      <c r="I3" s="110"/>
      <c r="J3" s="110"/>
      <c r="K3" s="110"/>
      <c r="L3" s="110"/>
      <c r="M3" s="110"/>
      <c r="N3" s="110"/>
      <c r="O3" s="110"/>
      <c r="P3" s="110"/>
      <c r="Q3" s="110"/>
      <c r="R3" s="110"/>
      <c r="S3" s="110"/>
      <c r="T3" s="110"/>
      <c r="U3" s="110"/>
      <c r="V3" s="110"/>
    </row>
    <row r="4" customFormat="false" ht="19.5" hidden="false" customHeight="true" outlineLevel="0" collapsed="false">
      <c r="A4" s="110"/>
      <c r="B4" s="110"/>
      <c r="C4" s="110"/>
      <c r="D4" s="110"/>
      <c r="E4" s="110"/>
      <c r="F4" s="110"/>
      <c r="G4" s="110"/>
      <c r="H4" s="110"/>
      <c r="I4" s="110"/>
      <c r="J4" s="110"/>
      <c r="K4" s="110"/>
      <c r="L4" s="110"/>
      <c r="M4" s="110"/>
      <c r="N4" s="110"/>
      <c r="O4" s="110"/>
      <c r="P4" s="110"/>
      <c r="Q4" s="110"/>
      <c r="R4" s="110"/>
      <c r="S4" s="110"/>
      <c r="T4" s="110"/>
      <c r="U4" s="110"/>
      <c r="V4" s="110"/>
    </row>
    <row r="5" customFormat="false" ht="57.75" hidden="false" customHeight="true" outlineLevel="0" collapsed="false">
      <c r="A5" s="90" t="s">
        <v>2518</v>
      </c>
      <c r="B5" s="123"/>
      <c r="C5" s="123" t="s">
        <v>2265</v>
      </c>
      <c r="D5" s="123" t="s">
        <v>2266</v>
      </c>
      <c r="E5" s="123" t="s">
        <v>203</v>
      </c>
      <c r="F5" s="123" t="s">
        <v>2147</v>
      </c>
      <c r="G5" s="113"/>
      <c r="H5" s="113"/>
      <c r="I5" s="113"/>
      <c r="J5" s="113"/>
      <c r="K5" s="113"/>
      <c r="L5" s="113"/>
      <c r="M5" s="113"/>
      <c r="N5" s="113"/>
      <c r="O5" s="113"/>
      <c r="P5" s="113"/>
      <c r="Q5" s="113"/>
      <c r="R5" s="113"/>
      <c r="S5" s="113"/>
      <c r="T5" s="113"/>
      <c r="U5" s="113"/>
      <c r="V5" s="113"/>
    </row>
    <row r="6" customFormat="false" ht="27" hidden="false" customHeight="true" outlineLevel="0" collapsed="false">
      <c r="A6" s="110" t="s">
        <v>2519</v>
      </c>
      <c r="B6" s="113"/>
      <c r="C6" s="116" t="n">
        <v>1500</v>
      </c>
      <c r="D6" s="116" t="n">
        <v>1500</v>
      </c>
      <c r="E6" s="132" t="n">
        <f aca="false">IF(Levers!$E$4=1,C6,D6)</f>
        <v>1500</v>
      </c>
      <c r="F6" s="131" t="s">
        <v>2520</v>
      </c>
      <c r="G6" s="113"/>
      <c r="H6" s="113"/>
      <c r="I6" s="113"/>
      <c r="J6" s="113"/>
      <c r="K6" s="113"/>
      <c r="L6" s="113"/>
      <c r="M6" s="113"/>
      <c r="N6" s="113"/>
      <c r="O6" s="113"/>
      <c r="P6" s="113"/>
      <c r="Q6" s="113"/>
      <c r="R6" s="113"/>
      <c r="S6" s="113"/>
      <c r="T6" s="113"/>
      <c r="U6" s="113"/>
      <c r="V6" s="113"/>
    </row>
    <row r="7" customFormat="false" ht="27" hidden="false" customHeight="true" outlineLevel="0" collapsed="false">
      <c r="A7" s="110" t="s">
        <v>2521</v>
      </c>
      <c r="B7" s="113"/>
      <c r="C7" s="116" t="n">
        <v>1200</v>
      </c>
      <c r="D7" s="116" t="n">
        <v>1200</v>
      </c>
      <c r="E7" s="132" t="n">
        <f aca="false">IF(Levers!$E$4=1,C7,D7)</f>
        <v>1200</v>
      </c>
      <c r="F7" s="131"/>
      <c r="G7" s="113"/>
      <c r="H7" s="113"/>
      <c r="I7" s="113"/>
      <c r="J7" s="113"/>
      <c r="K7" s="113"/>
      <c r="L7" s="113"/>
      <c r="M7" s="113"/>
      <c r="N7" s="113"/>
      <c r="O7" s="113"/>
      <c r="P7" s="113"/>
      <c r="Q7" s="113"/>
      <c r="R7" s="113"/>
      <c r="S7" s="113"/>
      <c r="T7" s="113"/>
      <c r="U7" s="113"/>
      <c r="V7" s="113"/>
    </row>
    <row r="8" customFormat="false" ht="27" hidden="false" customHeight="true" outlineLevel="0" collapsed="false">
      <c r="A8" s="110" t="s">
        <v>2522</v>
      </c>
      <c r="B8" s="113"/>
      <c r="C8" s="116" t="n">
        <v>400</v>
      </c>
      <c r="D8" s="116" t="n">
        <v>400</v>
      </c>
      <c r="E8" s="132" t="n">
        <f aca="false">IF(Levers!$E$4=1,C8,D8)</f>
        <v>400</v>
      </c>
      <c r="F8" s="131"/>
      <c r="G8" s="113"/>
      <c r="H8" s="113"/>
      <c r="I8" s="113"/>
      <c r="J8" s="113"/>
      <c r="K8" s="113"/>
      <c r="L8" s="113"/>
      <c r="M8" s="113"/>
      <c r="N8" s="113"/>
      <c r="O8" s="113"/>
      <c r="P8" s="113"/>
      <c r="Q8" s="113"/>
      <c r="R8" s="113"/>
      <c r="S8" s="113"/>
      <c r="T8" s="113"/>
      <c r="U8" s="113"/>
      <c r="V8" s="113"/>
    </row>
    <row r="9" customFormat="false" ht="27" hidden="false" customHeight="true" outlineLevel="0" collapsed="false">
      <c r="A9" s="110" t="s">
        <v>2523</v>
      </c>
      <c r="B9" s="113"/>
      <c r="C9" s="116" t="n">
        <v>200</v>
      </c>
      <c r="D9" s="116" t="n">
        <v>200</v>
      </c>
      <c r="E9" s="132" t="n">
        <f aca="false">IF(Levers!$E$4=1,C9,D9)</f>
        <v>200</v>
      </c>
      <c r="F9" s="131"/>
      <c r="G9" s="113"/>
      <c r="H9" s="113"/>
      <c r="I9" s="113"/>
      <c r="J9" s="113"/>
      <c r="K9" s="113"/>
      <c r="L9" s="113"/>
      <c r="M9" s="113"/>
      <c r="N9" s="113"/>
      <c r="O9" s="113"/>
      <c r="P9" s="113"/>
      <c r="Q9" s="113"/>
      <c r="R9" s="113"/>
      <c r="S9" s="113"/>
      <c r="T9" s="113"/>
      <c r="U9" s="113"/>
      <c r="V9" s="113"/>
    </row>
    <row r="10" customFormat="false" ht="27" hidden="false" customHeight="true" outlineLevel="0" collapsed="false">
      <c r="A10" s="110" t="s">
        <v>2524</v>
      </c>
      <c r="B10" s="113"/>
      <c r="C10" s="116" t="n">
        <v>200</v>
      </c>
      <c r="D10" s="116" t="n">
        <v>200</v>
      </c>
      <c r="E10" s="132" t="n">
        <f aca="false">IF(Levers!$E$4=1,C10,D10)</f>
        <v>200</v>
      </c>
      <c r="F10" s="131"/>
      <c r="G10" s="113"/>
      <c r="H10" s="113"/>
      <c r="I10" s="113"/>
      <c r="J10" s="113"/>
      <c r="K10" s="113"/>
      <c r="L10" s="113"/>
      <c r="M10" s="113"/>
      <c r="N10" s="113"/>
      <c r="O10" s="113"/>
      <c r="P10" s="113"/>
      <c r="Q10" s="113"/>
      <c r="R10" s="113"/>
      <c r="S10" s="113"/>
      <c r="T10" s="113"/>
      <c r="U10" s="113"/>
      <c r="V10" s="113"/>
    </row>
    <row r="11" customFormat="false" ht="27" hidden="false" customHeight="true" outlineLevel="0" collapsed="false">
      <c r="A11" s="110" t="s">
        <v>2525</v>
      </c>
      <c r="B11" s="113"/>
      <c r="C11" s="116" t="n">
        <v>200</v>
      </c>
      <c r="D11" s="116" t="n">
        <v>200</v>
      </c>
      <c r="E11" s="132" t="n">
        <f aca="false">IF(Levers!$E$4=1,C11,D11)</f>
        <v>200</v>
      </c>
      <c r="F11" s="131"/>
      <c r="G11" s="113"/>
      <c r="H11" s="113"/>
      <c r="I11" s="113"/>
      <c r="J11" s="113"/>
      <c r="K11" s="113"/>
      <c r="L11" s="113"/>
      <c r="M11" s="113"/>
      <c r="N11" s="113"/>
      <c r="O11" s="113"/>
      <c r="P11" s="113"/>
      <c r="Q11" s="113"/>
      <c r="R11" s="113"/>
      <c r="S11" s="113"/>
      <c r="T11" s="113"/>
      <c r="U11" s="113"/>
      <c r="V11" s="113"/>
    </row>
    <row r="12" customFormat="false" ht="27" hidden="false" customHeight="true" outlineLevel="0" collapsed="false">
      <c r="A12" s="110" t="s">
        <v>2526</v>
      </c>
      <c r="B12" s="113"/>
      <c r="C12" s="116" t="n">
        <v>1898.3125</v>
      </c>
      <c r="D12" s="116" t="n">
        <v>2194.1125</v>
      </c>
      <c r="E12" s="132" t="n">
        <f aca="false">IF(Levers!$E$4=1,C12,D12)</f>
        <v>1898.3125</v>
      </c>
      <c r="F12" s="131"/>
      <c r="G12" s="113"/>
      <c r="H12" s="113"/>
      <c r="I12" s="113"/>
      <c r="J12" s="113"/>
      <c r="K12" s="113"/>
      <c r="L12" s="113"/>
      <c r="M12" s="113"/>
      <c r="N12" s="113"/>
      <c r="O12" s="113"/>
      <c r="P12" s="113"/>
      <c r="Q12" s="113"/>
      <c r="R12" s="113"/>
      <c r="S12" s="113"/>
      <c r="T12" s="113"/>
      <c r="U12" s="113"/>
      <c r="V12" s="113"/>
    </row>
    <row r="13" customFormat="false" ht="27" hidden="false" customHeight="true" outlineLevel="0" collapsed="false">
      <c r="A13" s="110" t="s">
        <v>2527</v>
      </c>
      <c r="B13" s="113"/>
      <c r="C13" s="116" t="n">
        <v>900</v>
      </c>
      <c r="D13" s="116" t="n">
        <v>900</v>
      </c>
      <c r="E13" s="132" t="n">
        <f aca="false">IF(Levers!$E$4=1,C13,D13)</f>
        <v>900</v>
      </c>
      <c r="F13" s="131"/>
      <c r="G13" s="113"/>
      <c r="H13" s="113"/>
      <c r="I13" s="113"/>
      <c r="J13" s="113"/>
      <c r="K13" s="113"/>
      <c r="L13" s="113"/>
      <c r="M13" s="113"/>
      <c r="N13" s="113"/>
      <c r="O13" s="113"/>
      <c r="P13" s="113"/>
      <c r="Q13" s="113"/>
      <c r="R13" s="113"/>
      <c r="S13" s="113"/>
      <c r="T13" s="113"/>
      <c r="U13" s="113"/>
      <c r="V13" s="113"/>
    </row>
    <row r="14" customFormat="false" ht="27" hidden="false" customHeight="true" outlineLevel="0" collapsed="false">
      <c r="A14" s="110" t="s">
        <v>2528</v>
      </c>
      <c r="B14" s="113"/>
      <c r="C14" s="116" t="n">
        <v>1600</v>
      </c>
      <c r="D14" s="116" t="n">
        <v>1600</v>
      </c>
      <c r="E14" s="132" t="n">
        <f aca="false">IF(Levers!$E$4=1,C14,D14)</f>
        <v>1600</v>
      </c>
      <c r="F14" s="131"/>
      <c r="G14" s="113"/>
      <c r="H14" s="113"/>
      <c r="I14" s="113"/>
      <c r="J14" s="113"/>
      <c r="K14" s="113"/>
      <c r="L14" s="113"/>
      <c r="M14" s="113"/>
      <c r="N14" s="113"/>
      <c r="O14" s="113"/>
      <c r="P14" s="113"/>
      <c r="Q14" s="113"/>
      <c r="R14" s="113"/>
      <c r="S14" s="113"/>
      <c r="T14" s="113"/>
      <c r="U14" s="113"/>
      <c r="V14" s="113"/>
    </row>
    <row r="15" customFormat="false" ht="27" hidden="false" customHeight="true" outlineLevel="0" collapsed="false">
      <c r="A15" s="110" t="s">
        <v>2529</v>
      </c>
      <c r="B15" s="113"/>
      <c r="C15" s="116" t="n">
        <v>600</v>
      </c>
      <c r="D15" s="116" t="n">
        <v>600</v>
      </c>
      <c r="E15" s="132" t="n">
        <f aca="false">IF(Levers!$E$4=1,C15,D15)</f>
        <v>600</v>
      </c>
      <c r="F15" s="131"/>
      <c r="G15" s="113"/>
      <c r="H15" s="113"/>
      <c r="I15" s="113"/>
      <c r="J15" s="113"/>
      <c r="K15" s="113"/>
      <c r="L15" s="113"/>
      <c r="M15" s="113"/>
      <c r="N15" s="113"/>
      <c r="O15" s="113"/>
      <c r="P15" s="113"/>
      <c r="Q15" s="113"/>
      <c r="R15" s="113"/>
      <c r="S15" s="113"/>
      <c r="T15" s="113"/>
      <c r="U15" s="113"/>
      <c r="V15" s="113"/>
    </row>
    <row r="16" customFormat="false" ht="27" hidden="false" customHeight="true" outlineLevel="0" collapsed="false">
      <c r="A16" s="110" t="s">
        <v>2530</v>
      </c>
      <c r="B16" s="113"/>
      <c r="C16" s="116" t="n">
        <v>50</v>
      </c>
      <c r="D16" s="116" t="n">
        <v>50</v>
      </c>
      <c r="E16" s="132" t="n">
        <f aca="false">IF(Levers!$E$4=1,C16,D16)</f>
        <v>50</v>
      </c>
      <c r="F16" s="131"/>
      <c r="G16" s="113"/>
      <c r="H16" s="113"/>
      <c r="I16" s="113"/>
      <c r="J16" s="113"/>
      <c r="K16" s="113"/>
      <c r="L16" s="113"/>
      <c r="M16" s="113"/>
      <c r="N16" s="113"/>
      <c r="O16" s="113"/>
      <c r="P16" s="113"/>
      <c r="Q16" s="113"/>
      <c r="R16" s="113"/>
      <c r="S16" s="113"/>
      <c r="T16" s="113"/>
      <c r="U16" s="113"/>
      <c r="V16" s="113"/>
    </row>
    <row r="17" customFormat="false" ht="27" hidden="false" customHeight="true" outlineLevel="0" collapsed="false">
      <c r="A17" s="110" t="s">
        <v>2531</v>
      </c>
      <c r="B17" s="113"/>
      <c r="C17" s="116" t="n">
        <v>100</v>
      </c>
      <c r="D17" s="116" t="n">
        <v>100</v>
      </c>
      <c r="E17" s="132" t="n">
        <f aca="false">IF(Levers!$E$4=1,C17,D17)</f>
        <v>100</v>
      </c>
      <c r="F17" s="131"/>
      <c r="G17" s="113"/>
      <c r="H17" s="113"/>
      <c r="I17" s="113"/>
      <c r="J17" s="113"/>
      <c r="K17" s="113"/>
      <c r="L17" s="113"/>
      <c r="M17" s="113"/>
      <c r="N17" s="113"/>
      <c r="O17" s="113"/>
      <c r="P17" s="113"/>
      <c r="Q17" s="113"/>
      <c r="R17" s="113"/>
      <c r="S17" s="113"/>
      <c r="T17" s="113"/>
      <c r="U17" s="113"/>
      <c r="V17" s="113"/>
    </row>
    <row r="18" customFormat="false" ht="27" hidden="false" customHeight="true" outlineLevel="0" collapsed="false">
      <c r="A18" s="110" t="s">
        <v>2532</v>
      </c>
      <c r="B18" s="113"/>
      <c r="C18" s="116" t="n">
        <v>1600</v>
      </c>
      <c r="D18" s="116" t="n">
        <v>1700</v>
      </c>
      <c r="E18" s="132" t="n">
        <f aca="false">IF(Levers!$E$4=1,C18,D18)</f>
        <v>1600</v>
      </c>
      <c r="F18" s="131" t="s">
        <v>2533</v>
      </c>
      <c r="G18" s="113"/>
      <c r="H18" s="113"/>
      <c r="I18" s="113"/>
      <c r="J18" s="113"/>
      <c r="K18" s="113"/>
      <c r="L18" s="113"/>
      <c r="M18" s="113"/>
      <c r="N18" s="113"/>
      <c r="O18" s="113"/>
      <c r="P18" s="113"/>
      <c r="Q18" s="113"/>
      <c r="R18" s="113"/>
      <c r="S18" s="113"/>
      <c r="T18" s="113"/>
      <c r="U18" s="113"/>
      <c r="V18" s="113"/>
    </row>
    <row r="19" customFormat="false" ht="27" hidden="false" customHeight="true" outlineLevel="0" collapsed="false">
      <c r="A19" s="110" t="s">
        <v>2534</v>
      </c>
      <c r="B19" s="113"/>
      <c r="C19" s="116" t="n">
        <v>800</v>
      </c>
      <c r="D19" s="116" t="n">
        <v>1000</v>
      </c>
      <c r="E19" s="132" t="n">
        <f aca="false">IF(Levers!$E$4=1,C19,D19)</f>
        <v>800</v>
      </c>
      <c r="F19" s="131"/>
      <c r="G19" s="113"/>
      <c r="H19" s="113"/>
      <c r="I19" s="113"/>
      <c r="J19" s="113"/>
      <c r="K19" s="113"/>
      <c r="L19" s="113"/>
      <c r="M19" s="113"/>
      <c r="N19" s="113"/>
      <c r="O19" s="113"/>
      <c r="P19" s="113"/>
      <c r="Q19" s="113"/>
      <c r="R19" s="113"/>
      <c r="S19" s="113"/>
      <c r="T19" s="113"/>
      <c r="U19" s="113"/>
      <c r="V19" s="113"/>
    </row>
    <row r="20" customFormat="false" ht="27" hidden="false" customHeight="true" outlineLevel="0" collapsed="false">
      <c r="A20" s="110" t="s">
        <v>2535</v>
      </c>
      <c r="B20" s="113"/>
      <c r="C20" s="119" t="n">
        <v>0.15</v>
      </c>
      <c r="D20" s="119" t="n">
        <v>0.2</v>
      </c>
      <c r="E20" s="130" t="n">
        <f aca="false">IF(Levers!$E$4=1,C20,D20)</f>
        <v>0.15</v>
      </c>
      <c r="F20" s="131"/>
      <c r="G20" s="113"/>
      <c r="H20" s="113"/>
      <c r="I20" s="113"/>
      <c r="J20" s="113"/>
      <c r="K20" s="113"/>
      <c r="L20" s="113"/>
      <c r="M20" s="113"/>
      <c r="N20" s="113"/>
      <c r="O20" s="113"/>
      <c r="P20" s="113"/>
      <c r="Q20" s="113"/>
      <c r="R20" s="113"/>
      <c r="S20" s="113"/>
      <c r="T20" s="113"/>
      <c r="U20" s="113"/>
      <c r="V20" s="113"/>
    </row>
    <row r="21" customFormat="false" ht="27" hidden="false" customHeight="true" outlineLevel="0" collapsed="false">
      <c r="A21" s="110" t="s">
        <v>2536</v>
      </c>
      <c r="B21" s="113"/>
      <c r="C21" s="119" t="n">
        <v>0.2</v>
      </c>
      <c r="D21" s="119" t="n">
        <v>0.26</v>
      </c>
      <c r="E21" s="130" t="n">
        <f aca="false">IF(Levers!$E$4=1,C21,D21)</f>
        <v>0.2</v>
      </c>
      <c r="F21" s="131"/>
      <c r="G21" s="113"/>
      <c r="H21" s="113"/>
      <c r="I21" s="113"/>
      <c r="J21" s="113"/>
      <c r="K21" s="113"/>
      <c r="L21" s="113"/>
      <c r="M21" s="113"/>
      <c r="N21" s="113"/>
      <c r="O21" s="113"/>
      <c r="P21" s="113"/>
      <c r="Q21" s="113"/>
      <c r="R21" s="113"/>
      <c r="S21" s="113"/>
      <c r="T21" s="113"/>
      <c r="U21" s="113"/>
      <c r="V21" s="113"/>
    </row>
    <row r="22" customFormat="false" ht="27" hidden="false" customHeight="true" outlineLevel="0" collapsed="false">
      <c r="A22" s="110" t="s">
        <v>2537</v>
      </c>
      <c r="B22" s="113"/>
      <c r="C22" s="116" t="n">
        <v>1657.5</v>
      </c>
      <c r="D22" s="116" t="n">
        <v>1249.5</v>
      </c>
      <c r="E22" s="132" t="n">
        <f aca="false">IF(Levers!$E$4=1,C22,D22)</f>
        <v>1657.5</v>
      </c>
      <c r="F22" s="131"/>
      <c r="G22" s="113"/>
      <c r="H22" s="113"/>
      <c r="I22" s="113"/>
      <c r="J22" s="113"/>
      <c r="K22" s="113"/>
      <c r="L22" s="113"/>
      <c r="M22" s="113"/>
      <c r="N22" s="113"/>
      <c r="O22" s="113"/>
      <c r="P22" s="113"/>
      <c r="Q22" s="113"/>
      <c r="R22" s="113"/>
      <c r="S22" s="113"/>
      <c r="T22" s="113"/>
      <c r="U22" s="113"/>
      <c r="V22" s="113"/>
    </row>
    <row r="23" customFormat="false" ht="27" hidden="false" customHeight="true" outlineLevel="0" collapsed="false">
      <c r="A23" s="110" t="s">
        <v>2538</v>
      </c>
      <c r="B23" s="113"/>
      <c r="C23" s="119" t="n">
        <v>0.6</v>
      </c>
      <c r="D23" s="119" t="n">
        <v>0.6</v>
      </c>
      <c r="E23" s="130" t="n">
        <f aca="false">IF(Levers!$E$4=1,C23,D23)</f>
        <v>0.6</v>
      </c>
      <c r="F23" s="131"/>
      <c r="G23" s="113"/>
      <c r="H23" s="113"/>
      <c r="I23" s="113"/>
      <c r="J23" s="113"/>
      <c r="K23" s="113"/>
      <c r="L23" s="113"/>
      <c r="M23" s="113"/>
      <c r="N23" s="113"/>
      <c r="O23" s="113"/>
      <c r="P23" s="113"/>
      <c r="Q23" s="113"/>
      <c r="R23" s="113"/>
      <c r="S23" s="113"/>
      <c r="T23" s="113"/>
      <c r="U23" s="113"/>
      <c r="V23" s="113"/>
    </row>
    <row r="24" customFormat="false" ht="19.5" hidden="false" customHeight="true" outlineLevel="0" collapsed="false">
      <c r="A24" s="110" t="s">
        <v>2539</v>
      </c>
      <c r="B24" s="113"/>
      <c r="C24" s="116" t="n">
        <v>1000</v>
      </c>
      <c r="D24" s="116" t="n">
        <v>1000</v>
      </c>
      <c r="E24" s="132" t="n">
        <f aca="false">IF(Levers!$E$4=1,C24,D24)</f>
        <v>1000</v>
      </c>
      <c r="F24" s="113"/>
      <c r="G24" s="113"/>
      <c r="H24" s="113"/>
      <c r="I24" s="113"/>
      <c r="J24" s="113"/>
      <c r="K24" s="113"/>
      <c r="L24" s="113"/>
      <c r="M24" s="113"/>
      <c r="N24" s="113"/>
      <c r="O24" s="113"/>
      <c r="P24" s="113"/>
      <c r="Q24" s="113"/>
      <c r="R24" s="113"/>
      <c r="S24" s="113"/>
      <c r="T24" s="113"/>
      <c r="U24" s="113"/>
      <c r="V24" s="113"/>
    </row>
    <row r="25" customFormat="false" ht="19.5" hidden="false" customHeight="true" outlineLevel="0" collapsed="false">
      <c r="A25" s="110" t="s">
        <v>2540</v>
      </c>
      <c r="B25" s="113"/>
      <c r="C25" s="113"/>
      <c r="D25" s="113" t="n">
        <f aca="false">SUM('War credit'!I74:I78)</f>
        <v>1657.5</v>
      </c>
      <c r="E25" s="113"/>
      <c r="F25" s="113"/>
      <c r="G25" s="113"/>
      <c r="H25" s="113"/>
      <c r="I25" s="113"/>
      <c r="J25" s="113"/>
      <c r="K25" s="113"/>
      <c r="L25" s="113"/>
      <c r="M25" s="113"/>
      <c r="N25" s="113"/>
      <c r="O25" s="113"/>
      <c r="P25" s="113"/>
      <c r="Q25" s="113"/>
      <c r="R25" s="113"/>
      <c r="S25" s="113"/>
      <c r="T25" s="113"/>
      <c r="U25" s="113"/>
      <c r="V25" s="113"/>
    </row>
    <row r="26" customFormat="false" ht="19.5" hidden="false" customHeight="true" outlineLevel="0" collapsed="false">
      <c r="A26" s="110" t="s">
        <v>2541</v>
      </c>
      <c r="B26" s="113"/>
      <c r="C26" s="113"/>
      <c r="D26" s="113" t="n">
        <f aca="false">D25*'Sources &amp; uses'!E32</f>
        <v>580.125</v>
      </c>
      <c r="E26" s="113"/>
      <c r="F26" s="113"/>
      <c r="G26" s="113"/>
      <c r="H26" s="113"/>
      <c r="I26" s="113"/>
      <c r="J26" s="113"/>
      <c r="K26" s="113"/>
      <c r="L26" s="113"/>
      <c r="M26" s="113"/>
      <c r="N26" s="113"/>
      <c r="O26" s="113"/>
      <c r="P26" s="113"/>
      <c r="Q26" s="113"/>
      <c r="R26" s="113"/>
      <c r="S26" s="113"/>
      <c r="T26" s="113"/>
      <c r="U26" s="113"/>
      <c r="V26" s="113"/>
    </row>
    <row r="27" customFormat="false" ht="19.5" hidden="false" customHeight="true" outlineLevel="0" collapsed="false">
      <c r="A27" s="110" t="s">
        <v>2542</v>
      </c>
      <c r="B27" s="113"/>
      <c r="C27" s="113"/>
      <c r="D27" s="113" t="n">
        <f aca="false">D25*'Sources &amp; uses'!E33</f>
        <v>828.75</v>
      </c>
      <c r="E27" s="113"/>
      <c r="F27" s="113"/>
      <c r="G27" s="113"/>
      <c r="H27" s="113"/>
      <c r="I27" s="113"/>
      <c r="J27" s="113"/>
      <c r="K27" s="113"/>
      <c r="L27" s="113"/>
      <c r="M27" s="113"/>
      <c r="N27" s="113"/>
      <c r="O27" s="113"/>
      <c r="P27" s="113"/>
      <c r="Q27" s="113"/>
      <c r="R27" s="113"/>
      <c r="S27" s="113"/>
      <c r="T27" s="113"/>
      <c r="U27" s="113"/>
      <c r="V27" s="113"/>
    </row>
    <row r="28" customFormat="false" ht="19.5" hidden="false" customHeight="true" outlineLevel="0" collapsed="false">
      <c r="A28" s="110" t="s">
        <v>2543</v>
      </c>
      <c r="B28" s="113"/>
      <c r="C28" s="113"/>
      <c r="D28" s="113" t="n">
        <f aca="false">D25-D26-D27</f>
        <v>248.625</v>
      </c>
      <c r="E28" s="113"/>
      <c r="F28" s="113"/>
      <c r="G28" s="113"/>
      <c r="H28" s="113"/>
      <c r="I28" s="113"/>
      <c r="J28" s="113"/>
      <c r="K28" s="113"/>
      <c r="L28" s="113"/>
      <c r="M28" s="113"/>
      <c r="N28" s="113"/>
      <c r="O28" s="113"/>
      <c r="P28" s="113"/>
      <c r="Q28" s="113"/>
      <c r="R28" s="113"/>
      <c r="S28" s="113"/>
      <c r="T28" s="113"/>
      <c r="U28" s="113"/>
      <c r="V28" s="113"/>
    </row>
    <row r="29" customFormat="false" ht="19.5" hidden="false" customHeight="true" outlineLevel="0" collapsed="false">
      <c r="A29" s="110" t="s">
        <v>2544</v>
      </c>
      <c r="B29" s="113"/>
      <c r="C29" s="113"/>
      <c r="D29" s="113" t="n">
        <f aca="false">D28*'Sources &amp; uses'!E34</f>
        <v>124.3125</v>
      </c>
      <c r="E29" s="113"/>
      <c r="F29" s="113"/>
      <c r="G29" s="113"/>
      <c r="H29" s="113"/>
      <c r="I29" s="113"/>
      <c r="J29" s="113"/>
      <c r="K29" s="113"/>
      <c r="L29" s="113"/>
      <c r="M29" s="113"/>
      <c r="N29" s="113"/>
      <c r="O29" s="113"/>
      <c r="P29" s="113"/>
      <c r="Q29" s="113"/>
      <c r="R29" s="113"/>
      <c r="S29" s="113"/>
      <c r="T29" s="113"/>
      <c r="U29" s="113"/>
      <c r="V29" s="113"/>
    </row>
    <row r="30" customFormat="false" ht="19.5" hidden="false" customHeight="true" outlineLevel="0" collapsed="false">
      <c r="A30" s="110" t="s">
        <v>2545</v>
      </c>
      <c r="B30" s="113"/>
      <c r="C30" s="113"/>
      <c r="D30" s="113" t="n">
        <f aca="false">D25*'Sources &amp; uses'!E35</f>
        <v>1326</v>
      </c>
      <c r="E30" s="113"/>
      <c r="F30" s="113"/>
      <c r="G30" s="113"/>
      <c r="H30" s="113"/>
      <c r="I30" s="113"/>
      <c r="J30" s="113"/>
      <c r="K30" s="113"/>
      <c r="L30" s="113"/>
      <c r="M30" s="113"/>
      <c r="N30" s="113"/>
      <c r="O30" s="113"/>
      <c r="P30" s="113"/>
      <c r="Q30" s="113"/>
      <c r="R30" s="113"/>
      <c r="S30" s="113"/>
      <c r="T30" s="113"/>
      <c r="U30" s="113"/>
      <c r="V30" s="113"/>
    </row>
    <row r="31" customFormat="false" ht="19.5" hidden="false" customHeight="true" outlineLevel="0" collapsed="false">
      <c r="A31" s="110" t="s">
        <v>2546</v>
      </c>
      <c r="B31" s="113"/>
      <c r="C31" s="113"/>
      <c r="D31" s="113" t="n">
        <f aca="false">MAX(0,D30-D29)</f>
        <v>1201.6875</v>
      </c>
      <c r="E31" s="113"/>
      <c r="F31" s="113"/>
      <c r="G31" s="113"/>
      <c r="H31" s="113"/>
      <c r="I31" s="113"/>
      <c r="J31" s="113"/>
      <c r="K31" s="113"/>
      <c r="L31" s="113"/>
      <c r="M31" s="113"/>
      <c r="N31" s="113"/>
      <c r="O31" s="113"/>
      <c r="P31" s="113"/>
      <c r="Q31" s="113"/>
      <c r="R31" s="113"/>
      <c r="S31" s="113"/>
      <c r="T31" s="113"/>
      <c r="U31" s="113"/>
      <c r="V31" s="113"/>
    </row>
    <row r="32" customFormat="false" ht="19.5" hidden="false" customHeight="true" outlineLevel="0" collapsed="false">
      <c r="A32" s="110" t="s">
        <v>2547</v>
      </c>
      <c r="B32" s="113"/>
      <c r="C32" s="113"/>
      <c r="D32" s="113" t="n">
        <f aca="false">E12</f>
        <v>1898.3125</v>
      </c>
      <c r="E32" s="113"/>
      <c r="F32" s="113"/>
      <c r="G32" s="113"/>
      <c r="H32" s="113"/>
      <c r="I32" s="113"/>
      <c r="J32" s="113"/>
      <c r="K32" s="113"/>
      <c r="L32" s="113"/>
      <c r="M32" s="113"/>
      <c r="N32" s="113"/>
      <c r="O32" s="113"/>
      <c r="P32" s="113"/>
      <c r="Q32" s="113"/>
      <c r="R32" s="113"/>
      <c r="S32" s="113"/>
      <c r="T32" s="113"/>
      <c r="U32" s="113"/>
      <c r="V32" s="113"/>
    </row>
    <row r="33" customFormat="false" ht="19.5" hidden="false" customHeight="true" outlineLevel="0" collapsed="false">
      <c r="A33" s="110" t="s">
        <v>2548</v>
      </c>
      <c r="B33" s="113"/>
      <c r="C33" s="113"/>
      <c r="D33" s="113" t="n">
        <f aca="false">F65</f>
        <v>5400</v>
      </c>
      <c r="E33" s="113"/>
      <c r="F33" s="113"/>
      <c r="G33" s="113"/>
      <c r="H33" s="113"/>
      <c r="I33" s="113"/>
      <c r="J33" s="113"/>
      <c r="K33" s="113"/>
      <c r="L33" s="113"/>
      <c r="M33" s="113"/>
      <c r="N33" s="113"/>
      <c r="O33" s="113"/>
      <c r="P33" s="113"/>
      <c r="Q33" s="113"/>
      <c r="R33" s="113"/>
      <c r="S33" s="113"/>
      <c r="T33" s="113"/>
      <c r="U33" s="113"/>
      <c r="V33" s="113"/>
    </row>
    <row r="34" customFormat="false" ht="19.5" hidden="false" customHeight="true" outlineLevel="0" collapsed="false">
      <c r="A34" s="110" t="s">
        <v>2549</v>
      </c>
      <c r="B34" s="113"/>
      <c r="C34" s="113"/>
      <c r="D34" s="113" t="n">
        <f aca="false">M65</f>
        <v>3700</v>
      </c>
      <c r="E34" s="113"/>
      <c r="F34" s="113"/>
      <c r="G34" s="113"/>
      <c r="H34" s="113"/>
      <c r="I34" s="113"/>
      <c r="J34" s="113"/>
      <c r="K34" s="113"/>
      <c r="L34" s="113"/>
      <c r="M34" s="113"/>
      <c r="N34" s="113"/>
      <c r="O34" s="113"/>
      <c r="P34" s="113"/>
      <c r="Q34" s="113"/>
      <c r="R34" s="113"/>
      <c r="S34" s="113"/>
      <c r="T34" s="113"/>
      <c r="U34" s="113"/>
      <c r="V34" s="113"/>
    </row>
    <row r="35" customFormat="false" ht="19.5" hidden="false" customHeight="true" outlineLevel="0" collapsed="false">
      <c r="A35" s="110" t="s">
        <v>2550</v>
      </c>
      <c r="B35" s="113"/>
      <c r="C35" s="113"/>
      <c r="D35" s="113" t="n">
        <f aca="false">N65</f>
        <v>2000</v>
      </c>
      <c r="E35" s="113"/>
      <c r="F35" s="113"/>
      <c r="G35" s="113"/>
      <c r="H35" s="113"/>
      <c r="I35" s="113"/>
      <c r="J35" s="113"/>
      <c r="K35" s="113"/>
      <c r="L35" s="113"/>
      <c r="M35" s="113"/>
      <c r="N35" s="113"/>
      <c r="O35" s="113"/>
      <c r="P35" s="113"/>
      <c r="Q35" s="113"/>
      <c r="R35" s="113"/>
      <c r="S35" s="113"/>
      <c r="T35" s="113"/>
      <c r="U35" s="113"/>
      <c r="V35" s="113"/>
    </row>
    <row r="36" customFormat="false" ht="19.5" hidden="false" customHeight="true" outlineLevel="0" collapsed="false">
      <c r="A36" s="110" t="s">
        <v>2551</v>
      </c>
      <c r="B36" s="113"/>
      <c r="C36" s="113"/>
      <c r="D36" s="113" t="n">
        <f aca="false">P65</f>
        <v>400</v>
      </c>
      <c r="E36" s="113"/>
      <c r="F36" s="113"/>
      <c r="G36" s="113"/>
      <c r="H36" s="113"/>
      <c r="I36" s="113"/>
      <c r="J36" s="113"/>
      <c r="K36" s="113"/>
      <c r="L36" s="113"/>
      <c r="M36" s="113"/>
      <c r="N36" s="113"/>
      <c r="O36" s="113"/>
      <c r="P36" s="113"/>
      <c r="Q36" s="113"/>
      <c r="R36" s="113"/>
      <c r="S36" s="113"/>
      <c r="T36" s="113"/>
      <c r="U36" s="113"/>
      <c r="V36" s="113"/>
    </row>
    <row r="37" customFormat="false" ht="19.5" hidden="false" customHeight="true" outlineLevel="0" collapsed="false">
      <c r="A37" s="110" t="s">
        <v>2552</v>
      </c>
      <c r="B37" s="113"/>
      <c r="C37" s="113"/>
      <c r="D37" s="113" t="n">
        <f aca="false">R65</f>
        <v>600</v>
      </c>
      <c r="E37" s="113"/>
      <c r="F37" s="113"/>
      <c r="G37" s="113"/>
      <c r="H37" s="113"/>
      <c r="I37" s="113"/>
      <c r="J37" s="113"/>
      <c r="K37" s="113"/>
      <c r="L37" s="113"/>
      <c r="M37" s="113"/>
      <c r="N37" s="113"/>
      <c r="O37" s="113"/>
      <c r="P37" s="113"/>
      <c r="Q37" s="113"/>
      <c r="R37" s="113"/>
      <c r="S37" s="113"/>
      <c r="T37" s="113"/>
      <c r="U37" s="113"/>
      <c r="V37" s="113"/>
    </row>
    <row r="38" customFormat="false" ht="19.5" hidden="false" customHeight="true" outlineLevel="0" collapsed="false">
      <c r="A38" s="110" t="s">
        <v>2553</v>
      </c>
      <c r="B38" s="113"/>
      <c r="C38" s="113"/>
      <c r="D38" s="113" t="n">
        <f aca="false">Q65</f>
        <v>400</v>
      </c>
      <c r="E38" s="113"/>
      <c r="F38" s="113"/>
      <c r="G38" s="113"/>
      <c r="H38" s="113"/>
      <c r="I38" s="113"/>
      <c r="J38" s="113"/>
      <c r="K38" s="113"/>
      <c r="L38" s="113"/>
      <c r="M38" s="113"/>
      <c r="N38" s="113"/>
      <c r="O38" s="113"/>
      <c r="P38" s="113"/>
      <c r="Q38" s="113"/>
      <c r="R38" s="113"/>
      <c r="S38" s="113"/>
      <c r="T38" s="113"/>
      <c r="U38" s="113"/>
      <c r="V38" s="113"/>
    </row>
    <row r="39" customFormat="false" ht="19.5" hidden="false" customHeight="true" outlineLevel="0" collapsed="false">
      <c r="A39" s="110" t="s">
        <v>2554</v>
      </c>
      <c r="B39" s="113"/>
      <c r="C39" s="113"/>
      <c r="D39" s="113" t="n">
        <f aca="false">MIN(E18,E24+D31)*E20+E19*E21</f>
        <v>400</v>
      </c>
      <c r="E39" s="113"/>
      <c r="F39" s="113"/>
      <c r="G39" s="113"/>
      <c r="H39" s="113"/>
      <c r="I39" s="113"/>
      <c r="J39" s="113"/>
      <c r="K39" s="113"/>
      <c r="L39" s="113"/>
      <c r="M39" s="113"/>
      <c r="N39" s="113"/>
      <c r="O39" s="113"/>
      <c r="P39" s="113"/>
      <c r="Q39" s="113"/>
      <c r="R39" s="113"/>
      <c r="S39" s="113"/>
      <c r="T39" s="113"/>
      <c r="U39" s="113"/>
      <c r="V39" s="113"/>
    </row>
    <row r="40" customFormat="false" ht="19.5" hidden="false" customHeight="true" outlineLevel="0" collapsed="false">
      <c r="A40" s="110" t="s">
        <v>2555</v>
      </c>
      <c r="B40" s="113"/>
      <c r="C40" s="113"/>
      <c r="D40" s="113" t="n">
        <f aca="false">F65-MIN(E18,E24+D31)-E19</f>
        <v>3000</v>
      </c>
      <c r="E40" s="113"/>
      <c r="F40" s="113"/>
      <c r="G40" s="113"/>
      <c r="H40" s="113"/>
      <c r="I40" s="113"/>
      <c r="J40" s="113"/>
      <c r="K40" s="113"/>
      <c r="L40" s="113"/>
      <c r="M40" s="113"/>
      <c r="N40" s="113"/>
      <c r="O40" s="113"/>
      <c r="P40" s="113"/>
      <c r="Q40" s="113"/>
      <c r="R40" s="113"/>
      <c r="S40" s="113"/>
      <c r="T40" s="113"/>
      <c r="U40" s="113"/>
      <c r="V40" s="113"/>
    </row>
    <row r="41" customFormat="false" ht="19.5" hidden="false" customHeight="true" outlineLevel="0" collapsed="false">
      <c r="A41" s="110" t="s">
        <v>2556</v>
      </c>
      <c r="B41" s="113"/>
      <c r="C41" s="113"/>
      <c r="D41" s="113" t="n">
        <f aca="false">N65*'Sources &amp; uses'!E36</f>
        <v>1200</v>
      </c>
      <c r="E41" s="113"/>
      <c r="F41" s="113"/>
      <c r="G41" s="113"/>
      <c r="H41" s="113"/>
      <c r="I41" s="113"/>
      <c r="J41" s="113"/>
      <c r="K41" s="113"/>
      <c r="L41" s="113"/>
      <c r="M41" s="113"/>
      <c r="N41" s="113"/>
      <c r="O41" s="113"/>
      <c r="P41" s="113"/>
      <c r="Q41" s="113"/>
      <c r="R41" s="113"/>
      <c r="S41" s="113"/>
      <c r="T41" s="113"/>
      <c r="U41" s="113"/>
      <c r="V41" s="113"/>
    </row>
    <row r="42" customFormat="false" ht="19.5" hidden="false" customHeight="true" outlineLevel="0" collapsed="false">
      <c r="A42" s="110" t="s">
        <v>2557</v>
      </c>
      <c r="B42" s="113"/>
      <c r="C42" s="113"/>
      <c r="D42" s="113" t="n">
        <f aca="false">N65-D41</f>
        <v>800</v>
      </c>
      <c r="E42" s="113"/>
      <c r="F42" s="113"/>
      <c r="G42" s="113"/>
      <c r="H42" s="113"/>
      <c r="I42" s="113"/>
      <c r="J42" s="113"/>
      <c r="K42" s="113"/>
      <c r="L42" s="113"/>
      <c r="M42" s="113"/>
      <c r="N42" s="113"/>
      <c r="O42" s="113"/>
      <c r="P42" s="113"/>
      <c r="Q42" s="113"/>
      <c r="R42" s="113"/>
      <c r="S42" s="113"/>
      <c r="T42" s="113"/>
      <c r="U42" s="113"/>
      <c r="V42" s="113"/>
    </row>
    <row r="43" customFormat="false" ht="19.5" hidden="false" customHeight="true" outlineLevel="0" collapsed="false">
      <c r="A43" s="110" t="s">
        <v>2558</v>
      </c>
      <c r="B43" s="113"/>
      <c r="C43" s="113"/>
      <c r="D43" s="135" t="n">
        <f aca="false">IF(ISNUMBER('Sources &amp; uses'!E30),MAX(0,D42-'Sources &amp; uses'!E30),"n.a.")</f>
        <v>0</v>
      </c>
      <c r="E43" s="113"/>
      <c r="F43" s="113"/>
      <c r="G43" s="113"/>
      <c r="H43" s="113"/>
      <c r="I43" s="113"/>
      <c r="J43" s="113"/>
      <c r="K43" s="113"/>
      <c r="L43" s="113"/>
      <c r="M43" s="113"/>
      <c r="N43" s="113"/>
      <c r="O43" s="113"/>
      <c r="P43" s="113"/>
      <c r="Q43" s="113"/>
      <c r="R43" s="113"/>
      <c r="S43" s="113"/>
      <c r="T43" s="113"/>
      <c r="U43" s="113"/>
      <c r="V43" s="113"/>
    </row>
    <row r="44" customFormat="false" ht="19.5" hidden="false" customHeight="true" outlineLevel="0" collapsed="false">
      <c r="A44" s="110" t="s">
        <v>2559</v>
      </c>
      <c r="B44" s="113"/>
      <c r="C44" s="113"/>
      <c r="D44" s="113" t="n">
        <f aca="false">'Japan rescue'!D10</f>
        <v>497.099334947618</v>
      </c>
      <c r="E44" s="113"/>
      <c r="F44" s="113"/>
      <c r="G44" s="113"/>
      <c r="H44" s="113"/>
      <c r="I44" s="113"/>
      <c r="J44" s="113"/>
      <c r="K44" s="113"/>
      <c r="L44" s="113"/>
      <c r="M44" s="113"/>
      <c r="N44" s="113"/>
      <c r="O44" s="113"/>
      <c r="P44" s="113"/>
      <c r="Q44" s="113"/>
      <c r="R44" s="113"/>
      <c r="S44" s="113"/>
      <c r="T44" s="113"/>
      <c r="U44" s="113"/>
      <c r="V44" s="113"/>
    </row>
    <row r="45" customFormat="false" ht="19.5" hidden="false" customHeight="true" outlineLevel="0" collapsed="false">
      <c r="A45" s="110" t="s">
        <v>2560</v>
      </c>
      <c r="B45" s="113"/>
      <c r="C45" s="113"/>
      <c r="D45" s="113" t="n">
        <f aca="false">'Japan rescue'!D59+'Japan rescue'!D65+'Japan rescue'!D10</f>
        <v>1192.09933494762</v>
      </c>
      <c r="E45" s="113"/>
      <c r="F45" s="113"/>
      <c r="G45" s="113"/>
      <c r="H45" s="113"/>
      <c r="I45" s="113"/>
      <c r="J45" s="113"/>
      <c r="K45" s="113"/>
      <c r="L45" s="113"/>
      <c r="M45" s="113"/>
      <c r="N45" s="113"/>
      <c r="O45" s="113"/>
      <c r="P45" s="113"/>
      <c r="Q45" s="113"/>
      <c r="R45" s="113"/>
      <c r="S45" s="113"/>
      <c r="T45" s="113"/>
      <c r="U45" s="113"/>
      <c r="V45" s="113"/>
    </row>
    <row r="46" customFormat="false" ht="19.5" hidden="false" customHeight="true" outlineLevel="0" collapsed="false">
      <c r="A46" s="110" t="s">
        <v>2561</v>
      </c>
      <c r="B46" s="113"/>
      <c r="C46" s="113" t="n">
        <v>400</v>
      </c>
      <c r="D46" s="113" t="n">
        <f aca="false">C46*$D$42/$C$50</f>
        <v>400</v>
      </c>
      <c r="E46" s="113" t="n">
        <f aca="false">IF(Levers!$E$4=1,C46,D46)</f>
        <v>400</v>
      </c>
      <c r="F46" s="113"/>
      <c r="G46" s="113"/>
      <c r="H46" s="113"/>
      <c r="I46" s="113"/>
      <c r="J46" s="113"/>
      <c r="K46" s="113"/>
      <c r="L46" s="113"/>
      <c r="M46" s="113"/>
      <c r="N46" s="113"/>
      <c r="O46" s="113"/>
      <c r="P46" s="113"/>
      <c r="Q46" s="113"/>
      <c r="R46" s="113"/>
      <c r="S46" s="113"/>
      <c r="T46" s="113"/>
      <c r="U46" s="113"/>
      <c r="V46" s="113"/>
    </row>
    <row r="47" customFormat="false" ht="19.5" hidden="false" customHeight="true" outlineLevel="0" collapsed="false">
      <c r="A47" s="110" t="s">
        <v>2562</v>
      </c>
      <c r="B47" s="113"/>
      <c r="C47" s="113" t="n">
        <v>250</v>
      </c>
      <c r="D47" s="113" t="n">
        <f aca="false">C47*$D$42/$C$50</f>
        <v>250</v>
      </c>
      <c r="E47" s="113" t="n">
        <f aca="false">IF(Levers!$E$4=1,C47,D47)</f>
        <v>250</v>
      </c>
      <c r="F47" s="113"/>
      <c r="G47" s="113"/>
      <c r="H47" s="113"/>
      <c r="I47" s="113"/>
      <c r="J47" s="113"/>
      <c r="K47" s="113"/>
      <c r="L47" s="113"/>
      <c r="M47" s="113"/>
      <c r="N47" s="113"/>
      <c r="O47" s="113"/>
      <c r="P47" s="113"/>
      <c r="Q47" s="113"/>
      <c r="R47" s="113"/>
      <c r="S47" s="113"/>
      <c r="T47" s="113"/>
      <c r="U47" s="113"/>
      <c r="V47" s="113"/>
    </row>
    <row r="48" customFormat="false" ht="19.5" hidden="false" customHeight="true" outlineLevel="0" collapsed="false">
      <c r="A48" s="110" t="s">
        <v>2563</v>
      </c>
      <c r="B48" s="113"/>
      <c r="C48" s="113" t="n">
        <v>100</v>
      </c>
      <c r="D48" s="113" t="n">
        <f aca="false">C48*$D$42/$C$50</f>
        <v>100</v>
      </c>
      <c r="E48" s="113" t="n">
        <f aca="false">IF(Levers!$E$4=1,C48,D48)</f>
        <v>100</v>
      </c>
      <c r="F48" s="113"/>
      <c r="G48" s="113"/>
      <c r="H48" s="113"/>
      <c r="I48" s="113"/>
      <c r="J48" s="113"/>
      <c r="K48" s="113"/>
      <c r="L48" s="113"/>
      <c r="M48" s="113"/>
      <c r="N48" s="113"/>
      <c r="O48" s="113"/>
      <c r="P48" s="113"/>
      <c r="Q48" s="113"/>
      <c r="R48" s="113"/>
      <c r="S48" s="113"/>
      <c r="T48" s="113"/>
      <c r="U48" s="113"/>
      <c r="V48" s="113"/>
    </row>
    <row r="49" customFormat="false" ht="19.5" hidden="false" customHeight="true" outlineLevel="0" collapsed="false">
      <c r="A49" s="110" t="s">
        <v>2564</v>
      </c>
      <c r="B49" s="113"/>
      <c r="C49" s="113" t="n">
        <v>50</v>
      </c>
      <c r="D49" s="113" t="n">
        <f aca="false">C49*$D$42/$C$50</f>
        <v>50</v>
      </c>
      <c r="E49" s="113" t="n">
        <f aca="false">IF(Levers!$E$4=1,C49,D49)</f>
        <v>50</v>
      </c>
      <c r="F49" s="113"/>
      <c r="G49" s="113"/>
      <c r="H49" s="113"/>
      <c r="I49" s="113"/>
      <c r="J49" s="113"/>
      <c r="K49" s="113"/>
      <c r="L49" s="113"/>
      <c r="M49" s="113"/>
      <c r="N49" s="113"/>
      <c r="O49" s="113"/>
      <c r="P49" s="113"/>
      <c r="Q49" s="113"/>
      <c r="R49" s="113"/>
      <c r="S49" s="113"/>
      <c r="T49" s="113"/>
      <c r="U49" s="113"/>
      <c r="V49" s="113"/>
    </row>
    <row r="50" customFormat="false" ht="19.5" hidden="false" customHeight="true" outlineLevel="0" collapsed="false">
      <c r="A50" s="110" t="s">
        <v>2565</v>
      </c>
      <c r="B50" s="113"/>
      <c r="C50" s="113" t="n">
        <f aca="false">SUM(C46:C49)</f>
        <v>800</v>
      </c>
      <c r="D50" s="113" t="n">
        <f aca="false">SUM(D46:D49)</f>
        <v>800</v>
      </c>
      <c r="E50" s="113" t="n">
        <f aca="false">SUM(E46:E49)</f>
        <v>800</v>
      </c>
      <c r="F50" s="113"/>
      <c r="G50" s="113"/>
      <c r="H50" s="113"/>
      <c r="I50" s="113"/>
      <c r="J50" s="113"/>
      <c r="K50" s="113"/>
      <c r="L50" s="113"/>
      <c r="M50" s="113"/>
      <c r="N50" s="113"/>
      <c r="O50" s="113"/>
      <c r="P50" s="113"/>
      <c r="Q50" s="113"/>
      <c r="R50" s="113"/>
      <c r="S50" s="113"/>
      <c r="T50" s="113"/>
      <c r="U50" s="113"/>
      <c r="V50" s="113"/>
    </row>
    <row r="51" customFormat="false" ht="57.75" hidden="false" customHeight="true" outlineLevel="0" collapsed="false">
      <c r="A51" s="90" t="s">
        <v>103</v>
      </c>
      <c r="B51" s="123" t="s">
        <v>2566</v>
      </c>
      <c r="C51" s="123" t="s">
        <v>2567</v>
      </c>
      <c r="D51" s="123" t="s">
        <v>2568</v>
      </c>
      <c r="E51" s="123" t="s">
        <v>2569</v>
      </c>
      <c r="F51" s="123" t="s">
        <v>2570</v>
      </c>
      <c r="G51" s="123" t="s">
        <v>2571</v>
      </c>
      <c r="H51" s="123" t="s">
        <v>2572</v>
      </c>
      <c r="I51" s="123" t="s">
        <v>2573</v>
      </c>
      <c r="J51" s="123" t="s">
        <v>2574</v>
      </c>
      <c r="K51" s="123" t="s">
        <v>2575</v>
      </c>
      <c r="L51" s="123" t="s">
        <v>2576</v>
      </c>
      <c r="M51" s="123" t="s">
        <v>2549</v>
      </c>
      <c r="N51" s="123" t="s">
        <v>2577</v>
      </c>
      <c r="O51" s="123" t="s">
        <v>2578</v>
      </c>
      <c r="P51" s="123" t="s">
        <v>2579</v>
      </c>
      <c r="Q51" s="123" t="s">
        <v>2580</v>
      </c>
      <c r="R51" s="123" t="s">
        <v>2581</v>
      </c>
      <c r="S51" s="123" t="s">
        <v>2582</v>
      </c>
      <c r="T51" s="123" t="s">
        <v>2583</v>
      </c>
      <c r="U51" s="123" t="s">
        <v>2584</v>
      </c>
      <c r="V51" s="123" t="s">
        <v>2585</v>
      </c>
    </row>
    <row r="52" customFormat="false" ht="19.5" hidden="false" customHeight="true" outlineLevel="0" collapsed="false">
      <c r="A52" s="121" t="n">
        <v>1913</v>
      </c>
      <c r="B52" s="117" t="n">
        <f aca="false">E6</f>
        <v>1500</v>
      </c>
      <c r="C52" s="117" t="n">
        <f aca="false">0</f>
        <v>0</v>
      </c>
      <c r="D52" s="117" t="n">
        <f aca="false">0</f>
        <v>0</v>
      </c>
      <c r="E52" s="117" t="n">
        <f aca="false">0</f>
        <v>0</v>
      </c>
      <c r="F52" s="117" t="n">
        <f aca="false">B52</f>
        <v>1500</v>
      </c>
      <c r="G52" s="117" t="n">
        <f aca="false">0</f>
        <v>0</v>
      </c>
      <c r="H52" s="117" t="n">
        <f aca="false">0</f>
        <v>0</v>
      </c>
      <c r="I52" s="117" t="n">
        <f aca="false">0</f>
        <v>0</v>
      </c>
      <c r="J52" s="117" t="n">
        <f aca="false">0</f>
        <v>0</v>
      </c>
      <c r="K52" s="117" t="n">
        <f aca="false">0</f>
        <v>0</v>
      </c>
      <c r="L52" s="117" t="n">
        <f aca="false">0</f>
        <v>0</v>
      </c>
      <c r="M52" s="117" t="n">
        <f aca="false">E7</f>
        <v>1200</v>
      </c>
      <c r="N52" s="117" t="n">
        <f aca="false">E8</f>
        <v>400</v>
      </c>
      <c r="O52" s="117" t="n">
        <f aca="false">E9</f>
        <v>200</v>
      </c>
      <c r="P52" s="117" t="n">
        <f aca="false">E10</f>
        <v>200</v>
      </c>
      <c r="Q52" s="117" t="n">
        <f aca="false">E11</f>
        <v>200</v>
      </c>
      <c r="R52" s="117" t="n">
        <f aca="false">M52+N52+O52+P52-F52-Q52</f>
        <v>300</v>
      </c>
      <c r="S52" s="117" t="n">
        <f aca="false">F52+Q52+R52-M52-N52-O52-P52</f>
        <v>0</v>
      </c>
      <c r="T52" s="132" t="n">
        <f aca="false">N52*'Sources &amp; uses'!E36</f>
        <v>240</v>
      </c>
      <c r="U52" s="132" t="n">
        <f aca="false">Abroad!H73-T52</f>
        <v>2646.71067816083</v>
      </c>
      <c r="V52" s="117" t="n">
        <f aca="false">F52-N52</f>
        <v>1100</v>
      </c>
    </row>
    <row r="53" customFormat="false" ht="19.5" hidden="false" customHeight="true" outlineLevel="0" collapsed="false">
      <c r="A53" s="121" t="n">
        <v>1914</v>
      </c>
      <c r="B53" s="117" t="n">
        <f aca="false">F52</f>
        <v>1500</v>
      </c>
      <c r="C53" s="132" t="n">
        <f aca="false">($E$12+$D$31)*'War credit'!B74/entente_total</f>
        <v>155</v>
      </c>
      <c r="D53" s="132" t="n">
        <f aca="false">$E$13*'War credit'!B74/entente_total</f>
        <v>45</v>
      </c>
      <c r="E53" s="116" t="n">
        <v>0</v>
      </c>
      <c r="F53" s="117" t="n">
        <f aca="false">B53+C53-D53-E53</f>
        <v>1610</v>
      </c>
      <c r="G53" s="132" t="n">
        <f aca="false">$E$14*'War credit'!B74/entente_total</f>
        <v>80</v>
      </c>
      <c r="H53" s="132" t="n">
        <f aca="false">$E$15*(1-$E$23+$E$23*$D$25/$E$22)*'War credit'!B74/entente_total</f>
        <v>30</v>
      </c>
      <c r="I53" s="132" t="n">
        <f aca="false">$E$16*'War credit'!B74/entente_total</f>
        <v>2.5</v>
      </c>
      <c r="J53" s="132" t="n">
        <f aca="false">$E$17*'War credit'!B74/entente_total</f>
        <v>5</v>
      </c>
      <c r="K53" s="117" t="n">
        <f aca="false">Q53-Q52</f>
        <v>10</v>
      </c>
      <c r="L53" s="117" t="n">
        <f aca="false">G53+H53+I53+J53+D53-C53-K53-(R53-R52)</f>
        <v>0</v>
      </c>
      <c r="M53" s="117" t="n">
        <f aca="false">M52+G53</f>
        <v>1280</v>
      </c>
      <c r="N53" s="117" t="n">
        <f aca="false">N52+H53</f>
        <v>430</v>
      </c>
      <c r="O53" s="117" t="n">
        <f aca="false">O52+I53</f>
        <v>202.5</v>
      </c>
      <c r="P53" s="117" t="n">
        <f aca="false">P52+J53</f>
        <v>205</v>
      </c>
      <c r="Q53" s="132" t="n">
        <f aca="false">200+200*SUM('War credit'!$B$74:B74)/entente_total</f>
        <v>210</v>
      </c>
      <c r="R53" s="117" t="n">
        <f aca="false">R52+G53+H53+I53+J53+D53-C53-K53</f>
        <v>297.5</v>
      </c>
      <c r="S53" s="117" t="n">
        <f aca="false">F53+Q53+R53-M53-N53-O53-P53</f>
        <v>0</v>
      </c>
      <c r="T53" s="132" t="n">
        <f aca="false">N53*'Sources &amp; uses'!$E$36</f>
        <v>258</v>
      </c>
      <c r="U53" s="132" t="n">
        <f aca="false">Abroad!H74-'War credit'!T74-T53</f>
        <v>2727.56912235869</v>
      </c>
      <c r="V53" s="117" t="n">
        <f aca="false">F53-N53</f>
        <v>1180</v>
      </c>
    </row>
    <row r="54" customFormat="false" ht="19.5" hidden="false" customHeight="true" outlineLevel="0" collapsed="false">
      <c r="A54" s="121" t="n">
        <v>1915</v>
      </c>
      <c r="B54" s="117" t="n">
        <f aca="false">F53</f>
        <v>1610</v>
      </c>
      <c r="C54" s="132" t="n">
        <f aca="false">($E$12+$D$31)*'War credit'!B75/entente_total</f>
        <v>413.23</v>
      </c>
      <c r="D54" s="132" t="n">
        <f aca="false">$E$13*'War credit'!B75/entente_total</f>
        <v>119.97</v>
      </c>
      <c r="E54" s="116" t="n">
        <v>0</v>
      </c>
      <c r="F54" s="117" t="n">
        <f aca="false">B54+C54-D54-E54</f>
        <v>1903.26</v>
      </c>
      <c r="G54" s="132" t="n">
        <f aca="false">$E$14*'War credit'!B75/entente_total</f>
        <v>213.28</v>
      </c>
      <c r="H54" s="132" t="n">
        <f aca="false">$E$15*(1-$E$23+$E$23*$D$25/$E$22)*'War credit'!B75/entente_total</f>
        <v>79.98</v>
      </c>
      <c r="I54" s="132" t="n">
        <f aca="false">$E$16*'War credit'!B75/entente_total</f>
        <v>6.665</v>
      </c>
      <c r="J54" s="132" t="n">
        <f aca="false">$E$17*'War credit'!B75/entente_total</f>
        <v>13.33</v>
      </c>
      <c r="K54" s="117" t="n">
        <f aca="false">Q54-Q53</f>
        <v>26.66</v>
      </c>
      <c r="L54" s="117" t="n">
        <f aca="false">G54+H54+I54+J54+D54-C54-K54-(R54-R53)</f>
        <v>-2.8421709430404E-014</v>
      </c>
      <c r="M54" s="117" t="n">
        <f aca="false">M53+G54</f>
        <v>1493.28</v>
      </c>
      <c r="N54" s="117" t="n">
        <f aca="false">N53+H54</f>
        <v>509.98</v>
      </c>
      <c r="O54" s="117" t="n">
        <f aca="false">O53+I54</f>
        <v>209.165</v>
      </c>
      <c r="P54" s="117" t="n">
        <f aca="false">P53+J54</f>
        <v>218.33</v>
      </c>
      <c r="Q54" s="132" t="n">
        <f aca="false">200+200*SUM('War credit'!$B$74:B75)/entente_total</f>
        <v>236.66</v>
      </c>
      <c r="R54" s="117" t="n">
        <f aca="false">R53+G54+H54+I54+J54+D54-C54-K54</f>
        <v>290.835</v>
      </c>
      <c r="S54" s="117" t="n">
        <f aca="false">F54+Q54+R54-M54-N54-O54-P54</f>
        <v>0</v>
      </c>
      <c r="T54" s="132" t="n">
        <f aca="false">N54*'Sources &amp; uses'!$E$36</f>
        <v>305.988</v>
      </c>
      <c r="U54" s="132" t="n">
        <f aca="false">Abroad!H75-'War credit'!T75-T54</f>
        <v>2797.90452882157</v>
      </c>
      <c r="V54" s="117" t="n">
        <f aca="false">F54-N54</f>
        <v>1393.28</v>
      </c>
    </row>
    <row r="55" customFormat="false" ht="19.5" hidden="false" customHeight="true" outlineLevel="0" collapsed="false">
      <c r="A55" s="121" t="n">
        <v>1916</v>
      </c>
      <c r="B55" s="117" t="n">
        <f aca="false">F54</f>
        <v>1903.26</v>
      </c>
      <c r="C55" s="132" t="n">
        <f aca="false">($E$12+$D$31)*'War credit'!B76/entente_total</f>
        <v>723.23</v>
      </c>
      <c r="D55" s="132" t="n">
        <f aca="false">$E$13*'War credit'!B76/entente_total</f>
        <v>209.97</v>
      </c>
      <c r="E55" s="116" t="n">
        <v>0</v>
      </c>
      <c r="F55" s="117" t="n">
        <f aca="false">B55+C55-D55-E55</f>
        <v>2416.52</v>
      </c>
      <c r="G55" s="132" t="n">
        <f aca="false">$E$14*'War credit'!B76/entente_total</f>
        <v>373.28</v>
      </c>
      <c r="H55" s="132" t="n">
        <f aca="false">$E$15*(1-$E$23+$E$23*$D$25/$E$22)*'War credit'!B76/entente_total</f>
        <v>139.98</v>
      </c>
      <c r="I55" s="132" t="n">
        <f aca="false">$E$16*'War credit'!B76/entente_total</f>
        <v>11.665</v>
      </c>
      <c r="J55" s="132" t="n">
        <f aca="false">$E$17*'War credit'!B76/entente_total</f>
        <v>23.33</v>
      </c>
      <c r="K55" s="117" t="n">
        <f aca="false">Q55-Q54</f>
        <v>46.66</v>
      </c>
      <c r="L55" s="117" t="n">
        <f aca="false">G55+H55+I55+J55+D55-C55-K55-(R55-R54)</f>
        <v>8.5265128291212E-014</v>
      </c>
      <c r="M55" s="117" t="n">
        <f aca="false">M54+G55</f>
        <v>1866.56</v>
      </c>
      <c r="N55" s="117" t="n">
        <f aca="false">N54+H55</f>
        <v>649.96</v>
      </c>
      <c r="O55" s="117" t="n">
        <f aca="false">O54+I55</f>
        <v>220.83</v>
      </c>
      <c r="P55" s="117" t="n">
        <f aca="false">P54+J55</f>
        <v>241.66</v>
      </c>
      <c r="Q55" s="132" t="n">
        <f aca="false">200+200*SUM('War credit'!$B$74:B76)/entente_total</f>
        <v>283.32</v>
      </c>
      <c r="R55" s="117" t="n">
        <f aca="false">R54+G55+H55+I55+J55+D55-C55-K55</f>
        <v>279.17</v>
      </c>
      <c r="S55" s="117" t="n">
        <f aca="false">F55+Q55+R55-M55-N55-O55-P55</f>
        <v>0</v>
      </c>
      <c r="T55" s="132" t="n">
        <f aca="false">N55*'Sources &amp; uses'!$E$36</f>
        <v>389.976</v>
      </c>
      <c r="U55" s="132" t="n">
        <f aca="false">Abroad!H76-'War credit'!T76-T55</f>
        <v>2867.86946019783</v>
      </c>
      <c r="V55" s="117" t="n">
        <f aca="false">F55-N55</f>
        <v>1766.56</v>
      </c>
    </row>
    <row r="56" customFormat="false" ht="19.5" hidden="false" customHeight="true" outlineLevel="0" collapsed="false">
      <c r="A56" s="121" t="n">
        <v>1917</v>
      </c>
      <c r="B56" s="117" t="n">
        <f aca="false">F55</f>
        <v>2416.52</v>
      </c>
      <c r="C56" s="132" t="n">
        <f aca="false">($E$12+$D$31)*'War credit'!B77/entente_total</f>
        <v>930</v>
      </c>
      <c r="D56" s="132" t="n">
        <f aca="false">$E$13*'War credit'!B77/entente_total</f>
        <v>270</v>
      </c>
      <c r="E56" s="116" t="n">
        <v>0</v>
      </c>
      <c r="F56" s="117" t="n">
        <f aca="false">B56+C56-D56-E56</f>
        <v>3076.52</v>
      </c>
      <c r="G56" s="132" t="n">
        <f aca="false">$E$14*'War credit'!B77/entente_total</f>
        <v>480</v>
      </c>
      <c r="H56" s="132" t="n">
        <f aca="false">$E$15*(1-$E$23+$E$23*$D$25/$E$22)*'War credit'!B77/entente_total</f>
        <v>180</v>
      </c>
      <c r="I56" s="132" t="n">
        <f aca="false">$E$16*'War credit'!B77/entente_total</f>
        <v>15</v>
      </c>
      <c r="J56" s="132" t="n">
        <f aca="false">$E$17*'War credit'!B77/entente_total</f>
        <v>30</v>
      </c>
      <c r="K56" s="117" t="n">
        <f aca="false">Q56-Q55</f>
        <v>60</v>
      </c>
      <c r="L56" s="117" t="n">
        <f aca="false">G56+H56+I56+J56+D56-C56-K56-(R56-R55)</f>
        <v>-1.13686837721616E-013</v>
      </c>
      <c r="M56" s="117" t="n">
        <f aca="false">M55+G56</f>
        <v>2346.56</v>
      </c>
      <c r="N56" s="117" t="n">
        <f aca="false">N55+H56</f>
        <v>829.96</v>
      </c>
      <c r="O56" s="117" t="n">
        <f aca="false">O55+I56</f>
        <v>235.83</v>
      </c>
      <c r="P56" s="117" t="n">
        <f aca="false">P55+J56</f>
        <v>271.66</v>
      </c>
      <c r="Q56" s="132" t="n">
        <f aca="false">200+200*SUM('War credit'!$B$74:B77)/entente_total</f>
        <v>343.32</v>
      </c>
      <c r="R56" s="117" t="n">
        <f aca="false">R55+G56+H56+I56+J56+D56-C56-K56</f>
        <v>264.17</v>
      </c>
      <c r="S56" s="117" t="n">
        <f aca="false">F56+Q56+R56-M56-N56-O56-P56</f>
        <v>0</v>
      </c>
      <c r="T56" s="132" t="n">
        <f aca="false">N56*'Sources &amp; uses'!$E$36</f>
        <v>497.976</v>
      </c>
      <c r="U56" s="132" t="n">
        <f aca="false">Abroad!H77-'War credit'!T77-T56</f>
        <v>2974.88936528996</v>
      </c>
      <c r="V56" s="117" t="n">
        <f aca="false">F56-N56</f>
        <v>2246.56</v>
      </c>
    </row>
    <row r="57" customFormat="false" ht="19.5" hidden="false" customHeight="true" outlineLevel="0" collapsed="false">
      <c r="A57" s="121" t="n">
        <v>1918</v>
      </c>
      <c r="B57" s="117" t="n">
        <f aca="false">F56</f>
        <v>3076.52</v>
      </c>
      <c r="C57" s="132" t="n">
        <f aca="false">($E$12+$D$31)*'War credit'!B78/entente_total</f>
        <v>878.54</v>
      </c>
      <c r="D57" s="132" t="n">
        <f aca="false">$E$13*'War credit'!B78/entente_total</f>
        <v>255.06</v>
      </c>
      <c r="E57" s="116" t="n">
        <v>0</v>
      </c>
      <c r="F57" s="117" t="n">
        <f aca="false">B57+C57-D57-E57</f>
        <v>3700</v>
      </c>
      <c r="G57" s="132" t="n">
        <f aca="false">$E$14*'War credit'!B78/entente_total</f>
        <v>453.44</v>
      </c>
      <c r="H57" s="132" t="n">
        <f aca="false">$E$15*(1-$E$23+$E$23*$D$25/$E$22)*'War credit'!B78/entente_total</f>
        <v>170.04</v>
      </c>
      <c r="I57" s="132" t="n">
        <f aca="false">$E$16*'War credit'!B78/entente_total</f>
        <v>14.17</v>
      </c>
      <c r="J57" s="132" t="n">
        <f aca="false">$E$17*'War credit'!B78/entente_total</f>
        <v>28.34</v>
      </c>
      <c r="K57" s="117" t="n">
        <f aca="false">Q57-Q56</f>
        <v>56.68</v>
      </c>
      <c r="L57" s="117" t="n">
        <f aca="false">G57+H57+I57+J57+D57-C57-K57-(R57-R56)</f>
        <v>0</v>
      </c>
      <c r="M57" s="117" t="n">
        <f aca="false">M56+G57</f>
        <v>2800</v>
      </c>
      <c r="N57" s="117" t="n">
        <f aca="false">N56+H57</f>
        <v>1000</v>
      </c>
      <c r="O57" s="117" t="n">
        <f aca="false">O56+I57</f>
        <v>250</v>
      </c>
      <c r="P57" s="117" t="n">
        <f aca="false">P56+J57</f>
        <v>300</v>
      </c>
      <c r="Q57" s="132" t="n">
        <f aca="false">200+200*SUM('War credit'!$B$74:B78)/entente_total</f>
        <v>400</v>
      </c>
      <c r="R57" s="117" t="n">
        <f aca="false">R56+G57+H57+I57+J57+D57-C57-K57</f>
        <v>250</v>
      </c>
      <c r="S57" s="117" t="n">
        <f aca="false">F57+Q57+R57-M57-N57-O57-P57</f>
        <v>0</v>
      </c>
      <c r="T57" s="132" t="n">
        <f aca="false">N57*'Sources &amp; uses'!$E$36</f>
        <v>600</v>
      </c>
      <c r="U57" s="132" t="n">
        <f aca="false">Abroad!H78-'War credit'!T78-T57</f>
        <v>3149.22480580851</v>
      </c>
      <c r="V57" s="117" t="n">
        <f aca="false">F57-N57</f>
        <v>2700</v>
      </c>
    </row>
    <row r="58" customFormat="false" ht="19.5" hidden="false" customHeight="true" outlineLevel="0" collapsed="false">
      <c r="A58" s="121" t="n">
        <v>1919</v>
      </c>
      <c r="B58" s="117" t="n">
        <f aca="false">F57</f>
        <v>3700</v>
      </c>
      <c r="C58" s="116" t="n">
        <v>150</v>
      </c>
      <c r="D58" s="116" t="n">
        <v>250</v>
      </c>
      <c r="E58" s="116" t="n">
        <v>0</v>
      </c>
      <c r="F58" s="117" t="n">
        <f aca="false">B58+C58-D58-E58</f>
        <v>3600</v>
      </c>
      <c r="G58" s="116" t="n">
        <v>50</v>
      </c>
      <c r="H58" s="116" t="n">
        <f aca="false">IF(Levers!$E$4=1,100,100)</f>
        <v>100</v>
      </c>
      <c r="I58" s="116" t="n">
        <v>0</v>
      </c>
      <c r="J58" s="116" t="n">
        <v>12.5</v>
      </c>
      <c r="K58" s="117" t="n">
        <f aca="false">Q58-Q57</f>
        <v>50</v>
      </c>
      <c r="L58" s="117" t="n">
        <f aca="false">G58+H58+I58+J58+D58-C58-K58-(R58-R57)</f>
        <v>0</v>
      </c>
      <c r="M58" s="117" t="n">
        <f aca="false">M57+G58</f>
        <v>2850</v>
      </c>
      <c r="N58" s="117" t="n">
        <f aca="false">N57+H58</f>
        <v>1100</v>
      </c>
      <c r="O58" s="117" t="n">
        <f aca="false">O57+I58</f>
        <v>250</v>
      </c>
      <c r="P58" s="117" t="n">
        <f aca="false">P57+J58</f>
        <v>312.5</v>
      </c>
      <c r="Q58" s="117" t="n">
        <f aca="false">400+(A58-1918)*50</f>
        <v>450</v>
      </c>
      <c r="R58" s="117" t="n">
        <f aca="false">R57+G58+H58+I58+J58+D58-C58-K58</f>
        <v>462.5</v>
      </c>
      <c r="S58" s="117" t="n">
        <f aca="false">F58+Q58+R58-M58-N58-O58-P58</f>
        <v>0</v>
      </c>
      <c r="T58" s="132" t="n">
        <f aca="false">N58*'Sources &amp; uses'!$E$36</f>
        <v>660</v>
      </c>
      <c r="U58" s="132" t="n">
        <f aca="false">Abroad!H79-'War credit'!T79-T58</f>
        <v>4504.47431582624</v>
      </c>
      <c r="V58" s="117" t="n">
        <f aca="false">F58-N58</f>
        <v>2500</v>
      </c>
    </row>
    <row r="59" customFormat="false" ht="19.5" hidden="false" customHeight="true" outlineLevel="0" collapsed="false">
      <c r="A59" s="121" t="n">
        <v>1920</v>
      </c>
      <c r="B59" s="117" t="n">
        <f aca="false">F58</f>
        <v>3600</v>
      </c>
      <c r="C59" s="116" t="n">
        <v>150</v>
      </c>
      <c r="D59" s="116" t="n">
        <v>250</v>
      </c>
      <c r="E59" s="116" t="n">
        <v>0</v>
      </c>
      <c r="F59" s="117" t="n">
        <f aca="false">B59+C59-D59-E59</f>
        <v>3500</v>
      </c>
      <c r="G59" s="116" t="n">
        <v>50</v>
      </c>
      <c r="H59" s="116" t="n">
        <f aca="false">IF(Levers!$E$4=1,100,100)</f>
        <v>100</v>
      </c>
      <c r="I59" s="116" t="n">
        <v>0</v>
      </c>
      <c r="J59" s="116" t="n">
        <v>12.5</v>
      </c>
      <c r="K59" s="117" t="n">
        <f aca="false">Q59-Q58</f>
        <v>50</v>
      </c>
      <c r="L59" s="117" t="n">
        <f aca="false">G59+H59+I59+J59+D59-C59-K59-(R59-R58)</f>
        <v>0</v>
      </c>
      <c r="M59" s="117" t="n">
        <f aca="false">M58+G59</f>
        <v>2900</v>
      </c>
      <c r="N59" s="117" t="n">
        <f aca="false">N58+H59</f>
        <v>1200</v>
      </c>
      <c r="O59" s="117" t="n">
        <f aca="false">O58+I59</f>
        <v>250</v>
      </c>
      <c r="P59" s="117" t="n">
        <f aca="false">P58+J59</f>
        <v>325</v>
      </c>
      <c r="Q59" s="117" t="n">
        <f aca="false">400+(A59-1918)*50</f>
        <v>500</v>
      </c>
      <c r="R59" s="117" t="n">
        <f aca="false">R58+G59+H59+I59+J59+D59-C59-K59</f>
        <v>675</v>
      </c>
      <c r="S59" s="117" t="n">
        <f aca="false">F59+Q59+R59-M59-N59-O59-P59</f>
        <v>0</v>
      </c>
      <c r="T59" s="132" t="n">
        <f aca="false">N59*'Sources &amp; uses'!$E$36</f>
        <v>720</v>
      </c>
      <c r="U59" s="132" t="n">
        <f aca="false">Abroad!H80-'War credit'!T80-T59</f>
        <v>6083.98473861914</v>
      </c>
      <c r="V59" s="117" t="n">
        <f aca="false">F59-N59</f>
        <v>2300</v>
      </c>
    </row>
    <row r="60" customFormat="false" ht="19.5" hidden="false" customHeight="true" outlineLevel="0" collapsed="false">
      <c r="A60" s="121" t="n">
        <v>1921</v>
      </c>
      <c r="B60" s="117" t="n">
        <f aca="false">F59</f>
        <v>3500</v>
      </c>
      <c r="C60" s="116" t="n">
        <v>150</v>
      </c>
      <c r="D60" s="116" t="n">
        <v>250</v>
      </c>
      <c r="E60" s="116" t="n">
        <v>0</v>
      </c>
      <c r="F60" s="117" t="n">
        <f aca="false">B60+C60-D60-E60</f>
        <v>3400</v>
      </c>
      <c r="G60" s="116" t="n">
        <v>50</v>
      </c>
      <c r="H60" s="116" t="n">
        <f aca="false">IF(Levers!$E$4=1,75,100)</f>
        <v>75</v>
      </c>
      <c r="I60" s="116" t="n">
        <v>0</v>
      </c>
      <c r="J60" s="116" t="n">
        <v>12.5</v>
      </c>
      <c r="K60" s="117" t="n">
        <f aca="false">Q60-Q59</f>
        <v>50</v>
      </c>
      <c r="L60" s="117" t="n">
        <f aca="false">G60+H60+I60+J60+D60-C60-K60-(R60-R59)</f>
        <v>0</v>
      </c>
      <c r="M60" s="117" t="n">
        <f aca="false">M59+G60</f>
        <v>2950</v>
      </c>
      <c r="N60" s="117" t="n">
        <f aca="false">N59+H60</f>
        <v>1275</v>
      </c>
      <c r="O60" s="117" t="n">
        <f aca="false">O59+I60</f>
        <v>250</v>
      </c>
      <c r="P60" s="117" t="n">
        <f aca="false">P59+J60</f>
        <v>337.5</v>
      </c>
      <c r="Q60" s="117" t="n">
        <f aca="false">400+(A60-1918)*50</f>
        <v>550</v>
      </c>
      <c r="R60" s="117" t="n">
        <f aca="false">R59+G60+H60+I60+J60+D60-C60-K60</f>
        <v>862.5</v>
      </c>
      <c r="S60" s="117" t="n">
        <f aca="false">F60+Q60+R60-M60-N60-O60-P60</f>
        <v>0</v>
      </c>
      <c r="T60" s="132" t="n">
        <f aca="false">N60*'Sources &amp; uses'!$E$36</f>
        <v>765</v>
      </c>
      <c r="U60" s="132" t="n">
        <f aca="false">Abroad!H81-'War credit'!T81-T60</f>
        <v>7301.89392967441</v>
      </c>
      <c r="V60" s="117" t="n">
        <f aca="false">F60-N60</f>
        <v>2125</v>
      </c>
    </row>
    <row r="61" customFormat="false" ht="19.5" hidden="false" customHeight="true" outlineLevel="0" collapsed="false">
      <c r="A61" s="121" t="n">
        <v>1922</v>
      </c>
      <c r="B61" s="117" t="n">
        <f aca="false">F60</f>
        <v>3400</v>
      </c>
      <c r="C61" s="116" t="n">
        <v>150</v>
      </c>
      <c r="D61" s="116" t="n">
        <v>250</v>
      </c>
      <c r="E61" s="116" t="n">
        <v>0</v>
      </c>
      <c r="F61" s="117" t="n">
        <f aca="false">B61+C61-D61-E61</f>
        <v>3300</v>
      </c>
      <c r="G61" s="116" t="n">
        <v>50</v>
      </c>
      <c r="H61" s="116" t="n">
        <f aca="false">IF(Levers!$E$4=1,75,100)</f>
        <v>75</v>
      </c>
      <c r="I61" s="116" t="n">
        <v>0</v>
      </c>
      <c r="J61" s="116" t="n">
        <v>12.5</v>
      </c>
      <c r="K61" s="117" t="n">
        <f aca="false">Q61-Q60</f>
        <v>50</v>
      </c>
      <c r="L61" s="117" t="n">
        <f aca="false">G61+H61+I61+J61+D61-C61-K61-(R61-R60)</f>
        <v>0</v>
      </c>
      <c r="M61" s="117" t="n">
        <f aca="false">M60+G61</f>
        <v>3000</v>
      </c>
      <c r="N61" s="117" t="n">
        <f aca="false">N60+H61</f>
        <v>1350</v>
      </c>
      <c r="O61" s="117" t="n">
        <f aca="false">O60+I61</f>
        <v>250</v>
      </c>
      <c r="P61" s="117" t="n">
        <f aca="false">P60+J61</f>
        <v>350</v>
      </c>
      <c r="Q61" s="117" t="n">
        <f aca="false">400+(A61-1918)*50</f>
        <v>600</v>
      </c>
      <c r="R61" s="117" t="n">
        <f aca="false">R60+G61+H61+I61+J61+D61-C61-K61</f>
        <v>1050</v>
      </c>
      <c r="S61" s="117" t="n">
        <f aca="false">F61+Q61+R61-M61-N61-O61-P61</f>
        <v>0</v>
      </c>
      <c r="T61" s="132" t="n">
        <f aca="false">N61*'Sources &amp; uses'!$E$36</f>
        <v>810</v>
      </c>
      <c r="U61" s="132" t="n">
        <f aca="false">Abroad!H82-'War credit'!T82-T61</f>
        <v>8533.37524645886</v>
      </c>
      <c r="V61" s="117" t="n">
        <f aca="false">F61-N61</f>
        <v>1950</v>
      </c>
    </row>
    <row r="62" customFormat="false" ht="19.5" hidden="false" customHeight="true" outlineLevel="0" collapsed="false">
      <c r="A62" s="121" t="n">
        <v>1923</v>
      </c>
      <c r="B62" s="117" t="n">
        <f aca="false">F61</f>
        <v>3300</v>
      </c>
      <c r="C62" s="132" t="n">
        <f aca="false">IF(Levers!$E$4=1,1000,1062.5)</f>
        <v>1000</v>
      </c>
      <c r="D62" s="116" t="n">
        <v>100</v>
      </c>
      <c r="E62" s="116" t="n">
        <v>0</v>
      </c>
      <c r="F62" s="117" t="n">
        <f aca="false">B62+C62-D62-E62</f>
        <v>4200</v>
      </c>
      <c r="G62" s="116" t="n">
        <v>200</v>
      </c>
      <c r="H62" s="132" t="n">
        <f aca="false">IF(Levers!$E$4=1,300,350)</f>
        <v>300</v>
      </c>
      <c r="I62" s="116" t="n">
        <v>20</v>
      </c>
      <c r="J62" s="116" t="n">
        <v>10</v>
      </c>
      <c r="K62" s="117" t="n">
        <f aca="false">Q62-Q61</f>
        <v>-50</v>
      </c>
      <c r="L62" s="117" t="n">
        <f aca="false">G62+H62+I62+J62+D62-C62-K62-(R62-R61)</f>
        <v>0</v>
      </c>
      <c r="M62" s="117" t="n">
        <f aca="false">M61+G62</f>
        <v>3200</v>
      </c>
      <c r="N62" s="117" t="n">
        <f aca="false">N61+H62</f>
        <v>1650</v>
      </c>
      <c r="O62" s="117" t="n">
        <f aca="false">O61+I62</f>
        <v>270</v>
      </c>
      <c r="P62" s="117" t="n">
        <f aca="false">P61+J62</f>
        <v>360</v>
      </c>
      <c r="Q62" s="132" t="n">
        <f aca="false">600-(A62-1922)*IF(Levers!$E$4=1,50,62.5)</f>
        <v>550</v>
      </c>
      <c r="R62" s="117" t="n">
        <f aca="false">R61+G62+H62+I62+J62+D62-C62-K62</f>
        <v>730</v>
      </c>
      <c r="S62" s="117" t="n">
        <f aca="false">F62+Q62+R62-M62-N62-O62-P62</f>
        <v>0</v>
      </c>
      <c r="T62" s="132" t="n">
        <f aca="false">N62*'Sources &amp; uses'!$E$36</f>
        <v>990</v>
      </c>
      <c r="U62" s="132" t="n">
        <f aca="false">Abroad!H83-'War credit'!T83-T62</f>
        <v>9787.0477341287</v>
      </c>
      <c r="V62" s="117" t="n">
        <f aca="false">F62-N62</f>
        <v>2550</v>
      </c>
    </row>
    <row r="63" customFormat="false" ht="19.5" hidden="false" customHeight="true" outlineLevel="0" collapsed="false">
      <c r="A63" s="121" t="n">
        <v>1924</v>
      </c>
      <c r="B63" s="117" t="n">
        <f aca="false">F62</f>
        <v>4200</v>
      </c>
      <c r="C63" s="132" t="n">
        <f aca="false">IF(Levers!$E$4=1,800,862.5)</f>
        <v>800</v>
      </c>
      <c r="D63" s="116" t="n">
        <v>150</v>
      </c>
      <c r="E63" s="116" t="n">
        <v>0</v>
      </c>
      <c r="F63" s="117" t="n">
        <f aca="false">B63+C63-D63-E63</f>
        <v>4850</v>
      </c>
      <c r="G63" s="116" t="n">
        <v>200</v>
      </c>
      <c r="H63" s="132" t="n">
        <f aca="false">IF(Levers!$E$4=1,200,250)</f>
        <v>200</v>
      </c>
      <c r="I63" s="116" t="n">
        <v>10</v>
      </c>
      <c r="J63" s="116" t="n">
        <v>10</v>
      </c>
      <c r="K63" s="117" t="n">
        <f aca="false">Q63-Q62</f>
        <v>-50</v>
      </c>
      <c r="L63" s="117" t="n">
        <f aca="false">G63+H63+I63+J63+D63-C63-K63-(R63-R62)</f>
        <v>0</v>
      </c>
      <c r="M63" s="117" t="n">
        <f aca="false">M62+G63</f>
        <v>3400</v>
      </c>
      <c r="N63" s="117" t="n">
        <f aca="false">N62+H63</f>
        <v>1850</v>
      </c>
      <c r="O63" s="117" t="n">
        <f aca="false">O62+I63</f>
        <v>280</v>
      </c>
      <c r="P63" s="117" t="n">
        <f aca="false">P62+J63</f>
        <v>370</v>
      </c>
      <c r="Q63" s="132" t="n">
        <f aca="false">600-(A63-1922)*IF(Levers!$E$4=1,50,62.5)</f>
        <v>500</v>
      </c>
      <c r="R63" s="117" t="n">
        <f aca="false">R62+G63+H63+I63+J63+D63-C63-K63</f>
        <v>550</v>
      </c>
      <c r="S63" s="117" t="n">
        <f aca="false">F63+Q63+R63-M63-N63-O63-P63</f>
        <v>0</v>
      </c>
      <c r="T63" s="132" t="n">
        <f aca="false">N63*'Sources &amp; uses'!$E$36</f>
        <v>1110</v>
      </c>
      <c r="U63" s="132" t="n">
        <f aca="false">Abroad!H84-'War credit'!T84-T63</f>
        <v>11172.8391387656</v>
      </c>
      <c r="V63" s="117" t="n">
        <f aca="false">F63-N63</f>
        <v>3000</v>
      </c>
    </row>
    <row r="64" customFormat="false" ht="19.5" hidden="false" customHeight="true" outlineLevel="0" collapsed="false">
      <c r="A64" s="121" t="n">
        <v>1925</v>
      </c>
      <c r="B64" s="117" t="n">
        <f aca="false">F63</f>
        <v>4850</v>
      </c>
      <c r="C64" s="132" t="n">
        <f aca="false">IF(Levers!$E$4=1,600,662.5)</f>
        <v>600</v>
      </c>
      <c r="D64" s="116" t="n">
        <v>200</v>
      </c>
      <c r="E64" s="116" t="n">
        <v>0</v>
      </c>
      <c r="F64" s="117" t="n">
        <f aca="false">B64+C64-D64-E64</f>
        <v>5250</v>
      </c>
      <c r="G64" s="116" t="n">
        <v>150</v>
      </c>
      <c r="H64" s="132" t="n">
        <f aca="false">IF(Levers!$E$4=1,75,100)</f>
        <v>75</v>
      </c>
      <c r="I64" s="116" t="n">
        <v>10</v>
      </c>
      <c r="J64" s="116" t="n">
        <v>15</v>
      </c>
      <c r="K64" s="117" t="n">
        <f aca="false">Q64-Q63</f>
        <v>-50</v>
      </c>
      <c r="L64" s="117" t="n">
        <f aca="false">G64+H64+I64+J64+D64-C64-K64-(R64-R63)</f>
        <v>0</v>
      </c>
      <c r="M64" s="117" t="n">
        <f aca="false">M63+G64</f>
        <v>3550</v>
      </c>
      <c r="N64" s="117" t="n">
        <f aca="false">N63+H64</f>
        <v>1925</v>
      </c>
      <c r="O64" s="117" t="n">
        <f aca="false">O63+I64</f>
        <v>290</v>
      </c>
      <c r="P64" s="117" t="n">
        <f aca="false">P63+J64</f>
        <v>385</v>
      </c>
      <c r="Q64" s="132" t="n">
        <f aca="false">600-(A64-1922)*IF(Levers!$E$4=1,50,62.5)</f>
        <v>450</v>
      </c>
      <c r="R64" s="117" t="n">
        <f aca="false">R63+G64+H64+I64+J64+D64-C64-K64</f>
        <v>450</v>
      </c>
      <c r="S64" s="117" t="n">
        <f aca="false">F64+Q64+R64-M64-N64-O64-P64</f>
        <v>0</v>
      </c>
      <c r="T64" s="132" t="n">
        <f aca="false">N64*'Sources &amp; uses'!$E$36</f>
        <v>1155</v>
      </c>
      <c r="U64" s="132" t="n">
        <f aca="false">Abroad!H85-'War credit'!T85-T64</f>
        <v>12736.6454639184</v>
      </c>
      <c r="V64" s="117" t="n">
        <f aca="false">F64-N64</f>
        <v>3325</v>
      </c>
    </row>
    <row r="65" customFormat="false" ht="19.5" hidden="false" customHeight="true" outlineLevel="0" collapsed="false">
      <c r="A65" s="121" t="n">
        <v>1926</v>
      </c>
      <c r="B65" s="117" t="n">
        <f aca="false">F64</f>
        <v>5250</v>
      </c>
      <c r="C65" s="132" t="n">
        <f aca="false">IF(Levers!$E$4=1,400,462.5)</f>
        <v>400</v>
      </c>
      <c r="D65" s="116" t="n">
        <v>250</v>
      </c>
      <c r="E65" s="116" t="n">
        <v>0</v>
      </c>
      <c r="F65" s="117" t="n">
        <f aca="false">B65+C65-D65-E65</f>
        <v>5400</v>
      </c>
      <c r="G65" s="116" t="n">
        <v>150</v>
      </c>
      <c r="H65" s="132" t="n">
        <f aca="false">IF(Levers!$E$4=1,75,100)</f>
        <v>75</v>
      </c>
      <c r="I65" s="116" t="n">
        <v>10</v>
      </c>
      <c r="J65" s="116" t="n">
        <v>15</v>
      </c>
      <c r="K65" s="117" t="n">
        <f aca="false">Q65-Q64</f>
        <v>-50</v>
      </c>
      <c r="L65" s="117" t="n">
        <f aca="false">G65+H65+I65+J65+D65-C65-K65-(R65-R64)</f>
        <v>0</v>
      </c>
      <c r="M65" s="117" t="n">
        <f aca="false">M64+G65</f>
        <v>3700</v>
      </c>
      <c r="N65" s="117" t="n">
        <f aca="false">N64+H65</f>
        <v>2000</v>
      </c>
      <c r="O65" s="117" t="n">
        <f aca="false">O64+I65</f>
        <v>300</v>
      </c>
      <c r="P65" s="117" t="n">
        <f aca="false">P64+J65</f>
        <v>400</v>
      </c>
      <c r="Q65" s="132" t="n">
        <f aca="false">600-(A65-1922)*IF(Levers!$E$4=1,50,62.5)</f>
        <v>400</v>
      </c>
      <c r="R65" s="117" t="n">
        <f aca="false">R64+G65+H65+I65+J65+D65-C65-K65</f>
        <v>600</v>
      </c>
      <c r="S65" s="117" t="n">
        <f aca="false">F65+Q65+R65-M65-N65-O65-P65</f>
        <v>0</v>
      </c>
      <c r="T65" s="132" t="n">
        <f aca="false">N65*'Sources &amp; uses'!$E$36</f>
        <v>1200</v>
      </c>
      <c r="U65" s="132" t="n">
        <f aca="false">Abroad!H86-'War credit'!T86-T65</f>
        <v>14337.4422072465</v>
      </c>
      <c r="V65" s="117" t="n">
        <f aca="false">F65-N65</f>
        <v>3400</v>
      </c>
    </row>
    <row r="66" customFormat="false" ht="19.5" hidden="false" customHeight="true" outlineLevel="0" collapsed="false">
      <c r="A66" s="110"/>
      <c r="B66" s="113"/>
      <c r="C66" s="113"/>
      <c r="D66" s="113"/>
      <c r="E66" s="113"/>
      <c r="F66" s="113"/>
      <c r="G66" s="113"/>
      <c r="H66" s="113"/>
      <c r="I66" s="113"/>
      <c r="J66" s="113"/>
      <c r="K66" s="113"/>
      <c r="L66" s="113"/>
      <c r="M66" s="113"/>
      <c r="N66" s="113"/>
      <c r="O66" s="113"/>
      <c r="P66" s="113"/>
      <c r="Q66" s="113"/>
      <c r="R66" s="113"/>
      <c r="S66" s="113"/>
      <c r="T66" s="113"/>
      <c r="U66" s="113"/>
      <c r="V66" s="113"/>
    </row>
    <row r="67" customFormat="false" ht="19.5" hidden="false" customHeight="true" outlineLevel="0" collapsed="false">
      <c r="A67" s="110"/>
      <c r="B67" s="113"/>
      <c r="C67" s="113"/>
      <c r="D67" s="113"/>
      <c r="E67" s="113"/>
      <c r="F67" s="113"/>
      <c r="G67" s="113"/>
      <c r="H67" s="113"/>
      <c r="I67" s="113"/>
      <c r="J67" s="113"/>
      <c r="K67" s="113"/>
      <c r="L67" s="113"/>
      <c r="M67" s="113"/>
      <c r="N67" s="113"/>
      <c r="O67" s="113"/>
      <c r="P67" s="113"/>
      <c r="Q67" s="113"/>
      <c r="R67" s="113"/>
      <c r="S67" s="113"/>
      <c r="T67" s="113"/>
      <c r="U67" s="113"/>
      <c r="V67" s="113"/>
    </row>
    <row r="68" customFormat="false" ht="19.5" hidden="false" customHeight="true" outlineLevel="0" collapsed="false">
      <c r="A68" s="110" t="s">
        <v>2586</v>
      </c>
      <c r="B68" s="113"/>
      <c r="C68" s="113"/>
      <c r="D68" s="113"/>
      <c r="E68" s="113"/>
      <c r="F68" s="113"/>
      <c r="G68" s="113"/>
      <c r="H68" s="113"/>
      <c r="I68" s="113"/>
      <c r="J68" s="113"/>
      <c r="K68" s="113"/>
      <c r="L68" s="113"/>
      <c r="M68" s="113"/>
      <c r="N68" s="113"/>
      <c r="O68" s="113"/>
      <c r="P68" s="113"/>
      <c r="Q68" s="113"/>
      <c r="R68" s="113"/>
      <c r="S68" s="113"/>
      <c r="T68" s="113"/>
      <c r="U68" s="113"/>
      <c r="V68" s="113"/>
    </row>
    <row r="69" customFormat="false" ht="19.5" hidden="false" customHeight="true" outlineLevel="0" collapsed="false">
      <c r="A69" s="110" t="s">
        <v>2587</v>
      </c>
      <c r="B69" s="113"/>
      <c r="C69" s="113"/>
      <c r="D69" s="113"/>
      <c r="E69" s="113"/>
      <c r="F69" s="113"/>
      <c r="G69" s="113"/>
      <c r="H69" s="113"/>
      <c r="I69" s="113"/>
      <c r="J69" s="113"/>
      <c r="K69" s="113"/>
      <c r="L69" s="113"/>
      <c r="M69" s="113"/>
      <c r="N69" s="113"/>
      <c r="O69" s="113"/>
      <c r="P69" s="113"/>
      <c r="Q69" s="113"/>
      <c r="R69" s="113"/>
      <c r="S69" s="113"/>
      <c r="T69" s="113"/>
      <c r="U69" s="113"/>
      <c r="V69" s="113"/>
    </row>
    <row r="70" customFormat="false" ht="19.5" hidden="false" customHeight="true" outlineLevel="0" collapsed="false">
      <c r="A70" s="110" t="s">
        <v>2588</v>
      </c>
      <c r="B70" s="113"/>
      <c r="C70" s="113"/>
      <c r="D70" s="113"/>
      <c r="E70" s="113"/>
      <c r="F70" s="113"/>
      <c r="G70" s="113"/>
      <c r="H70" s="113"/>
      <c r="I70" s="113"/>
      <c r="J70" s="113"/>
      <c r="K70" s="113"/>
      <c r="L70" s="113"/>
      <c r="M70" s="113"/>
      <c r="N70" s="113"/>
      <c r="O70" s="113"/>
      <c r="P70" s="113"/>
      <c r="Q70" s="113"/>
      <c r="R70" s="113"/>
      <c r="S70" s="113"/>
      <c r="T70" s="113"/>
      <c r="U70" s="113"/>
      <c r="V70" s="113"/>
    </row>
    <row r="71" customFormat="false" ht="19.5" hidden="false" customHeight="true" outlineLevel="0" collapsed="false">
      <c r="A71" s="110" t="s">
        <v>2589</v>
      </c>
      <c r="B71" s="113"/>
      <c r="C71" s="113"/>
      <c r="D71" s="113"/>
      <c r="E71" s="113"/>
      <c r="F71" s="113"/>
      <c r="G71" s="113"/>
      <c r="H71" s="113"/>
      <c r="I71" s="113"/>
      <c r="J71" s="113"/>
      <c r="K71" s="113"/>
      <c r="L71" s="113"/>
      <c r="M71" s="113"/>
      <c r="N71" s="113"/>
      <c r="O71" s="113"/>
      <c r="P71" s="113"/>
      <c r="Q71" s="113"/>
      <c r="R71" s="113"/>
      <c r="S71" s="113"/>
      <c r="T71" s="113"/>
      <c r="U71" s="113"/>
      <c r="V71" s="113"/>
    </row>
    <row r="72" customFormat="false" ht="19.5" hidden="false" customHeight="true" outlineLevel="0" collapsed="false">
      <c r="A72" s="110" t="s">
        <v>2590</v>
      </c>
      <c r="B72" s="113"/>
      <c r="C72" s="113"/>
      <c r="D72" s="113"/>
      <c r="E72" s="113"/>
      <c r="F72" s="113"/>
      <c r="G72" s="113"/>
      <c r="H72" s="113"/>
      <c r="I72" s="113"/>
      <c r="J72" s="113"/>
      <c r="K72" s="113"/>
      <c r="L72" s="113"/>
      <c r="M72" s="113"/>
      <c r="N72" s="113"/>
      <c r="O72" s="113"/>
      <c r="P72" s="113"/>
      <c r="Q72" s="113"/>
      <c r="R72" s="113"/>
      <c r="S72" s="113"/>
      <c r="T72" s="113"/>
      <c r="U72" s="113"/>
      <c r="V72" s="1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8671875" defaultRowHeight="14.25" zeroHeight="false" outlineLevelRow="0" outlineLevelCol="0"/>
  <cols>
    <col collapsed="false" customWidth="true" hidden="false" outlineLevel="0" max="1" min="1" style="1" width="8"/>
    <col collapsed="false" customWidth="true" hidden="false" outlineLevel="0" max="26" min="2" style="1" width="17"/>
  </cols>
  <sheetData>
    <row r="1" customFormat="false" ht="19.5" hidden="false" customHeight="true" outlineLevel="0" collapsed="false">
      <c r="A1" s="109" t="s">
        <v>2591</v>
      </c>
      <c r="B1" s="110"/>
      <c r="C1" s="110"/>
      <c r="D1" s="110"/>
      <c r="E1" s="110"/>
      <c r="F1" s="110"/>
      <c r="G1" s="110"/>
      <c r="H1" s="110"/>
      <c r="I1" s="110"/>
      <c r="J1" s="110"/>
      <c r="K1" s="110"/>
      <c r="L1" s="110"/>
      <c r="M1" s="110"/>
      <c r="N1" s="110"/>
      <c r="O1" s="110"/>
      <c r="P1" s="110"/>
      <c r="Q1" s="110"/>
      <c r="R1" s="110"/>
      <c r="S1" s="110"/>
      <c r="T1" s="110"/>
      <c r="U1" s="110"/>
      <c r="V1" s="110"/>
      <c r="W1" s="110"/>
      <c r="X1" s="110"/>
      <c r="Y1" s="110"/>
      <c r="Z1" s="110"/>
    </row>
    <row r="2" customFormat="false" ht="19.5" hidden="false" customHeight="true" outlineLevel="0" collapsed="false">
      <c r="A2" s="111" t="s">
        <v>2592</v>
      </c>
      <c r="B2" s="110"/>
      <c r="C2" s="110"/>
      <c r="D2" s="110"/>
      <c r="E2" s="110"/>
      <c r="F2" s="110"/>
      <c r="G2" s="110"/>
      <c r="H2" s="110"/>
      <c r="I2" s="110"/>
      <c r="J2" s="110"/>
      <c r="K2" s="110"/>
      <c r="L2" s="110"/>
      <c r="M2" s="110"/>
      <c r="N2" s="110"/>
      <c r="O2" s="110"/>
      <c r="P2" s="110"/>
      <c r="Q2" s="110"/>
      <c r="R2" s="110"/>
      <c r="S2" s="110"/>
      <c r="T2" s="110"/>
      <c r="U2" s="110"/>
      <c r="V2" s="110"/>
      <c r="W2" s="110"/>
      <c r="X2" s="110"/>
      <c r="Y2" s="110"/>
      <c r="Z2" s="110"/>
    </row>
    <row r="3" customFormat="false" ht="19.5" hidden="false" customHeight="true" outlineLevel="0" collapsed="false">
      <c r="A3" s="110" t="s">
        <v>2246</v>
      </c>
      <c r="B3" s="110"/>
      <c r="C3" s="110"/>
      <c r="D3" s="110"/>
      <c r="E3" s="129" t="str">
        <f aca="false">Levers!F4</f>
        <v>Story case</v>
      </c>
      <c r="F3" s="110"/>
      <c r="G3" s="110"/>
      <c r="H3" s="110"/>
      <c r="I3" s="110"/>
      <c r="J3" s="110"/>
      <c r="K3" s="110"/>
      <c r="L3" s="110"/>
      <c r="M3" s="110"/>
      <c r="N3" s="110"/>
      <c r="O3" s="110"/>
      <c r="P3" s="110"/>
      <c r="Q3" s="110"/>
      <c r="R3" s="110"/>
      <c r="S3" s="110"/>
      <c r="T3" s="110"/>
      <c r="U3" s="110"/>
      <c r="V3" s="110"/>
      <c r="W3" s="110"/>
      <c r="X3" s="110"/>
      <c r="Y3" s="110"/>
      <c r="Z3" s="110"/>
    </row>
    <row r="4" customFormat="false" ht="19.5" hidden="false" customHeight="true" outlineLevel="0" collapsed="false">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row>
    <row r="5" customFormat="false" ht="57.75" hidden="false" customHeight="true" outlineLevel="0" collapsed="false">
      <c r="A5" s="90" t="s">
        <v>103</v>
      </c>
      <c r="B5" s="123" t="s">
        <v>2593</v>
      </c>
      <c r="C5" s="123" t="s">
        <v>2594</v>
      </c>
      <c r="D5" s="123" t="s">
        <v>2595</v>
      </c>
      <c r="E5" s="123" t="s">
        <v>2596</v>
      </c>
      <c r="F5" s="123" t="s">
        <v>2597</v>
      </c>
      <c r="G5" s="123" t="s">
        <v>2598</v>
      </c>
      <c r="H5" s="123" t="s">
        <v>2599</v>
      </c>
      <c r="I5" s="123" t="s">
        <v>2600</v>
      </c>
      <c r="J5" s="123" t="s">
        <v>2601</v>
      </c>
      <c r="K5" s="123" t="s">
        <v>2602</v>
      </c>
      <c r="L5" s="123" t="s">
        <v>2603</v>
      </c>
      <c r="M5" s="123" t="s">
        <v>2604</v>
      </c>
      <c r="N5" s="123" t="s">
        <v>2605</v>
      </c>
      <c r="O5" s="123" t="s">
        <v>2606</v>
      </c>
      <c r="P5" s="123" t="s">
        <v>2607</v>
      </c>
      <c r="Q5" s="123" t="s">
        <v>2608</v>
      </c>
      <c r="R5" s="123" t="s">
        <v>2609</v>
      </c>
      <c r="S5" s="123" t="s">
        <v>2610</v>
      </c>
      <c r="T5" s="123" t="s">
        <v>2611</v>
      </c>
      <c r="U5" s="123" t="s">
        <v>2612</v>
      </c>
      <c r="V5" s="123" t="s">
        <v>2613</v>
      </c>
      <c r="W5" s="123" t="s">
        <v>2614</v>
      </c>
      <c r="X5" s="123" t="s">
        <v>2615</v>
      </c>
      <c r="Y5" s="123" t="s">
        <v>2616</v>
      </c>
      <c r="Z5" s="123" t="s">
        <v>2617</v>
      </c>
    </row>
    <row r="6" customFormat="false" ht="19.5" hidden="false" customHeight="true" outlineLevel="0" collapsed="false">
      <c r="A6" s="121" t="n">
        <v>1846</v>
      </c>
      <c r="B6" s="117" t="n">
        <f aca="false">0</f>
        <v>0</v>
      </c>
      <c r="C6" s="132" t="n">
        <f aca="false">Champions!AY6-Champions!Q6</f>
        <v>0</v>
      </c>
      <c r="D6" s="117" t="n">
        <f aca="false">MAX(0,C6-B6)</f>
        <v>0</v>
      </c>
      <c r="E6" s="117" t="n">
        <f aca="false">MAX(0,B6-C6)</f>
        <v>0</v>
      </c>
      <c r="F6" s="133" t="n">
        <f aca="false">B6+D6-E6-C6</f>
        <v>0</v>
      </c>
      <c r="G6" s="117" t="n">
        <f aca="false">0</f>
        <v>0</v>
      </c>
      <c r="H6" s="132" t="n">
        <f aca="false">Champions!Q6</f>
        <v>0</v>
      </c>
      <c r="I6" s="117" t="n">
        <f aca="false">H6-G6</f>
        <v>0</v>
      </c>
      <c r="J6" s="132" t="n">
        <f aca="false">MAX(0,Champions!BA6)*(1-crown_payout)</f>
        <v>0</v>
      </c>
      <c r="K6" s="132" t="n">
        <f aca="false">J6*'Sources &amp; uses'!$E$28</f>
        <v>0</v>
      </c>
      <c r="L6" s="117" t="n">
        <f aca="false">ABS('Champion funding'!S6)</f>
        <v>0</v>
      </c>
      <c r="M6" s="132" t="n">
        <f aca="false">Abroad!C6+Abroad!D6</f>
        <v>0.03775405371</v>
      </c>
      <c r="N6" s="132" t="n">
        <f aca="false">Abroad!F6</f>
        <v>0</v>
      </c>
      <c r="O6" s="132" t="n">
        <f aca="false">Abroad!G6</f>
        <v>0</v>
      </c>
      <c r="P6" s="132" t="n">
        <f aca="false">Abroad!H6</f>
        <v>0.03775405371</v>
      </c>
      <c r="Q6" s="132" t="n">
        <f aca="false">Abroad!S6</f>
        <v>0</v>
      </c>
      <c r="R6" s="132" t="n">
        <f aca="false">Abroad!C6-Q6</f>
        <v>0.03775405371</v>
      </c>
      <c r="S6" s="117" t="n">
        <f aca="false">0</f>
        <v>0</v>
      </c>
      <c r="T6" s="132" t="n">
        <f aca="false">P6-'War credit'!T6-Abroad!U6-S6</f>
        <v>0.03775405371</v>
      </c>
      <c r="U6" s="117" t="str">
        <f aca="false">IF(A6=1901,"Carnegie Steel bought for $480m in Pacifica Steel 5% gold bonds and 7% preference shares","No separately priced acquisition")</f>
        <v>No separately priced acquisition</v>
      </c>
      <c r="V6" s="117" t="n">
        <f aca="false">0</f>
        <v>0</v>
      </c>
      <c r="W6" s="117" t="n">
        <f aca="false">V6+K6</f>
        <v>0</v>
      </c>
      <c r="X6" s="117" t="n">
        <f aca="false">MIN('Champion funding'!D6-'Champion funding'!F6,W6)</f>
        <v>0</v>
      </c>
      <c r="Y6" s="117" t="n">
        <f aca="false">W6-X6</f>
        <v>0</v>
      </c>
      <c r="Z6" s="133" t="n">
        <f aca="false">V6+K6-X6-Y6</f>
        <v>0</v>
      </c>
    </row>
    <row r="7" customFormat="false" ht="19.5" hidden="false" customHeight="true" outlineLevel="0" collapsed="false">
      <c r="A7" s="121" t="n">
        <v>1847</v>
      </c>
      <c r="B7" s="117" t="n">
        <f aca="false">C6</f>
        <v>0</v>
      </c>
      <c r="C7" s="132" t="n">
        <f aca="false">Champions!AY7-Champions!Q7</f>
        <v>0</v>
      </c>
      <c r="D7" s="117" t="n">
        <f aca="false">MAX(0,C7-B7)</f>
        <v>0</v>
      </c>
      <c r="E7" s="117" t="n">
        <f aca="false">MAX(0,B7-C7)</f>
        <v>0</v>
      </c>
      <c r="F7" s="133" t="n">
        <f aca="false">B7+D7-E7-C7</f>
        <v>0</v>
      </c>
      <c r="G7" s="117" t="n">
        <f aca="false">H6</f>
        <v>0</v>
      </c>
      <c r="H7" s="132" t="n">
        <f aca="false">Champions!Q7</f>
        <v>0</v>
      </c>
      <c r="I7" s="117" t="n">
        <f aca="false">H7-G7</f>
        <v>0</v>
      </c>
      <c r="J7" s="132" t="n">
        <f aca="false">MAX(0,Champions!BA7)*(1-crown_payout)</f>
        <v>0</v>
      </c>
      <c r="K7" s="132" t="n">
        <f aca="false">J7*'Sources &amp; uses'!$E$28</f>
        <v>0</v>
      </c>
      <c r="L7" s="117" t="n">
        <f aca="false">ABS('Champion funding'!S7)</f>
        <v>0</v>
      </c>
      <c r="M7" s="132" t="n">
        <f aca="false">Abroad!C7+Abroad!D7</f>
        <v>0.0393958461169699</v>
      </c>
      <c r="N7" s="132" t="n">
        <f aca="false">Abroad!F7</f>
        <v>0.0011326216113</v>
      </c>
      <c r="O7" s="132" t="n">
        <f aca="false">Abroad!G7</f>
        <v>0</v>
      </c>
      <c r="P7" s="132" t="n">
        <f aca="false">Abroad!H7</f>
        <v>0.0760172782156699</v>
      </c>
      <c r="Q7" s="132" t="n">
        <f aca="false">Abroad!S7</f>
        <v>0</v>
      </c>
      <c r="R7" s="132" t="n">
        <f aca="false">Abroad!C7-Q7</f>
        <v>0.0393958461169699</v>
      </c>
      <c r="S7" s="117" t="n">
        <f aca="false">0</f>
        <v>0</v>
      </c>
      <c r="T7" s="132" t="n">
        <f aca="false">P7-'War credit'!T7-Abroad!U7-S7</f>
        <v>0.0760172782156699</v>
      </c>
      <c r="U7" s="117" t="str">
        <f aca="false">IF(A7=1901,"Carnegie Steel bought for $480m in Pacifica Steel 5% gold bonds and 7% preference shares","No separately priced acquisition")</f>
        <v>No separately priced acquisition</v>
      </c>
      <c r="V7" s="117" t="n">
        <f aca="false">Y6</f>
        <v>0</v>
      </c>
      <c r="W7" s="117" t="n">
        <f aca="false">V7+K7</f>
        <v>0</v>
      </c>
      <c r="X7" s="117" t="n">
        <f aca="false">MIN('Champion funding'!D7-'Champion funding'!F7,W7)</f>
        <v>0</v>
      </c>
      <c r="Y7" s="117" t="n">
        <f aca="false">W7-X7</f>
        <v>0</v>
      </c>
      <c r="Z7" s="133" t="n">
        <f aca="false">V7+K7-X7-Y7</f>
        <v>0</v>
      </c>
    </row>
    <row r="8" customFormat="false" ht="19.5" hidden="false" customHeight="true" outlineLevel="0" collapsed="false">
      <c r="A8" s="121" t="n">
        <v>1848</v>
      </c>
      <c r="B8" s="117" t="n">
        <f aca="false">C7</f>
        <v>0</v>
      </c>
      <c r="C8" s="132" t="n">
        <f aca="false">Champions!AY8-Champions!Q8</f>
        <v>0</v>
      </c>
      <c r="D8" s="117" t="n">
        <f aca="false">MAX(0,C8-B8)</f>
        <v>0</v>
      </c>
      <c r="E8" s="117" t="n">
        <f aca="false">MAX(0,B8-C8)</f>
        <v>0</v>
      </c>
      <c r="F8" s="133" t="n">
        <f aca="false">B8+D8-E8-C8</f>
        <v>0</v>
      </c>
      <c r="G8" s="117" t="n">
        <f aca="false">H7</f>
        <v>0</v>
      </c>
      <c r="H8" s="132" t="n">
        <f aca="false">Champions!Q8</f>
        <v>0</v>
      </c>
      <c r="I8" s="117" t="n">
        <f aca="false">H8-G8</f>
        <v>0</v>
      </c>
      <c r="J8" s="132" t="n">
        <f aca="false">MAX(0,Champions!BA8)*(1-crown_payout)</f>
        <v>0</v>
      </c>
      <c r="K8" s="132" t="n">
        <f aca="false">J8*'Sources &amp; uses'!$E$28</f>
        <v>0</v>
      </c>
      <c r="L8" s="117" t="n">
        <f aca="false">ABS('Champion funding'!S8)</f>
        <v>0</v>
      </c>
      <c r="M8" s="132" t="n">
        <f aca="false">Abroad!C8+Abroad!D8</f>
        <v>0.057961808672188</v>
      </c>
      <c r="N8" s="132" t="n">
        <f aca="false">Abroad!F8</f>
        <v>0.0022805183464701</v>
      </c>
      <c r="O8" s="132" t="n">
        <f aca="false">Abroad!G8</f>
        <v>0</v>
      </c>
      <c r="P8" s="132" t="n">
        <f aca="false">Abroad!H8</f>
        <v>0.131698568541388</v>
      </c>
      <c r="Q8" s="132" t="n">
        <f aca="false">Abroad!S8</f>
        <v>0</v>
      </c>
      <c r="R8" s="132" t="n">
        <f aca="false">Abroad!C8-Q8</f>
        <v>0.057961808672188</v>
      </c>
      <c r="S8" s="117" t="n">
        <f aca="false">0</f>
        <v>0</v>
      </c>
      <c r="T8" s="132" t="n">
        <f aca="false">P8-'War credit'!T8-Abroad!U8-S8</f>
        <v>0.131698568541388</v>
      </c>
      <c r="U8" s="117" t="str">
        <f aca="false">IF(A8=1901,"Carnegie Steel bought for $480m in Pacifica Steel 5% gold bonds and 7% preference shares","No separately priced acquisition")</f>
        <v>No separately priced acquisition</v>
      </c>
      <c r="V8" s="117" t="n">
        <f aca="false">Y7</f>
        <v>0</v>
      </c>
      <c r="W8" s="117" t="n">
        <f aca="false">V8+K8</f>
        <v>0</v>
      </c>
      <c r="X8" s="117" t="n">
        <f aca="false">MIN('Champion funding'!D8-'Champion funding'!F8,W8)</f>
        <v>0</v>
      </c>
      <c r="Y8" s="117" t="n">
        <f aca="false">W8-X8</f>
        <v>0</v>
      </c>
      <c r="Z8" s="133" t="n">
        <f aca="false">V8+K8-X8-Y8</f>
        <v>0</v>
      </c>
    </row>
    <row r="9" customFormat="false" ht="19.5" hidden="false" customHeight="true" outlineLevel="0" collapsed="false">
      <c r="A9" s="121" t="n">
        <v>1849</v>
      </c>
      <c r="B9" s="117" t="n">
        <f aca="false">C8</f>
        <v>0</v>
      </c>
      <c r="C9" s="132" t="n">
        <f aca="false">Champions!AY9-Champions!Q9</f>
        <v>0</v>
      </c>
      <c r="D9" s="117" t="n">
        <f aca="false">MAX(0,C9-B9)</f>
        <v>0</v>
      </c>
      <c r="E9" s="117" t="n">
        <f aca="false">MAX(0,B9-C9)</f>
        <v>0</v>
      </c>
      <c r="F9" s="133" t="n">
        <f aca="false">B9+D9-E9-C9</f>
        <v>0</v>
      </c>
      <c r="G9" s="117" t="n">
        <f aca="false">H8</f>
        <v>0</v>
      </c>
      <c r="H9" s="132" t="n">
        <f aca="false">Champions!Q9</f>
        <v>0</v>
      </c>
      <c r="I9" s="117" t="n">
        <f aca="false">H9-G9</f>
        <v>0</v>
      </c>
      <c r="J9" s="132" t="n">
        <f aca="false">MAX(0,Champions!BA9)*(1-crown_payout)</f>
        <v>0</v>
      </c>
      <c r="K9" s="132" t="n">
        <f aca="false">J9*'Sources &amp; uses'!$E$28</f>
        <v>0</v>
      </c>
      <c r="L9" s="117" t="n">
        <f aca="false">ABS('Champion funding'!S9)</f>
        <v>0</v>
      </c>
      <c r="M9" s="132" t="n">
        <f aca="false">Abroad!C9+Abroad!D9</f>
        <v>0.149931612367717</v>
      </c>
      <c r="N9" s="132" t="n">
        <f aca="false">Abroad!F9</f>
        <v>0.00395095705624163</v>
      </c>
      <c r="O9" s="132" t="n">
        <f aca="false">Abroad!G9</f>
        <v>0</v>
      </c>
      <c r="P9" s="132" t="n">
        <f aca="false">Abroad!H9</f>
        <v>0.277679223852863</v>
      </c>
      <c r="Q9" s="132" t="n">
        <f aca="false">Abroad!S9</f>
        <v>0</v>
      </c>
      <c r="R9" s="132" t="n">
        <f aca="false">Abroad!C9-Q9</f>
        <v>0.149931612367717</v>
      </c>
      <c r="S9" s="117" t="n">
        <f aca="false">0</f>
        <v>0</v>
      </c>
      <c r="T9" s="132" t="n">
        <f aca="false">P9-'War credit'!T9-Abroad!U9-S9</f>
        <v>0.277679223852863</v>
      </c>
      <c r="U9" s="117" t="str">
        <f aca="false">IF(A9=1901,"Carnegie Steel bought for $480m in Pacifica Steel 5% gold bonds and 7% preference shares","No separately priced acquisition")</f>
        <v>No separately priced acquisition</v>
      </c>
      <c r="V9" s="117" t="n">
        <f aca="false">Y8</f>
        <v>0</v>
      </c>
      <c r="W9" s="117" t="n">
        <f aca="false">V9+K9</f>
        <v>0</v>
      </c>
      <c r="X9" s="117" t="n">
        <f aca="false">MIN('Champion funding'!D9-'Champion funding'!F9,W9)</f>
        <v>0</v>
      </c>
      <c r="Y9" s="117" t="n">
        <f aca="false">W9-X9</f>
        <v>0</v>
      </c>
      <c r="Z9" s="133" t="n">
        <f aca="false">V9+K9-X9-Y9</f>
        <v>0</v>
      </c>
    </row>
    <row r="10" customFormat="false" ht="19.5" hidden="false" customHeight="true" outlineLevel="0" collapsed="false">
      <c r="A10" s="121" t="n">
        <v>1850</v>
      </c>
      <c r="B10" s="117" t="n">
        <f aca="false">C9</f>
        <v>0</v>
      </c>
      <c r="C10" s="132" t="n">
        <f aca="false">Champions!AY10-Champions!Q10</f>
        <v>0</v>
      </c>
      <c r="D10" s="117" t="n">
        <f aca="false">MAX(0,C10-B10)</f>
        <v>0</v>
      </c>
      <c r="E10" s="117" t="n">
        <f aca="false">MAX(0,B10-C10)</f>
        <v>0</v>
      </c>
      <c r="F10" s="133" t="n">
        <f aca="false">B10+D10-E10-C10</f>
        <v>0</v>
      </c>
      <c r="G10" s="117" t="n">
        <f aca="false">H9</f>
        <v>0</v>
      </c>
      <c r="H10" s="132" t="n">
        <f aca="false">Champions!Q10</f>
        <v>0</v>
      </c>
      <c r="I10" s="117" t="n">
        <f aca="false">H10-G10</f>
        <v>0</v>
      </c>
      <c r="J10" s="132" t="n">
        <f aca="false">MAX(0,Champions!BA10)*(1-crown_payout)</f>
        <v>0</v>
      </c>
      <c r="K10" s="132" t="n">
        <f aca="false">J10*'Sources &amp; uses'!$E$28</f>
        <v>0</v>
      </c>
      <c r="L10" s="117" t="n">
        <f aca="false">ABS('Champion funding'!S10)</f>
        <v>0</v>
      </c>
      <c r="M10" s="132" t="n">
        <f aca="false">Abroad!C10+Abroad!D10</f>
        <v>0.178919822136117</v>
      </c>
      <c r="N10" s="132" t="n">
        <f aca="false">Abroad!F10</f>
        <v>0.00833037671558589</v>
      </c>
      <c r="O10" s="132" t="n">
        <f aca="false">Abroad!G10</f>
        <v>0</v>
      </c>
      <c r="P10" s="132" t="n">
        <f aca="false">Abroad!H10</f>
        <v>0.448268669273394</v>
      </c>
      <c r="Q10" s="132" t="n">
        <f aca="false">Abroad!S10</f>
        <v>0</v>
      </c>
      <c r="R10" s="132" t="n">
        <f aca="false">Abroad!C10-Q10</f>
        <v>0.178919822136117</v>
      </c>
      <c r="S10" s="117" t="n">
        <f aca="false">0</f>
        <v>0</v>
      </c>
      <c r="T10" s="132" t="n">
        <f aca="false">P10-'War credit'!T10-Abroad!U10-S10</f>
        <v>0.448268669273394</v>
      </c>
      <c r="U10" s="117" t="str">
        <f aca="false">IF(A10=1901,"Carnegie Steel bought for $480m in Pacifica Steel 5% gold bonds and 7% preference shares","No separately priced acquisition")</f>
        <v>No separately priced acquisition</v>
      </c>
      <c r="V10" s="117" t="n">
        <f aca="false">Y9</f>
        <v>0</v>
      </c>
      <c r="W10" s="117" t="n">
        <f aca="false">V10+K10</f>
        <v>0</v>
      </c>
      <c r="X10" s="117" t="n">
        <f aca="false">MIN('Champion funding'!D10-'Champion funding'!F10,W10)</f>
        <v>0</v>
      </c>
      <c r="Y10" s="117" t="n">
        <f aca="false">W10-X10</f>
        <v>0</v>
      </c>
      <c r="Z10" s="133" t="n">
        <f aca="false">V10+K10-X10-Y10</f>
        <v>0</v>
      </c>
    </row>
    <row r="11" customFormat="false" ht="19.5" hidden="false" customHeight="true" outlineLevel="0" collapsed="false">
      <c r="A11" s="121" t="n">
        <v>1851</v>
      </c>
      <c r="B11" s="117" t="n">
        <f aca="false">C10</f>
        <v>0</v>
      </c>
      <c r="C11" s="132" t="n">
        <f aca="false">Champions!AY11-Champions!Q11</f>
        <v>0</v>
      </c>
      <c r="D11" s="117" t="n">
        <f aca="false">MAX(0,C11-B11)</f>
        <v>0</v>
      </c>
      <c r="E11" s="117" t="n">
        <f aca="false">MAX(0,B11-C11)</f>
        <v>0</v>
      </c>
      <c r="F11" s="133" t="n">
        <f aca="false">B11+D11-E11-C11</f>
        <v>0</v>
      </c>
      <c r="G11" s="117" t="n">
        <f aca="false">H10</f>
        <v>0</v>
      </c>
      <c r="H11" s="132" t="n">
        <f aca="false">Champions!Q11</f>
        <v>0</v>
      </c>
      <c r="I11" s="117" t="n">
        <f aca="false">H11-G11</f>
        <v>0</v>
      </c>
      <c r="J11" s="132" t="n">
        <f aca="false">MAX(0,Champions!BA11)*(1-crown_payout)</f>
        <v>0</v>
      </c>
      <c r="K11" s="132" t="n">
        <f aca="false">J11*'Sources &amp; uses'!$E$28</f>
        <v>0</v>
      </c>
      <c r="L11" s="117" t="n">
        <f aca="false">ABS('Champion funding'!S11)</f>
        <v>0</v>
      </c>
      <c r="M11" s="132" t="n">
        <f aca="false">Abroad!C11+Abroad!D11</f>
        <v>0.248012872898598</v>
      </c>
      <c r="N11" s="132" t="n">
        <f aca="false">Abroad!F11</f>
        <v>0.0134480600782018</v>
      </c>
      <c r="O11" s="132" t="n">
        <f aca="false">Abroad!G11</f>
        <v>0</v>
      </c>
      <c r="P11" s="132" t="n">
        <f aca="false">Abroad!H11</f>
        <v>0.682833482093791</v>
      </c>
      <c r="Q11" s="132" t="n">
        <f aca="false">Abroad!S11</f>
        <v>0</v>
      </c>
      <c r="R11" s="132" t="n">
        <f aca="false">Abroad!C11-Q11</f>
        <v>0.248012872898598</v>
      </c>
      <c r="S11" s="117" t="n">
        <f aca="false">0</f>
        <v>0</v>
      </c>
      <c r="T11" s="132" t="n">
        <f aca="false">P11-'War credit'!T11-Abroad!U11-S11</f>
        <v>0.682833482093791</v>
      </c>
      <c r="U11" s="117" t="str">
        <f aca="false">IF(A11=1901,"Carnegie Steel bought for $480m in Pacifica Steel 5% gold bonds and 7% preference shares","No separately priced acquisition")</f>
        <v>No separately priced acquisition</v>
      </c>
      <c r="V11" s="117" t="n">
        <f aca="false">Y10</f>
        <v>0</v>
      </c>
      <c r="W11" s="117" t="n">
        <f aca="false">V11+K11</f>
        <v>0</v>
      </c>
      <c r="X11" s="117" t="n">
        <f aca="false">MIN('Champion funding'!D11-'Champion funding'!F11,W11)</f>
        <v>0</v>
      </c>
      <c r="Y11" s="117" t="n">
        <f aca="false">W11-X11</f>
        <v>0</v>
      </c>
      <c r="Z11" s="133" t="n">
        <f aca="false">V11+K11-X11-Y11</f>
        <v>0</v>
      </c>
    </row>
    <row r="12" customFormat="false" ht="19.5" hidden="false" customHeight="true" outlineLevel="0" collapsed="false">
      <c r="A12" s="121" t="n">
        <v>1852</v>
      </c>
      <c r="B12" s="117" t="n">
        <f aca="false">C11</f>
        <v>0</v>
      </c>
      <c r="C12" s="132" t="n">
        <f aca="false">Champions!AY12-Champions!Q12</f>
        <v>0</v>
      </c>
      <c r="D12" s="117" t="n">
        <f aca="false">MAX(0,C12-B12)</f>
        <v>0</v>
      </c>
      <c r="E12" s="117" t="n">
        <f aca="false">MAX(0,B12-C12)</f>
        <v>0</v>
      </c>
      <c r="F12" s="133" t="n">
        <f aca="false">B12+D12-E12-C12</f>
        <v>0</v>
      </c>
      <c r="G12" s="117" t="n">
        <f aca="false">H11</f>
        <v>0</v>
      </c>
      <c r="H12" s="132" t="n">
        <f aca="false">Champions!Q12</f>
        <v>0</v>
      </c>
      <c r="I12" s="117" t="n">
        <f aca="false">H12-G12</f>
        <v>0</v>
      </c>
      <c r="J12" s="132" t="n">
        <f aca="false">MAX(0,Champions!BA12)*(1-crown_payout)</f>
        <v>0</v>
      </c>
      <c r="K12" s="132" t="n">
        <f aca="false">J12*'Sources &amp; uses'!$E$28</f>
        <v>0</v>
      </c>
      <c r="L12" s="117" t="n">
        <f aca="false">ABS('Champion funding'!S12)</f>
        <v>0</v>
      </c>
      <c r="M12" s="132" t="n">
        <f aca="false">Abroad!C12+Abroad!D12</f>
        <v>0.292022396007147</v>
      </c>
      <c r="N12" s="132" t="n">
        <f aca="false">Abroad!F12</f>
        <v>0.0204850044628137</v>
      </c>
      <c r="O12" s="132" t="n">
        <f aca="false">Abroad!G12</f>
        <v>0</v>
      </c>
      <c r="P12" s="132" t="n">
        <f aca="false">Abroad!H12</f>
        <v>0.954370873638124</v>
      </c>
      <c r="Q12" s="132" t="n">
        <f aca="false">Abroad!S12</f>
        <v>0</v>
      </c>
      <c r="R12" s="132" t="n">
        <f aca="false">Abroad!C12-Q12</f>
        <v>0.292022396007147</v>
      </c>
      <c r="S12" s="117" t="n">
        <f aca="false">0</f>
        <v>0</v>
      </c>
      <c r="T12" s="132" t="n">
        <f aca="false">P12-'War credit'!T12-Abroad!U12-S12</f>
        <v>0.954370873638124</v>
      </c>
      <c r="U12" s="117" t="str">
        <f aca="false">IF(A12=1901,"Carnegie Steel bought for $480m in Pacifica Steel 5% gold bonds and 7% preference shares","No separately priced acquisition")</f>
        <v>No separately priced acquisition</v>
      </c>
      <c r="V12" s="117" t="n">
        <f aca="false">Y11</f>
        <v>0</v>
      </c>
      <c r="W12" s="117" t="n">
        <f aca="false">V12+K12</f>
        <v>0</v>
      </c>
      <c r="X12" s="117" t="n">
        <f aca="false">MIN('Champion funding'!D12-'Champion funding'!F12,W12)</f>
        <v>0</v>
      </c>
      <c r="Y12" s="117" t="n">
        <f aca="false">W12-X12</f>
        <v>0</v>
      </c>
      <c r="Z12" s="133" t="n">
        <f aca="false">V12+K12-X12-Y12</f>
        <v>0</v>
      </c>
    </row>
    <row r="13" customFormat="false" ht="19.5" hidden="false" customHeight="true" outlineLevel="0" collapsed="false">
      <c r="A13" s="121" t="n">
        <v>1853</v>
      </c>
      <c r="B13" s="117" t="n">
        <f aca="false">C12</f>
        <v>0</v>
      </c>
      <c r="C13" s="132" t="n">
        <f aca="false">Champions!AY13-Champions!Q13</f>
        <v>0</v>
      </c>
      <c r="D13" s="117" t="n">
        <f aca="false">MAX(0,C13-B13)</f>
        <v>0</v>
      </c>
      <c r="E13" s="117" t="n">
        <f aca="false">MAX(0,B13-C13)</f>
        <v>0</v>
      </c>
      <c r="F13" s="133" t="n">
        <f aca="false">B13+D13-E13-C13</f>
        <v>0</v>
      </c>
      <c r="G13" s="117" t="n">
        <f aca="false">H12</f>
        <v>0</v>
      </c>
      <c r="H13" s="132" t="n">
        <f aca="false">Champions!Q13</f>
        <v>0</v>
      </c>
      <c r="I13" s="117" t="n">
        <f aca="false">H13-G13</f>
        <v>0</v>
      </c>
      <c r="J13" s="132" t="n">
        <f aca="false">MAX(0,Champions!BA13)*(1-crown_payout)</f>
        <v>0</v>
      </c>
      <c r="K13" s="132" t="n">
        <f aca="false">J13*'Sources &amp; uses'!$E$28</f>
        <v>0</v>
      </c>
      <c r="L13" s="117" t="n">
        <f aca="false">ABS('Champion funding'!S13)</f>
        <v>0</v>
      </c>
      <c r="M13" s="132" t="n">
        <f aca="false">Abroad!C13+Abroad!D13</f>
        <v>0.313626771168262</v>
      </c>
      <c r="N13" s="132" t="n">
        <f aca="false">Abroad!F13</f>
        <v>0.0286311262091437</v>
      </c>
      <c r="O13" s="132" t="n">
        <f aca="false">Abroad!G13</f>
        <v>0</v>
      </c>
      <c r="P13" s="132" t="n">
        <f aca="false">Abroad!H13</f>
        <v>1.23936651859724</v>
      </c>
      <c r="Q13" s="132" t="n">
        <f aca="false">Abroad!S13</f>
        <v>0</v>
      </c>
      <c r="R13" s="132" t="n">
        <f aca="false">Abroad!C13-Q13</f>
        <v>0.313626771168262</v>
      </c>
      <c r="S13" s="117" t="n">
        <f aca="false">0</f>
        <v>0</v>
      </c>
      <c r="T13" s="132" t="n">
        <f aca="false">P13-'War credit'!T13-Abroad!U13-S13</f>
        <v>1.23936651859724</v>
      </c>
      <c r="U13" s="117" t="str">
        <f aca="false">IF(A13=1901,"Carnegie Steel bought for $480m in Pacifica Steel 5% gold bonds and 7% preference shares","No separately priced acquisition")</f>
        <v>No separately priced acquisition</v>
      </c>
      <c r="V13" s="117" t="n">
        <f aca="false">Y12</f>
        <v>0</v>
      </c>
      <c r="W13" s="117" t="n">
        <f aca="false">V13+K13</f>
        <v>0</v>
      </c>
      <c r="X13" s="117" t="n">
        <f aca="false">MIN('Champion funding'!D13-'Champion funding'!F13,W13)</f>
        <v>0</v>
      </c>
      <c r="Y13" s="117" t="n">
        <f aca="false">W13-X13</f>
        <v>0</v>
      </c>
      <c r="Z13" s="133" t="n">
        <f aca="false">V13+K13-X13-Y13</f>
        <v>0</v>
      </c>
    </row>
    <row r="14" customFormat="false" ht="19.5" hidden="false" customHeight="true" outlineLevel="0" collapsed="false">
      <c r="A14" s="121" t="n">
        <v>1854</v>
      </c>
      <c r="B14" s="117" t="n">
        <f aca="false">C13</f>
        <v>0</v>
      </c>
      <c r="C14" s="132" t="n">
        <f aca="false">Champions!AY14-Champions!Q14</f>
        <v>0</v>
      </c>
      <c r="D14" s="117" t="n">
        <f aca="false">MAX(0,C14-B14)</f>
        <v>0</v>
      </c>
      <c r="E14" s="117" t="n">
        <f aca="false">MAX(0,B14-C14)</f>
        <v>0</v>
      </c>
      <c r="F14" s="133" t="n">
        <f aca="false">B14+D14-E14-C14</f>
        <v>0</v>
      </c>
      <c r="G14" s="117" t="n">
        <f aca="false">H13</f>
        <v>0</v>
      </c>
      <c r="H14" s="132" t="n">
        <f aca="false">Champions!Q14</f>
        <v>0</v>
      </c>
      <c r="I14" s="117" t="n">
        <f aca="false">H14-G14</f>
        <v>0</v>
      </c>
      <c r="J14" s="132" t="n">
        <f aca="false">MAX(0,Champions!BA14)*(1-crown_payout)</f>
        <v>0</v>
      </c>
      <c r="K14" s="132" t="n">
        <f aca="false">J14*'Sources &amp; uses'!$E$28</f>
        <v>0</v>
      </c>
      <c r="L14" s="117" t="n">
        <f aca="false">ABS('Champion funding'!S14)</f>
        <v>0</v>
      </c>
      <c r="M14" s="132" t="n">
        <f aca="false">Abroad!C14+Abroad!D14</f>
        <v>0.349028769195458</v>
      </c>
      <c r="N14" s="132" t="n">
        <f aca="false">Abroad!F14</f>
        <v>0.0371809955579173</v>
      </c>
      <c r="O14" s="132" t="n">
        <f aca="false">Abroad!G14</f>
        <v>0</v>
      </c>
      <c r="P14" s="132" t="n">
        <f aca="false">Abroad!H14</f>
        <v>1.55121429223478</v>
      </c>
      <c r="Q14" s="132" t="n">
        <f aca="false">Abroad!S14</f>
        <v>0</v>
      </c>
      <c r="R14" s="132" t="n">
        <f aca="false">Abroad!C14-Q14</f>
        <v>0.349028769195458</v>
      </c>
      <c r="S14" s="117" t="n">
        <f aca="false">0</f>
        <v>0</v>
      </c>
      <c r="T14" s="132" t="n">
        <f aca="false">P14-'War credit'!T14-Abroad!U14-S14</f>
        <v>1.55121429223478</v>
      </c>
      <c r="U14" s="117" t="str">
        <f aca="false">IF(A14=1901,"Carnegie Steel bought for $480m in Pacifica Steel 5% gold bonds and 7% preference shares","No separately priced acquisition")</f>
        <v>No separately priced acquisition</v>
      </c>
      <c r="V14" s="117" t="n">
        <f aca="false">Y13</f>
        <v>0</v>
      </c>
      <c r="W14" s="117" t="n">
        <f aca="false">V14+K14</f>
        <v>0</v>
      </c>
      <c r="X14" s="117" t="n">
        <f aca="false">MIN('Champion funding'!D14-'Champion funding'!F14,W14)</f>
        <v>0</v>
      </c>
      <c r="Y14" s="117" t="n">
        <f aca="false">W14-X14</f>
        <v>0</v>
      </c>
      <c r="Z14" s="133" t="n">
        <f aca="false">V14+K14-X14-Y14</f>
        <v>0</v>
      </c>
    </row>
    <row r="15" customFormat="false" ht="19.5" hidden="false" customHeight="true" outlineLevel="0" collapsed="false">
      <c r="A15" s="121" t="n">
        <v>1855</v>
      </c>
      <c r="B15" s="117" t="n">
        <f aca="false">C14</f>
        <v>0</v>
      </c>
      <c r="C15" s="132" t="n">
        <f aca="false">Champions!AY15-Champions!Q15</f>
        <v>0</v>
      </c>
      <c r="D15" s="117" t="n">
        <f aca="false">MAX(0,C15-B15)</f>
        <v>0</v>
      </c>
      <c r="E15" s="117" t="n">
        <f aca="false">MAX(0,B15-C15)</f>
        <v>0</v>
      </c>
      <c r="F15" s="133" t="n">
        <f aca="false">B15+D15-E15-C15</f>
        <v>0</v>
      </c>
      <c r="G15" s="117" t="n">
        <f aca="false">H14</f>
        <v>0</v>
      </c>
      <c r="H15" s="132" t="n">
        <f aca="false">Champions!Q15</f>
        <v>0</v>
      </c>
      <c r="I15" s="117" t="n">
        <f aca="false">H15-G15</f>
        <v>0</v>
      </c>
      <c r="J15" s="132" t="n">
        <f aca="false">MAX(0,Champions!BA15)*(1-crown_payout)</f>
        <v>0</v>
      </c>
      <c r="K15" s="132" t="n">
        <f aca="false">J15*'Sources &amp; uses'!$E$28</f>
        <v>0</v>
      </c>
      <c r="L15" s="117" t="n">
        <f aca="false">ABS('Champion funding'!S15)</f>
        <v>0</v>
      </c>
      <c r="M15" s="132" t="n">
        <f aca="false">Abroad!C15+Abroad!D15</f>
        <v>0.361217859977385</v>
      </c>
      <c r="N15" s="132" t="n">
        <f aca="false">Abroad!F15</f>
        <v>0.0465364287670435</v>
      </c>
      <c r="O15" s="132" t="n">
        <f aca="false">Abroad!G15</f>
        <v>0</v>
      </c>
      <c r="P15" s="132" t="n">
        <f aca="false">Abroad!H15</f>
        <v>1.86589572344512</v>
      </c>
      <c r="Q15" s="132" t="n">
        <f aca="false">Abroad!S15</f>
        <v>0</v>
      </c>
      <c r="R15" s="132" t="n">
        <f aca="false">Abroad!C15-Q15</f>
        <v>0.361217859977385</v>
      </c>
      <c r="S15" s="117" t="n">
        <f aca="false">0</f>
        <v>0</v>
      </c>
      <c r="T15" s="132" t="n">
        <f aca="false">P15-'War credit'!T15-Abroad!U15-S15</f>
        <v>1.86589572344512</v>
      </c>
      <c r="U15" s="117" t="str">
        <f aca="false">IF(A15=1901,"Carnegie Steel bought for $480m in Pacifica Steel 5% gold bonds and 7% preference shares","No separately priced acquisition")</f>
        <v>No separately priced acquisition</v>
      </c>
      <c r="V15" s="117" t="n">
        <f aca="false">Y14</f>
        <v>0</v>
      </c>
      <c r="W15" s="117" t="n">
        <f aca="false">V15+K15</f>
        <v>0</v>
      </c>
      <c r="X15" s="117" t="n">
        <f aca="false">MIN('Champion funding'!D15-'Champion funding'!F15,W15)</f>
        <v>0</v>
      </c>
      <c r="Y15" s="117" t="n">
        <f aca="false">W15-X15</f>
        <v>0</v>
      </c>
      <c r="Z15" s="133" t="n">
        <f aca="false">V15+K15-X15-Y15</f>
        <v>0</v>
      </c>
    </row>
    <row r="16" customFormat="false" ht="19.5" hidden="false" customHeight="true" outlineLevel="0" collapsed="false">
      <c r="A16" s="121" t="n">
        <v>1856</v>
      </c>
      <c r="B16" s="117" t="n">
        <f aca="false">C15</f>
        <v>0</v>
      </c>
      <c r="C16" s="132" t="n">
        <f aca="false">Champions!AY16-Champions!Q16</f>
        <v>0</v>
      </c>
      <c r="D16" s="117" t="n">
        <f aca="false">MAX(0,C16-B16)</f>
        <v>0</v>
      </c>
      <c r="E16" s="117" t="n">
        <f aca="false">MAX(0,B16-C16)</f>
        <v>0</v>
      </c>
      <c r="F16" s="133" t="n">
        <f aca="false">B16+D16-E16-C16</f>
        <v>0</v>
      </c>
      <c r="G16" s="117" t="n">
        <f aca="false">H15</f>
        <v>0</v>
      </c>
      <c r="H16" s="132" t="n">
        <f aca="false">Champions!Q16</f>
        <v>0</v>
      </c>
      <c r="I16" s="117" t="n">
        <f aca="false">H16-G16</f>
        <v>0</v>
      </c>
      <c r="J16" s="132" t="n">
        <f aca="false">MAX(0,Champions!BA16)*(1-crown_payout)</f>
        <v>0</v>
      </c>
      <c r="K16" s="132" t="n">
        <f aca="false">J16*'Sources &amp; uses'!$E$28</f>
        <v>0</v>
      </c>
      <c r="L16" s="117" t="n">
        <f aca="false">ABS('Champion funding'!S16)</f>
        <v>0</v>
      </c>
      <c r="M16" s="132" t="n">
        <f aca="false">Abroad!C16+Abroad!D16</f>
        <v>0.410736696300456</v>
      </c>
      <c r="N16" s="132" t="n">
        <f aca="false">Abroad!F16</f>
        <v>0.0559768717033537</v>
      </c>
      <c r="O16" s="132" t="n">
        <f aca="false">Abroad!G16</f>
        <v>0</v>
      </c>
      <c r="P16" s="132" t="n">
        <f aca="false">Abroad!H16</f>
        <v>2.22065554804223</v>
      </c>
      <c r="Q16" s="132" t="n">
        <f aca="false">Abroad!S16</f>
        <v>0</v>
      </c>
      <c r="R16" s="132" t="n">
        <f aca="false">Abroad!C16-Q16</f>
        <v>0.410736696300456</v>
      </c>
      <c r="S16" s="117" t="n">
        <f aca="false">0</f>
        <v>0</v>
      </c>
      <c r="T16" s="132" t="n">
        <f aca="false">P16-'War credit'!T16-Abroad!U16-S16</f>
        <v>2.22065554804223</v>
      </c>
      <c r="U16" s="117" t="str">
        <f aca="false">IF(A16=1901,"Carnegie Steel bought for $480m in Pacifica Steel 5% gold bonds and 7% preference shares","No separately priced acquisition")</f>
        <v>No separately priced acquisition</v>
      </c>
      <c r="V16" s="117" t="n">
        <f aca="false">Y15</f>
        <v>0</v>
      </c>
      <c r="W16" s="117" t="n">
        <f aca="false">V16+K16</f>
        <v>0</v>
      </c>
      <c r="X16" s="117" t="n">
        <f aca="false">MIN('Champion funding'!D16-'Champion funding'!F16,W16)</f>
        <v>0</v>
      </c>
      <c r="Y16" s="117" t="n">
        <f aca="false">W16-X16</f>
        <v>0</v>
      </c>
      <c r="Z16" s="133" t="n">
        <f aca="false">V16+K16-X16-Y16</f>
        <v>0</v>
      </c>
    </row>
    <row r="17" customFormat="false" ht="19.5" hidden="false" customHeight="true" outlineLevel="0" collapsed="false">
      <c r="A17" s="121" t="n">
        <v>1857</v>
      </c>
      <c r="B17" s="117" t="n">
        <f aca="false">C16</f>
        <v>0</v>
      </c>
      <c r="C17" s="132" t="n">
        <f aca="false">Champions!AY17-Champions!Q17</f>
        <v>0</v>
      </c>
      <c r="D17" s="117" t="n">
        <f aca="false">MAX(0,C17-B17)</f>
        <v>0</v>
      </c>
      <c r="E17" s="117" t="n">
        <f aca="false">MAX(0,B17-C17)</f>
        <v>0</v>
      </c>
      <c r="F17" s="133" t="n">
        <f aca="false">B17+D17-E17-C17</f>
        <v>0</v>
      </c>
      <c r="G17" s="117" t="n">
        <f aca="false">H16</f>
        <v>0</v>
      </c>
      <c r="H17" s="132" t="n">
        <f aca="false">Champions!Q17</f>
        <v>0</v>
      </c>
      <c r="I17" s="117" t="n">
        <f aca="false">H17-G17</f>
        <v>0</v>
      </c>
      <c r="J17" s="132" t="n">
        <f aca="false">MAX(0,Champions!BA17)*(1-crown_payout)</f>
        <v>0</v>
      </c>
      <c r="K17" s="132" t="n">
        <f aca="false">J17*'Sources &amp; uses'!$E$28</f>
        <v>0</v>
      </c>
      <c r="L17" s="117" t="n">
        <f aca="false">ABS('Champion funding'!S17)</f>
        <v>0</v>
      </c>
      <c r="M17" s="132" t="n">
        <f aca="false">Abroad!C17+Abroad!D17</f>
        <v>0.434202294241487</v>
      </c>
      <c r="N17" s="132" t="n">
        <f aca="false">Abroad!F17</f>
        <v>0.0666196664412668</v>
      </c>
      <c r="O17" s="132" t="n">
        <f aca="false">Abroad!G17</f>
        <v>0</v>
      </c>
      <c r="P17" s="132" t="n">
        <f aca="false">Abroad!H17</f>
        <v>2.58823817584245</v>
      </c>
      <c r="Q17" s="132" t="n">
        <f aca="false">Abroad!S17</f>
        <v>0</v>
      </c>
      <c r="R17" s="132" t="n">
        <f aca="false">Abroad!C17-Q17</f>
        <v>0.434202294241487</v>
      </c>
      <c r="S17" s="117" t="n">
        <f aca="false">0</f>
        <v>0</v>
      </c>
      <c r="T17" s="132" t="n">
        <f aca="false">P17-'War credit'!T17-Abroad!U17-S17</f>
        <v>2.58823817584245</v>
      </c>
      <c r="U17" s="117" t="str">
        <f aca="false">IF(A17=1901,"Carnegie Steel bought for $480m in Pacifica Steel 5% gold bonds and 7% preference shares","No separately priced acquisition")</f>
        <v>No separately priced acquisition</v>
      </c>
      <c r="V17" s="117" t="n">
        <f aca="false">Y16</f>
        <v>0</v>
      </c>
      <c r="W17" s="117" t="n">
        <f aca="false">V17+K17</f>
        <v>0</v>
      </c>
      <c r="X17" s="117" t="n">
        <f aca="false">MIN('Champion funding'!D17-'Champion funding'!F17,W17)</f>
        <v>0</v>
      </c>
      <c r="Y17" s="117" t="n">
        <f aca="false">W17-X17</f>
        <v>0</v>
      </c>
      <c r="Z17" s="133" t="n">
        <f aca="false">V17+K17-X17-Y17</f>
        <v>0</v>
      </c>
    </row>
    <row r="18" customFormat="false" ht="19.5" hidden="false" customHeight="true" outlineLevel="0" collapsed="false">
      <c r="A18" s="121" t="n">
        <v>1858</v>
      </c>
      <c r="B18" s="117" t="n">
        <f aca="false">C17</f>
        <v>0</v>
      </c>
      <c r="C18" s="132" t="n">
        <f aca="false">Champions!AY18-Champions!Q18</f>
        <v>0</v>
      </c>
      <c r="D18" s="117" t="n">
        <f aca="false">MAX(0,C18-B18)</f>
        <v>0</v>
      </c>
      <c r="E18" s="117" t="n">
        <f aca="false">MAX(0,B18-C18)</f>
        <v>0</v>
      </c>
      <c r="F18" s="133" t="n">
        <f aca="false">B18+D18-E18-C18</f>
        <v>0</v>
      </c>
      <c r="G18" s="117" t="n">
        <f aca="false">H17</f>
        <v>0</v>
      </c>
      <c r="H18" s="132" t="n">
        <f aca="false">Champions!Q18</f>
        <v>0</v>
      </c>
      <c r="I18" s="117" t="n">
        <f aca="false">H18-G18</f>
        <v>0</v>
      </c>
      <c r="J18" s="132" t="n">
        <f aca="false">MAX(0,Champions!BA18)*(1-crown_payout)</f>
        <v>0</v>
      </c>
      <c r="K18" s="132" t="n">
        <f aca="false">J18*'Sources &amp; uses'!$E$28</f>
        <v>0</v>
      </c>
      <c r="L18" s="117" t="n">
        <f aca="false">ABS('Champion funding'!S18)</f>
        <v>0</v>
      </c>
      <c r="M18" s="132" t="n">
        <f aca="false">Abroad!C18+Abroad!D18</f>
        <v>0.485932222380429</v>
      </c>
      <c r="N18" s="132" t="n">
        <f aca="false">Abroad!F18</f>
        <v>0.0776471452752734</v>
      </c>
      <c r="O18" s="132" t="n">
        <f aca="false">Abroad!G18</f>
        <v>0</v>
      </c>
      <c r="P18" s="132" t="n">
        <f aca="false">Abroad!H18</f>
        <v>2.9965232529476</v>
      </c>
      <c r="Q18" s="132" t="n">
        <f aca="false">Abroad!S18</f>
        <v>0</v>
      </c>
      <c r="R18" s="132" t="n">
        <f aca="false">Abroad!C18-Q18</f>
        <v>0.485932222380429</v>
      </c>
      <c r="S18" s="117" t="n">
        <f aca="false">0</f>
        <v>0</v>
      </c>
      <c r="T18" s="132" t="n">
        <f aca="false">P18-'War credit'!T18-Abroad!U18-S18</f>
        <v>2.9965232529476</v>
      </c>
      <c r="U18" s="117" t="str">
        <f aca="false">IF(A18=1901,"Carnegie Steel bought for $480m in Pacifica Steel 5% gold bonds and 7% preference shares","No separately priced acquisition")</f>
        <v>No separately priced acquisition</v>
      </c>
      <c r="V18" s="117" t="n">
        <f aca="false">Y17</f>
        <v>0</v>
      </c>
      <c r="W18" s="117" t="n">
        <f aca="false">V18+K18</f>
        <v>0</v>
      </c>
      <c r="X18" s="117" t="n">
        <f aca="false">MIN('Champion funding'!D18-'Champion funding'!F18,W18)</f>
        <v>0</v>
      </c>
      <c r="Y18" s="117" t="n">
        <f aca="false">W18-X18</f>
        <v>0</v>
      </c>
      <c r="Z18" s="133" t="n">
        <f aca="false">V18+K18-X18-Y18</f>
        <v>0</v>
      </c>
    </row>
    <row r="19" customFormat="false" ht="19.5" hidden="false" customHeight="true" outlineLevel="0" collapsed="false">
      <c r="A19" s="121" t="n">
        <v>1859</v>
      </c>
      <c r="B19" s="117" t="n">
        <f aca="false">C18</f>
        <v>0</v>
      </c>
      <c r="C19" s="132" t="n">
        <f aca="false">Champions!AY19-Champions!Q19</f>
        <v>0</v>
      </c>
      <c r="D19" s="117" t="n">
        <f aca="false">MAX(0,C19-B19)</f>
        <v>0</v>
      </c>
      <c r="E19" s="117" t="n">
        <f aca="false">MAX(0,B19-C19)</f>
        <v>0</v>
      </c>
      <c r="F19" s="133" t="n">
        <f aca="false">B19+D19-E19-C19</f>
        <v>0</v>
      </c>
      <c r="G19" s="117" t="n">
        <f aca="false">H18</f>
        <v>0</v>
      </c>
      <c r="H19" s="132" t="n">
        <f aca="false">Champions!Q19</f>
        <v>0</v>
      </c>
      <c r="I19" s="117" t="n">
        <f aca="false">H19-G19</f>
        <v>0</v>
      </c>
      <c r="J19" s="132" t="n">
        <f aca="false">MAX(0,Champions!BA19)*(1-crown_payout)</f>
        <v>0</v>
      </c>
      <c r="K19" s="132" t="n">
        <f aca="false">J19*'Sources &amp; uses'!$E$28</f>
        <v>0</v>
      </c>
      <c r="L19" s="117" t="n">
        <f aca="false">ABS('Champion funding'!S19)</f>
        <v>0</v>
      </c>
      <c r="M19" s="132" t="n">
        <f aca="false">Abroad!C19+Abroad!D19</f>
        <v>0.538764190974562</v>
      </c>
      <c r="N19" s="132" t="n">
        <f aca="false">Abroad!F19</f>
        <v>0.0898956975884281</v>
      </c>
      <c r="O19" s="132" t="n">
        <f aca="false">Abroad!G19</f>
        <v>0</v>
      </c>
      <c r="P19" s="132" t="n">
        <f aca="false">Abroad!H19</f>
        <v>3.44539174633374</v>
      </c>
      <c r="Q19" s="132" t="n">
        <f aca="false">Abroad!S19</f>
        <v>0</v>
      </c>
      <c r="R19" s="132" t="n">
        <f aca="false">Abroad!C19-Q19</f>
        <v>0.538764190974562</v>
      </c>
      <c r="S19" s="117" t="n">
        <f aca="false">0</f>
        <v>0</v>
      </c>
      <c r="T19" s="132" t="n">
        <f aca="false">P19-'War credit'!T19-Abroad!U19-S19</f>
        <v>3.44539174633374</v>
      </c>
      <c r="U19" s="117" t="str">
        <f aca="false">IF(A19=1901,"Carnegie Steel bought for $480m in Pacifica Steel 5% gold bonds and 7% preference shares","No separately priced acquisition")</f>
        <v>No separately priced acquisition</v>
      </c>
      <c r="V19" s="117" t="n">
        <f aca="false">Y18</f>
        <v>0</v>
      </c>
      <c r="W19" s="117" t="n">
        <f aca="false">V19+K19</f>
        <v>0</v>
      </c>
      <c r="X19" s="117" t="n">
        <f aca="false">MIN('Champion funding'!D19-'Champion funding'!F19,W19)</f>
        <v>0</v>
      </c>
      <c r="Y19" s="117" t="n">
        <f aca="false">W19-X19</f>
        <v>0</v>
      </c>
      <c r="Z19" s="133" t="n">
        <f aca="false">V19+K19-X19-Y19</f>
        <v>0</v>
      </c>
    </row>
    <row r="20" customFormat="false" ht="19.5" hidden="false" customHeight="true" outlineLevel="0" collapsed="false">
      <c r="A20" s="121" t="n">
        <v>1860</v>
      </c>
      <c r="B20" s="117" t="n">
        <f aca="false">C19</f>
        <v>0</v>
      </c>
      <c r="C20" s="132" t="n">
        <f aca="false">Champions!AY20-Champions!Q20</f>
        <v>0</v>
      </c>
      <c r="D20" s="117" t="n">
        <f aca="false">MAX(0,C20-B20)</f>
        <v>0</v>
      </c>
      <c r="E20" s="117" t="n">
        <f aca="false">MAX(0,B20-C20)</f>
        <v>0</v>
      </c>
      <c r="F20" s="133" t="n">
        <f aca="false">B20+D20-E20-C20</f>
        <v>0</v>
      </c>
      <c r="G20" s="117" t="n">
        <f aca="false">H19</f>
        <v>0</v>
      </c>
      <c r="H20" s="132" t="n">
        <f aca="false">Champions!Q20</f>
        <v>0</v>
      </c>
      <c r="I20" s="117" t="n">
        <f aca="false">H20-G20</f>
        <v>0</v>
      </c>
      <c r="J20" s="132" t="n">
        <f aca="false">MAX(0,Champions!BA20)*(1-crown_payout)</f>
        <v>0.104536194459592</v>
      </c>
      <c r="K20" s="132" t="n">
        <f aca="false">J20*'Sources &amp; uses'!$E$28</f>
        <v>0.0522680972297959</v>
      </c>
      <c r="L20" s="117" t="n">
        <f aca="false">ABS('Champion funding'!S20)</f>
        <v>0</v>
      </c>
      <c r="M20" s="132" t="n">
        <f aca="false">Abroad!C20+Abroad!D20</f>
        <v>0.587416498750638</v>
      </c>
      <c r="N20" s="132" t="n">
        <f aca="false">Abroad!F20</f>
        <v>0.103361752390012</v>
      </c>
      <c r="O20" s="132" t="n">
        <f aca="false">Abroad!G20</f>
        <v>0</v>
      </c>
      <c r="P20" s="132" t="n">
        <f aca="false">Abroad!H20</f>
        <v>3.92944649269436</v>
      </c>
      <c r="Q20" s="132" t="n">
        <f aca="false">Abroad!S20</f>
        <v>0</v>
      </c>
      <c r="R20" s="132" t="n">
        <f aca="false">Abroad!C20-Q20</f>
        <v>0.587416498750638</v>
      </c>
      <c r="S20" s="117" t="n">
        <f aca="false">0</f>
        <v>0</v>
      </c>
      <c r="T20" s="132" t="n">
        <f aca="false">P20-'War credit'!T20-Abroad!U20-S20</f>
        <v>3.92944649269436</v>
      </c>
      <c r="U20" s="117" t="str">
        <f aca="false">IF(A20=1901,"Carnegie Steel bought for $480m in Pacifica Steel 5% gold bonds and 7% preference shares","No separately priced acquisition")</f>
        <v>No separately priced acquisition</v>
      </c>
      <c r="V20" s="117" t="n">
        <f aca="false">Y19</f>
        <v>0</v>
      </c>
      <c r="W20" s="117" t="n">
        <f aca="false">V20+K20</f>
        <v>0.0522680972297959</v>
      </c>
      <c r="X20" s="117" t="n">
        <f aca="false">MIN('Champion funding'!D20-'Champion funding'!F20,W20)</f>
        <v>0</v>
      </c>
      <c r="Y20" s="117" t="n">
        <f aca="false">W20-X20</f>
        <v>0.0522680972297959</v>
      </c>
      <c r="Z20" s="133" t="n">
        <f aca="false">V20+K20-X20-Y20</f>
        <v>0</v>
      </c>
    </row>
    <row r="21" customFormat="false" ht="19.5" hidden="false" customHeight="true" outlineLevel="0" collapsed="false">
      <c r="A21" s="121" t="n">
        <v>1861</v>
      </c>
      <c r="B21" s="117" t="n">
        <f aca="false">C20</f>
        <v>0</v>
      </c>
      <c r="C21" s="132" t="n">
        <f aca="false">Champions!AY21-Champions!Q21</f>
        <v>0</v>
      </c>
      <c r="D21" s="117" t="n">
        <f aca="false">MAX(0,C21-B21)</f>
        <v>0</v>
      </c>
      <c r="E21" s="117" t="n">
        <f aca="false">MAX(0,B21-C21)</f>
        <v>0</v>
      </c>
      <c r="F21" s="133" t="n">
        <f aca="false">B21+D21-E21-C21</f>
        <v>0</v>
      </c>
      <c r="G21" s="117" t="n">
        <f aca="false">H20</f>
        <v>0</v>
      </c>
      <c r="H21" s="132" t="n">
        <f aca="false">Champions!Q21</f>
        <v>0</v>
      </c>
      <c r="I21" s="117" t="n">
        <f aca="false">H21-G21</f>
        <v>0</v>
      </c>
      <c r="J21" s="132" t="n">
        <f aca="false">MAX(0,Champions!BA21)*(1-crown_payout)</f>
        <v>0.105311212571525</v>
      </c>
      <c r="K21" s="132" t="n">
        <f aca="false">J21*'Sources &amp; uses'!$E$28</f>
        <v>0.0526556062857625</v>
      </c>
      <c r="L21" s="117" t="n">
        <f aca="false">ABS('Champion funding'!S21)</f>
        <v>0</v>
      </c>
      <c r="M21" s="132" t="n">
        <f aca="false">Abroad!C21+Abroad!D21</f>
        <v>0.620977817089097</v>
      </c>
      <c r="N21" s="132" t="n">
        <f aca="false">Abroad!F21</f>
        <v>0.117883394780831</v>
      </c>
      <c r="O21" s="132" t="n">
        <f aca="false">Abroad!G21</f>
        <v>0</v>
      </c>
      <c r="P21" s="132" t="n">
        <f aca="false">Abroad!H21</f>
        <v>4.43254091500263</v>
      </c>
      <c r="Q21" s="132" t="n">
        <f aca="false">Abroad!S21</f>
        <v>0</v>
      </c>
      <c r="R21" s="132" t="n">
        <f aca="false">Abroad!C21-Q21</f>
        <v>0.620977817089097</v>
      </c>
      <c r="S21" s="117" t="n">
        <f aca="false">0</f>
        <v>0</v>
      </c>
      <c r="T21" s="132" t="n">
        <f aca="false">P21-'War credit'!T21-Abroad!U21-S21</f>
        <v>4.43254091500263</v>
      </c>
      <c r="U21" s="117" t="str">
        <f aca="false">IF(A21=1901,"Carnegie Steel bought for $480m in Pacifica Steel 5% gold bonds and 7% preference shares","No separately priced acquisition")</f>
        <v>No separately priced acquisition</v>
      </c>
      <c r="V21" s="117" t="n">
        <f aca="false">Y20</f>
        <v>0.0522680972297959</v>
      </c>
      <c r="W21" s="117" t="n">
        <f aca="false">V21+K21</f>
        <v>0.104923703515558</v>
      </c>
      <c r="X21" s="117" t="n">
        <f aca="false">MIN('Champion funding'!D21-'Champion funding'!F21,W21)</f>
        <v>0</v>
      </c>
      <c r="Y21" s="117" t="n">
        <f aca="false">W21-X21</f>
        <v>0.104923703515558</v>
      </c>
      <c r="Z21" s="133" t="n">
        <f aca="false">V21+K21-X21-Y21</f>
        <v>0</v>
      </c>
    </row>
    <row r="22" customFormat="false" ht="19.5" hidden="false" customHeight="true" outlineLevel="0" collapsed="false">
      <c r="A22" s="121" t="n">
        <v>1862</v>
      </c>
      <c r="B22" s="117" t="n">
        <f aca="false">C21</f>
        <v>0</v>
      </c>
      <c r="C22" s="132" t="n">
        <f aca="false">Champions!AY22-Champions!Q22</f>
        <v>0</v>
      </c>
      <c r="D22" s="117" t="n">
        <f aca="false">MAX(0,C22-B22)</f>
        <v>0</v>
      </c>
      <c r="E22" s="117" t="n">
        <f aca="false">MAX(0,B22-C22)</f>
        <v>0</v>
      </c>
      <c r="F22" s="133" t="n">
        <f aca="false">B22+D22-E22-C22</f>
        <v>0</v>
      </c>
      <c r="G22" s="117" t="n">
        <f aca="false">H21</f>
        <v>0</v>
      </c>
      <c r="H22" s="132" t="n">
        <f aca="false">Champions!Q22</f>
        <v>0</v>
      </c>
      <c r="I22" s="117" t="n">
        <f aca="false">H22-G22</f>
        <v>0</v>
      </c>
      <c r="J22" s="132" t="n">
        <f aca="false">MAX(0,Champions!BA22)*(1-crown_payout)</f>
        <v>0.105895464337369</v>
      </c>
      <c r="K22" s="132" t="n">
        <f aca="false">J22*'Sources &amp; uses'!$E$28</f>
        <v>0.0529477321686847</v>
      </c>
      <c r="L22" s="117" t="n">
        <f aca="false">ABS('Champion funding'!S22)</f>
        <v>0</v>
      </c>
      <c r="M22" s="132" t="n">
        <f aca="false">Abroad!C22+Abroad!D22</f>
        <v>0.695018807642527</v>
      </c>
      <c r="N22" s="132" t="n">
        <f aca="false">Abroad!F22</f>
        <v>0.132976227450079</v>
      </c>
      <c r="O22" s="132" t="n">
        <f aca="false">Abroad!G22</f>
        <v>0</v>
      </c>
      <c r="P22" s="132" t="n">
        <f aca="false">Abroad!H22</f>
        <v>4.99458349519508</v>
      </c>
      <c r="Q22" s="132" t="n">
        <f aca="false">Abroad!S22</f>
        <v>0</v>
      </c>
      <c r="R22" s="132" t="n">
        <f aca="false">Abroad!C22-Q22</f>
        <v>0.695018807642527</v>
      </c>
      <c r="S22" s="117" t="n">
        <f aca="false">0</f>
        <v>0</v>
      </c>
      <c r="T22" s="132" t="n">
        <f aca="false">P22-'War credit'!T22-Abroad!U22-S22</f>
        <v>4.99458349519508</v>
      </c>
      <c r="U22" s="117" t="str">
        <f aca="false">IF(A22=1901,"Carnegie Steel bought for $480m in Pacifica Steel 5% gold bonds and 7% preference shares","No separately priced acquisition")</f>
        <v>No separately priced acquisition</v>
      </c>
      <c r="V22" s="117" t="n">
        <f aca="false">Y21</f>
        <v>0.104923703515558</v>
      </c>
      <c r="W22" s="117" t="n">
        <f aca="false">V22+K22</f>
        <v>0.157871435684243</v>
      </c>
      <c r="X22" s="117" t="n">
        <f aca="false">MIN('Champion funding'!D22-'Champion funding'!F22,W22)</f>
        <v>0</v>
      </c>
      <c r="Y22" s="117" t="n">
        <f aca="false">W22-X22</f>
        <v>0.157871435684243</v>
      </c>
      <c r="Z22" s="133" t="n">
        <f aca="false">V22+K22-X22-Y22</f>
        <v>0</v>
      </c>
    </row>
    <row r="23" customFormat="false" ht="19.5" hidden="false" customHeight="true" outlineLevel="0" collapsed="false">
      <c r="A23" s="121" t="n">
        <v>1863</v>
      </c>
      <c r="B23" s="117" t="n">
        <f aca="false">C22</f>
        <v>0</v>
      </c>
      <c r="C23" s="132" t="n">
        <f aca="false">Champions!AY23-Champions!Q23</f>
        <v>0</v>
      </c>
      <c r="D23" s="117" t="n">
        <f aca="false">MAX(0,C23-B23)</f>
        <v>0</v>
      </c>
      <c r="E23" s="117" t="n">
        <f aca="false">MAX(0,B23-C23)</f>
        <v>0</v>
      </c>
      <c r="F23" s="133" t="n">
        <f aca="false">B23+D23-E23-C23</f>
        <v>0</v>
      </c>
      <c r="G23" s="117" t="n">
        <f aca="false">H22</f>
        <v>0</v>
      </c>
      <c r="H23" s="132" t="n">
        <f aca="false">Champions!Q23</f>
        <v>0</v>
      </c>
      <c r="I23" s="117" t="n">
        <f aca="false">H23-G23</f>
        <v>0</v>
      </c>
      <c r="J23" s="132" t="n">
        <f aca="false">MAX(0,Champions!BA23)*(1-crown_payout)</f>
        <v>0.211849786943472</v>
      </c>
      <c r="K23" s="132" t="n">
        <f aca="false">J23*'Sources &amp; uses'!$E$28</f>
        <v>0.105924893471736</v>
      </c>
      <c r="L23" s="117" t="n">
        <f aca="false">ABS('Champion funding'!S23)</f>
        <v>0</v>
      </c>
      <c r="M23" s="132" t="n">
        <f aca="false">Abroad!C23+Abroad!D23</f>
        <v>0.82835537269393</v>
      </c>
      <c r="N23" s="132" t="n">
        <f aca="false">Abroad!F23</f>
        <v>0.149837504855852</v>
      </c>
      <c r="O23" s="132" t="n">
        <f aca="false">Abroad!G23</f>
        <v>0</v>
      </c>
      <c r="P23" s="132" t="n">
        <f aca="false">Abroad!H23</f>
        <v>5.67310136303316</v>
      </c>
      <c r="Q23" s="132" t="n">
        <f aca="false">Abroad!S23</f>
        <v>0</v>
      </c>
      <c r="R23" s="132" t="n">
        <f aca="false">Abroad!C23-Q23</f>
        <v>0.82835537269393</v>
      </c>
      <c r="S23" s="117" t="n">
        <f aca="false">0</f>
        <v>0</v>
      </c>
      <c r="T23" s="132" t="n">
        <f aca="false">P23-'War credit'!T23-Abroad!U23-S23</f>
        <v>5.67310136303316</v>
      </c>
      <c r="U23" s="117" t="str">
        <f aca="false">IF(A23=1901,"Carnegie Steel bought for $480m in Pacifica Steel 5% gold bonds and 7% preference shares","No separately priced acquisition")</f>
        <v>No separately priced acquisition</v>
      </c>
      <c r="V23" s="117" t="n">
        <f aca="false">Y22</f>
        <v>0.157871435684243</v>
      </c>
      <c r="W23" s="117" t="n">
        <f aca="false">V23+K23</f>
        <v>0.263796329155979</v>
      </c>
      <c r="X23" s="117" t="n">
        <f aca="false">MIN('Champion funding'!D23-'Champion funding'!F23,W23)</f>
        <v>0</v>
      </c>
      <c r="Y23" s="117" t="n">
        <f aca="false">W23-X23</f>
        <v>0.263796329155979</v>
      </c>
      <c r="Z23" s="133" t="n">
        <f aca="false">V23+K23-X23-Y23</f>
        <v>0</v>
      </c>
    </row>
    <row r="24" customFormat="false" ht="19.5" hidden="false" customHeight="true" outlineLevel="0" collapsed="false">
      <c r="A24" s="121" t="n">
        <v>1864</v>
      </c>
      <c r="B24" s="117" t="n">
        <f aca="false">C23</f>
        <v>0</v>
      </c>
      <c r="C24" s="132" t="n">
        <f aca="false">Champions!AY24-Champions!Q24</f>
        <v>0</v>
      </c>
      <c r="D24" s="117" t="n">
        <f aca="false">MAX(0,C24-B24)</f>
        <v>0</v>
      </c>
      <c r="E24" s="117" t="n">
        <f aca="false">MAX(0,B24-C24)</f>
        <v>0</v>
      </c>
      <c r="F24" s="133" t="n">
        <f aca="false">B24+D24-E24-C24</f>
        <v>0</v>
      </c>
      <c r="G24" s="117" t="n">
        <f aca="false">H23</f>
        <v>0</v>
      </c>
      <c r="H24" s="132" t="n">
        <f aca="false">Champions!Q24</f>
        <v>0</v>
      </c>
      <c r="I24" s="117" t="n">
        <f aca="false">H24-G24</f>
        <v>0</v>
      </c>
      <c r="J24" s="132" t="n">
        <f aca="false">MAX(0,Champions!BA24)*(1-crown_payout)</f>
        <v>0.211400866702918</v>
      </c>
      <c r="K24" s="132" t="n">
        <f aca="false">J24*'Sources &amp; uses'!$E$28</f>
        <v>0.105700433351459</v>
      </c>
      <c r="L24" s="117" t="n">
        <f aca="false">ABS('Champion funding'!S24)</f>
        <v>0</v>
      </c>
      <c r="M24" s="132" t="n">
        <f aca="false">Abroad!C24+Abroad!D24</f>
        <v>0.972545618777634</v>
      </c>
      <c r="N24" s="132" t="n">
        <f aca="false">Abroad!F24</f>
        <v>0.170193040890995</v>
      </c>
      <c r="O24" s="132" t="n">
        <f aca="false">Abroad!G24</f>
        <v>0</v>
      </c>
      <c r="P24" s="132" t="n">
        <f aca="false">Abroad!H24</f>
        <v>6.4754539409198</v>
      </c>
      <c r="Q24" s="132" t="n">
        <f aca="false">Abroad!S24</f>
        <v>0</v>
      </c>
      <c r="R24" s="132" t="n">
        <f aca="false">Abroad!C24-Q24</f>
        <v>0.972545618777634</v>
      </c>
      <c r="S24" s="117" t="n">
        <f aca="false">0</f>
        <v>0</v>
      </c>
      <c r="T24" s="132" t="n">
        <f aca="false">P24-'War credit'!T24-Abroad!U24-S24</f>
        <v>6.4754539409198</v>
      </c>
      <c r="U24" s="117" t="str">
        <f aca="false">IF(A24=1901,"Carnegie Steel bought for $480m in Pacifica Steel 5% gold bonds and 7% preference shares","No separately priced acquisition")</f>
        <v>No separately priced acquisition</v>
      </c>
      <c r="V24" s="117" t="n">
        <f aca="false">Y23</f>
        <v>0.263796329155979</v>
      </c>
      <c r="W24" s="117" t="n">
        <f aca="false">V24+K24</f>
        <v>0.369496762507438</v>
      </c>
      <c r="X24" s="117" t="n">
        <f aca="false">MIN('Champion funding'!D24-'Champion funding'!F24,W24)</f>
        <v>0</v>
      </c>
      <c r="Y24" s="117" t="n">
        <f aca="false">W24-X24</f>
        <v>0.369496762507438</v>
      </c>
      <c r="Z24" s="133" t="n">
        <f aca="false">V24+K24-X24-Y24</f>
        <v>0</v>
      </c>
    </row>
    <row r="25" customFormat="false" ht="19.5" hidden="false" customHeight="true" outlineLevel="0" collapsed="false">
      <c r="A25" s="121" t="n">
        <v>1865</v>
      </c>
      <c r="B25" s="117" t="n">
        <f aca="false">C24</f>
        <v>0</v>
      </c>
      <c r="C25" s="132" t="n">
        <f aca="false">Champions!AY25-Champions!Q25</f>
        <v>0</v>
      </c>
      <c r="D25" s="117" t="n">
        <f aca="false">MAX(0,C25-B25)</f>
        <v>0</v>
      </c>
      <c r="E25" s="117" t="n">
        <f aca="false">MAX(0,B25-C25)</f>
        <v>0</v>
      </c>
      <c r="F25" s="133" t="n">
        <f aca="false">B25+D25-E25-C25</f>
        <v>0</v>
      </c>
      <c r="G25" s="117" t="n">
        <f aca="false">H24</f>
        <v>0</v>
      </c>
      <c r="H25" s="132" t="n">
        <f aca="false">Champions!Q25</f>
        <v>0</v>
      </c>
      <c r="I25" s="117" t="n">
        <f aca="false">H25-G25</f>
        <v>0</v>
      </c>
      <c r="J25" s="132" t="n">
        <f aca="false">MAX(0,Champions!BA25)*(1-crown_payout)</f>
        <v>0.211881556824358</v>
      </c>
      <c r="K25" s="132" t="n">
        <f aca="false">J25*'Sources &amp; uses'!$E$28</f>
        <v>0.105940778412179</v>
      </c>
      <c r="L25" s="117" t="n">
        <f aca="false">ABS('Champion funding'!S25)</f>
        <v>0</v>
      </c>
      <c r="M25" s="132" t="n">
        <f aca="false">Abroad!C25+Abroad!D25</f>
        <v>1.06144558119699</v>
      </c>
      <c r="N25" s="132" t="n">
        <f aca="false">Abroad!F25</f>
        <v>0.194263618227594</v>
      </c>
      <c r="O25" s="132" t="n">
        <f aca="false">Abroad!G25</f>
        <v>0</v>
      </c>
      <c r="P25" s="132" t="n">
        <f aca="false">Abroad!H25</f>
        <v>7.34263590388919</v>
      </c>
      <c r="Q25" s="132" t="n">
        <f aca="false">Abroad!S25</f>
        <v>0</v>
      </c>
      <c r="R25" s="132" t="n">
        <f aca="false">Abroad!C25-Q25</f>
        <v>1.06144558119699</v>
      </c>
      <c r="S25" s="117" t="n">
        <f aca="false">0</f>
        <v>0</v>
      </c>
      <c r="T25" s="132" t="n">
        <f aca="false">P25-'War credit'!T25-Abroad!U25-S25</f>
        <v>7.34263590388919</v>
      </c>
      <c r="U25" s="117" t="str">
        <f aca="false">IF(A25=1901,"Carnegie Steel bought for $480m in Pacifica Steel 5% gold bonds and 7% preference shares","No separately priced acquisition")</f>
        <v>No separately priced acquisition</v>
      </c>
      <c r="V25" s="117" t="n">
        <f aca="false">Y24</f>
        <v>0.369496762507438</v>
      </c>
      <c r="W25" s="117" t="n">
        <f aca="false">V25+K25</f>
        <v>0.475437540919617</v>
      </c>
      <c r="X25" s="117" t="n">
        <f aca="false">MIN('Champion funding'!D25-'Champion funding'!F25,W25)</f>
        <v>0</v>
      </c>
      <c r="Y25" s="117" t="n">
        <f aca="false">W25-X25</f>
        <v>0.475437540919617</v>
      </c>
      <c r="Z25" s="133" t="n">
        <f aca="false">V25+K25-X25-Y25</f>
        <v>0</v>
      </c>
    </row>
    <row r="26" customFormat="false" ht="19.5" hidden="false" customHeight="true" outlineLevel="0" collapsed="false">
      <c r="A26" s="121" t="n">
        <v>1866</v>
      </c>
      <c r="B26" s="117" t="n">
        <f aca="false">C25</f>
        <v>0</v>
      </c>
      <c r="C26" s="132" t="n">
        <f aca="false">Champions!AY26-Champions!Q26</f>
        <v>0</v>
      </c>
      <c r="D26" s="117" t="n">
        <f aca="false">MAX(0,C26-B26)</f>
        <v>0</v>
      </c>
      <c r="E26" s="117" t="n">
        <f aca="false">MAX(0,B26-C26)</f>
        <v>0</v>
      </c>
      <c r="F26" s="133" t="n">
        <f aca="false">B26+D26-E26-C26</f>
        <v>0</v>
      </c>
      <c r="G26" s="117" t="n">
        <f aca="false">H25</f>
        <v>0</v>
      </c>
      <c r="H26" s="132" t="n">
        <f aca="false">Champions!Q26</f>
        <v>0</v>
      </c>
      <c r="I26" s="117" t="n">
        <f aca="false">H26-G26</f>
        <v>0</v>
      </c>
      <c r="J26" s="132" t="n">
        <f aca="false">MAX(0,Champions!BA26)*(1-crown_payout)</f>
        <v>0.213385783159769</v>
      </c>
      <c r="K26" s="132" t="n">
        <f aca="false">J26*'Sources &amp; uses'!$E$28</f>
        <v>0.106692891579885</v>
      </c>
      <c r="L26" s="117" t="n">
        <f aca="false">ABS('Champion funding'!S26)</f>
        <v>0</v>
      </c>
      <c r="M26" s="132" t="n">
        <f aca="false">Abroad!C26+Abroad!D26</f>
        <v>1.13678470506989</v>
      </c>
      <c r="N26" s="132" t="n">
        <f aca="false">Abroad!F26</f>
        <v>0.220279077116676</v>
      </c>
      <c r="O26" s="132" t="n">
        <f aca="false">Abroad!G26</f>
        <v>0</v>
      </c>
      <c r="P26" s="132" t="n">
        <f aca="false">Abroad!H26</f>
        <v>8.25914153184241</v>
      </c>
      <c r="Q26" s="132" t="n">
        <f aca="false">Abroad!S26</f>
        <v>0</v>
      </c>
      <c r="R26" s="132" t="n">
        <f aca="false">Abroad!C26-Q26</f>
        <v>1.13678470506989</v>
      </c>
      <c r="S26" s="117" t="n">
        <f aca="false">0</f>
        <v>0</v>
      </c>
      <c r="T26" s="132" t="n">
        <f aca="false">P26-'War credit'!T26-Abroad!U26-S26</f>
        <v>8.25914153184241</v>
      </c>
      <c r="U26" s="117" t="str">
        <f aca="false">IF(A26=1901,"Carnegie Steel bought for $480m in Pacifica Steel 5% gold bonds and 7% preference shares","No separately priced acquisition")</f>
        <v>No separately priced acquisition</v>
      </c>
      <c r="V26" s="117" t="n">
        <f aca="false">Y25</f>
        <v>0.475437540919617</v>
      </c>
      <c r="W26" s="117" t="n">
        <f aca="false">V26+K26</f>
        <v>0.582130432499501</v>
      </c>
      <c r="X26" s="117" t="n">
        <f aca="false">MIN('Champion funding'!D26-'Champion funding'!F26,W26)</f>
        <v>0</v>
      </c>
      <c r="Y26" s="117" t="n">
        <f aca="false">W26-X26</f>
        <v>0.582130432499501</v>
      </c>
      <c r="Z26" s="133" t="n">
        <f aca="false">V26+K26-X26-Y26</f>
        <v>0</v>
      </c>
    </row>
    <row r="27" customFormat="false" ht="19.5" hidden="false" customHeight="true" outlineLevel="0" collapsed="false">
      <c r="A27" s="121" t="n">
        <v>1867</v>
      </c>
      <c r="B27" s="117" t="n">
        <f aca="false">C26</f>
        <v>0</v>
      </c>
      <c r="C27" s="132" t="n">
        <f aca="false">Champions!AY27-Champions!Q27</f>
        <v>0</v>
      </c>
      <c r="D27" s="117" t="n">
        <f aca="false">MAX(0,C27-B27)</f>
        <v>0</v>
      </c>
      <c r="E27" s="117" t="n">
        <f aca="false">MAX(0,B27-C27)</f>
        <v>0</v>
      </c>
      <c r="F27" s="133" t="n">
        <f aca="false">B27+D27-E27-C27</f>
        <v>0</v>
      </c>
      <c r="G27" s="117" t="n">
        <f aca="false">H26</f>
        <v>0</v>
      </c>
      <c r="H27" s="132" t="n">
        <f aca="false">Champions!Q27</f>
        <v>0</v>
      </c>
      <c r="I27" s="117" t="n">
        <f aca="false">H27-G27</f>
        <v>0</v>
      </c>
      <c r="J27" s="132" t="n">
        <f aca="false">MAX(0,Champions!BA27)*(1-crown_payout)</f>
        <v>0.253700673024661</v>
      </c>
      <c r="K27" s="132" t="n">
        <f aca="false">J27*'Sources &amp; uses'!$E$28</f>
        <v>0.126850336512331</v>
      </c>
      <c r="L27" s="117" t="n">
        <f aca="false">ABS('Champion funding'!S27)</f>
        <v>0</v>
      </c>
      <c r="M27" s="132" t="n">
        <f aca="false">Abroad!C27+Abroad!D27</f>
        <v>1.23281426124482</v>
      </c>
      <c r="N27" s="132" t="n">
        <f aca="false">Abroad!F27</f>
        <v>0.247774245955272</v>
      </c>
      <c r="O27" s="132" t="n">
        <f aca="false">Abroad!G27</f>
        <v>0</v>
      </c>
      <c r="P27" s="132" t="n">
        <f aca="false">Abroad!H27</f>
        <v>9.24418154713196</v>
      </c>
      <c r="Q27" s="132" t="n">
        <f aca="false">Abroad!S27</f>
        <v>0</v>
      </c>
      <c r="R27" s="132" t="n">
        <f aca="false">Abroad!C27-Q27</f>
        <v>1.23281426124482</v>
      </c>
      <c r="S27" s="117" t="n">
        <f aca="false">0</f>
        <v>0</v>
      </c>
      <c r="T27" s="132" t="n">
        <f aca="false">P27-'War credit'!T27-Abroad!U27-S27</f>
        <v>9.24418154713196</v>
      </c>
      <c r="U27" s="117" t="str">
        <f aca="false">IF(A27=1901,"Carnegie Steel bought for $480m in Pacifica Steel 5% gold bonds and 7% preference shares","No separately priced acquisition")</f>
        <v>No separately priced acquisition</v>
      </c>
      <c r="V27" s="117" t="n">
        <f aca="false">Y26</f>
        <v>0.582130432499501</v>
      </c>
      <c r="W27" s="117" t="n">
        <f aca="false">V27+K27</f>
        <v>0.708980769011832</v>
      </c>
      <c r="X27" s="117" t="n">
        <f aca="false">MIN('Champion funding'!D27-'Champion funding'!F27,W27)</f>
        <v>0</v>
      </c>
      <c r="Y27" s="117" t="n">
        <f aca="false">W27-X27</f>
        <v>0.708980769011832</v>
      </c>
      <c r="Z27" s="133" t="n">
        <f aca="false">V27+K27-X27-Y27</f>
        <v>0</v>
      </c>
    </row>
    <row r="28" customFormat="false" ht="19.5" hidden="false" customHeight="true" outlineLevel="0" collapsed="false">
      <c r="A28" s="121" t="n">
        <v>1868</v>
      </c>
      <c r="B28" s="117" t="n">
        <f aca="false">C27</f>
        <v>0</v>
      </c>
      <c r="C28" s="132" t="n">
        <f aca="false">Champions!AY28-Champions!Q28</f>
        <v>0</v>
      </c>
      <c r="D28" s="117" t="n">
        <f aca="false">MAX(0,C28-B28)</f>
        <v>0</v>
      </c>
      <c r="E28" s="117" t="n">
        <f aca="false">MAX(0,B28-C28)</f>
        <v>0</v>
      </c>
      <c r="F28" s="133" t="n">
        <f aca="false">B28+D28-E28-C28</f>
        <v>0</v>
      </c>
      <c r="G28" s="117" t="n">
        <f aca="false">H27</f>
        <v>0</v>
      </c>
      <c r="H28" s="132" t="n">
        <f aca="false">Champions!Q28</f>
        <v>0</v>
      </c>
      <c r="I28" s="117" t="n">
        <f aca="false">H28-G28</f>
        <v>0</v>
      </c>
      <c r="J28" s="132" t="n">
        <f aca="false">MAX(0,Champions!BA28)*(1-crown_payout)</f>
        <v>0.40327447320133</v>
      </c>
      <c r="K28" s="132" t="n">
        <f aca="false">J28*'Sources &amp; uses'!$E$28</f>
        <v>0.201637236600665</v>
      </c>
      <c r="L28" s="117" t="n">
        <f aca="false">ABS('Champion funding'!S28)</f>
        <v>0</v>
      </c>
      <c r="M28" s="132" t="n">
        <f aca="false">Abroad!C28+Abroad!D28</f>
        <v>1.33357255531088</v>
      </c>
      <c r="N28" s="132" t="n">
        <f aca="false">Abroad!F28</f>
        <v>0.277325446413959</v>
      </c>
      <c r="O28" s="132" t="n">
        <f aca="false">Abroad!G28</f>
        <v>0</v>
      </c>
      <c r="P28" s="132" t="n">
        <f aca="false">Abroad!H28</f>
        <v>10.3004286560289</v>
      </c>
      <c r="Q28" s="132" t="n">
        <f aca="false">Abroad!S28</f>
        <v>0</v>
      </c>
      <c r="R28" s="132" t="n">
        <f aca="false">Abroad!C28-Q28</f>
        <v>1.33357255531088</v>
      </c>
      <c r="S28" s="117" t="n">
        <f aca="false">0</f>
        <v>0</v>
      </c>
      <c r="T28" s="132" t="n">
        <f aca="false">P28-'War credit'!T28-Abroad!U28-S28</f>
        <v>10.3004286560289</v>
      </c>
      <c r="U28" s="117" t="str">
        <f aca="false">IF(A28=1901,"Carnegie Steel bought for $480m in Pacifica Steel 5% gold bonds and 7% preference shares","No separately priced acquisition")</f>
        <v>No separately priced acquisition</v>
      </c>
      <c r="V28" s="117" t="n">
        <f aca="false">Y27</f>
        <v>0.708980769011832</v>
      </c>
      <c r="W28" s="117" t="n">
        <f aca="false">V28+K28</f>
        <v>0.910618005612497</v>
      </c>
      <c r="X28" s="117" t="n">
        <f aca="false">MIN('Champion funding'!D28-'Champion funding'!F28,W28)</f>
        <v>0</v>
      </c>
      <c r="Y28" s="117" t="n">
        <f aca="false">W28-X28</f>
        <v>0.910618005612497</v>
      </c>
      <c r="Z28" s="133" t="n">
        <f aca="false">V28+K28-X28-Y28</f>
        <v>0</v>
      </c>
    </row>
    <row r="29" customFormat="false" ht="19.5" hidden="false" customHeight="true" outlineLevel="0" collapsed="false">
      <c r="A29" s="121" t="n">
        <v>1869</v>
      </c>
      <c r="B29" s="117" t="n">
        <f aca="false">C28</f>
        <v>0</v>
      </c>
      <c r="C29" s="132" t="n">
        <f aca="false">Champions!AY29-Champions!Q29</f>
        <v>0</v>
      </c>
      <c r="D29" s="117" t="n">
        <f aca="false">MAX(0,C29-B29)</f>
        <v>0</v>
      </c>
      <c r="E29" s="117" t="n">
        <f aca="false">MAX(0,B29-C29)</f>
        <v>0</v>
      </c>
      <c r="F29" s="133" t="n">
        <f aca="false">B29+D29-E29-C29</f>
        <v>0</v>
      </c>
      <c r="G29" s="117" t="n">
        <f aca="false">H28</f>
        <v>0</v>
      </c>
      <c r="H29" s="132" t="n">
        <f aca="false">Champions!Q29</f>
        <v>0</v>
      </c>
      <c r="I29" s="117" t="n">
        <f aca="false">H29-G29</f>
        <v>0</v>
      </c>
      <c r="J29" s="132" t="n">
        <f aca="false">MAX(0,Champions!BA29)*(1-crown_payout)</f>
        <v>0.448136910482501</v>
      </c>
      <c r="K29" s="132" t="n">
        <f aca="false">J29*'Sources &amp; uses'!$E$28</f>
        <v>0.22406845524125</v>
      </c>
      <c r="L29" s="117" t="n">
        <f aca="false">ABS('Champion funding'!S29)</f>
        <v>0</v>
      </c>
      <c r="M29" s="132" t="n">
        <f aca="false">Abroad!C29+Abroad!D29</f>
        <v>1.43593310893731</v>
      </c>
      <c r="N29" s="132" t="n">
        <f aca="false">Abroad!F29</f>
        <v>0.309012859680866</v>
      </c>
      <c r="O29" s="132" t="n">
        <f aca="false">Abroad!G29</f>
        <v>0</v>
      </c>
      <c r="P29" s="132" t="n">
        <f aca="false">Abroad!H29</f>
        <v>11.4273489052853</v>
      </c>
      <c r="Q29" s="132" t="n">
        <f aca="false">Abroad!S29</f>
        <v>0</v>
      </c>
      <c r="R29" s="132" t="n">
        <f aca="false">Abroad!C29-Q29</f>
        <v>1.43593310893731</v>
      </c>
      <c r="S29" s="117" t="n">
        <f aca="false">0</f>
        <v>0</v>
      </c>
      <c r="T29" s="132" t="n">
        <f aca="false">P29-'War credit'!T29-Abroad!U29-S29</f>
        <v>11.4273489052853</v>
      </c>
      <c r="U29" s="117" t="str">
        <f aca="false">IF(A29=1901,"Carnegie Steel bought for $480m in Pacifica Steel 5% gold bonds and 7% preference shares","No separately priced acquisition")</f>
        <v>No separately priced acquisition</v>
      </c>
      <c r="V29" s="117" t="n">
        <f aca="false">Y28</f>
        <v>0.910618005612497</v>
      </c>
      <c r="W29" s="117" t="n">
        <f aca="false">V29+K29</f>
        <v>1.13468646085375</v>
      </c>
      <c r="X29" s="117" t="n">
        <f aca="false">MIN('Champion funding'!D29-'Champion funding'!F29,W29)</f>
        <v>0</v>
      </c>
      <c r="Y29" s="117" t="n">
        <f aca="false">W29-X29</f>
        <v>1.13468646085375</v>
      </c>
      <c r="Z29" s="133" t="n">
        <f aca="false">V29+K29-X29-Y29</f>
        <v>0</v>
      </c>
    </row>
    <row r="30" customFormat="false" ht="19.5" hidden="false" customHeight="true" outlineLevel="0" collapsed="false">
      <c r="A30" s="121" t="n">
        <v>1870</v>
      </c>
      <c r="B30" s="117" t="n">
        <f aca="false">C29</f>
        <v>0</v>
      </c>
      <c r="C30" s="132" t="n">
        <f aca="false">Champions!AY30-Champions!Q30</f>
        <v>7.62741913001372</v>
      </c>
      <c r="D30" s="117" t="n">
        <f aca="false">MAX(0,C30-B30)</f>
        <v>7.62741913001372</v>
      </c>
      <c r="E30" s="117" t="n">
        <f aca="false">MAX(0,B30-C30)</f>
        <v>0</v>
      </c>
      <c r="F30" s="133" t="n">
        <f aca="false">B30+D30-E30-C30</f>
        <v>0</v>
      </c>
      <c r="G30" s="117" t="n">
        <f aca="false">H29</f>
        <v>0</v>
      </c>
      <c r="H30" s="132" t="n">
        <f aca="false">Champions!Q30</f>
        <v>0</v>
      </c>
      <c r="I30" s="117" t="n">
        <f aca="false">H30-G30</f>
        <v>0</v>
      </c>
      <c r="J30" s="132" t="n">
        <f aca="false">MAX(0,Champions!BA30)*(1-crown_payout)</f>
        <v>1.07767260072312</v>
      </c>
      <c r="K30" s="132" t="n">
        <f aca="false">J30*'Sources &amp; uses'!$E$28</f>
        <v>0.538836300361558</v>
      </c>
      <c r="L30" s="117" t="n">
        <f aca="false">ABS('Champion funding'!S30)</f>
        <v>0</v>
      </c>
      <c r="M30" s="132" t="n">
        <f aca="false">Abroad!C30+Abroad!D30</f>
        <v>4.65710026784809</v>
      </c>
      <c r="N30" s="132" t="n">
        <f aca="false">Abroad!F30</f>
        <v>0.342820467158559</v>
      </c>
      <c r="O30" s="132" t="n">
        <f aca="false">Abroad!G30</f>
        <v>0</v>
      </c>
      <c r="P30" s="132" t="n">
        <f aca="false">Abroad!H30</f>
        <v>15.7416287059748</v>
      </c>
      <c r="Q30" s="132" t="n">
        <f aca="false">Abroad!S30</f>
        <v>0</v>
      </c>
      <c r="R30" s="132" t="n">
        <f aca="false">Abroad!C30-Q30</f>
        <v>4.65710026784809</v>
      </c>
      <c r="S30" s="117" t="n">
        <f aca="false">0</f>
        <v>0</v>
      </c>
      <c r="T30" s="132" t="n">
        <f aca="false">P30-'War credit'!T30-Abroad!U30-S30</f>
        <v>15.7416287059748</v>
      </c>
      <c r="U30" s="117" t="str">
        <f aca="false">IF(A30=1901,"Carnegie Steel bought for $480m in Pacifica Steel 5% gold bonds and 7% preference shares","No separately priced acquisition")</f>
        <v>No separately priced acquisition</v>
      </c>
      <c r="V30" s="117" t="n">
        <f aca="false">Y29</f>
        <v>1.13468646085375</v>
      </c>
      <c r="W30" s="117" t="n">
        <f aca="false">V30+K30</f>
        <v>1.67352276121531</v>
      </c>
      <c r="X30" s="117" t="n">
        <f aca="false">MIN('Champion funding'!D30-'Champion funding'!F30,W30)</f>
        <v>1.67352276121531</v>
      </c>
      <c r="Y30" s="117" t="n">
        <f aca="false">W30-X30</f>
        <v>0</v>
      </c>
      <c r="Z30" s="133" t="n">
        <f aca="false">V30+K30-X30-Y30</f>
        <v>0</v>
      </c>
    </row>
    <row r="31" customFormat="false" ht="19.5" hidden="false" customHeight="true" outlineLevel="0" collapsed="false">
      <c r="A31" s="121" t="n">
        <v>1871</v>
      </c>
      <c r="B31" s="117" t="n">
        <f aca="false">C30</f>
        <v>7.62741913001372</v>
      </c>
      <c r="C31" s="132" t="n">
        <f aca="false">Champions!AY31-Champions!Q31</f>
        <v>12.0760268788573</v>
      </c>
      <c r="D31" s="117" t="n">
        <f aca="false">MAX(0,C31-B31)</f>
        <v>4.44860774884362</v>
      </c>
      <c r="E31" s="117" t="n">
        <f aca="false">MAX(0,B31-C31)</f>
        <v>0</v>
      </c>
      <c r="F31" s="133" t="n">
        <f aca="false">B31+D31-E31-C31</f>
        <v>0</v>
      </c>
      <c r="G31" s="117" t="n">
        <f aca="false">H30</f>
        <v>0</v>
      </c>
      <c r="H31" s="132" t="n">
        <f aca="false">Champions!Q31</f>
        <v>0</v>
      </c>
      <c r="I31" s="117" t="n">
        <f aca="false">H31-G31</f>
        <v>0</v>
      </c>
      <c r="J31" s="132" t="n">
        <f aca="false">MAX(0,Champions!BA31)*(1-crown_payout)</f>
        <v>1.37963117987818</v>
      </c>
      <c r="K31" s="132" t="n">
        <f aca="false">J31*'Sources &amp; uses'!$E$28</f>
        <v>0.689815589939092</v>
      </c>
      <c r="L31" s="117" t="n">
        <f aca="false">ABS('Champion funding'!S31)</f>
        <v>0</v>
      </c>
      <c r="M31" s="132" t="n">
        <f aca="false">Abroad!C31+Abroad!D31</f>
        <v>4.98007093659479</v>
      </c>
      <c r="N31" s="132" t="n">
        <f aca="false">Abroad!F31</f>
        <v>0.472248861179245</v>
      </c>
      <c r="O31" s="132" t="n">
        <f aca="false">Abroad!G31</f>
        <v>0</v>
      </c>
      <c r="P31" s="132" t="n">
        <f aca="false">Abroad!H31</f>
        <v>20.2494507813904</v>
      </c>
      <c r="Q31" s="132" t="n">
        <f aca="false">Abroad!S31</f>
        <v>0</v>
      </c>
      <c r="R31" s="132" t="n">
        <f aca="false">Abroad!C31-Q31</f>
        <v>4.98007093659479</v>
      </c>
      <c r="S31" s="117" t="n">
        <f aca="false">0</f>
        <v>0</v>
      </c>
      <c r="T31" s="132" t="n">
        <f aca="false">P31-'War credit'!T31-Abroad!U31-S31</f>
        <v>20.2494507813904</v>
      </c>
      <c r="U31" s="117" t="str">
        <f aca="false">IF(A31=1901,"Carnegie Steel bought for $480m in Pacifica Steel 5% gold bonds and 7% preference shares","No separately priced acquisition")</f>
        <v>No separately priced acquisition</v>
      </c>
      <c r="V31" s="117" t="n">
        <f aca="false">Y30</f>
        <v>0</v>
      </c>
      <c r="W31" s="117" t="n">
        <f aca="false">V31+K31</f>
        <v>0.689815589939092</v>
      </c>
      <c r="X31" s="117" t="n">
        <f aca="false">MIN('Champion funding'!D31-'Champion funding'!F31,W31)</f>
        <v>0.689815589939092</v>
      </c>
      <c r="Y31" s="117" t="n">
        <f aca="false">W31-X31</f>
        <v>0</v>
      </c>
      <c r="Z31" s="133" t="n">
        <f aca="false">V31+K31-X31-Y31</f>
        <v>0</v>
      </c>
    </row>
    <row r="32" customFormat="false" ht="19.5" hidden="false" customHeight="true" outlineLevel="0" collapsed="false">
      <c r="A32" s="121" t="n">
        <v>1872</v>
      </c>
      <c r="B32" s="117" t="n">
        <f aca="false">C31</f>
        <v>12.0760268788573</v>
      </c>
      <c r="C32" s="132" t="n">
        <f aca="false">Champions!AY32-Champions!Q32</f>
        <v>15.4772360692221</v>
      </c>
      <c r="D32" s="117" t="n">
        <f aca="false">MAX(0,C32-B32)</f>
        <v>3.40120919036472</v>
      </c>
      <c r="E32" s="117" t="n">
        <f aca="false">MAX(0,B32-C32)</f>
        <v>0</v>
      </c>
      <c r="F32" s="133" t="n">
        <f aca="false">B32+D32-E32-C32</f>
        <v>0</v>
      </c>
      <c r="G32" s="117" t="n">
        <f aca="false">H31</f>
        <v>0</v>
      </c>
      <c r="H32" s="132" t="n">
        <f aca="false">Champions!Q32</f>
        <v>0</v>
      </c>
      <c r="I32" s="117" t="n">
        <f aca="false">H32-G32</f>
        <v>0</v>
      </c>
      <c r="J32" s="132" t="n">
        <f aca="false">MAX(0,Champions!BA32)*(1-crown_payout)</f>
        <v>1.68290068123393</v>
      </c>
      <c r="K32" s="132" t="n">
        <f aca="false">J32*'Sources &amp; uses'!$E$28</f>
        <v>0.841450340616964</v>
      </c>
      <c r="L32" s="117" t="n">
        <f aca="false">ABS('Champion funding'!S32)</f>
        <v>0</v>
      </c>
      <c r="M32" s="132" t="n">
        <f aca="false">Abroad!C32+Abroad!D32</f>
        <v>5.31373650641033</v>
      </c>
      <c r="N32" s="132" t="n">
        <f aca="false">Abroad!F32</f>
        <v>0.607483523441712</v>
      </c>
      <c r="O32" s="132" t="n">
        <f aca="false">Abroad!G32</f>
        <v>0</v>
      </c>
      <c r="P32" s="132" t="n">
        <f aca="false">Abroad!H32</f>
        <v>24.955703764359</v>
      </c>
      <c r="Q32" s="132" t="n">
        <f aca="false">Abroad!S32</f>
        <v>0</v>
      </c>
      <c r="R32" s="132" t="n">
        <f aca="false">Abroad!C32-Q32</f>
        <v>5.31373650641033</v>
      </c>
      <c r="S32" s="117" t="n">
        <f aca="false">0</f>
        <v>0</v>
      </c>
      <c r="T32" s="132" t="n">
        <f aca="false">P32-'War credit'!T32-Abroad!U32-S32</f>
        <v>24.955703764359</v>
      </c>
      <c r="U32" s="117" t="str">
        <f aca="false">IF(A32=1901,"Carnegie Steel bought for $480m in Pacifica Steel 5% gold bonds and 7% preference shares","No separately priced acquisition")</f>
        <v>No separately priced acquisition</v>
      </c>
      <c r="V32" s="117" t="n">
        <f aca="false">Y31</f>
        <v>0</v>
      </c>
      <c r="W32" s="117" t="n">
        <f aca="false">V32+K32</f>
        <v>0.841450340616964</v>
      </c>
      <c r="X32" s="117" t="n">
        <f aca="false">MIN('Champion funding'!D32-'Champion funding'!F32,W32)</f>
        <v>0.841450340616964</v>
      </c>
      <c r="Y32" s="117" t="n">
        <f aca="false">W32-X32</f>
        <v>0</v>
      </c>
      <c r="Z32" s="133" t="n">
        <f aca="false">V32+K32-X32-Y32</f>
        <v>0</v>
      </c>
    </row>
    <row r="33" customFormat="false" ht="19.5" hidden="false" customHeight="true" outlineLevel="0" collapsed="false">
      <c r="A33" s="121" t="n">
        <v>1873</v>
      </c>
      <c r="B33" s="117" t="n">
        <f aca="false">C32</f>
        <v>15.4772360692221</v>
      </c>
      <c r="C33" s="132" t="n">
        <f aca="false">Champions!AY33-Champions!Q33</f>
        <v>17.8149641934081</v>
      </c>
      <c r="D33" s="117" t="n">
        <f aca="false">MAX(0,C33-B33)</f>
        <v>2.33772812418604</v>
      </c>
      <c r="E33" s="117" t="n">
        <f aca="false">MAX(0,B33-C33)</f>
        <v>0</v>
      </c>
      <c r="F33" s="133" t="n">
        <f aca="false">B33+D33-E33-C33</f>
        <v>0</v>
      </c>
      <c r="G33" s="117" t="n">
        <f aca="false">H32</f>
        <v>0</v>
      </c>
      <c r="H33" s="132" t="n">
        <f aca="false">Champions!Q33</f>
        <v>0</v>
      </c>
      <c r="I33" s="117" t="n">
        <f aca="false">H33-G33</f>
        <v>0</v>
      </c>
      <c r="J33" s="132" t="n">
        <f aca="false">MAX(0,Champions!BA33)*(1-crown_payout)</f>
        <v>1.92573082319169</v>
      </c>
      <c r="K33" s="132" t="n">
        <f aca="false">J33*'Sources &amp; uses'!$E$28</f>
        <v>0.962865411595845</v>
      </c>
      <c r="L33" s="117" t="n">
        <f aca="false">ABS('Champion funding'!S33)</f>
        <v>0</v>
      </c>
      <c r="M33" s="132" t="n">
        <f aca="false">Abroad!C33+Abroad!D33</f>
        <v>5.59412187816632</v>
      </c>
      <c r="N33" s="132" t="n">
        <f aca="false">Abroad!F33</f>
        <v>0.74867111293077</v>
      </c>
      <c r="O33" s="132" t="n">
        <f aca="false">Abroad!G33</f>
        <v>0</v>
      </c>
      <c r="P33" s="132" t="n">
        <f aca="false">Abroad!H33</f>
        <v>29.8011545295946</v>
      </c>
      <c r="Q33" s="132" t="n">
        <f aca="false">Abroad!S33</f>
        <v>0</v>
      </c>
      <c r="R33" s="132" t="n">
        <f aca="false">Abroad!C33-Q33</f>
        <v>5.59412187816632</v>
      </c>
      <c r="S33" s="117" t="n">
        <f aca="false">0</f>
        <v>0</v>
      </c>
      <c r="T33" s="132" t="n">
        <f aca="false">P33-'War credit'!T33-Abroad!U33-S33</f>
        <v>29.8011545295946</v>
      </c>
      <c r="U33" s="117" t="str">
        <f aca="false">IF(A33=1901,"Carnegie Steel bought for $480m in Pacifica Steel 5% gold bonds and 7% preference shares","No separately priced acquisition")</f>
        <v>No separately priced acquisition</v>
      </c>
      <c r="V33" s="117" t="n">
        <f aca="false">Y32</f>
        <v>0</v>
      </c>
      <c r="W33" s="117" t="n">
        <f aca="false">V33+K33</f>
        <v>0.962865411595845</v>
      </c>
      <c r="X33" s="117" t="n">
        <f aca="false">MIN('Champion funding'!D33-'Champion funding'!F33,W33)</f>
        <v>0.962865411595845</v>
      </c>
      <c r="Y33" s="117" t="n">
        <f aca="false">W33-X33</f>
        <v>0</v>
      </c>
      <c r="Z33" s="133" t="n">
        <f aca="false">V33+K33-X33-Y33</f>
        <v>0</v>
      </c>
    </row>
    <row r="34" customFormat="false" ht="19.5" hidden="false" customHeight="true" outlineLevel="0" collapsed="false">
      <c r="A34" s="121" t="n">
        <v>1874</v>
      </c>
      <c r="B34" s="117" t="n">
        <f aca="false">C33</f>
        <v>17.8149641934081</v>
      </c>
      <c r="C34" s="132" t="n">
        <f aca="false">Champions!AY34-Champions!Q34</f>
        <v>22.4232067360327</v>
      </c>
      <c r="D34" s="117" t="n">
        <f aca="false">MAX(0,C34-B34)</f>
        <v>4.60824254262463</v>
      </c>
      <c r="E34" s="117" t="n">
        <f aca="false">MAX(0,B34-C34)</f>
        <v>0</v>
      </c>
      <c r="F34" s="133" t="n">
        <f aca="false">B34+D34-E34-C34</f>
        <v>0</v>
      </c>
      <c r="G34" s="117" t="n">
        <f aca="false">H33</f>
        <v>0</v>
      </c>
      <c r="H34" s="132" t="n">
        <f aca="false">Champions!Q34</f>
        <v>0</v>
      </c>
      <c r="I34" s="117" t="n">
        <f aca="false">H34-G34</f>
        <v>0</v>
      </c>
      <c r="J34" s="132" t="n">
        <f aca="false">MAX(0,Champions!BA34)*(1-crown_payout)</f>
        <v>2.23554886516899</v>
      </c>
      <c r="K34" s="132" t="n">
        <f aca="false">J34*'Sources &amp; uses'!$E$28</f>
        <v>1.1177744325845</v>
      </c>
      <c r="L34" s="117" t="n">
        <f aca="false">ABS('Champion funding'!S34)</f>
        <v>0</v>
      </c>
      <c r="M34" s="132" t="n">
        <f aca="false">Abroad!C34+Abroad!D34</f>
        <v>5.93051674227531</v>
      </c>
      <c r="N34" s="132" t="n">
        <f aca="false">Abroad!F34</f>
        <v>0.894034635887837</v>
      </c>
      <c r="O34" s="132" t="n">
        <f aca="false">Abroad!G34</f>
        <v>0</v>
      </c>
      <c r="P34" s="132" t="n">
        <f aca="false">Abroad!H34</f>
        <v>34.837636635982</v>
      </c>
      <c r="Q34" s="132" t="n">
        <f aca="false">Abroad!S34</f>
        <v>0</v>
      </c>
      <c r="R34" s="132" t="n">
        <f aca="false">Abroad!C34-Q34</f>
        <v>5.93051674227531</v>
      </c>
      <c r="S34" s="117" t="n">
        <f aca="false">0</f>
        <v>0</v>
      </c>
      <c r="T34" s="132" t="n">
        <f aca="false">P34-'War credit'!T34-Abroad!U34-S34</f>
        <v>34.837636635982</v>
      </c>
      <c r="U34" s="117" t="str">
        <f aca="false">IF(A34=1901,"Carnegie Steel bought for $480m in Pacifica Steel 5% gold bonds and 7% preference shares","No separately priced acquisition")</f>
        <v>No separately priced acquisition</v>
      </c>
      <c r="V34" s="117" t="n">
        <f aca="false">Y33</f>
        <v>0</v>
      </c>
      <c r="W34" s="117" t="n">
        <f aca="false">V34+K34</f>
        <v>1.1177744325845</v>
      </c>
      <c r="X34" s="117" t="n">
        <f aca="false">MIN('Champion funding'!D34-'Champion funding'!F34,W34)</f>
        <v>1.1177744325845</v>
      </c>
      <c r="Y34" s="117" t="n">
        <f aca="false">W34-X34</f>
        <v>0</v>
      </c>
      <c r="Z34" s="133" t="n">
        <f aca="false">V34+K34-X34-Y34</f>
        <v>0</v>
      </c>
    </row>
    <row r="35" customFormat="false" ht="19.5" hidden="false" customHeight="true" outlineLevel="0" collapsed="false">
      <c r="A35" s="121" t="n">
        <v>1875</v>
      </c>
      <c r="B35" s="117" t="n">
        <f aca="false">C34</f>
        <v>22.4232067360327</v>
      </c>
      <c r="C35" s="132" t="n">
        <f aca="false">Champions!AY35-Champions!Q35</f>
        <v>27.0656815451107</v>
      </c>
      <c r="D35" s="117" t="n">
        <f aca="false">MAX(0,C35-B35)</f>
        <v>4.64247480907797</v>
      </c>
      <c r="E35" s="117" t="n">
        <f aca="false">MAX(0,B35-C35)</f>
        <v>0</v>
      </c>
      <c r="F35" s="133" t="n">
        <f aca="false">B35+D35-E35-C35</f>
        <v>0</v>
      </c>
      <c r="G35" s="117" t="n">
        <f aca="false">H34</f>
        <v>0</v>
      </c>
      <c r="H35" s="132" t="n">
        <f aca="false">Champions!Q35</f>
        <v>0</v>
      </c>
      <c r="I35" s="117" t="n">
        <f aca="false">H35-G35</f>
        <v>0</v>
      </c>
      <c r="J35" s="132" t="n">
        <f aca="false">MAX(0,Champions!BA35)*(1-crown_payout)</f>
        <v>2.5770475909504</v>
      </c>
      <c r="K35" s="132" t="n">
        <f aca="false">J35*'Sources &amp; uses'!$E$28</f>
        <v>1.2885237954752</v>
      </c>
      <c r="L35" s="117" t="n">
        <f aca="false">ABS('Champion funding'!S35)</f>
        <v>0</v>
      </c>
      <c r="M35" s="132" t="n">
        <f aca="false">Abroad!C35+Abroad!D35</f>
        <v>6.39097737088628</v>
      </c>
      <c r="N35" s="132" t="n">
        <f aca="false">Abroad!F35</f>
        <v>1.04512909907946</v>
      </c>
      <c r="O35" s="132" t="n">
        <f aca="false">Abroad!G35</f>
        <v>0</v>
      </c>
      <c r="P35" s="132" t="n">
        <f aca="false">Abroad!H35</f>
        <v>40.1834849077889</v>
      </c>
      <c r="Q35" s="132" t="n">
        <f aca="false">Abroad!S35</f>
        <v>0</v>
      </c>
      <c r="R35" s="132" t="n">
        <f aca="false">Abroad!C35-Q35</f>
        <v>6.39097737088628</v>
      </c>
      <c r="S35" s="117" t="n">
        <f aca="false">0</f>
        <v>0</v>
      </c>
      <c r="T35" s="132" t="n">
        <f aca="false">P35-'War credit'!T35-Abroad!U35-S35</f>
        <v>40.1834849077889</v>
      </c>
      <c r="U35" s="117" t="str">
        <f aca="false">IF(A35=1901,"Carnegie Steel bought for $480m in Pacifica Steel 5% gold bonds and 7% preference shares","No separately priced acquisition")</f>
        <v>No separately priced acquisition</v>
      </c>
      <c r="V35" s="117" t="n">
        <f aca="false">Y34</f>
        <v>0</v>
      </c>
      <c r="W35" s="117" t="n">
        <f aca="false">V35+K35</f>
        <v>1.2885237954752</v>
      </c>
      <c r="X35" s="117" t="n">
        <f aca="false">MIN('Champion funding'!D35-'Champion funding'!F35,W35)</f>
        <v>1.2885237954752</v>
      </c>
      <c r="Y35" s="117" t="n">
        <f aca="false">W35-X35</f>
        <v>0</v>
      </c>
      <c r="Z35" s="133" t="n">
        <f aca="false">V35+K35-X35-Y35</f>
        <v>0</v>
      </c>
    </row>
    <row r="36" customFormat="false" ht="19.5" hidden="false" customHeight="true" outlineLevel="0" collapsed="false">
      <c r="A36" s="121" t="n">
        <v>1876</v>
      </c>
      <c r="B36" s="117" t="n">
        <f aca="false">C35</f>
        <v>27.0656815451107</v>
      </c>
      <c r="C36" s="132" t="n">
        <f aca="false">Champions!AY36-Champions!Q36</f>
        <v>30.6221792603133</v>
      </c>
      <c r="D36" s="117" t="n">
        <f aca="false">MAX(0,C36-B36)</f>
        <v>3.55649771520261</v>
      </c>
      <c r="E36" s="117" t="n">
        <f aca="false">MAX(0,B36-C36)</f>
        <v>0</v>
      </c>
      <c r="F36" s="133" t="n">
        <f aca="false">B36+D36-E36-C36</f>
        <v>0</v>
      </c>
      <c r="G36" s="117" t="n">
        <f aca="false">H35</f>
        <v>0</v>
      </c>
      <c r="H36" s="132" t="n">
        <f aca="false">Champions!Q36</f>
        <v>0</v>
      </c>
      <c r="I36" s="117" t="n">
        <f aca="false">H36-G36</f>
        <v>0</v>
      </c>
      <c r="J36" s="132" t="n">
        <f aca="false">MAX(0,Champions!BA36)*(1-crown_payout)</f>
        <v>2.88583417349193</v>
      </c>
      <c r="K36" s="132" t="n">
        <f aca="false">J36*'Sources &amp; uses'!$E$28</f>
        <v>1.44291708674596</v>
      </c>
      <c r="L36" s="117" t="n">
        <f aca="false">ABS('Champion funding'!S36)</f>
        <v>0</v>
      </c>
      <c r="M36" s="132" t="n">
        <f aca="false">Abroad!C36+Abroad!D36</f>
        <v>6.93262723867273</v>
      </c>
      <c r="N36" s="132" t="n">
        <f aca="false">Abroad!F36</f>
        <v>1.20550454723367</v>
      </c>
      <c r="O36" s="132" t="n">
        <f aca="false">Abroad!G36</f>
        <v>0</v>
      </c>
      <c r="P36" s="132" t="n">
        <f aca="false">Abroad!H36</f>
        <v>45.9106075992279</v>
      </c>
      <c r="Q36" s="132" t="n">
        <f aca="false">Abroad!S36</f>
        <v>0</v>
      </c>
      <c r="R36" s="132" t="n">
        <f aca="false">Abroad!C36-Q36</f>
        <v>6.93262723867273</v>
      </c>
      <c r="S36" s="117" t="n">
        <f aca="false">0</f>
        <v>0</v>
      </c>
      <c r="T36" s="132" t="n">
        <f aca="false">P36-'War credit'!T36-Abroad!U36-S36</f>
        <v>45.9106075992279</v>
      </c>
      <c r="U36" s="117" t="str">
        <f aca="false">IF(A36=1901,"Carnegie Steel bought for $480m in Pacifica Steel 5% gold bonds and 7% preference shares","No separately priced acquisition")</f>
        <v>No separately priced acquisition</v>
      </c>
      <c r="V36" s="117" t="n">
        <f aca="false">Y35</f>
        <v>0</v>
      </c>
      <c r="W36" s="117" t="n">
        <f aca="false">V36+K36</f>
        <v>1.44291708674596</v>
      </c>
      <c r="X36" s="117" t="n">
        <f aca="false">MIN('Champion funding'!D36-'Champion funding'!F36,W36)</f>
        <v>1.44291708674596</v>
      </c>
      <c r="Y36" s="117" t="n">
        <f aca="false">W36-X36</f>
        <v>0</v>
      </c>
      <c r="Z36" s="133" t="n">
        <f aca="false">V36+K36-X36-Y36</f>
        <v>0</v>
      </c>
    </row>
    <row r="37" customFormat="false" ht="19.5" hidden="false" customHeight="true" outlineLevel="0" collapsed="false">
      <c r="A37" s="121" t="n">
        <v>1877</v>
      </c>
      <c r="B37" s="117" t="n">
        <f aca="false">C36</f>
        <v>30.6221792603133</v>
      </c>
      <c r="C37" s="132" t="n">
        <f aca="false">Champions!AY37-Champions!Q37</f>
        <v>34.2479808152714</v>
      </c>
      <c r="D37" s="117" t="n">
        <f aca="false">MAX(0,C37-B37)</f>
        <v>3.62580155495809</v>
      </c>
      <c r="E37" s="117" t="n">
        <f aca="false">MAX(0,B37-C37)</f>
        <v>0</v>
      </c>
      <c r="F37" s="133" t="n">
        <f aca="false">B37+D37-E37-C37</f>
        <v>0</v>
      </c>
      <c r="G37" s="117" t="n">
        <f aca="false">H36</f>
        <v>0</v>
      </c>
      <c r="H37" s="132" t="n">
        <f aca="false">Champions!Q37</f>
        <v>0</v>
      </c>
      <c r="I37" s="117" t="n">
        <f aca="false">H37-G37</f>
        <v>0</v>
      </c>
      <c r="J37" s="132" t="n">
        <f aca="false">MAX(0,Champions!BA37)*(1-crown_payout)</f>
        <v>3.17362909822474</v>
      </c>
      <c r="K37" s="132" t="n">
        <f aca="false">J37*'Sources &amp; uses'!$E$28</f>
        <v>1.58681454911237</v>
      </c>
      <c r="L37" s="117" t="n">
        <f aca="false">ABS('Champion funding'!S37)</f>
        <v>0</v>
      </c>
      <c r="M37" s="132" t="n">
        <f aca="false">Abroad!C37+Abroad!D37</f>
        <v>7.22349520102181</v>
      </c>
      <c r="N37" s="132" t="n">
        <f aca="false">Abroad!F37</f>
        <v>1.37731822797684</v>
      </c>
      <c r="O37" s="132" t="n">
        <f aca="false">Abroad!G37</f>
        <v>0</v>
      </c>
      <c r="P37" s="132" t="n">
        <f aca="false">Abroad!H37</f>
        <v>51.7567845722729</v>
      </c>
      <c r="Q37" s="132" t="n">
        <f aca="false">Abroad!S37</f>
        <v>0</v>
      </c>
      <c r="R37" s="132" t="n">
        <f aca="false">Abroad!C37-Q37</f>
        <v>7.22349520102181</v>
      </c>
      <c r="S37" s="117" t="n">
        <f aca="false">0</f>
        <v>0</v>
      </c>
      <c r="T37" s="132" t="n">
        <f aca="false">P37-'War credit'!T37-Abroad!U37-S37</f>
        <v>51.7567845722729</v>
      </c>
      <c r="U37" s="117" t="str">
        <f aca="false">IF(A37=1901,"Carnegie Steel bought for $480m in Pacifica Steel 5% gold bonds and 7% preference shares","No separately priced acquisition")</f>
        <v>No separately priced acquisition</v>
      </c>
      <c r="V37" s="117" t="n">
        <f aca="false">Y36</f>
        <v>0</v>
      </c>
      <c r="W37" s="117" t="n">
        <f aca="false">V37+K37</f>
        <v>1.58681454911237</v>
      </c>
      <c r="X37" s="117" t="n">
        <f aca="false">MIN('Champion funding'!D37-'Champion funding'!F37,W37)</f>
        <v>1.58681454911237</v>
      </c>
      <c r="Y37" s="117" t="n">
        <f aca="false">W37-X37</f>
        <v>0</v>
      </c>
      <c r="Z37" s="133" t="n">
        <f aca="false">V37+K37-X37-Y37</f>
        <v>0</v>
      </c>
    </row>
    <row r="38" customFormat="false" ht="19.5" hidden="false" customHeight="true" outlineLevel="0" collapsed="false">
      <c r="A38" s="121" t="n">
        <v>1878</v>
      </c>
      <c r="B38" s="117" t="n">
        <f aca="false">C37</f>
        <v>34.2479808152714</v>
      </c>
      <c r="C38" s="132" t="n">
        <f aca="false">Champions!AY38-Champions!Q38</f>
        <v>37.8850901547864</v>
      </c>
      <c r="D38" s="117" t="n">
        <f aca="false">MAX(0,C38-B38)</f>
        <v>3.63710933951499</v>
      </c>
      <c r="E38" s="117" t="n">
        <f aca="false">MAX(0,B38-C38)</f>
        <v>0</v>
      </c>
      <c r="F38" s="133" t="n">
        <f aca="false">B38+D38-E38-C38</f>
        <v>0</v>
      </c>
      <c r="G38" s="117" t="n">
        <f aca="false">H37</f>
        <v>0</v>
      </c>
      <c r="H38" s="132" t="n">
        <f aca="false">Champions!Q38</f>
        <v>0</v>
      </c>
      <c r="I38" s="117" t="n">
        <f aca="false">H38-G38</f>
        <v>0</v>
      </c>
      <c r="J38" s="132" t="n">
        <f aca="false">MAX(0,Champions!BA38)*(1-crown_payout)</f>
        <v>3.46617578024351</v>
      </c>
      <c r="K38" s="132" t="n">
        <f aca="false">J38*'Sources &amp; uses'!$E$28</f>
        <v>1.73308789012175</v>
      </c>
      <c r="L38" s="117" t="n">
        <f aca="false">ABS('Champion funding'!S38)</f>
        <v>0</v>
      </c>
      <c r="M38" s="132" t="n">
        <f aca="false">Abroad!C38+Abroad!D38</f>
        <v>7.69893236852432</v>
      </c>
      <c r="N38" s="132" t="n">
        <f aca="false">Abroad!F38</f>
        <v>1.55270353716819</v>
      </c>
      <c r="O38" s="132" t="n">
        <f aca="false">Abroad!G38</f>
        <v>0</v>
      </c>
      <c r="P38" s="132" t="n">
        <f aca="false">Abroad!H38</f>
        <v>57.903013403629</v>
      </c>
      <c r="Q38" s="132" t="n">
        <f aca="false">Abroad!S38</f>
        <v>0</v>
      </c>
      <c r="R38" s="132" t="n">
        <f aca="false">Abroad!C38-Q38</f>
        <v>7.69893236852432</v>
      </c>
      <c r="S38" s="117" t="n">
        <f aca="false">0</f>
        <v>0</v>
      </c>
      <c r="T38" s="132" t="n">
        <f aca="false">P38-'War credit'!T38-Abroad!U38-S38</f>
        <v>57.903013403629</v>
      </c>
      <c r="U38" s="117" t="str">
        <f aca="false">IF(A38=1901,"Carnegie Steel bought for $480m in Pacifica Steel 5% gold bonds and 7% preference shares","No separately priced acquisition")</f>
        <v>No separately priced acquisition</v>
      </c>
      <c r="V38" s="117" t="n">
        <f aca="false">Y37</f>
        <v>0</v>
      </c>
      <c r="W38" s="117" t="n">
        <f aca="false">V38+K38</f>
        <v>1.73308789012175</v>
      </c>
      <c r="X38" s="117" t="n">
        <f aca="false">MIN('Champion funding'!D38-'Champion funding'!F38,W38)</f>
        <v>1.73308789012175</v>
      </c>
      <c r="Y38" s="117" t="n">
        <f aca="false">W38-X38</f>
        <v>0</v>
      </c>
      <c r="Z38" s="133" t="n">
        <f aca="false">V38+K38-X38-Y38</f>
        <v>0</v>
      </c>
    </row>
    <row r="39" customFormat="false" ht="19.5" hidden="false" customHeight="true" outlineLevel="0" collapsed="false">
      <c r="A39" s="121" t="n">
        <v>1879</v>
      </c>
      <c r="B39" s="117" t="n">
        <f aca="false">C38</f>
        <v>37.8850901547864</v>
      </c>
      <c r="C39" s="132" t="n">
        <f aca="false">Champions!AY39-Champions!Q39</f>
        <v>42.5941035427497</v>
      </c>
      <c r="D39" s="117" t="n">
        <f aca="false">MAX(0,C39-B39)</f>
        <v>4.70901338796327</v>
      </c>
      <c r="E39" s="117" t="n">
        <f aca="false">MAX(0,B39-C39)</f>
        <v>0</v>
      </c>
      <c r="F39" s="133" t="n">
        <f aca="false">B39+D39-E39-C39</f>
        <v>0</v>
      </c>
      <c r="G39" s="117" t="n">
        <f aca="false">H38</f>
        <v>0</v>
      </c>
      <c r="H39" s="132" t="n">
        <f aca="false">Champions!Q39</f>
        <v>0</v>
      </c>
      <c r="I39" s="117" t="n">
        <f aca="false">H39-G39</f>
        <v>0</v>
      </c>
      <c r="J39" s="132" t="n">
        <f aca="false">MAX(0,Champions!BA39)*(1-crown_payout)</f>
        <v>3.77258853058103</v>
      </c>
      <c r="K39" s="132" t="n">
        <f aca="false">J39*'Sources &amp; uses'!$E$28</f>
        <v>1.88629426529051</v>
      </c>
      <c r="L39" s="117" t="n">
        <f aca="false">ABS('Champion funding'!S39)</f>
        <v>0</v>
      </c>
      <c r="M39" s="132" t="n">
        <f aca="false">Abroad!C39+Abroad!D39</f>
        <v>8.03719045014542</v>
      </c>
      <c r="N39" s="132" t="n">
        <f aca="false">Abroad!F39</f>
        <v>1.73709040210887</v>
      </c>
      <c r="O39" s="132" t="n">
        <f aca="false">Abroad!G39</f>
        <v>0</v>
      </c>
      <c r="P39" s="132" t="n">
        <f aca="false">Abroad!H39</f>
        <v>64.2031134516656</v>
      </c>
      <c r="Q39" s="132" t="n">
        <f aca="false">Abroad!S39</f>
        <v>0</v>
      </c>
      <c r="R39" s="132" t="n">
        <f aca="false">Abroad!C39-Q39</f>
        <v>8.03719045014542</v>
      </c>
      <c r="S39" s="117" t="n">
        <f aca="false">0</f>
        <v>0</v>
      </c>
      <c r="T39" s="132" t="n">
        <f aca="false">P39-'War credit'!T39-Abroad!U39-S39</f>
        <v>64.2031134516656</v>
      </c>
      <c r="U39" s="117" t="str">
        <f aca="false">IF(A39=1901,"Carnegie Steel bought for $480m in Pacifica Steel 5% gold bonds and 7% preference shares","No separately priced acquisition")</f>
        <v>No separately priced acquisition</v>
      </c>
      <c r="V39" s="117" t="n">
        <f aca="false">Y38</f>
        <v>0</v>
      </c>
      <c r="W39" s="117" t="n">
        <f aca="false">V39+K39</f>
        <v>1.88629426529051</v>
      </c>
      <c r="X39" s="117" t="n">
        <f aca="false">MIN('Champion funding'!D39-'Champion funding'!F39,W39)</f>
        <v>1.88629426529051</v>
      </c>
      <c r="Y39" s="117" t="n">
        <f aca="false">W39-X39</f>
        <v>0</v>
      </c>
      <c r="Z39" s="133" t="n">
        <f aca="false">V39+K39-X39-Y39</f>
        <v>0</v>
      </c>
    </row>
    <row r="40" customFormat="false" ht="19.5" hidden="false" customHeight="true" outlineLevel="0" collapsed="false">
      <c r="A40" s="121" t="n">
        <v>1880</v>
      </c>
      <c r="B40" s="117" t="n">
        <f aca="false">C39</f>
        <v>42.5941035427497</v>
      </c>
      <c r="C40" s="132" t="n">
        <f aca="false">Champions!AY40-Champions!Q40</f>
        <v>47.2780114340467</v>
      </c>
      <c r="D40" s="117" t="n">
        <f aca="false">MAX(0,C40-B40)</f>
        <v>4.68390789129706</v>
      </c>
      <c r="E40" s="117" t="n">
        <f aca="false">MAX(0,B40-C40)</f>
        <v>0</v>
      </c>
      <c r="F40" s="133" t="n">
        <f aca="false">B40+D40-E40-C40</f>
        <v>0</v>
      </c>
      <c r="G40" s="117" t="n">
        <f aca="false">H39</f>
        <v>0</v>
      </c>
      <c r="H40" s="132" t="n">
        <f aca="false">Champions!Q40</f>
        <v>4.84311336641454</v>
      </c>
      <c r="I40" s="117" t="n">
        <f aca="false">H40-G40</f>
        <v>4.84311336641454</v>
      </c>
      <c r="J40" s="132" t="n">
        <f aca="false">MAX(0,Champions!BA40)*(1-crown_payout)</f>
        <v>4.50178918630533</v>
      </c>
      <c r="K40" s="132" t="n">
        <f aca="false">J40*'Sources &amp; uses'!$E$28</f>
        <v>2.25089459315266</v>
      </c>
      <c r="L40" s="117" t="n">
        <f aca="false">ABS('Champion funding'!S40)</f>
        <v>0</v>
      </c>
      <c r="M40" s="132" t="n">
        <f aca="false">Abroad!C40+Abroad!D40</f>
        <v>8.42324872612478</v>
      </c>
      <c r="N40" s="132" t="n">
        <f aca="false">Abroad!F40</f>
        <v>1.92609340354997</v>
      </c>
      <c r="O40" s="132" t="n">
        <f aca="false">Abroad!G40</f>
        <v>0</v>
      </c>
      <c r="P40" s="132" t="n">
        <f aca="false">Abroad!H40</f>
        <v>70.7002687742404</v>
      </c>
      <c r="Q40" s="132" t="n">
        <f aca="false">Abroad!S40</f>
        <v>0</v>
      </c>
      <c r="R40" s="132" t="n">
        <f aca="false">Abroad!C40-Q40</f>
        <v>8.42324872612478</v>
      </c>
      <c r="S40" s="117" t="n">
        <f aca="false">0</f>
        <v>0</v>
      </c>
      <c r="T40" s="132" t="n">
        <f aca="false">P40-'War credit'!T40-Abroad!U40-S40</f>
        <v>70.7002687742404</v>
      </c>
      <c r="U40" s="117" t="str">
        <f aca="false">IF(A40=1901,"Carnegie Steel bought for $480m in Pacifica Steel 5% gold bonds and 7% preference shares","No separately priced acquisition")</f>
        <v>No separately priced acquisition</v>
      </c>
      <c r="V40" s="117" t="n">
        <f aca="false">Y39</f>
        <v>0</v>
      </c>
      <c r="W40" s="117" t="n">
        <f aca="false">V40+K40</f>
        <v>2.25089459315266</v>
      </c>
      <c r="X40" s="117" t="n">
        <f aca="false">MIN('Champion funding'!D40-'Champion funding'!F40,W40)</f>
        <v>2.25089459315266</v>
      </c>
      <c r="Y40" s="117" t="n">
        <f aca="false">W40-X40</f>
        <v>0</v>
      </c>
      <c r="Z40" s="133" t="n">
        <f aca="false">V40+K40-X40-Y40</f>
        <v>0</v>
      </c>
    </row>
    <row r="41" customFormat="false" ht="19.5" hidden="false" customHeight="true" outlineLevel="0" collapsed="false">
      <c r="A41" s="121" t="n">
        <v>1881</v>
      </c>
      <c r="B41" s="117" t="n">
        <f aca="false">C40</f>
        <v>47.2780114340467</v>
      </c>
      <c r="C41" s="132" t="n">
        <f aca="false">Champions!AY41-Champions!Q41</f>
        <v>55.3456826184572</v>
      </c>
      <c r="D41" s="117" t="n">
        <f aca="false">MAX(0,C41-B41)</f>
        <v>8.06767118441043</v>
      </c>
      <c r="E41" s="117" t="n">
        <f aca="false">MAX(0,B41-C41)</f>
        <v>0</v>
      </c>
      <c r="F41" s="133" t="n">
        <f aca="false">B41+D41-E41-C41</f>
        <v>0</v>
      </c>
      <c r="G41" s="117" t="n">
        <f aca="false">H40</f>
        <v>4.84311336641454</v>
      </c>
      <c r="H41" s="132" t="n">
        <f aca="false">Champions!Q41</f>
        <v>4.82660473835128</v>
      </c>
      <c r="I41" s="117" t="n">
        <f aca="false">H41-G41</f>
        <v>-0.0165086280632583</v>
      </c>
      <c r="J41" s="132" t="n">
        <f aca="false">MAX(0,Champions!BA41)*(1-crown_payout)</f>
        <v>5.13688647153101</v>
      </c>
      <c r="K41" s="132" t="n">
        <f aca="false">J41*'Sources &amp; uses'!$E$28</f>
        <v>2.5684432357655</v>
      </c>
      <c r="L41" s="117" t="n">
        <f aca="false">ABS('Champion funding'!S41)</f>
        <v>0</v>
      </c>
      <c r="M41" s="132" t="n">
        <f aca="false">Abroad!C41+Abroad!D41</f>
        <v>8.91984823196952</v>
      </c>
      <c r="N41" s="132" t="n">
        <f aca="false">Abroad!F41</f>
        <v>2.12100806322721</v>
      </c>
      <c r="O41" s="132" t="n">
        <f aca="false">Abroad!G41</f>
        <v>0</v>
      </c>
      <c r="P41" s="132" t="n">
        <f aca="false">Abroad!H41</f>
        <v>77.4991089429827</v>
      </c>
      <c r="Q41" s="132" t="n">
        <f aca="false">Abroad!S41</f>
        <v>0</v>
      </c>
      <c r="R41" s="132" t="n">
        <f aca="false">Abroad!C41-Q41</f>
        <v>8.91984823196952</v>
      </c>
      <c r="S41" s="117" t="n">
        <f aca="false">0</f>
        <v>0</v>
      </c>
      <c r="T41" s="132" t="n">
        <f aca="false">P41-'War credit'!T41-Abroad!U41-S41</f>
        <v>77.4991089429827</v>
      </c>
      <c r="U41" s="117" t="str">
        <f aca="false">IF(A41=1901,"Carnegie Steel bought for $480m in Pacifica Steel 5% gold bonds and 7% preference shares","No separately priced acquisition")</f>
        <v>No separately priced acquisition</v>
      </c>
      <c r="V41" s="117" t="n">
        <f aca="false">Y40</f>
        <v>0</v>
      </c>
      <c r="W41" s="117" t="n">
        <f aca="false">V41+K41</f>
        <v>2.5684432357655</v>
      </c>
      <c r="X41" s="117" t="n">
        <f aca="false">MIN('Champion funding'!D41-'Champion funding'!F41,W41)</f>
        <v>2.5684432357655</v>
      </c>
      <c r="Y41" s="117" t="n">
        <f aca="false">W41-X41</f>
        <v>0</v>
      </c>
      <c r="Z41" s="133" t="n">
        <f aca="false">V41+K41-X41-Y41</f>
        <v>0</v>
      </c>
    </row>
    <row r="42" customFormat="false" ht="19.5" hidden="false" customHeight="true" outlineLevel="0" collapsed="false">
      <c r="A42" s="121" t="n">
        <v>1882</v>
      </c>
      <c r="B42" s="117" t="n">
        <f aca="false">C41</f>
        <v>55.3456826184572</v>
      </c>
      <c r="C42" s="132" t="n">
        <f aca="false">Champions!AY42-Champions!Q42</f>
        <v>62.1557763100226</v>
      </c>
      <c r="D42" s="117" t="n">
        <f aca="false">MAX(0,C42-B42)</f>
        <v>6.81009369156544</v>
      </c>
      <c r="E42" s="117" t="n">
        <f aca="false">MAX(0,B42-C42)</f>
        <v>0</v>
      </c>
      <c r="F42" s="133" t="n">
        <f aca="false">B42+D42-E42-C42</f>
        <v>0</v>
      </c>
      <c r="G42" s="117" t="n">
        <f aca="false">H41</f>
        <v>4.82660473835128</v>
      </c>
      <c r="H42" s="132" t="n">
        <f aca="false">Champions!Q42</f>
        <v>9.5881040122683</v>
      </c>
      <c r="I42" s="117" t="n">
        <f aca="false">H42-G42</f>
        <v>4.76149927391702</v>
      </c>
      <c r="J42" s="132" t="n">
        <f aca="false">MAX(0,Champions!BA42)*(1-crown_payout)</f>
        <v>5.96119936128902</v>
      </c>
      <c r="K42" s="132" t="n">
        <f aca="false">J42*'Sources &amp; uses'!$E$28</f>
        <v>2.98059968064451</v>
      </c>
      <c r="L42" s="117" t="n">
        <f aca="false">ABS('Champion funding'!S42)</f>
        <v>0</v>
      </c>
      <c r="M42" s="132" t="n">
        <f aca="false">Abroad!C42+Abroad!D42</f>
        <v>9.42341124776232</v>
      </c>
      <c r="N42" s="132" t="n">
        <f aca="false">Abroad!F42</f>
        <v>2.32497326828948</v>
      </c>
      <c r="O42" s="132" t="n">
        <f aca="false">Abroad!G42</f>
        <v>0</v>
      </c>
      <c r="P42" s="132" t="n">
        <f aca="false">Abroad!H42</f>
        <v>84.5975469224555</v>
      </c>
      <c r="Q42" s="132" t="n">
        <f aca="false">Abroad!S42</f>
        <v>0</v>
      </c>
      <c r="R42" s="132" t="n">
        <f aca="false">Abroad!C42-Q42</f>
        <v>9.42341124776232</v>
      </c>
      <c r="S42" s="117" t="n">
        <f aca="false">0</f>
        <v>0</v>
      </c>
      <c r="T42" s="132" t="n">
        <f aca="false">P42-'War credit'!T42-Abroad!U42-S42</f>
        <v>84.5975469224555</v>
      </c>
      <c r="U42" s="117" t="str">
        <f aca="false">IF(A42=1901,"Carnegie Steel bought for $480m in Pacifica Steel 5% gold bonds and 7% preference shares","No separately priced acquisition")</f>
        <v>No separately priced acquisition</v>
      </c>
      <c r="V42" s="117" t="n">
        <f aca="false">Y41</f>
        <v>0</v>
      </c>
      <c r="W42" s="117" t="n">
        <f aca="false">V42+K42</f>
        <v>2.98059968064451</v>
      </c>
      <c r="X42" s="117" t="n">
        <f aca="false">MIN('Champion funding'!D42-'Champion funding'!F42,W42)</f>
        <v>2.98059968064451</v>
      </c>
      <c r="Y42" s="117" t="n">
        <f aca="false">W42-X42</f>
        <v>0</v>
      </c>
      <c r="Z42" s="133" t="n">
        <f aca="false">V42+K42-X42-Y42</f>
        <v>0</v>
      </c>
    </row>
    <row r="43" customFormat="false" ht="19.5" hidden="false" customHeight="true" outlineLevel="0" collapsed="false">
      <c r="A43" s="121" t="n">
        <v>1883</v>
      </c>
      <c r="B43" s="117" t="n">
        <f aca="false">C42</f>
        <v>62.1557763100226</v>
      </c>
      <c r="C43" s="132" t="n">
        <f aca="false">Champions!AY43-Champions!Q43</f>
        <v>70.1872547768214</v>
      </c>
      <c r="D43" s="117" t="n">
        <f aca="false">MAX(0,C43-B43)</f>
        <v>8.03147846679877</v>
      </c>
      <c r="E43" s="117" t="n">
        <f aca="false">MAX(0,B43-C43)</f>
        <v>0</v>
      </c>
      <c r="F43" s="133" t="n">
        <f aca="false">B43+D43-E43-C43</f>
        <v>0</v>
      </c>
      <c r="G43" s="117" t="n">
        <f aca="false">H42</f>
        <v>9.5881040122683</v>
      </c>
      <c r="H43" s="132" t="n">
        <f aca="false">Champions!Q43</f>
        <v>9.55237031405198</v>
      </c>
      <c r="I43" s="117" t="n">
        <f aca="false">H43-G43</f>
        <v>-0.0357336982163172</v>
      </c>
      <c r="J43" s="132" t="n">
        <f aca="false">MAX(0,Champions!BA43)*(1-crown_payout)</f>
        <v>6.52862283551514</v>
      </c>
      <c r="K43" s="132" t="n">
        <f aca="false">J43*'Sources &amp; uses'!$E$28</f>
        <v>3.26431141775757</v>
      </c>
      <c r="L43" s="117" t="n">
        <f aca="false">ABS('Champion funding'!S43)</f>
        <v>0</v>
      </c>
      <c r="M43" s="132" t="n">
        <f aca="false">Abroad!C43+Abroad!D43</f>
        <v>9.94181647320253</v>
      </c>
      <c r="N43" s="132" t="n">
        <f aca="false">Abroad!F43</f>
        <v>2.53792640767367</v>
      </c>
      <c r="O43" s="132" t="n">
        <f aca="false">Abroad!G43</f>
        <v>0</v>
      </c>
      <c r="P43" s="132" t="n">
        <f aca="false">Abroad!H43</f>
        <v>92.0014369879844</v>
      </c>
      <c r="Q43" s="132" t="n">
        <f aca="false">Abroad!S43</f>
        <v>0</v>
      </c>
      <c r="R43" s="132" t="n">
        <f aca="false">Abroad!C43-Q43</f>
        <v>9.94181647320253</v>
      </c>
      <c r="S43" s="117" t="n">
        <f aca="false">0</f>
        <v>0</v>
      </c>
      <c r="T43" s="132" t="n">
        <f aca="false">P43-'War credit'!T43-Abroad!U43-S43</f>
        <v>92.0014369879844</v>
      </c>
      <c r="U43" s="117" t="str">
        <f aca="false">IF(A43=1901,"Carnegie Steel bought for $480m in Pacifica Steel 5% gold bonds and 7% preference shares","No separately priced acquisition")</f>
        <v>No separately priced acquisition</v>
      </c>
      <c r="V43" s="117" t="n">
        <f aca="false">Y42</f>
        <v>0</v>
      </c>
      <c r="W43" s="117" t="n">
        <f aca="false">V43+K43</f>
        <v>3.26431141775757</v>
      </c>
      <c r="X43" s="117" t="n">
        <f aca="false">MIN('Champion funding'!D43-'Champion funding'!F43,W43)</f>
        <v>3.26431141775757</v>
      </c>
      <c r="Y43" s="117" t="n">
        <f aca="false">W43-X43</f>
        <v>0</v>
      </c>
      <c r="Z43" s="133" t="n">
        <f aca="false">V43+K43-X43-Y43</f>
        <v>0</v>
      </c>
    </row>
    <row r="44" customFormat="false" ht="19.5" hidden="false" customHeight="true" outlineLevel="0" collapsed="false">
      <c r="A44" s="121" t="n">
        <v>1884</v>
      </c>
      <c r="B44" s="117" t="n">
        <f aca="false">C43</f>
        <v>70.1872547768214</v>
      </c>
      <c r="C44" s="132" t="n">
        <f aca="false">Champions!AY44-Champions!Q44</f>
        <v>78.2783681292172</v>
      </c>
      <c r="D44" s="117" t="n">
        <f aca="false">MAX(0,C44-B44)</f>
        <v>8.09111335239584</v>
      </c>
      <c r="E44" s="117" t="n">
        <f aca="false">MAX(0,B44-C44)</f>
        <v>0</v>
      </c>
      <c r="F44" s="133" t="n">
        <f aca="false">B44+D44-E44-C44</f>
        <v>0</v>
      </c>
      <c r="G44" s="117" t="n">
        <f aca="false">H43</f>
        <v>9.55237031405198</v>
      </c>
      <c r="H44" s="132" t="n">
        <f aca="false">Champions!Q44</f>
        <v>14.2627791341324</v>
      </c>
      <c r="I44" s="117" t="n">
        <f aca="false">H44-G44</f>
        <v>4.71040882008039</v>
      </c>
      <c r="J44" s="132" t="n">
        <f aca="false">MAX(0,Champions!BA44)*(1-crown_payout)</f>
        <v>7.37842688766222</v>
      </c>
      <c r="K44" s="132" t="n">
        <f aca="false">J44*'Sources &amp; uses'!$E$28</f>
        <v>3.68921344383111</v>
      </c>
      <c r="L44" s="117" t="n">
        <f aca="false">ABS('Champion funding'!S44)</f>
        <v>0</v>
      </c>
      <c r="M44" s="132" t="n">
        <f aca="false">Abroad!C44+Abroad!D44</f>
        <v>10.2717585043004</v>
      </c>
      <c r="N44" s="132" t="n">
        <f aca="false">Abroad!F44</f>
        <v>2.76004310963953</v>
      </c>
      <c r="O44" s="132" t="n">
        <f aca="false">Abroad!G44</f>
        <v>0</v>
      </c>
      <c r="P44" s="132" t="n">
        <f aca="false">Abroad!H44</f>
        <v>99.5131523826453</v>
      </c>
      <c r="Q44" s="132" t="n">
        <f aca="false">Abroad!S44</f>
        <v>0</v>
      </c>
      <c r="R44" s="132" t="n">
        <f aca="false">Abroad!C44-Q44</f>
        <v>10.2717585043004</v>
      </c>
      <c r="S44" s="117" t="n">
        <f aca="false">0</f>
        <v>0</v>
      </c>
      <c r="T44" s="132" t="n">
        <f aca="false">P44-'War credit'!T44-Abroad!U44-S44</f>
        <v>99.5131523826453</v>
      </c>
      <c r="U44" s="117" t="str">
        <f aca="false">IF(A44=1901,"Carnegie Steel bought for $480m in Pacifica Steel 5% gold bonds and 7% preference shares","No separately priced acquisition")</f>
        <v>No separately priced acquisition</v>
      </c>
      <c r="V44" s="117" t="n">
        <f aca="false">Y43</f>
        <v>0</v>
      </c>
      <c r="W44" s="117" t="n">
        <f aca="false">V44+K44</f>
        <v>3.68921344383111</v>
      </c>
      <c r="X44" s="117" t="n">
        <f aca="false">MIN('Champion funding'!D44-'Champion funding'!F44,W44)</f>
        <v>3.68921344383111</v>
      </c>
      <c r="Y44" s="117" t="n">
        <f aca="false">W44-X44</f>
        <v>0</v>
      </c>
      <c r="Z44" s="133" t="n">
        <f aca="false">V44+K44-X44-Y44</f>
        <v>0</v>
      </c>
    </row>
    <row r="45" customFormat="false" ht="19.5" hidden="false" customHeight="true" outlineLevel="0" collapsed="false">
      <c r="A45" s="121" t="n">
        <v>1885</v>
      </c>
      <c r="B45" s="117" t="n">
        <f aca="false">C44</f>
        <v>78.2783681292172</v>
      </c>
      <c r="C45" s="132" t="n">
        <f aca="false">Champions!AY45-Champions!Q45</f>
        <v>86.4680336035105</v>
      </c>
      <c r="D45" s="117" t="n">
        <f aca="false">MAX(0,C45-B45)</f>
        <v>8.18966547429329</v>
      </c>
      <c r="E45" s="117" t="n">
        <f aca="false">MAX(0,B45-C45)</f>
        <v>0</v>
      </c>
      <c r="F45" s="133" t="n">
        <f aca="false">B45+D45-E45-C45</f>
        <v>0</v>
      </c>
      <c r="G45" s="117" t="n">
        <f aca="false">H44</f>
        <v>14.2627791341324</v>
      </c>
      <c r="H45" s="132" t="n">
        <f aca="false">Champions!Q45</f>
        <v>14.236097052482</v>
      </c>
      <c r="I45" s="117" t="n">
        <f aca="false">H45-G45</f>
        <v>-0.026682081650403</v>
      </c>
      <c r="J45" s="132" t="n">
        <f aca="false">MAX(0,Champions!BA45)*(1-crown_payout)</f>
        <v>8.28075535142952</v>
      </c>
      <c r="K45" s="132" t="n">
        <f aca="false">J45*'Sources &amp; uses'!$E$28</f>
        <v>4.14037767571476</v>
      </c>
      <c r="L45" s="117" t="n">
        <f aca="false">ABS('Champion funding'!S45)</f>
        <v>0</v>
      </c>
      <c r="M45" s="132" t="n">
        <f aca="false">Abroad!C45+Abroad!D45</f>
        <v>10.8285768409373</v>
      </c>
      <c r="N45" s="132" t="n">
        <f aca="false">Abroad!F45</f>
        <v>2.98539457147936</v>
      </c>
      <c r="O45" s="132" t="n">
        <f aca="false">Abroad!G45</f>
        <v>0</v>
      </c>
      <c r="P45" s="132" t="n">
        <f aca="false">Abroad!H45</f>
        <v>107.356334652103</v>
      </c>
      <c r="Q45" s="132" t="n">
        <f aca="false">Abroad!S45</f>
        <v>0</v>
      </c>
      <c r="R45" s="132" t="n">
        <f aca="false">Abroad!C45-Q45</f>
        <v>10.8285768409373</v>
      </c>
      <c r="S45" s="117" t="n">
        <f aca="false">0</f>
        <v>0</v>
      </c>
      <c r="T45" s="132" t="n">
        <f aca="false">P45-'War credit'!T45-Abroad!U45-S45</f>
        <v>107.356334652103</v>
      </c>
      <c r="U45" s="117" t="str">
        <f aca="false">IF(A45=1901,"Carnegie Steel bought for $480m in Pacifica Steel 5% gold bonds and 7% preference shares","No separately priced acquisition")</f>
        <v>No separately priced acquisition</v>
      </c>
      <c r="V45" s="117" t="n">
        <f aca="false">Y44</f>
        <v>0</v>
      </c>
      <c r="W45" s="117" t="n">
        <f aca="false">V45+K45</f>
        <v>4.14037767571476</v>
      </c>
      <c r="X45" s="117" t="n">
        <f aca="false">MIN('Champion funding'!D45-'Champion funding'!F45,W45)</f>
        <v>4.14037767571476</v>
      </c>
      <c r="Y45" s="117" t="n">
        <f aca="false">W45-X45</f>
        <v>0</v>
      </c>
      <c r="Z45" s="133" t="n">
        <f aca="false">V45+K45-X45-Y45</f>
        <v>0</v>
      </c>
    </row>
    <row r="46" customFormat="false" ht="19.5" hidden="false" customHeight="true" outlineLevel="0" collapsed="false">
      <c r="A46" s="121" t="n">
        <v>1886</v>
      </c>
      <c r="B46" s="117" t="n">
        <f aca="false">C45</f>
        <v>86.4680336035105</v>
      </c>
      <c r="C46" s="132" t="n">
        <f aca="false">Champions!AY46-Champions!Q46</f>
        <v>93.4958523179814</v>
      </c>
      <c r="D46" s="117" t="n">
        <f aca="false">MAX(0,C46-B46)</f>
        <v>7.02781871447093</v>
      </c>
      <c r="E46" s="117" t="n">
        <f aca="false">MAX(0,B46-C46)</f>
        <v>0</v>
      </c>
      <c r="F46" s="133" t="n">
        <f aca="false">B46+D46-E46-C46</f>
        <v>0</v>
      </c>
      <c r="G46" s="117" t="n">
        <f aca="false">H45</f>
        <v>14.236097052482</v>
      </c>
      <c r="H46" s="132" t="n">
        <f aca="false">Champions!Q46</f>
        <v>18.9069390243029</v>
      </c>
      <c r="I46" s="117" t="n">
        <f aca="false">H46-G46</f>
        <v>4.67084197182094</v>
      </c>
      <c r="J46" s="132" t="n">
        <f aca="false">MAX(0,Champions!BA46)*(1-crown_payout)</f>
        <v>9.33827338793745</v>
      </c>
      <c r="K46" s="132" t="n">
        <f aca="false">J46*'Sources &amp; uses'!$E$28</f>
        <v>4.66913669396872</v>
      </c>
      <c r="L46" s="117" t="n">
        <f aca="false">ABS('Champion funding'!S46)</f>
        <v>0</v>
      </c>
      <c r="M46" s="132" t="n">
        <f aca="false">Abroad!C46+Abroad!D46</f>
        <v>11.78029214152</v>
      </c>
      <c r="N46" s="132" t="n">
        <f aca="false">Abroad!F46</f>
        <v>3.2206900395631</v>
      </c>
      <c r="O46" s="132" t="n">
        <f aca="false">Abroad!G46</f>
        <v>0</v>
      </c>
      <c r="P46" s="132" t="n">
        <f aca="false">Abroad!H46</f>
        <v>115.91593675406</v>
      </c>
      <c r="Q46" s="132" t="n">
        <f aca="false">Abroad!S46</f>
        <v>0</v>
      </c>
      <c r="R46" s="132" t="n">
        <f aca="false">Abroad!C46-Q46</f>
        <v>11.78029214152</v>
      </c>
      <c r="S46" s="117" t="n">
        <f aca="false">0</f>
        <v>0</v>
      </c>
      <c r="T46" s="132" t="n">
        <f aca="false">P46-'War credit'!T46-Abroad!U46-S46</f>
        <v>115.91593675406</v>
      </c>
      <c r="U46" s="117" t="str">
        <f aca="false">IF(A46=1901,"Carnegie Steel bought for $480m in Pacifica Steel 5% gold bonds and 7% preference shares","No separately priced acquisition")</f>
        <v>No separately priced acquisition</v>
      </c>
      <c r="V46" s="117" t="n">
        <f aca="false">Y45</f>
        <v>0</v>
      </c>
      <c r="W46" s="117" t="n">
        <f aca="false">V46+K46</f>
        <v>4.66913669396872</v>
      </c>
      <c r="X46" s="117" t="n">
        <f aca="false">MIN('Champion funding'!D46-'Champion funding'!F46,W46)</f>
        <v>4.66913669396872</v>
      </c>
      <c r="Y46" s="117" t="n">
        <f aca="false">W46-X46</f>
        <v>0</v>
      </c>
      <c r="Z46" s="133" t="n">
        <f aca="false">V46+K46-X46-Y46</f>
        <v>0</v>
      </c>
    </row>
    <row r="47" customFormat="false" ht="19.5" hidden="false" customHeight="true" outlineLevel="0" collapsed="false">
      <c r="A47" s="121" t="n">
        <v>1887</v>
      </c>
      <c r="B47" s="117" t="n">
        <f aca="false">C46</f>
        <v>93.4958523179814</v>
      </c>
      <c r="C47" s="132" t="n">
        <f aca="false">Champions!AY47-Champions!Q47</f>
        <v>100.65548990598</v>
      </c>
      <c r="D47" s="117" t="n">
        <f aca="false">MAX(0,C47-B47)</f>
        <v>7.15963758799886</v>
      </c>
      <c r="E47" s="117" t="n">
        <f aca="false">MAX(0,B47-C47)</f>
        <v>0</v>
      </c>
      <c r="F47" s="133" t="n">
        <f aca="false">B47+D47-E47-C47</f>
        <v>0</v>
      </c>
      <c r="G47" s="117" t="n">
        <f aca="false">H46</f>
        <v>18.9069390243029</v>
      </c>
      <c r="H47" s="132" t="n">
        <f aca="false">Champions!Q47</f>
        <v>18.8862093933934</v>
      </c>
      <c r="I47" s="117" t="n">
        <f aca="false">H47-G47</f>
        <v>-0.0207296309095533</v>
      </c>
      <c r="J47" s="132" t="n">
        <f aca="false">MAX(0,Champions!BA47)*(1-crown_payout)</f>
        <v>10.0007592499689</v>
      </c>
      <c r="K47" s="132" t="n">
        <f aca="false">J47*'Sources &amp; uses'!$E$28</f>
        <v>5.00037962498445</v>
      </c>
      <c r="L47" s="117" t="n">
        <f aca="false">ABS('Champion funding'!S47)</f>
        <v>0</v>
      </c>
      <c r="M47" s="132" t="n">
        <f aca="false">Abroad!C47+Abroad!D47</f>
        <v>12.5794093693193</v>
      </c>
      <c r="N47" s="132" t="n">
        <f aca="false">Abroad!F47</f>
        <v>3.4774781026218</v>
      </c>
      <c r="O47" s="132" t="n">
        <f aca="false">Abroad!G47</f>
        <v>0</v>
      </c>
      <c r="P47" s="132" t="n">
        <f aca="false">Abroad!H47</f>
        <v>125.017868020758</v>
      </c>
      <c r="Q47" s="132" t="n">
        <f aca="false">Abroad!S47</f>
        <v>0</v>
      </c>
      <c r="R47" s="132" t="n">
        <f aca="false">Abroad!C47-Q47</f>
        <v>12.5794093693193</v>
      </c>
      <c r="S47" s="117" t="n">
        <f aca="false">0</f>
        <v>0</v>
      </c>
      <c r="T47" s="132" t="n">
        <f aca="false">P47-'War credit'!T47-Abroad!U47-S47</f>
        <v>125.017868020758</v>
      </c>
      <c r="U47" s="117" t="str">
        <f aca="false">IF(A47=1901,"Carnegie Steel bought for $480m in Pacifica Steel 5% gold bonds and 7% preference shares","No separately priced acquisition")</f>
        <v>No separately priced acquisition</v>
      </c>
      <c r="V47" s="117" t="n">
        <f aca="false">Y46</f>
        <v>0</v>
      </c>
      <c r="W47" s="117" t="n">
        <f aca="false">V47+K47</f>
        <v>5.00037962498445</v>
      </c>
      <c r="X47" s="117" t="n">
        <f aca="false">MIN('Champion funding'!D47-'Champion funding'!F47,W47)</f>
        <v>5.00037962498445</v>
      </c>
      <c r="Y47" s="117" t="n">
        <f aca="false">W47-X47</f>
        <v>0</v>
      </c>
      <c r="Z47" s="133" t="n">
        <f aca="false">V47+K47-X47-Y47</f>
        <v>0</v>
      </c>
    </row>
    <row r="48" customFormat="false" ht="19.5" hidden="false" customHeight="true" outlineLevel="0" collapsed="false">
      <c r="A48" s="121" t="n">
        <v>1888</v>
      </c>
      <c r="B48" s="117" t="n">
        <f aca="false">C47</f>
        <v>100.65548990598</v>
      </c>
      <c r="C48" s="132" t="n">
        <f aca="false">Champions!AY48-Champions!Q48</f>
        <v>110.401535063818</v>
      </c>
      <c r="D48" s="117" t="n">
        <f aca="false">MAX(0,C48-B48)</f>
        <v>9.74604515783767</v>
      </c>
      <c r="E48" s="117" t="n">
        <f aca="false">MAX(0,B48-C48)</f>
        <v>0</v>
      </c>
      <c r="F48" s="133" t="n">
        <f aca="false">B48+D48-E48-C48</f>
        <v>0</v>
      </c>
      <c r="G48" s="117" t="n">
        <f aca="false">H47</f>
        <v>18.8862093933934</v>
      </c>
      <c r="H48" s="132" t="n">
        <f aca="false">Champions!Q48</f>
        <v>23.5910648610053</v>
      </c>
      <c r="I48" s="117" t="n">
        <f aca="false">H48-G48</f>
        <v>4.70485546761195</v>
      </c>
      <c r="J48" s="132" t="n">
        <f aca="false">MAX(0,Champions!BA48)*(1-crown_payout)</f>
        <v>11.1256856430207</v>
      </c>
      <c r="K48" s="132" t="n">
        <f aca="false">J48*'Sources &amp; uses'!$E$28</f>
        <v>5.56284282151036</v>
      </c>
      <c r="L48" s="117" t="n">
        <f aca="false">ABS('Champion funding'!S48)</f>
        <v>0</v>
      </c>
      <c r="M48" s="132" t="n">
        <f aca="false">Abroad!C48+Abroad!D48</f>
        <v>13.4733091462046</v>
      </c>
      <c r="N48" s="132" t="n">
        <f aca="false">Abroad!F48</f>
        <v>3.75053604062273</v>
      </c>
      <c r="O48" s="132" t="n">
        <f aca="false">Abroad!G48</f>
        <v>0</v>
      </c>
      <c r="P48" s="132" t="n">
        <f aca="false">Abroad!H48</f>
        <v>134.740641126339</v>
      </c>
      <c r="Q48" s="132" t="n">
        <f aca="false">Abroad!S48</f>
        <v>0</v>
      </c>
      <c r="R48" s="132" t="n">
        <f aca="false">Abroad!C48-Q48</f>
        <v>13.4733091462046</v>
      </c>
      <c r="S48" s="117" t="n">
        <f aca="false">0</f>
        <v>0</v>
      </c>
      <c r="T48" s="132" t="n">
        <f aca="false">P48-'War credit'!T48-Abroad!U48-S48</f>
        <v>134.740641126339</v>
      </c>
      <c r="U48" s="117" t="str">
        <f aca="false">IF(A48=1901,"Carnegie Steel bought for $480m in Pacifica Steel 5% gold bonds and 7% preference shares","No separately priced acquisition")</f>
        <v>No separately priced acquisition</v>
      </c>
      <c r="V48" s="117" t="n">
        <f aca="false">Y47</f>
        <v>0</v>
      </c>
      <c r="W48" s="117" t="n">
        <f aca="false">V48+K48</f>
        <v>5.56284282151036</v>
      </c>
      <c r="X48" s="117" t="n">
        <f aca="false">MIN('Champion funding'!D48-'Champion funding'!F48,W48)</f>
        <v>5.56284282151036</v>
      </c>
      <c r="Y48" s="117" t="n">
        <f aca="false">W48-X48</f>
        <v>0</v>
      </c>
      <c r="Z48" s="133" t="n">
        <f aca="false">V48+K48-X48-Y48</f>
        <v>0</v>
      </c>
    </row>
    <row r="49" customFormat="false" ht="19.5" hidden="false" customHeight="true" outlineLevel="0" collapsed="false">
      <c r="A49" s="121" t="n">
        <v>1889</v>
      </c>
      <c r="B49" s="117" t="n">
        <f aca="false">C48</f>
        <v>110.401535063818</v>
      </c>
      <c r="C49" s="132" t="n">
        <f aca="false">Champions!AY49-Champions!Q49</f>
        <v>119.224933333449</v>
      </c>
      <c r="D49" s="117" t="n">
        <f aca="false">MAX(0,C49-B49)</f>
        <v>8.82339826963145</v>
      </c>
      <c r="E49" s="117" t="n">
        <f aca="false">MAX(0,B49-C49)</f>
        <v>0</v>
      </c>
      <c r="F49" s="133" t="n">
        <f aca="false">B49+D49-E49-C49</f>
        <v>0</v>
      </c>
      <c r="G49" s="117" t="n">
        <f aca="false">H48</f>
        <v>23.5910648610053</v>
      </c>
      <c r="H49" s="132" t="n">
        <f aca="false">Champions!Q49</f>
        <v>23.6462784444675</v>
      </c>
      <c r="I49" s="117" t="n">
        <f aca="false">H49-G49</f>
        <v>0.0552135834621552</v>
      </c>
      <c r="J49" s="132" t="n">
        <f aca="false">MAX(0,Champions!BA49)*(1-crown_payout)</f>
        <v>11.9450525609267</v>
      </c>
      <c r="K49" s="132" t="n">
        <f aca="false">J49*'Sources &amp; uses'!$E$28</f>
        <v>5.97252628046333</v>
      </c>
      <c r="L49" s="117" t="n">
        <f aca="false">ABS('Champion funding'!S49)</f>
        <v>0</v>
      </c>
      <c r="M49" s="132" t="n">
        <f aca="false">Abroad!C49+Abroad!D49</f>
        <v>14.3805667985334</v>
      </c>
      <c r="N49" s="132" t="n">
        <f aca="false">Abroad!F49</f>
        <v>4.04221923379018</v>
      </c>
      <c r="O49" s="132" t="n">
        <f aca="false">Abroad!G49</f>
        <v>0</v>
      </c>
      <c r="P49" s="132" t="n">
        <f aca="false">Abroad!H49</f>
        <v>145.078988691083</v>
      </c>
      <c r="Q49" s="132" t="n">
        <f aca="false">Abroad!S49</f>
        <v>0</v>
      </c>
      <c r="R49" s="132" t="n">
        <f aca="false">Abroad!C49-Q49</f>
        <v>14.3805667985334</v>
      </c>
      <c r="S49" s="117" t="n">
        <f aca="false">0</f>
        <v>0</v>
      </c>
      <c r="T49" s="132" t="n">
        <f aca="false">P49-'War credit'!T49-Abroad!U49-S49</f>
        <v>145.078988691083</v>
      </c>
      <c r="U49" s="117" t="str">
        <f aca="false">IF(A49=1901,"Carnegie Steel bought for $480m in Pacifica Steel 5% gold bonds and 7% preference shares","No separately priced acquisition")</f>
        <v>No separately priced acquisition</v>
      </c>
      <c r="V49" s="117" t="n">
        <f aca="false">Y48</f>
        <v>0</v>
      </c>
      <c r="W49" s="117" t="n">
        <f aca="false">V49+K49</f>
        <v>5.97252628046333</v>
      </c>
      <c r="X49" s="117" t="n">
        <f aca="false">MIN('Champion funding'!D49-'Champion funding'!F49,W49)</f>
        <v>5.97252628046333</v>
      </c>
      <c r="Y49" s="117" t="n">
        <f aca="false">W49-X49</f>
        <v>0</v>
      </c>
      <c r="Z49" s="133" t="n">
        <f aca="false">V49+K49-X49-Y49</f>
        <v>0</v>
      </c>
    </row>
    <row r="50" customFormat="false" ht="19.5" hidden="false" customHeight="true" outlineLevel="0" collapsed="false">
      <c r="A50" s="121" t="n">
        <v>1890</v>
      </c>
      <c r="B50" s="117" t="n">
        <f aca="false">C49</f>
        <v>119.224933333449</v>
      </c>
      <c r="C50" s="132" t="n">
        <f aca="false">Champions!AY50-Champions!Q50</f>
        <v>133.024037964291</v>
      </c>
      <c r="D50" s="117" t="n">
        <f aca="false">MAX(0,C50-B50)</f>
        <v>13.7991046308414</v>
      </c>
      <c r="E50" s="117" t="n">
        <f aca="false">MAX(0,B50-C50)</f>
        <v>0</v>
      </c>
      <c r="F50" s="133" t="n">
        <f aca="false">B50+D50-E50-C50</f>
        <v>0</v>
      </c>
      <c r="G50" s="117" t="n">
        <f aca="false">H49</f>
        <v>23.6462784444675</v>
      </c>
      <c r="H50" s="132" t="n">
        <f aca="false">Champions!Q50</f>
        <v>28.4294736003329</v>
      </c>
      <c r="I50" s="117" t="n">
        <f aca="false">H50-G50</f>
        <v>4.78319515586547</v>
      </c>
      <c r="J50" s="132" t="n">
        <f aca="false">MAX(0,Champions!BA50)*(1-crown_payout)</f>
        <v>13.487813406866</v>
      </c>
      <c r="K50" s="132" t="n">
        <f aca="false">J50*'Sources &amp; uses'!$E$28</f>
        <v>6.74390670343302</v>
      </c>
      <c r="L50" s="117" t="n">
        <f aca="false">ABS('Champion funding'!S50)</f>
        <v>0</v>
      </c>
      <c r="M50" s="132" t="n">
        <f aca="false">Abroad!C50+Abroad!D50</f>
        <v>15.6230246574067</v>
      </c>
      <c r="N50" s="132" t="n">
        <f aca="false">Abroad!F50</f>
        <v>4.35236966073248</v>
      </c>
      <c r="O50" s="132" t="n">
        <f aca="false">Abroad!G50</f>
        <v>0</v>
      </c>
      <c r="P50" s="132" t="n">
        <f aca="false">Abroad!H50</f>
        <v>156.349643687757</v>
      </c>
      <c r="Q50" s="132" t="n">
        <f aca="false">Abroad!S50</f>
        <v>0</v>
      </c>
      <c r="R50" s="132" t="n">
        <f aca="false">Abroad!C50-Q50</f>
        <v>15.6230246574067</v>
      </c>
      <c r="S50" s="117" t="n">
        <f aca="false">0</f>
        <v>0</v>
      </c>
      <c r="T50" s="132" t="n">
        <f aca="false">P50-'War credit'!T50-Abroad!U50-S50</f>
        <v>156.349643687757</v>
      </c>
      <c r="U50" s="117" t="str">
        <f aca="false">IF(A50=1901,"Carnegie Steel bought for $480m in Pacifica Steel 5% gold bonds and 7% preference shares","No separately priced acquisition")</f>
        <v>No separately priced acquisition</v>
      </c>
      <c r="V50" s="117" t="n">
        <f aca="false">Y49</f>
        <v>0</v>
      </c>
      <c r="W50" s="117" t="n">
        <f aca="false">V50+K50</f>
        <v>6.74390670343302</v>
      </c>
      <c r="X50" s="117" t="n">
        <f aca="false">MIN('Champion funding'!D50-'Champion funding'!F50,W50)</f>
        <v>6.74390670343302</v>
      </c>
      <c r="Y50" s="117" t="n">
        <f aca="false">W50-X50</f>
        <v>0</v>
      </c>
      <c r="Z50" s="133" t="n">
        <f aca="false">V50+K50-X50-Y50</f>
        <v>0</v>
      </c>
    </row>
    <row r="51" customFormat="false" ht="19.5" hidden="false" customHeight="true" outlineLevel="0" collapsed="false">
      <c r="A51" s="121" t="n">
        <v>1891</v>
      </c>
      <c r="B51" s="117" t="n">
        <f aca="false">C50</f>
        <v>133.024037964291</v>
      </c>
      <c r="C51" s="132" t="n">
        <f aca="false">Champions!AY51-Champions!Q51</f>
        <v>163.794979357526</v>
      </c>
      <c r="D51" s="117" t="n">
        <f aca="false">MAX(0,C51-B51)</f>
        <v>30.7709413932354</v>
      </c>
      <c r="E51" s="117" t="n">
        <f aca="false">MAX(0,B51-C51)</f>
        <v>0</v>
      </c>
      <c r="F51" s="133" t="n">
        <f aca="false">B51+D51-E51-C51</f>
        <v>0</v>
      </c>
      <c r="G51" s="117" t="n">
        <f aca="false">H50</f>
        <v>28.4294736003329</v>
      </c>
      <c r="H51" s="132" t="n">
        <f aca="false">Champions!Q51</f>
        <v>33.325156778415</v>
      </c>
      <c r="I51" s="117" t="n">
        <f aca="false">H51-G51</f>
        <v>4.89568317808201</v>
      </c>
      <c r="J51" s="132" t="n">
        <f aca="false">MAX(0,Champions!BA51)*(1-crown_payout)</f>
        <v>16.0575458477039</v>
      </c>
      <c r="K51" s="132" t="n">
        <f aca="false">J51*'Sources &amp; uses'!$E$28</f>
        <v>8.02877292385193</v>
      </c>
      <c r="L51" s="117" t="n">
        <f aca="false">ABS('Champion funding'!S51)</f>
        <v>0</v>
      </c>
      <c r="M51" s="132" t="n">
        <f aca="false">Abroad!C51+Abroad!D51</f>
        <v>16.7532238748743</v>
      </c>
      <c r="N51" s="132" t="n">
        <f aca="false">Abroad!F51</f>
        <v>4.69048931063271</v>
      </c>
      <c r="O51" s="132" t="n">
        <f aca="false">Abroad!G51</f>
        <v>0</v>
      </c>
      <c r="P51" s="132" t="n">
        <f aca="false">Abroad!H51</f>
        <v>168.412378251999</v>
      </c>
      <c r="Q51" s="132" t="n">
        <f aca="false">Abroad!S51</f>
        <v>0</v>
      </c>
      <c r="R51" s="132" t="n">
        <f aca="false">Abroad!C51-Q51</f>
        <v>16.7532238748743</v>
      </c>
      <c r="S51" s="117" t="n">
        <f aca="false">0</f>
        <v>0</v>
      </c>
      <c r="T51" s="132" t="n">
        <f aca="false">P51-'War credit'!T51-Abroad!U51-S51</f>
        <v>168.412378251999</v>
      </c>
      <c r="U51" s="117" t="str">
        <f aca="false">IF(A51=1901,"Carnegie Steel bought for $480m in Pacifica Steel 5% gold bonds and 7% preference shares","No separately priced acquisition")</f>
        <v>No separately priced acquisition</v>
      </c>
      <c r="V51" s="117" t="n">
        <f aca="false">Y50</f>
        <v>0</v>
      </c>
      <c r="W51" s="117" t="n">
        <f aca="false">V51+K51</f>
        <v>8.02877292385193</v>
      </c>
      <c r="X51" s="117" t="n">
        <f aca="false">MIN('Champion funding'!D51-'Champion funding'!F51,W51)</f>
        <v>8.02877292385193</v>
      </c>
      <c r="Y51" s="117" t="n">
        <f aca="false">W51-X51</f>
        <v>0</v>
      </c>
      <c r="Z51" s="133" t="n">
        <f aca="false">V51+K51-X51-Y51</f>
        <v>0</v>
      </c>
    </row>
    <row r="52" customFormat="false" ht="19.5" hidden="false" customHeight="true" outlineLevel="0" collapsed="false">
      <c r="A52" s="121" t="n">
        <v>1892</v>
      </c>
      <c r="B52" s="117" t="n">
        <f aca="false">C51</f>
        <v>163.794979357526</v>
      </c>
      <c r="C52" s="132" t="n">
        <f aca="false">Champions!AY52-Champions!Q52</f>
        <v>195.205247396533</v>
      </c>
      <c r="D52" s="117" t="n">
        <f aca="false">MAX(0,C52-B52)</f>
        <v>31.4102680390068</v>
      </c>
      <c r="E52" s="117" t="n">
        <f aca="false">MAX(0,B52-C52)</f>
        <v>0</v>
      </c>
      <c r="F52" s="133" t="n">
        <f aca="false">B52+D52-E52-C52</f>
        <v>0</v>
      </c>
      <c r="G52" s="117" t="n">
        <f aca="false">H51</f>
        <v>33.325156778415</v>
      </c>
      <c r="H52" s="132" t="n">
        <f aca="false">Champions!Q52</f>
        <v>38.2266962999836</v>
      </c>
      <c r="I52" s="117" t="n">
        <f aca="false">H52-G52</f>
        <v>4.90153952156867</v>
      </c>
      <c r="J52" s="132" t="n">
        <f aca="false">MAX(0,Champions!BA52)*(1-crown_payout)</f>
        <v>18.6849744261038</v>
      </c>
      <c r="K52" s="132" t="n">
        <f aca="false">J52*'Sources &amp; uses'!$E$28</f>
        <v>9.34248721305192</v>
      </c>
      <c r="L52" s="117" t="n">
        <f aca="false">ABS('Champion funding'!S52)</f>
        <v>0</v>
      </c>
      <c r="M52" s="132" t="n">
        <f aca="false">Abroad!C52+Abroad!D52</f>
        <v>17.9158375961667</v>
      </c>
      <c r="N52" s="132" t="n">
        <f aca="false">Abroad!F52</f>
        <v>5.05237134755995</v>
      </c>
      <c r="O52" s="132" t="n">
        <f aca="false">Abroad!G52</f>
        <v>0</v>
      </c>
      <c r="P52" s="132" t="n">
        <f aca="false">Abroad!H52</f>
        <v>181.275844500605</v>
      </c>
      <c r="Q52" s="132" t="n">
        <f aca="false">Abroad!S52</f>
        <v>0</v>
      </c>
      <c r="R52" s="132" t="n">
        <f aca="false">Abroad!C52-Q52</f>
        <v>17.9158375961667</v>
      </c>
      <c r="S52" s="117" t="n">
        <f aca="false">0</f>
        <v>0</v>
      </c>
      <c r="T52" s="132" t="n">
        <f aca="false">P52-'War credit'!T52-Abroad!U52-S52</f>
        <v>181.275844500605</v>
      </c>
      <c r="U52" s="117" t="str">
        <f aca="false">IF(A52=1901,"Carnegie Steel bought for $480m in Pacifica Steel 5% gold bonds and 7% preference shares","No separately priced acquisition")</f>
        <v>No separately priced acquisition</v>
      </c>
      <c r="V52" s="117" t="n">
        <f aca="false">Y51</f>
        <v>0</v>
      </c>
      <c r="W52" s="117" t="n">
        <f aca="false">V52+K52</f>
        <v>9.34248721305192</v>
      </c>
      <c r="X52" s="117" t="n">
        <f aca="false">MIN('Champion funding'!D52-'Champion funding'!F52,W52)</f>
        <v>9.34248721305192</v>
      </c>
      <c r="Y52" s="117" t="n">
        <f aca="false">W52-X52</f>
        <v>0</v>
      </c>
      <c r="Z52" s="133" t="n">
        <f aca="false">V52+K52-X52-Y52</f>
        <v>0</v>
      </c>
    </row>
    <row r="53" customFormat="false" ht="19.5" hidden="false" customHeight="true" outlineLevel="0" collapsed="false">
      <c r="A53" s="121" t="n">
        <v>1893</v>
      </c>
      <c r="B53" s="117" t="n">
        <f aca="false">C52</f>
        <v>195.205247396533</v>
      </c>
      <c r="C53" s="132" t="n">
        <f aca="false">Champions!AY53-Champions!Q53</f>
        <v>228.413123127692</v>
      </c>
      <c r="D53" s="117" t="n">
        <f aca="false">MAX(0,C53-B53)</f>
        <v>33.2078757311593</v>
      </c>
      <c r="E53" s="117" t="n">
        <f aca="false">MAX(0,B53-C53)</f>
        <v>0</v>
      </c>
      <c r="F53" s="133" t="n">
        <f aca="false">B53+D53-E53-C53</f>
        <v>0</v>
      </c>
      <c r="G53" s="117" t="n">
        <f aca="false">H52</f>
        <v>38.2266962999836</v>
      </c>
      <c r="H53" s="132" t="n">
        <f aca="false">Champions!Q53</f>
        <v>43.2462179788431</v>
      </c>
      <c r="I53" s="117" t="n">
        <f aca="false">H53-G53</f>
        <v>5.01952167885943</v>
      </c>
      <c r="J53" s="132" t="n">
        <f aca="false">MAX(0,Champions!BA53)*(1-crown_payout)</f>
        <v>21.510485608764</v>
      </c>
      <c r="K53" s="132" t="n">
        <f aca="false">J53*'Sources &amp; uses'!$E$28</f>
        <v>10.755242804382</v>
      </c>
      <c r="L53" s="117" t="n">
        <f aca="false">ABS('Champion funding'!S53)</f>
        <v>0</v>
      </c>
      <c r="M53" s="132" t="n">
        <f aca="false">Abroad!C53+Abroad!D53</f>
        <v>18.1543728997314</v>
      </c>
      <c r="N53" s="132" t="n">
        <f aca="false">Abroad!F53</f>
        <v>5.43827533501816</v>
      </c>
      <c r="O53" s="132" t="n">
        <f aca="false">Abroad!G53</f>
        <v>0</v>
      </c>
      <c r="P53" s="132" t="n">
        <f aca="false">Abroad!H53</f>
        <v>193.991942065318</v>
      </c>
      <c r="Q53" s="132" t="n">
        <f aca="false">Abroad!S53</f>
        <v>0</v>
      </c>
      <c r="R53" s="132" t="n">
        <f aca="false">Abroad!C53-Q53</f>
        <v>18.1543728997314</v>
      </c>
      <c r="S53" s="117" t="n">
        <f aca="false">0</f>
        <v>0</v>
      </c>
      <c r="T53" s="132" t="n">
        <f aca="false">P53-'War credit'!T53-Abroad!U53-S53</f>
        <v>193.991942065318</v>
      </c>
      <c r="U53" s="117" t="str">
        <f aca="false">IF(A53=1901,"Carnegie Steel bought for $480m in Pacifica Steel 5% gold bonds and 7% preference shares","No separately priced acquisition")</f>
        <v>No separately priced acquisition</v>
      </c>
      <c r="V53" s="117" t="n">
        <f aca="false">Y52</f>
        <v>0</v>
      </c>
      <c r="W53" s="117" t="n">
        <f aca="false">V53+K53</f>
        <v>10.755242804382</v>
      </c>
      <c r="X53" s="117" t="n">
        <f aca="false">MIN('Champion funding'!D53-'Champion funding'!F53,W53)</f>
        <v>10.755242804382</v>
      </c>
      <c r="Y53" s="117" t="n">
        <f aca="false">W53-X53</f>
        <v>0</v>
      </c>
      <c r="Z53" s="133" t="n">
        <f aca="false">V53+K53-X53-Y53</f>
        <v>0</v>
      </c>
    </row>
    <row r="54" customFormat="false" ht="19.5" hidden="false" customHeight="true" outlineLevel="0" collapsed="false">
      <c r="A54" s="121" t="n">
        <v>1894</v>
      </c>
      <c r="B54" s="117" t="n">
        <f aca="false">C53</f>
        <v>228.413123127692</v>
      </c>
      <c r="C54" s="132" t="n">
        <f aca="false">Champions!AY54-Champions!Q54</f>
        <v>260.891164132387</v>
      </c>
      <c r="D54" s="117" t="n">
        <f aca="false">MAX(0,C54-B54)</f>
        <v>32.4780410046949</v>
      </c>
      <c r="E54" s="117" t="n">
        <f aca="false">MAX(0,B54-C54)</f>
        <v>0</v>
      </c>
      <c r="F54" s="133" t="n">
        <f aca="false">B54+D54-E54-C54</f>
        <v>0</v>
      </c>
      <c r="G54" s="117" t="n">
        <f aca="false">H53</f>
        <v>43.2462179788431</v>
      </c>
      <c r="H54" s="132" t="n">
        <f aca="false">Champions!Q54</f>
        <v>48.2161006609155</v>
      </c>
      <c r="I54" s="117" t="n">
        <f aca="false">H54-G54</f>
        <v>4.96988268207242</v>
      </c>
      <c r="J54" s="132" t="n">
        <f aca="false">MAX(0,Champions!BA54)*(1-crown_payout)</f>
        <v>24.2984057891024</v>
      </c>
      <c r="K54" s="132" t="n">
        <f aca="false">J54*'Sources &amp; uses'!$E$28</f>
        <v>12.1492028945512</v>
      </c>
      <c r="L54" s="117" t="n">
        <f aca="false">ABS('Champion funding'!S54)</f>
        <v>0</v>
      </c>
      <c r="M54" s="132" t="n">
        <f aca="false">Abroad!C54+Abroad!D54</f>
        <v>19.0916488079787</v>
      </c>
      <c r="N54" s="132" t="n">
        <f aca="false">Abroad!F54</f>
        <v>5.81975826195956</v>
      </c>
      <c r="O54" s="132" t="n">
        <f aca="false">Abroad!G54</f>
        <v>0</v>
      </c>
      <c r="P54" s="132" t="n">
        <f aca="false">Abroad!H54</f>
        <v>207.263832611338</v>
      </c>
      <c r="Q54" s="132" t="n">
        <f aca="false">Abroad!S54</f>
        <v>0</v>
      </c>
      <c r="R54" s="132" t="n">
        <f aca="false">Abroad!C54-Q54</f>
        <v>19.0916488079787</v>
      </c>
      <c r="S54" s="117" t="n">
        <f aca="false">0</f>
        <v>0</v>
      </c>
      <c r="T54" s="132" t="n">
        <f aca="false">P54-'War credit'!T54-Abroad!U54-S54</f>
        <v>207.263832611338</v>
      </c>
      <c r="U54" s="117" t="str">
        <f aca="false">IF(A54=1901,"Carnegie Steel bought for $480m in Pacifica Steel 5% gold bonds and 7% preference shares","No separately priced acquisition")</f>
        <v>No separately priced acquisition</v>
      </c>
      <c r="V54" s="117" t="n">
        <f aca="false">Y53</f>
        <v>0</v>
      </c>
      <c r="W54" s="117" t="n">
        <f aca="false">V54+K54</f>
        <v>12.1492028945512</v>
      </c>
      <c r="X54" s="117" t="n">
        <f aca="false">MIN('Champion funding'!D54-'Champion funding'!F54,W54)</f>
        <v>12.1492028945512</v>
      </c>
      <c r="Y54" s="117" t="n">
        <f aca="false">W54-X54</f>
        <v>0</v>
      </c>
      <c r="Z54" s="133" t="n">
        <f aca="false">V54+K54-X54-Y54</f>
        <v>0</v>
      </c>
    </row>
    <row r="55" customFormat="false" ht="19.5" hidden="false" customHeight="true" outlineLevel="0" collapsed="false">
      <c r="A55" s="121" t="n">
        <v>1895</v>
      </c>
      <c r="B55" s="117" t="n">
        <f aca="false">C54</f>
        <v>260.891164132387</v>
      </c>
      <c r="C55" s="132" t="n">
        <f aca="false">Champions!AY55-Champions!Q55</f>
        <v>300.019688713328</v>
      </c>
      <c r="D55" s="117" t="n">
        <f aca="false">MAX(0,C55-B55)</f>
        <v>39.1285245809406</v>
      </c>
      <c r="E55" s="117" t="n">
        <f aca="false">MAX(0,B55-C55)</f>
        <v>0</v>
      </c>
      <c r="F55" s="133" t="n">
        <f aca="false">B55+D55-E55-C55</f>
        <v>0</v>
      </c>
      <c r="G55" s="117" t="n">
        <f aca="false">H54</f>
        <v>48.2161006609155</v>
      </c>
      <c r="H55" s="132" t="n">
        <f aca="false">Champions!Q55</f>
        <v>48.3720268605833</v>
      </c>
      <c r="I55" s="117" t="n">
        <f aca="false">H55-G55</f>
        <v>0.155926199667775</v>
      </c>
      <c r="J55" s="132" t="n">
        <f aca="false">MAX(0,Champions!BA55)*(1-crown_payout)</f>
        <v>26.9947018480925</v>
      </c>
      <c r="K55" s="132" t="n">
        <f aca="false">J55*'Sources &amp; uses'!$E$28</f>
        <v>13.4973509240463</v>
      </c>
      <c r="L55" s="117" t="n">
        <f aca="false">ABS('Champion funding'!S55)</f>
        <v>0</v>
      </c>
      <c r="M55" s="132" t="n">
        <f aca="false">Abroad!C55+Abroad!D55</f>
        <v>20.9140718408799</v>
      </c>
      <c r="N55" s="132" t="n">
        <f aca="false">Abroad!F55</f>
        <v>6.21791497834013</v>
      </c>
      <c r="O55" s="132" t="n">
        <f aca="false">Abroad!G55</f>
        <v>0</v>
      </c>
      <c r="P55" s="132" t="n">
        <f aca="false">Abroad!H55</f>
        <v>221.959989473877</v>
      </c>
      <c r="Q55" s="132" t="n">
        <f aca="false">Abroad!S55</f>
        <v>0</v>
      </c>
      <c r="R55" s="132" t="n">
        <f aca="false">Abroad!C55-Q55</f>
        <v>20.9140718408799</v>
      </c>
      <c r="S55" s="117" t="n">
        <f aca="false">0</f>
        <v>0</v>
      </c>
      <c r="T55" s="132" t="n">
        <f aca="false">P55-'War credit'!T55-Abroad!U55-S55</f>
        <v>221.959989473877</v>
      </c>
      <c r="U55" s="117" t="str">
        <f aca="false">IF(A55=1901,"Carnegie Steel bought for $480m in Pacifica Steel 5% gold bonds and 7% preference shares","No separately priced acquisition")</f>
        <v>No separately priced acquisition</v>
      </c>
      <c r="V55" s="117" t="n">
        <f aca="false">Y54</f>
        <v>0</v>
      </c>
      <c r="W55" s="117" t="n">
        <f aca="false">V55+K55</f>
        <v>13.4973509240463</v>
      </c>
      <c r="X55" s="117" t="n">
        <f aca="false">MIN('Champion funding'!D55-'Champion funding'!F55,W55)</f>
        <v>13.4973509240463</v>
      </c>
      <c r="Y55" s="117" t="n">
        <f aca="false">W55-X55</f>
        <v>0</v>
      </c>
      <c r="Z55" s="133" t="n">
        <f aca="false">V55+K55-X55-Y55</f>
        <v>0</v>
      </c>
    </row>
    <row r="56" customFormat="false" ht="19.5" hidden="false" customHeight="true" outlineLevel="0" collapsed="false">
      <c r="A56" s="121" t="n">
        <v>1896</v>
      </c>
      <c r="B56" s="117" t="n">
        <f aca="false">C55</f>
        <v>300.019688713328</v>
      </c>
      <c r="C56" s="132" t="n">
        <f aca="false">Champions!AY56-Champions!Q56</f>
        <v>334.832399287547</v>
      </c>
      <c r="D56" s="117" t="n">
        <f aca="false">MAX(0,C56-B56)</f>
        <v>34.8127105742192</v>
      </c>
      <c r="E56" s="117" t="n">
        <f aca="false">MAX(0,B56-C56)</f>
        <v>0</v>
      </c>
      <c r="F56" s="133" t="n">
        <f aca="false">B56+D56-E56-C56</f>
        <v>0</v>
      </c>
      <c r="G56" s="117" t="n">
        <f aca="false">H55</f>
        <v>48.3720268605833</v>
      </c>
      <c r="H56" s="132" t="n">
        <f aca="false">Champions!Q56</f>
        <v>53.4739742862186</v>
      </c>
      <c r="I56" s="117" t="n">
        <f aca="false">H56-G56</f>
        <v>5.10194742563535</v>
      </c>
      <c r="J56" s="132" t="n">
        <f aca="false">MAX(0,Champions!BA56)*(1-crown_payout)</f>
        <v>29.9997589777268</v>
      </c>
      <c r="K56" s="132" t="n">
        <f aca="false">J56*'Sources &amp; uses'!$E$28</f>
        <v>14.9998794888634</v>
      </c>
      <c r="L56" s="117" t="n">
        <f aca="false">ABS('Champion funding'!S56)</f>
        <v>0</v>
      </c>
      <c r="M56" s="132" t="n">
        <f aca="false">Abroad!C56+Abroad!D56</f>
        <v>74.3240134657276</v>
      </c>
      <c r="N56" s="132" t="n">
        <f aca="false">Abroad!F56</f>
        <v>6.65879968421632</v>
      </c>
      <c r="O56" s="132" t="n">
        <f aca="false">Abroad!G56</f>
        <v>0</v>
      </c>
      <c r="P56" s="132" t="n">
        <f aca="false">Abroad!H56</f>
        <v>289.625203255389</v>
      </c>
      <c r="Q56" s="132" t="n">
        <f aca="false">Abroad!S56</f>
        <v>0</v>
      </c>
      <c r="R56" s="132" t="n">
        <f aca="false">Abroad!C56-Q56</f>
        <v>74.3240134657276</v>
      </c>
      <c r="S56" s="117" t="n">
        <f aca="false">0</f>
        <v>0</v>
      </c>
      <c r="T56" s="132" t="n">
        <f aca="false">P56-'War credit'!T56-Abroad!U56-S56</f>
        <v>289.625203255389</v>
      </c>
      <c r="U56" s="117" t="str">
        <f aca="false">IF(A56=1901,"Carnegie Steel bought for $480m in Pacifica Steel 5% gold bonds and 7% preference shares","No separately priced acquisition")</f>
        <v>No separately priced acquisition</v>
      </c>
      <c r="V56" s="117" t="n">
        <f aca="false">Y55</f>
        <v>0</v>
      </c>
      <c r="W56" s="117" t="n">
        <f aca="false">V56+K56</f>
        <v>14.9998794888634</v>
      </c>
      <c r="X56" s="117" t="n">
        <f aca="false">MIN('Champion funding'!D56-'Champion funding'!F56,W56)</f>
        <v>14.9998794888634</v>
      </c>
      <c r="Y56" s="117" t="n">
        <f aca="false">W56-X56</f>
        <v>0</v>
      </c>
      <c r="Z56" s="133" t="n">
        <f aca="false">V56+K56-X56-Y56</f>
        <v>0</v>
      </c>
    </row>
    <row r="57" customFormat="false" ht="19.5" hidden="false" customHeight="true" outlineLevel="0" collapsed="false">
      <c r="A57" s="121" t="n">
        <v>1897</v>
      </c>
      <c r="B57" s="117" t="n">
        <f aca="false">C56</f>
        <v>334.832399287547</v>
      </c>
      <c r="C57" s="132" t="n">
        <f aca="false">Champions!AY57-Champions!Q57</f>
        <v>370.123159389735</v>
      </c>
      <c r="D57" s="117" t="n">
        <f aca="false">MAX(0,C57-B57)</f>
        <v>35.2907601021879</v>
      </c>
      <c r="E57" s="117" t="n">
        <f aca="false">MAX(0,B57-C57)</f>
        <v>0</v>
      </c>
      <c r="F57" s="133" t="n">
        <f aca="false">B57+D57-E57-C57</f>
        <v>0</v>
      </c>
      <c r="G57" s="117" t="n">
        <f aca="false">H56</f>
        <v>53.4739742862186</v>
      </c>
      <c r="H57" s="132" t="n">
        <f aca="false">Champions!Q57</f>
        <v>58.5044675051585</v>
      </c>
      <c r="I57" s="117" t="n">
        <f aca="false">H57-G57</f>
        <v>5.0304932189399</v>
      </c>
      <c r="J57" s="132" t="n">
        <f aca="false">MAX(0,Champions!BA57)*(1-crown_payout)</f>
        <v>33.1943805115891</v>
      </c>
      <c r="K57" s="132" t="n">
        <f aca="false">J57*'Sources &amp; uses'!$E$28</f>
        <v>16.5971902557945</v>
      </c>
      <c r="L57" s="117" t="n">
        <f aca="false">ABS('Champion funding'!S57)</f>
        <v>0</v>
      </c>
      <c r="M57" s="132" t="n">
        <f aca="false">Abroad!C57+Abroad!D57</f>
        <v>83.5313049350971</v>
      </c>
      <c r="N57" s="132" t="n">
        <f aca="false">Abroad!F57</f>
        <v>8.68875609766166</v>
      </c>
      <c r="O57" s="132" t="n">
        <f aca="false">Abroad!G57</f>
        <v>0</v>
      </c>
      <c r="P57" s="132" t="n">
        <f aca="false">Abroad!H57</f>
        <v>364.467752092824</v>
      </c>
      <c r="Q57" s="132" t="n">
        <f aca="false">Abroad!S57</f>
        <v>0</v>
      </c>
      <c r="R57" s="132" t="n">
        <f aca="false">Abroad!C57-Q57</f>
        <v>83.5313049350971</v>
      </c>
      <c r="S57" s="117" t="n">
        <f aca="false">0</f>
        <v>0</v>
      </c>
      <c r="T57" s="132" t="n">
        <f aca="false">P57-'War credit'!T57-Abroad!U57-S57</f>
        <v>364.467752092824</v>
      </c>
      <c r="U57" s="117" t="str">
        <f aca="false">IF(A57=1901,"Carnegie Steel bought for $480m in Pacifica Steel 5% gold bonds and 7% preference shares","No separately priced acquisition")</f>
        <v>No separately priced acquisition</v>
      </c>
      <c r="V57" s="117" t="n">
        <f aca="false">Y56</f>
        <v>0</v>
      </c>
      <c r="W57" s="117" t="n">
        <f aca="false">V57+K57</f>
        <v>16.5971902557945</v>
      </c>
      <c r="X57" s="117" t="n">
        <f aca="false">MIN('Champion funding'!D57-'Champion funding'!F57,W57)</f>
        <v>16.5971902557945</v>
      </c>
      <c r="Y57" s="117" t="n">
        <f aca="false">W57-X57</f>
        <v>0</v>
      </c>
      <c r="Z57" s="133" t="n">
        <f aca="false">V57+K57-X57-Y57</f>
        <v>0</v>
      </c>
    </row>
    <row r="58" customFormat="false" ht="19.5" hidden="false" customHeight="true" outlineLevel="0" collapsed="false">
      <c r="A58" s="121" t="n">
        <v>1898</v>
      </c>
      <c r="B58" s="117" t="n">
        <f aca="false">C57</f>
        <v>370.123159389735</v>
      </c>
      <c r="C58" s="132" t="n">
        <f aca="false">Champions!AY58-Champions!Q58</f>
        <v>407.191679112687</v>
      </c>
      <c r="D58" s="117" t="n">
        <f aca="false">MAX(0,C58-B58)</f>
        <v>37.0685197229522</v>
      </c>
      <c r="E58" s="117" t="n">
        <f aca="false">MAX(0,B58-C58)</f>
        <v>0</v>
      </c>
      <c r="F58" s="133" t="n">
        <f aca="false">B58+D58-E58-C58</f>
        <v>0</v>
      </c>
      <c r="G58" s="117" t="n">
        <f aca="false">H57</f>
        <v>58.5044675051585</v>
      </c>
      <c r="H58" s="132" t="n">
        <f aca="false">Champions!Q58</f>
        <v>63.6693986179141</v>
      </c>
      <c r="I58" s="117" t="n">
        <f aca="false">H58-G58</f>
        <v>5.16493111275562</v>
      </c>
      <c r="J58" s="132" t="n">
        <f aca="false">MAX(0,Champions!BA58)*(1-crown_payout)</f>
        <v>36.2874600823129</v>
      </c>
      <c r="K58" s="132" t="n">
        <f aca="false">J58*'Sources &amp; uses'!$E$28</f>
        <v>18.1437300411564</v>
      </c>
      <c r="L58" s="117" t="n">
        <f aca="false">ABS('Champion funding'!S58)</f>
        <v>0</v>
      </c>
      <c r="M58" s="132" t="n">
        <f aca="false">Abroad!C58+Abroad!D58</f>
        <v>91.6572417598475</v>
      </c>
      <c r="N58" s="132" t="n">
        <f aca="false">Abroad!F58</f>
        <v>10.9340325627847</v>
      </c>
      <c r="O58" s="132" t="n">
        <f aca="false">Abroad!G58</f>
        <v>0</v>
      </c>
      <c r="P58" s="132" t="n">
        <f aca="false">Abroad!H58</f>
        <v>445.190961289887</v>
      </c>
      <c r="Q58" s="132" t="n">
        <f aca="false">Abroad!S58</f>
        <v>0</v>
      </c>
      <c r="R58" s="132" t="n">
        <f aca="false">Abroad!C58-Q58</f>
        <v>91.6572417598475</v>
      </c>
      <c r="S58" s="117" t="n">
        <f aca="false">0</f>
        <v>0</v>
      </c>
      <c r="T58" s="132" t="n">
        <f aca="false">P58-'War credit'!T58-Abroad!U58-S58</f>
        <v>445.190961289887</v>
      </c>
      <c r="U58" s="117" t="str">
        <f aca="false">IF(A58=1901,"Carnegie Steel bought for $480m in Pacifica Steel 5% gold bonds and 7% preference shares","No separately priced acquisition")</f>
        <v>No separately priced acquisition</v>
      </c>
      <c r="V58" s="117" t="n">
        <f aca="false">Y57</f>
        <v>0</v>
      </c>
      <c r="W58" s="117" t="n">
        <f aca="false">V58+K58</f>
        <v>18.1437300411564</v>
      </c>
      <c r="X58" s="117" t="n">
        <f aca="false">MIN('Champion funding'!D58-'Champion funding'!F58,W58)</f>
        <v>18.1437300411564</v>
      </c>
      <c r="Y58" s="117" t="n">
        <f aca="false">W58-X58</f>
        <v>0</v>
      </c>
      <c r="Z58" s="133" t="n">
        <f aca="false">V58+K58-X58-Y58</f>
        <v>0</v>
      </c>
    </row>
    <row r="59" customFormat="false" ht="19.5" hidden="false" customHeight="true" outlineLevel="0" collapsed="false">
      <c r="A59" s="121" t="n">
        <v>1899</v>
      </c>
      <c r="B59" s="117" t="n">
        <f aca="false">C58</f>
        <v>407.191679112687</v>
      </c>
      <c r="C59" s="132" t="n">
        <f aca="false">Champions!AY59-Champions!Q59</f>
        <v>443.574462701023</v>
      </c>
      <c r="D59" s="117" t="n">
        <f aca="false">MAX(0,C59-B59)</f>
        <v>36.3827835883357</v>
      </c>
      <c r="E59" s="117" t="n">
        <f aca="false">MAX(0,B59-C59)</f>
        <v>0</v>
      </c>
      <c r="F59" s="133" t="n">
        <f aca="false">B59+D59-E59-C59</f>
        <v>0</v>
      </c>
      <c r="G59" s="117" t="n">
        <f aca="false">H58</f>
        <v>63.6693986179141</v>
      </c>
      <c r="H59" s="132" t="n">
        <f aca="false">Champions!Q59</f>
        <v>68.7553127056576</v>
      </c>
      <c r="I59" s="117" t="n">
        <f aca="false">H59-G59</f>
        <v>5.08591408774353</v>
      </c>
      <c r="J59" s="132" t="n">
        <f aca="false">MAX(0,Champions!BA59)*(1-crown_payout)</f>
        <v>39.4293212796239</v>
      </c>
      <c r="K59" s="132" t="n">
        <f aca="false">J59*'Sources &amp; uses'!$E$28</f>
        <v>19.714660639812</v>
      </c>
      <c r="L59" s="117" t="n">
        <f aca="false">ABS('Champion funding'!S59)</f>
        <v>0</v>
      </c>
      <c r="M59" s="132" t="n">
        <f aca="false">Abroad!C59+Abroad!D59</f>
        <v>100.322962662695</v>
      </c>
      <c r="N59" s="132" t="n">
        <f aca="false">Abroad!F59</f>
        <v>13.3557288386966</v>
      </c>
      <c r="O59" s="132" t="n">
        <f aca="false">Abroad!G59</f>
        <v>0</v>
      </c>
      <c r="P59" s="132" t="n">
        <f aca="false">Abroad!H59</f>
        <v>532.158195113885</v>
      </c>
      <c r="Q59" s="132" t="n">
        <f aca="false">Abroad!S59</f>
        <v>0</v>
      </c>
      <c r="R59" s="132" t="n">
        <f aca="false">Abroad!C59-Q59</f>
        <v>100.322962662695</v>
      </c>
      <c r="S59" s="117" t="n">
        <f aca="false">0</f>
        <v>0</v>
      </c>
      <c r="T59" s="132" t="n">
        <f aca="false">P59-'War credit'!T59-Abroad!U59-S59</f>
        <v>532.158195113885</v>
      </c>
      <c r="U59" s="117" t="str">
        <f aca="false">IF(A59=1901,"Carnegie Steel bought for $480m in Pacifica Steel 5% gold bonds and 7% preference shares","No separately priced acquisition")</f>
        <v>No separately priced acquisition</v>
      </c>
      <c r="V59" s="117" t="n">
        <f aca="false">Y58</f>
        <v>0</v>
      </c>
      <c r="W59" s="117" t="n">
        <f aca="false">V59+K59</f>
        <v>19.714660639812</v>
      </c>
      <c r="X59" s="117" t="n">
        <f aca="false">MIN('Champion funding'!D59-'Champion funding'!F59,W59)</f>
        <v>19.714660639812</v>
      </c>
      <c r="Y59" s="117" t="n">
        <f aca="false">W59-X59</f>
        <v>0</v>
      </c>
      <c r="Z59" s="133" t="n">
        <f aca="false">V59+K59-X59-Y59</f>
        <v>0</v>
      </c>
    </row>
    <row r="60" customFormat="false" ht="19.5" hidden="false" customHeight="true" outlineLevel="0" collapsed="false">
      <c r="A60" s="121" t="n">
        <v>1900</v>
      </c>
      <c r="B60" s="117" t="n">
        <f aca="false">C59</f>
        <v>443.574462701023</v>
      </c>
      <c r="C60" s="132" t="n">
        <f aca="false">Champions!AY60-Champions!Q60</f>
        <v>480.525411865971</v>
      </c>
      <c r="D60" s="117" t="n">
        <f aca="false">MAX(0,C60-B60)</f>
        <v>36.9509491649482</v>
      </c>
      <c r="E60" s="117" t="n">
        <f aca="false">MAX(0,B60-C60)</f>
        <v>0</v>
      </c>
      <c r="F60" s="133" t="n">
        <f aca="false">B60+D60-E60-C60</f>
        <v>0</v>
      </c>
      <c r="G60" s="117" t="n">
        <f aca="false">H59</f>
        <v>68.7553127056576</v>
      </c>
      <c r="H60" s="132" t="n">
        <f aca="false">Champions!Q60</f>
        <v>74.0009134273595</v>
      </c>
      <c r="I60" s="117" t="n">
        <f aca="false">H60-G60</f>
        <v>5.24560072170185</v>
      </c>
      <c r="J60" s="132" t="n">
        <f aca="false">MAX(0,Champions!BA60)*(1-crown_payout)</f>
        <v>43.0269367933601</v>
      </c>
      <c r="K60" s="132" t="n">
        <f aca="false">J60*'Sources &amp; uses'!$E$28</f>
        <v>21.51346839668</v>
      </c>
      <c r="L60" s="117" t="n">
        <f aca="false">ABS('Champion funding'!S60)</f>
        <v>0</v>
      </c>
      <c r="M60" s="132" t="n">
        <f aca="false">Abroad!C60+Abroad!D60</f>
        <v>109.927051903209</v>
      </c>
      <c r="N60" s="132" t="n">
        <f aca="false">Abroad!F60</f>
        <v>15.9647458534166</v>
      </c>
      <c r="O60" s="132" t="n">
        <f aca="false">Abroad!G60</f>
        <v>0</v>
      </c>
      <c r="P60" s="132" t="n">
        <f aca="false">Abroad!H60</f>
        <v>626.120501163678</v>
      </c>
      <c r="Q60" s="132" t="n">
        <f aca="false">Abroad!S60</f>
        <v>0</v>
      </c>
      <c r="R60" s="132" t="n">
        <f aca="false">Abroad!C60-Q60</f>
        <v>109.927051903209</v>
      </c>
      <c r="S60" s="117" t="n">
        <f aca="false">0</f>
        <v>0</v>
      </c>
      <c r="T60" s="132" t="n">
        <f aca="false">P60-'War credit'!T60-Abroad!U60-S60</f>
        <v>626.120501163678</v>
      </c>
      <c r="U60" s="117" t="str">
        <f aca="false">IF(A60=1901,"Carnegie Steel bought for $480m in Pacifica Steel 5% gold bonds and 7% preference shares","No separately priced acquisition")</f>
        <v>No separately priced acquisition</v>
      </c>
      <c r="V60" s="117" t="n">
        <f aca="false">Y59</f>
        <v>0</v>
      </c>
      <c r="W60" s="117" t="n">
        <f aca="false">V60+K60</f>
        <v>21.51346839668</v>
      </c>
      <c r="X60" s="117" t="n">
        <f aca="false">MIN('Champion funding'!D60-'Champion funding'!F60,W60)</f>
        <v>21.51346839668</v>
      </c>
      <c r="Y60" s="117" t="n">
        <f aca="false">W60-X60</f>
        <v>0</v>
      </c>
      <c r="Z60" s="133" t="n">
        <f aca="false">V60+K60-X60-Y60</f>
        <v>0</v>
      </c>
    </row>
    <row r="61" customFormat="false" ht="19.5" hidden="false" customHeight="true" outlineLevel="0" collapsed="false">
      <c r="A61" s="121" t="n">
        <v>1901</v>
      </c>
      <c r="B61" s="117" t="n">
        <f aca="false">C60</f>
        <v>480.525411865971</v>
      </c>
      <c r="C61" s="132" t="n">
        <f aca="false">Champions!AY61-Champions!Q61</f>
        <v>1191.04980510678</v>
      </c>
      <c r="D61" s="117" t="n">
        <f aca="false">MAX(0,C61-B61)</f>
        <v>710.524393240813</v>
      </c>
      <c r="E61" s="117" t="n">
        <f aca="false">MAX(0,B61-C61)</f>
        <v>0</v>
      </c>
      <c r="F61" s="133" t="n">
        <f aca="false">B61+D61-E61-C61</f>
        <v>0</v>
      </c>
      <c r="G61" s="117" t="n">
        <f aca="false">H60</f>
        <v>74.0009134273595</v>
      </c>
      <c r="H61" s="132" t="n">
        <f aca="false">Champions!Q61</f>
        <v>93.1793658158312</v>
      </c>
      <c r="I61" s="117" t="n">
        <f aca="false">H61-G61</f>
        <v>19.1784523884717</v>
      </c>
      <c r="J61" s="132" t="n">
        <f aca="false">MAX(0,Champions!BA61)*(1-crown_payout)</f>
        <v>69.1763295083135</v>
      </c>
      <c r="K61" s="132" t="n">
        <f aca="false">J61*'Sources &amp; uses'!$E$28</f>
        <v>34.5881647541567</v>
      </c>
      <c r="L61" s="117" t="n">
        <f aca="false">ABS('Champion funding'!S61)</f>
        <v>0</v>
      </c>
      <c r="M61" s="132" t="n">
        <f aca="false">Abroad!C61+Abroad!D61</f>
        <v>119.70002382327</v>
      </c>
      <c r="N61" s="132" t="n">
        <f aca="false">Abroad!F61</f>
        <v>18.7836150349103</v>
      </c>
      <c r="O61" s="132" t="n">
        <f aca="false">Abroad!G61</f>
        <v>0</v>
      </c>
      <c r="P61" s="132" t="n">
        <f aca="false">Abroad!H61</f>
        <v>727.036909952038</v>
      </c>
      <c r="Q61" s="132" t="n">
        <f aca="false">Abroad!S61</f>
        <v>0</v>
      </c>
      <c r="R61" s="132" t="n">
        <f aca="false">Abroad!C61-Q61</f>
        <v>119.70002382327</v>
      </c>
      <c r="S61" s="117" t="n">
        <f aca="false">0</f>
        <v>0</v>
      </c>
      <c r="T61" s="132" t="n">
        <f aca="false">P61-'War credit'!T61-Abroad!U61-S61</f>
        <v>727.036909952038</v>
      </c>
      <c r="U61" s="117" t="str">
        <f aca="false">IF(A61=1901,"Carnegie Steel bought for $480m in Pacifica Steel 5% gold bonds and 7% preference shares","No separately priced acquisition")</f>
        <v>Carnegie Steel bought for $480m in Pacifica Steel 5% gold bonds and 7% preference shares</v>
      </c>
      <c r="V61" s="117" t="n">
        <f aca="false">Y60</f>
        <v>0</v>
      </c>
      <c r="W61" s="117" t="n">
        <f aca="false">V61+K61</f>
        <v>34.5881647541567</v>
      </c>
      <c r="X61" s="117" t="n">
        <f aca="false">MIN('Champion funding'!D61-'Champion funding'!F61,W61)</f>
        <v>34.5881647541567</v>
      </c>
      <c r="Y61" s="117" t="n">
        <f aca="false">W61-X61</f>
        <v>0</v>
      </c>
      <c r="Z61" s="133" t="n">
        <f aca="false">V61+K61-X61-Y61</f>
        <v>0</v>
      </c>
    </row>
    <row r="62" customFormat="false" ht="19.5" hidden="false" customHeight="true" outlineLevel="0" collapsed="false">
      <c r="A62" s="121" t="n">
        <v>1902</v>
      </c>
      <c r="B62" s="117" t="n">
        <f aca="false">C61</f>
        <v>1191.04980510678</v>
      </c>
      <c r="C62" s="132" t="n">
        <f aca="false">Champions!AY62-Champions!Q62</f>
        <v>1298.98155042176</v>
      </c>
      <c r="D62" s="117" t="n">
        <f aca="false">MAX(0,C62-B62)</f>
        <v>107.931745314977</v>
      </c>
      <c r="E62" s="117" t="n">
        <f aca="false">MAX(0,B62-C62)</f>
        <v>0</v>
      </c>
      <c r="F62" s="133" t="n">
        <f aca="false">B62+D62-E62-C62</f>
        <v>0</v>
      </c>
      <c r="G62" s="117" t="n">
        <f aca="false">H61</f>
        <v>93.1793658158312</v>
      </c>
      <c r="H62" s="132" t="n">
        <f aca="false">Champions!Q62</f>
        <v>116.586056748643</v>
      </c>
      <c r="I62" s="117" t="n">
        <f aca="false">H62-G62</f>
        <v>23.4066909328118</v>
      </c>
      <c r="J62" s="132" t="n">
        <f aca="false">MAX(0,Champions!BA62)*(1-crown_payout)</f>
        <v>77.678441057611</v>
      </c>
      <c r="K62" s="132" t="n">
        <f aca="false">J62*'Sources &amp; uses'!$E$28</f>
        <v>38.8392205288055</v>
      </c>
      <c r="L62" s="117" t="n">
        <f aca="false">ABS('Champion funding'!S62)</f>
        <v>0</v>
      </c>
      <c r="M62" s="132" t="n">
        <f aca="false">Abroad!C62+Abroad!D62</f>
        <v>130.549922771505</v>
      </c>
      <c r="N62" s="132" t="n">
        <f aca="false">Abroad!F62</f>
        <v>21.8111072985611</v>
      </c>
      <c r="O62" s="132" t="n">
        <f aca="false">Abroad!G62</f>
        <v>0</v>
      </c>
      <c r="P62" s="132" t="n">
        <f aca="false">Abroad!H62</f>
        <v>835.775725424982</v>
      </c>
      <c r="Q62" s="132" t="n">
        <f aca="false">Abroad!S62</f>
        <v>0</v>
      </c>
      <c r="R62" s="132" t="n">
        <f aca="false">Abroad!C62-Q62</f>
        <v>130.549922771505</v>
      </c>
      <c r="S62" s="117" t="n">
        <f aca="false">0</f>
        <v>0</v>
      </c>
      <c r="T62" s="132" t="n">
        <f aca="false">P62-'War credit'!T62-Abroad!U62-S62</f>
        <v>835.775725424982</v>
      </c>
      <c r="U62" s="117" t="str">
        <f aca="false">IF(A62=1901,"Carnegie Steel bought for $480m in Pacifica Steel 5% gold bonds and 7% preference shares","No separately priced acquisition")</f>
        <v>No separately priced acquisition</v>
      </c>
      <c r="V62" s="117" t="n">
        <f aca="false">Y61</f>
        <v>0</v>
      </c>
      <c r="W62" s="117" t="n">
        <f aca="false">V62+K62</f>
        <v>38.8392205288055</v>
      </c>
      <c r="X62" s="117" t="n">
        <f aca="false">MIN('Champion funding'!D62-'Champion funding'!F62,W62)</f>
        <v>38.8392205288055</v>
      </c>
      <c r="Y62" s="117" t="n">
        <f aca="false">W62-X62</f>
        <v>0</v>
      </c>
      <c r="Z62" s="133" t="n">
        <f aca="false">V62+K62-X62-Y62</f>
        <v>0</v>
      </c>
    </row>
    <row r="63" customFormat="false" ht="19.5" hidden="false" customHeight="true" outlineLevel="0" collapsed="false">
      <c r="A63" s="121" t="n">
        <v>1903</v>
      </c>
      <c r="B63" s="117" t="n">
        <f aca="false">C62</f>
        <v>1298.98155042176</v>
      </c>
      <c r="C63" s="132" t="n">
        <f aca="false">Champions!AY63-Champions!Q63</f>
        <v>1407.99563688868</v>
      </c>
      <c r="D63" s="117" t="n">
        <f aca="false">MAX(0,C63-B63)</f>
        <v>109.014086466915</v>
      </c>
      <c r="E63" s="117" t="n">
        <f aca="false">MAX(0,B63-C63)</f>
        <v>0</v>
      </c>
      <c r="F63" s="133" t="n">
        <f aca="false">B63+D63-E63-C63</f>
        <v>0</v>
      </c>
      <c r="G63" s="117" t="n">
        <f aca="false">H62</f>
        <v>116.586056748643</v>
      </c>
      <c r="H63" s="132" t="n">
        <f aca="false">Champions!Q63</f>
        <v>146.676647599805</v>
      </c>
      <c r="I63" s="117" t="n">
        <f aca="false">H63-G63</f>
        <v>30.0905908511617</v>
      </c>
      <c r="J63" s="132" t="n">
        <f aca="false">MAX(0,Champions!BA63)*(1-crown_payout)</f>
        <v>86.7372567775209</v>
      </c>
      <c r="K63" s="132" t="n">
        <f aca="false">J63*'Sources &amp; uses'!$E$28</f>
        <v>43.3686283887605</v>
      </c>
      <c r="L63" s="117" t="n">
        <f aca="false">ABS('Champion funding'!S63)</f>
        <v>0</v>
      </c>
      <c r="M63" s="132" t="n">
        <f aca="false">Abroad!C63+Abroad!D63</f>
        <v>142.579800638129</v>
      </c>
      <c r="N63" s="132" t="n">
        <f aca="false">Abroad!F63</f>
        <v>25.0732717627495</v>
      </c>
      <c r="O63" s="132" t="n">
        <f aca="false">Abroad!G63</f>
        <v>0</v>
      </c>
      <c r="P63" s="132" t="n">
        <f aca="false">Abroad!H63</f>
        <v>953.282254300362</v>
      </c>
      <c r="Q63" s="132" t="n">
        <f aca="false">Abroad!S63</f>
        <v>0</v>
      </c>
      <c r="R63" s="132" t="n">
        <f aca="false">Abroad!C63-Q63</f>
        <v>142.579800638129</v>
      </c>
      <c r="S63" s="117" t="n">
        <f aca="false">0</f>
        <v>0</v>
      </c>
      <c r="T63" s="132" t="n">
        <f aca="false">P63-'War credit'!T63-Abroad!U63-S63</f>
        <v>953.282254300362</v>
      </c>
      <c r="U63" s="117" t="str">
        <f aca="false">IF(A63=1901,"Carnegie Steel bought for $480m in Pacifica Steel 5% gold bonds and 7% preference shares","No separately priced acquisition")</f>
        <v>No separately priced acquisition</v>
      </c>
      <c r="V63" s="117" t="n">
        <f aca="false">Y62</f>
        <v>0</v>
      </c>
      <c r="W63" s="117" t="n">
        <f aca="false">V63+K63</f>
        <v>43.3686283887605</v>
      </c>
      <c r="X63" s="117" t="n">
        <f aca="false">MIN('Champion funding'!D63-'Champion funding'!F63,W63)</f>
        <v>43.3686283887605</v>
      </c>
      <c r="Y63" s="117" t="n">
        <f aca="false">W63-X63</f>
        <v>0</v>
      </c>
      <c r="Z63" s="133" t="n">
        <f aca="false">V63+K63-X63-Y63</f>
        <v>0</v>
      </c>
    </row>
    <row r="64" customFormat="false" ht="19.5" hidden="false" customHeight="true" outlineLevel="0" collapsed="false">
      <c r="A64" s="121" t="n">
        <v>1904</v>
      </c>
      <c r="B64" s="117" t="n">
        <f aca="false">C63</f>
        <v>1407.99563688868</v>
      </c>
      <c r="C64" s="132" t="n">
        <f aca="false">Champions!AY64-Champions!Q64</f>
        <v>1513.36529259994</v>
      </c>
      <c r="D64" s="117" t="n">
        <f aca="false">MAX(0,C64-B64)</f>
        <v>105.369655711266</v>
      </c>
      <c r="E64" s="117" t="n">
        <f aca="false">MAX(0,B64-C64)</f>
        <v>0</v>
      </c>
      <c r="F64" s="133" t="n">
        <f aca="false">B64+D64-E64-C64</f>
        <v>0</v>
      </c>
      <c r="G64" s="117" t="n">
        <f aca="false">H63</f>
        <v>146.676647599805</v>
      </c>
      <c r="H64" s="132" t="n">
        <f aca="false">Champions!Q64</f>
        <v>187.684892557568</v>
      </c>
      <c r="I64" s="117" t="n">
        <f aca="false">H64-G64</f>
        <v>41.0082449577631</v>
      </c>
      <c r="J64" s="132" t="n">
        <f aca="false">MAX(0,Champions!BA64)*(1-crown_payout)</f>
        <v>96.678807030956</v>
      </c>
      <c r="K64" s="132" t="n">
        <f aca="false">J64*'Sources &amp; uses'!$E$28</f>
        <v>48.339403515478</v>
      </c>
      <c r="L64" s="117" t="n">
        <f aca="false">ABS('Champion funding'!S64)</f>
        <v>0</v>
      </c>
      <c r="M64" s="132" t="n">
        <f aca="false">Abroad!C64+Abroad!D64</f>
        <v>155.753951402486</v>
      </c>
      <c r="N64" s="132" t="n">
        <f aca="false">Abroad!F64</f>
        <v>28.5984676290109</v>
      </c>
      <c r="O64" s="132" t="n">
        <f aca="false">Abroad!G64</f>
        <v>0</v>
      </c>
      <c r="P64" s="132" t="n">
        <f aca="false">Abroad!H64</f>
        <v>1080.43773807384</v>
      </c>
      <c r="Q64" s="132" t="n">
        <f aca="false">Abroad!S64</f>
        <v>0</v>
      </c>
      <c r="R64" s="132" t="n">
        <f aca="false">Abroad!C64-Q64</f>
        <v>155.753951402486</v>
      </c>
      <c r="S64" s="117" t="n">
        <f aca="false">0</f>
        <v>0</v>
      </c>
      <c r="T64" s="132" t="n">
        <f aca="false">P64-'War credit'!T64-Abroad!U64-S64</f>
        <v>1080.43773807384</v>
      </c>
      <c r="U64" s="117" t="str">
        <f aca="false">IF(A64=1901,"Carnegie Steel bought for $480m in Pacifica Steel 5% gold bonds and 7% preference shares","No separately priced acquisition")</f>
        <v>No separately priced acquisition</v>
      </c>
      <c r="V64" s="117" t="n">
        <f aca="false">Y63</f>
        <v>0</v>
      </c>
      <c r="W64" s="117" t="n">
        <f aca="false">V64+K64</f>
        <v>48.339403515478</v>
      </c>
      <c r="X64" s="117" t="n">
        <f aca="false">MIN('Champion funding'!D64-'Champion funding'!F64,W64)</f>
        <v>48.339403515478</v>
      </c>
      <c r="Y64" s="117" t="n">
        <f aca="false">W64-X64</f>
        <v>0</v>
      </c>
      <c r="Z64" s="133" t="n">
        <f aca="false">V64+K64-X64-Y64</f>
        <v>0</v>
      </c>
    </row>
    <row r="65" customFormat="false" ht="19.5" hidden="false" customHeight="true" outlineLevel="0" collapsed="false">
      <c r="A65" s="121" t="n">
        <v>1905</v>
      </c>
      <c r="B65" s="117" t="n">
        <f aca="false">C64</f>
        <v>1513.36529259994</v>
      </c>
      <c r="C65" s="132" t="n">
        <f aca="false">Champions!AY65-Champions!Q65</f>
        <v>1613.50752255328</v>
      </c>
      <c r="D65" s="117" t="n">
        <f aca="false">MAX(0,C65-B65)</f>
        <v>100.142229953343</v>
      </c>
      <c r="E65" s="117" t="n">
        <f aca="false">MAX(0,B65-C65)</f>
        <v>0</v>
      </c>
      <c r="F65" s="133" t="n">
        <f aca="false">B65+D65-E65-C65</f>
        <v>0</v>
      </c>
      <c r="G65" s="117" t="n">
        <f aca="false">H64</f>
        <v>187.684892557568</v>
      </c>
      <c r="H65" s="132" t="n">
        <f aca="false">Champions!Q65</f>
        <v>236.549137538521</v>
      </c>
      <c r="I65" s="117" t="n">
        <f aca="false">H65-G65</f>
        <v>48.8642449809533</v>
      </c>
      <c r="J65" s="132" t="n">
        <f aca="false">MAX(0,Champions!BA65)*(1-crown_payout)</f>
        <v>106.544378912481</v>
      </c>
      <c r="K65" s="132" t="n">
        <f aca="false">J65*'Sources &amp; uses'!$E$28</f>
        <v>53.2721894562405</v>
      </c>
      <c r="L65" s="117" t="n">
        <f aca="false">ABS('Champion funding'!S65)</f>
        <v>0</v>
      </c>
      <c r="M65" s="132" t="n">
        <f aca="false">Abroad!C65+Abroad!D65</f>
        <v>169.843569587169</v>
      </c>
      <c r="N65" s="132" t="n">
        <f aca="false">Abroad!F65</f>
        <v>32.4131321422151</v>
      </c>
      <c r="O65" s="132" t="n">
        <f aca="false">Abroad!G65</f>
        <v>0</v>
      </c>
      <c r="P65" s="132" t="n">
        <f aca="false">Abroad!H65</f>
        <v>1217.86817551879</v>
      </c>
      <c r="Q65" s="132" t="n">
        <f aca="false">Abroad!S65</f>
        <v>0</v>
      </c>
      <c r="R65" s="132" t="n">
        <f aca="false">Abroad!C65-Q65</f>
        <v>169.843569587169</v>
      </c>
      <c r="S65" s="117" t="n">
        <f aca="false">0</f>
        <v>0</v>
      </c>
      <c r="T65" s="132" t="n">
        <f aca="false">P65-'War credit'!T65-Abroad!U65-S65</f>
        <v>1217.86817551879</v>
      </c>
      <c r="U65" s="117" t="str">
        <f aca="false">IF(A65=1901,"Carnegie Steel bought for $480m in Pacifica Steel 5% gold bonds and 7% preference shares","No separately priced acquisition")</f>
        <v>No separately priced acquisition</v>
      </c>
      <c r="V65" s="117" t="n">
        <f aca="false">Y64</f>
        <v>0</v>
      </c>
      <c r="W65" s="117" t="n">
        <f aca="false">V65+K65</f>
        <v>53.2721894562405</v>
      </c>
      <c r="X65" s="117" t="n">
        <f aca="false">MIN('Champion funding'!D65-'Champion funding'!F65,W65)</f>
        <v>53.2721894562405</v>
      </c>
      <c r="Y65" s="117" t="n">
        <f aca="false">W65-X65</f>
        <v>0</v>
      </c>
      <c r="Z65" s="133" t="n">
        <f aca="false">V65+K65-X65-Y65</f>
        <v>0</v>
      </c>
    </row>
    <row r="66" customFormat="false" ht="19.5" hidden="false" customHeight="true" outlineLevel="0" collapsed="false">
      <c r="A66" s="121" t="n">
        <v>1906</v>
      </c>
      <c r="B66" s="117" t="n">
        <f aca="false">C65</f>
        <v>1613.50752255328</v>
      </c>
      <c r="C66" s="132" t="n">
        <f aca="false">Champions!AY66-Champions!Q66</f>
        <v>1737.38362826042</v>
      </c>
      <c r="D66" s="117" t="n">
        <f aca="false">MAX(0,C66-B66)</f>
        <v>123.876105707134</v>
      </c>
      <c r="E66" s="117" t="n">
        <f aca="false">MAX(0,B66-C66)</f>
        <v>0</v>
      </c>
      <c r="F66" s="133" t="n">
        <f aca="false">B66+D66-E66-C66</f>
        <v>0</v>
      </c>
      <c r="G66" s="117" t="n">
        <f aca="false">H65</f>
        <v>236.549137538521</v>
      </c>
      <c r="H66" s="132" t="n">
        <f aca="false">Champions!Q66</f>
        <v>266.127358013618</v>
      </c>
      <c r="I66" s="117" t="n">
        <f aca="false">H66-G66</f>
        <v>29.5782204750971</v>
      </c>
      <c r="J66" s="132" t="n">
        <f aca="false">MAX(0,Champions!BA66)*(1-crown_payout)</f>
        <v>115.50113443828</v>
      </c>
      <c r="K66" s="132" t="n">
        <f aca="false">J66*'Sources &amp; uses'!$E$28</f>
        <v>57.7505672191402</v>
      </c>
      <c r="L66" s="117" t="n">
        <f aca="false">ABS('Champion funding'!S66)</f>
        <v>0</v>
      </c>
      <c r="M66" s="132" t="n">
        <f aca="false">Abroad!C66+Abroad!D66</f>
        <v>187.780984151593</v>
      </c>
      <c r="N66" s="132" t="n">
        <f aca="false">Abroad!F66</f>
        <v>36.5360452655637</v>
      </c>
      <c r="O66" s="132" t="n">
        <f aca="false">Abroad!G66</f>
        <v>0</v>
      </c>
      <c r="P66" s="132" t="n">
        <f aca="false">Abroad!H66</f>
        <v>1369.11311440482</v>
      </c>
      <c r="Q66" s="132" t="n">
        <f aca="false">Abroad!S66</f>
        <v>0</v>
      </c>
      <c r="R66" s="132" t="n">
        <f aca="false">Abroad!C66-Q66</f>
        <v>187.780984151593</v>
      </c>
      <c r="S66" s="117" t="n">
        <f aca="false">0</f>
        <v>0</v>
      </c>
      <c r="T66" s="132" t="n">
        <f aca="false">P66-'War credit'!T66-Abroad!U66-S66</f>
        <v>1369.11311440482</v>
      </c>
      <c r="U66" s="117" t="str">
        <f aca="false">IF(A66=1901,"Carnegie Steel bought for $480m in Pacifica Steel 5% gold bonds and 7% preference shares","No separately priced acquisition")</f>
        <v>No separately priced acquisition</v>
      </c>
      <c r="V66" s="117" t="n">
        <f aca="false">Y65</f>
        <v>0</v>
      </c>
      <c r="W66" s="117" t="n">
        <f aca="false">V66+K66</f>
        <v>57.7505672191402</v>
      </c>
      <c r="X66" s="117" t="n">
        <f aca="false">MIN('Champion funding'!D66-'Champion funding'!F66,W66)</f>
        <v>57.7505672191402</v>
      </c>
      <c r="Y66" s="117" t="n">
        <f aca="false">W66-X66</f>
        <v>0</v>
      </c>
      <c r="Z66" s="133" t="n">
        <f aca="false">V66+K66-X66-Y66</f>
        <v>0</v>
      </c>
    </row>
    <row r="67" customFormat="false" ht="19.5" hidden="false" customHeight="true" outlineLevel="0" collapsed="false">
      <c r="A67" s="121" t="n">
        <v>1907</v>
      </c>
      <c r="B67" s="117" t="n">
        <f aca="false">C66</f>
        <v>1737.38362826042</v>
      </c>
      <c r="C67" s="132" t="n">
        <f aca="false">Champions!AY67-Champions!Q67</f>
        <v>1860.15217819671</v>
      </c>
      <c r="D67" s="117" t="n">
        <f aca="false">MAX(0,C67-B67)</f>
        <v>122.768549936288</v>
      </c>
      <c r="E67" s="117" t="n">
        <f aca="false">MAX(0,B67-C67)</f>
        <v>0</v>
      </c>
      <c r="F67" s="133" t="n">
        <f aca="false">B67+D67-E67-C67</f>
        <v>0</v>
      </c>
      <c r="G67" s="117" t="n">
        <f aca="false">H66</f>
        <v>266.127358013618</v>
      </c>
      <c r="H67" s="132" t="n">
        <f aca="false">Champions!Q67</f>
        <v>304.615086068065</v>
      </c>
      <c r="I67" s="117" t="n">
        <f aca="false">H67-G67</f>
        <v>38.4877280544471</v>
      </c>
      <c r="J67" s="132" t="n">
        <f aca="false">MAX(0,Champions!BA67)*(1-crown_payout)</f>
        <v>125.773458580819</v>
      </c>
      <c r="K67" s="132" t="n">
        <f aca="false">J67*'Sources &amp; uses'!$E$28</f>
        <v>62.8867292904094</v>
      </c>
      <c r="L67" s="117" t="n">
        <f aca="false">ABS('Champion funding'!S67)</f>
        <v>0</v>
      </c>
      <c r="M67" s="132" t="n">
        <f aca="false">Abroad!C67+Abroad!D67</f>
        <v>204.342082577221</v>
      </c>
      <c r="N67" s="132" t="n">
        <f aca="false">Abroad!F67</f>
        <v>41.0733934321446</v>
      </c>
      <c r="O67" s="132" t="n">
        <f aca="false">Abroad!G67</f>
        <v>0</v>
      </c>
      <c r="P67" s="132" t="n">
        <f aca="false">Abroad!H67</f>
        <v>1532.3818035499</v>
      </c>
      <c r="Q67" s="132" t="n">
        <f aca="false">Abroad!S67</f>
        <v>0</v>
      </c>
      <c r="R67" s="132" t="n">
        <f aca="false">Abroad!C67-Q67</f>
        <v>204.342082577221</v>
      </c>
      <c r="S67" s="117" t="n">
        <f aca="false">0</f>
        <v>0</v>
      </c>
      <c r="T67" s="132" t="n">
        <f aca="false">P67-'War credit'!T67-Abroad!U67-S67</f>
        <v>1532.3818035499</v>
      </c>
      <c r="U67" s="117" t="str">
        <f aca="false">IF(A67=1901,"Carnegie Steel bought for $480m in Pacifica Steel 5% gold bonds and 7% preference shares","No separately priced acquisition")</f>
        <v>No separately priced acquisition</v>
      </c>
      <c r="V67" s="117" t="n">
        <f aca="false">Y66</f>
        <v>0</v>
      </c>
      <c r="W67" s="117" t="n">
        <f aca="false">V67+K67</f>
        <v>62.8867292904094</v>
      </c>
      <c r="X67" s="117" t="n">
        <f aca="false">MIN('Champion funding'!D67-'Champion funding'!F67,W67)</f>
        <v>62.8867292904094</v>
      </c>
      <c r="Y67" s="117" t="n">
        <f aca="false">W67-X67</f>
        <v>0</v>
      </c>
      <c r="Z67" s="133" t="n">
        <f aca="false">V67+K67-X67-Y67</f>
        <v>0</v>
      </c>
    </row>
    <row r="68" customFormat="false" ht="19.5" hidden="false" customHeight="true" outlineLevel="0" collapsed="false">
      <c r="A68" s="121" t="n">
        <v>1908</v>
      </c>
      <c r="B68" s="117" t="n">
        <f aca="false">C67</f>
        <v>1860.15217819671</v>
      </c>
      <c r="C68" s="132" t="n">
        <f aca="false">Champions!AY68-Champions!Q68</f>
        <v>1984.81954987017</v>
      </c>
      <c r="D68" s="117" t="n">
        <f aca="false">MAX(0,C68-B68)</f>
        <v>124.667371673464</v>
      </c>
      <c r="E68" s="117" t="n">
        <f aca="false">MAX(0,B68-C68)</f>
        <v>0</v>
      </c>
      <c r="F68" s="133" t="n">
        <f aca="false">B68+D68-E68-C68</f>
        <v>0</v>
      </c>
      <c r="G68" s="117" t="n">
        <f aca="false">H67</f>
        <v>304.615086068065</v>
      </c>
      <c r="H68" s="132" t="n">
        <f aca="false">Champions!Q68</f>
        <v>336.656675992625</v>
      </c>
      <c r="I68" s="117" t="n">
        <f aca="false">H68-G68</f>
        <v>32.0415899245602</v>
      </c>
      <c r="J68" s="132" t="n">
        <f aca="false">MAX(0,Champions!BA68)*(1-crown_payout)</f>
        <v>135.668723133783</v>
      </c>
      <c r="K68" s="132" t="n">
        <f aca="false">J68*'Sources &amp; uses'!$E$28</f>
        <v>67.8343615668916</v>
      </c>
      <c r="L68" s="117" t="n">
        <f aca="false">ABS('Champion funding'!S68)</f>
        <v>0</v>
      </c>
      <c r="M68" s="132" t="n">
        <f aca="false">Abroad!C68+Abroad!D68</f>
        <v>216.520343202852</v>
      </c>
      <c r="N68" s="132" t="n">
        <f aca="false">Abroad!F68</f>
        <v>45.9714541064969</v>
      </c>
      <c r="O68" s="132" t="n">
        <f aca="false">Abroad!G68</f>
        <v>0</v>
      </c>
      <c r="P68" s="132" t="n">
        <f aca="false">Abroad!H68</f>
        <v>1702.93069264625</v>
      </c>
      <c r="Q68" s="132" t="n">
        <f aca="false">Abroad!S68</f>
        <v>0</v>
      </c>
      <c r="R68" s="132" t="n">
        <f aca="false">Abroad!C68-Q68</f>
        <v>216.520343202852</v>
      </c>
      <c r="S68" s="117" t="n">
        <f aca="false">0</f>
        <v>0</v>
      </c>
      <c r="T68" s="132" t="n">
        <f aca="false">P68-'War credit'!T68-Abroad!U68-S68</f>
        <v>1702.93069264625</v>
      </c>
      <c r="U68" s="117" t="str">
        <f aca="false">IF(A68=1901,"Carnegie Steel bought for $480m in Pacifica Steel 5% gold bonds and 7% preference shares","No separately priced acquisition")</f>
        <v>No separately priced acquisition</v>
      </c>
      <c r="V68" s="117" t="n">
        <f aca="false">Y67</f>
        <v>0</v>
      </c>
      <c r="W68" s="117" t="n">
        <f aca="false">V68+K68</f>
        <v>67.8343615668916</v>
      </c>
      <c r="X68" s="117" t="n">
        <f aca="false">MIN('Champion funding'!D68-'Champion funding'!F68,W68)</f>
        <v>67.8343615668916</v>
      </c>
      <c r="Y68" s="117" t="n">
        <f aca="false">W68-X68</f>
        <v>0</v>
      </c>
      <c r="Z68" s="133" t="n">
        <f aca="false">V68+K68-X68-Y68</f>
        <v>0</v>
      </c>
    </row>
    <row r="69" customFormat="false" ht="19.5" hidden="false" customHeight="true" outlineLevel="0" collapsed="false">
      <c r="A69" s="121" t="n">
        <v>1909</v>
      </c>
      <c r="B69" s="117" t="n">
        <f aca="false">C68</f>
        <v>1984.81954987017</v>
      </c>
      <c r="C69" s="132" t="n">
        <f aca="false">Champions!AY69-Champions!Q69</f>
        <v>2103.54856423846</v>
      </c>
      <c r="D69" s="117" t="n">
        <f aca="false">MAX(0,C69-B69)</f>
        <v>118.729014368286</v>
      </c>
      <c r="E69" s="117" t="n">
        <f aca="false">MAX(0,B69-C69)</f>
        <v>0</v>
      </c>
      <c r="F69" s="133" t="n">
        <f aca="false">B69+D69-E69-C69</f>
        <v>0</v>
      </c>
      <c r="G69" s="117" t="n">
        <f aca="false">H68</f>
        <v>336.656675992625</v>
      </c>
      <c r="H69" s="132" t="n">
        <f aca="false">Champions!Q69</f>
        <v>372.473303906578</v>
      </c>
      <c r="I69" s="117" t="n">
        <f aca="false">H69-G69</f>
        <v>35.8166279139524</v>
      </c>
      <c r="J69" s="132" t="n">
        <f aca="false">MAX(0,Champions!BA69)*(1-crown_payout)</f>
        <v>145.4640960763</v>
      </c>
      <c r="K69" s="132" t="n">
        <f aca="false">J69*'Sources &amp; uses'!$E$28</f>
        <v>72.73204803815</v>
      </c>
      <c r="L69" s="117" t="n">
        <f aca="false">ABS('Champion funding'!S69)</f>
        <v>0</v>
      </c>
      <c r="M69" s="132" t="n">
        <f aca="false">Abroad!C69+Abroad!D69</f>
        <v>249.826801698049</v>
      </c>
      <c r="N69" s="132" t="n">
        <f aca="false">Abroad!F69</f>
        <v>51.0879207793875</v>
      </c>
      <c r="O69" s="132" t="n">
        <f aca="false">Abroad!G69</f>
        <v>0</v>
      </c>
      <c r="P69" s="132" t="n">
        <f aca="false">Abroad!H69</f>
        <v>1901.66957356491</v>
      </c>
      <c r="Q69" s="132" t="n">
        <f aca="false">Abroad!S69</f>
        <v>0</v>
      </c>
      <c r="R69" s="132" t="n">
        <f aca="false">Abroad!C69-Q69</f>
        <v>249.826801698049</v>
      </c>
      <c r="S69" s="117" t="n">
        <f aca="false">0</f>
        <v>0</v>
      </c>
      <c r="T69" s="132" t="n">
        <f aca="false">P69-'War credit'!T69-Abroad!U69-S69</f>
        <v>1901.66957356491</v>
      </c>
      <c r="U69" s="117" t="str">
        <f aca="false">IF(A69=1901,"Carnegie Steel bought for $480m in Pacifica Steel 5% gold bonds and 7% preference shares","No separately priced acquisition")</f>
        <v>No separately priced acquisition</v>
      </c>
      <c r="V69" s="117" t="n">
        <f aca="false">Y68</f>
        <v>0</v>
      </c>
      <c r="W69" s="117" t="n">
        <f aca="false">V69+K69</f>
        <v>72.73204803815</v>
      </c>
      <c r="X69" s="117" t="n">
        <f aca="false">MIN('Champion funding'!D69-'Champion funding'!F69,W69)</f>
        <v>72.73204803815</v>
      </c>
      <c r="Y69" s="117" t="n">
        <f aca="false">W69-X69</f>
        <v>0</v>
      </c>
      <c r="Z69" s="133" t="n">
        <f aca="false">V69+K69-X69-Y69</f>
        <v>0</v>
      </c>
    </row>
    <row r="70" customFormat="false" ht="19.5" hidden="false" customHeight="true" outlineLevel="0" collapsed="false">
      <c r="A70" s="121" t="n">
        <v>1910</v>
      </c>
      <c r="B70" s="117" t="n">
        <f aca="false">C69</f>
        <v>2103.54856423846</v>
      </c>
      <c r="C70" s="132" t="n">
        <f aca="false">Champions!AY70-Champions!Q70</f>
        <v>2226.0999972148</v>
      </c>
      <c r="D70" s="117" t="n">
        <f aca="false">MAX(0,C70-B70)</f>
        <v>122.551432976346</v>
      </c>
      <c r="E70" s="117" t="n">
        <f aca="false">MAX(0,B70-C70)</f>
        <v>0</v>
      </c>
      <c r="F70" s="133" t="n">
        <f aca="false">B70+D70-E70-C70</f>
        <v>0</v>
      </c>
      <c r="G70" s="117" t="n">
        <f aca="false">H69</f>
        <v>372.473303906578</v>
      </c>
      <c r="H70" s="132" t="n">
        <f aca="false">Champions!Q70</f>
        <v>402.960894537155</v>
      </c>
      <c r="I70" s="117" t="n">
        <f aca="false">H70-G70</f>
        <v>30.4875906305775</v>
      </c>
      <c r="J70" s="132" t="n">
        <f aca="false">MAX(0,Champions!BA70)*(1-crown_payout)</f>
        <v>156.322197463844</v>
      </c>
      <c r="K70" s="132" t="n">
        <f aca="false">J70*'Sources &amp; uses'!$E$28</f>
        <v>78.1610987319218</v>
      </c>
      <c r="L70" s="117" t="n">
        <f aca="false">ABS('Champion funding'!S70)</f>
        <v>0</v>
      </c>
      <c r="M70" s="132" t="n">
        <f aca="false">Abroad!C70+Abroad!D70</f>
        <v>273.874191626125</v>
      </c>
      <c r="N70" s="132" t="n">
        <f aca="false">Abroad!F70</f>
        <v>57.0500872069473</v>
      </c>
      <c r="O70" s="132" t="n">
        <f aca="false">Abroad!G70</f>
        <v>0</v>
      </c>
      <c r="P70" s="132" t="n">
        <f aca="false">Abroad!H70</f>
        <v>2118.49367798409</v>
      </c>
      <c r="Q70" s="132" t="n">
        <f aca="false">Abroad!S70</f>
        <v>0</v>
      </c>
      <c r="R70" s="132" t="n">
        <f aca="false">Abroad!C70-Q70</f>
        <v>273.874191626125</v>
      </c>
      <c r="S70" s="117" t="n">
        <f aca="false">0</f>
        <v>0</v>
      </c>
      <c r="T70" s="132" t="n">
        <f aca="false">P70-'War credit'!T70-Abroad!U70-S70</f>
        <v>2118.49367798409</v>
      </c>
      <c r="U70" s="117" t="str">
        <f aca="false">IF(A70=1901,"Carnegie Steel bought for $480m in Pacifica Steel 5% gold bonds and 7% preference shares","No separately priced acquisition")</f>
        <v>No separately priced acquisition</v>
      </c>
      <c r="V70" s="117" t="n">
        <f aca="false">Y69</f>
        <v>0</v>
      </c>
      <c r="W70" s="117" t="n">
        <f aca="false">V70+K70</f>
        <v>78.1610987319218</v>
      </c>
      <c r="X70" s="117" t="n">
        <f aca="false">MIN('Champion funding'!D70-'Champion funding'!F70,W70)</f>
        <v>78.1610987319218</v>
      </c>
      <c r="Y70" s="117" t="n">
        <f aca="false">W70-X70</f>
        <v>0</v>
      </c>
      <c r="Z70" s="133" t="n">
        <f aca="false">V70+K70-X70-Y70</f>
        <v>0</v>
      </c>
    </row>
    <row r="71" customFormat="false" ht="19.5" hidden="false" customHeight="true" outlineLevel="0" collapsed="false">
      <c r="A71" s="121" t="n">
        <v>1911</v>
      </c>
      <c r="B71" s="117" t="n">
        <f aca="false">C70</f>
        <v>2226.0999972148</v>
      </c>
      <c r="C71" s="132" t="n">
        <f aca="false">Champions!AY71-Champions!Q71</f>
        <v>2366.78361417566</v>
      </c>
      <c r="D71" s="117" t="n">
        <f aca="false">MAX(0,C71-B71)</f>
        <v>140.683616960858</v>
      </c>
      <c r="E71" s="117" t="n">
        <f aca="false">MAX(0,B71-C71)</f>
        <v>0</v>
      </c>
      <c r="F71" s="133" t="n">
        <f aca="false">B71+D71-E71-C71</f>
        <v>0</v>
      </c>
      <c r="G71" s="117" t="n">
        <f aca="false">H70</f>
        <v>402.960894537155</v>
      </c>
      <c r="H71" s="132" t="n">
        <f aca="false">Champions!Q71</f>
        <v>439.431246509538</v>
      </c>
      <c r="I71" s="117" t="n">
        <f aca="false">H71-G71</f>
        <v>36.4703519723825</v>
      </c>
      <c r="J71" s="132" t="n">
        <f aca="false">MAX(0,Champions!BA71)*(1-crown_payout)</f>
        <v>168.556371225388</v>
      </c>
      <c r="K71" s="132" t="n">
        <f aca="false">J71*'Sources &amp; uses'!$E$28</f>
        <v>84.2781856126939</v>
      </c>
      <c r="L71" s="117" t="n">
        <f aca="false">ABS('Champion funding'!S71)</f>
        <v>0</v>
      </c>
      <c r="M71" s="132" t="n">
        <f aca="false">Abroad!C71+Abroad!D71</f>
        <v>298.804554678734</v>
      </c>
      <c r="N71" s="132" t="n">
        <f aca="false">Abroad!F71</f>
        <v>63.5548103395227</v>
      </c>
      <c r="O71" s="132" t="n">
        <f aca="false">Abroad!G71</f>
        <v>0</v>
      </c>
      <c r="P71" s="132" t="n">
        <f aca="false">Abroad!H71</f>
        <v>2353.7434223233</v>
      </c>
      <c r="Q71" s="132" t="n">
        <f aca="false">Abroad!S71</f>
        <v>0</v>
      </c>
      <c r="R71" s="132" t="n">
        <f aca="false">Abroad!C71-Q71</f>
        <v>298.804554678734</v>
      </c>
      <c r="S71" s="117" t="n">
        <f aca="false">0</f>
        <v>0</v>
      </c>
      <c r="T71" s="132" t="n">
        <f aca="false">P71-'War credit'!T71-Abroad!U71-S71</f>
        <v>2353.7434223233</v>
      </c>
      <c r="U71" s="117" t="str">
        <f aca="false">IF(A71=1901,"Carnegie Steel bought for $480m in Pacifica Steel 5% gold bonds and 7% preference shares","No separately priced acquisition")</f>
        <v>No separately priced acquisition</v>
      </c>
      <c r="V71" s="117" t="n">
        <f aca="false">Y70</f>
        <v>0</v>
      </c>
      <c r="W71" s="117" t="n">
        <f aca="false">V71+K71</f>
        <v>84.2781856126939</v>
      </c>
      <c r="X71" s="117" t="n">
        <f aca="false">MIN('Champion funding'!D71-'Champion funding'!F71,W71)</f>
        <v>84.2781856126939</v>
      </c>
      <c r="Y71" s="117" t="n">
        <f aca="false">W71-X71</f>
        <v>0</v>
      </c>
      <c r="Z71" s="133" t="n">
        <f aca="false">V71+K71-X71-Y71</f>
        <v>0</v>
      </c>
    </row>
    <row r="72" customFormat="false" ht="19.5" hidden="false" customHeight="true" outlineLevel="0" collapsed="false">
      <c r="A72" s="121" t="n">
        <v>1912</v>
      </c>
      <c r="B72" s="117" t="n">
        <f aca="false">C71</f>
        <v>2366.78361417566</v>
      </c>
      <c r="C72" s="132" t="n">
        <f aca="false">Champions!AY72-Champions!Q72</f>
        <v>2507.65527404857</v>
      </c>
      <c r="D72" s="117" t="n">
        <f aca="false">MAX(0,C72-B72)</f>
        <v>140.871659872912</v>
      </c>
      <c r="E72" s="117" t="n">
        <f aca="false">MAX(0,B72-C72)</f>
        <v>0</v>
      </c>
      <c r="F72" s="133" t="n">
        <f aca="false">B72+D72-E72-C72</f>
        <v>0</v>
      </c>
      <c r="G72" s="117" t="n">
        <f aca="false">H71</f>
        <v>439.431246509538</v>
      </c>
      <c r="H72" s="132" t="n">
        <f aca="false">Champions!Q72</f>
        <v>470.842584621575</v>
      </c>
      <c r="I72" s="117" t="n">
        <f aca="false">H72-G72</f>
        <v>31.4113381120367</v>
      </c>
      <c r="J72" s="132" t="n">
        <f aca="false">MAX(0,Champions!BA72)*(1-crown_payout)</f>
        <v>183.218396132237</v>
      </c>
      <c r="K72" s="132" t="n">
        <f aca="false">J72*'Sources &amp; uses'!$E$28</f>
        <v>91.6091980661187</v>
      </c>
      <c r="L72" s="117" t="n">
        <f aca="false">ABS('Champion funding'!S72)</f>
        <v>0</v>
      </c>
      <c r="M72" s="132" t="n">
        <f aca="false">Abroad!C72+Abroad!D72</f>
        <v>326.161711639249</v>
      </c>
      <c r="N72" s="132" t="n">
        <f aca="false">Abroad!F72</f>
        <v>70.612302669699</v>
      </c>
      <c r="O72" s="132" t="n">
        <f aca="false">Abroad!G72</f>
        <v>0</v>
      </c>
      <c r="P72" s="132" t="n">
        <f aca="false">Abroad!H72</f>
        <v>2609.29283129285</v>
      </c>
      <c r="Q72" s="132" t="n">
        <f aca="false">Abroad!S72</f>
        <v>0</v>
      </c>
      <c r="R72" s="132" t="n">
        <f aca="false">Abroad!C72-Q72</f>
        <v>326.161711639249</v>
      </c>
      <c r="S72" s="117" t="n">
        <f aca="false">0</f>
        <v>0</v>
      </c>
      <c r="T72" s="132" t="n">
        <f aca="false">P72-'War credit'!T72-Abroad!U72-S72</f>
        <v>2609.29283129285</v>
      </c>
      <c r="U72" s="117" t="str">
        <f aca="false">IF(A72=1901,"Carnegie Steel bought for $480m in Pacifica Steel 5% gold bonds and 7% preference shares","No separately priced acquisition")</f>
        <v>No separately priced acquisition</v>
      </c>
      <c r="V72" s="117" t="n">
        <f aca="false">Y71</f>
        <v>0</v>
      </c>
      <c r="W72" s="117" t="n">
        <f aca="false">V72+K72</f>
        <v>91.6091980661187</v>
      </c>
      <c r="X72" s="117" t="n">
        <f aca="false">MIN('Champion funding'!D72-'Champion funding'!F72,W72)</f>
        <v>91.6091980661187</v>
      </c>
      <c r="Y72" s="117" t="n">
        <f aca="false">W72-X72</f>
        <v>0</v>
      </c>
      <c r="Z72" s="133" t="n">
        <f aca="false">V72+K72-X72-Y72</f>
        <v>0</v>
      </c>
    </row>
    <row r="73" customFormat="false" ht="19.5" hidden="false" customHeight="true" outlineLevel="0" collapsed="false">
      <c r="A73" s="121" t="n">
        <v>1913</v>
      </c>
      <c r="B73" s="117" t="n">
        <f aca="false">C72</f>
        <v>2507.65527404857</v>
      </c>
      <c r="C73" s="132" t="n">
        <f aca="false">Champions!AY73-Champions!Q73</f>
        <v>2648.95299668169</v>
      </c>
      <c r="D73" s="117" t="n">
        <f aca="false">MAX(0,C73-B73)</f>
        <v>141.297722633119</v>
      </c>
      <c r="E73" s="117" t="n">
        <f aca="false">MAX(0,B73-C73)</f>
        <v>0</v>
      </c>
      <c r="F73" s="133" t="n">
        <f aca="false">B73+D73-E73-C73</f>
        <v>0</v>
      </c>
      <c r="G73" s="117" t="n">
        <f aca="false">H72</f>
        <v>470.842584621575</v>
      </c>
      <c r="H73" s="132" t="n">
        <f aca="false">Champions!Q73</f>
        <v>509.36763880172</v>
      </c>
      <c r="I73" s="117" t="n">
        <f aca="false">H73-G73</f>
        <v>38.5250541801456</v>
      </c>
      <c r="J73" s="132" t="n">
        <f aca="false">MAX(0,Champions!BA73)*(1-crown_payout)</f>
        <v>197.674533862288</v>
      </c>
      <c r="K73" s="132" t="n">
        <f aca="false">J73*'Sources &amp; uses'!$E$28</f>
        <v>98.837266931144</v>
      </c>
      <c r="L73" s="117" t="n">
        <f aca="false">ABS('Champion funding'!S73)</f>
        <v>0</v>
      </c>
      <c r="M73" s="132" t="n">
        <f aca="false">Abroad!C73+Abroad!D73</f>
        <v>355.696631806761</v>
      </c>
      <c r="N73" s="132" t="n">
        <f aca="false">Abroad!F73</f>
        <v>78.2787849387855</v>
      </c>
      <c r="O73" s="132" t="n">
        <f aca="false">Abroad!G73</f>
        <v>0</v>
      </c>
      <c r="P73" s="132" t="n">
        <f aca="false">Abroad!H73</f>
        <v>2886.71067816083</v>
      </c>
      <c r="Q73" s="132" t="n">
        <f aca="false">Abroad!S73</f>
        <v>0</v>
      </c>
      <c r="R73" s="132" t="n">
        <f aca="false">Abroad!C73-Q73</f>
        <v>355.696631806761</v>
      </c>
      <c r="S73" s="132" t="n">
        <f aca="false">'Japan expansion'!T52</f>
        <v>240</v>
      </c>
      <c r="T73" s="132" t="n">
        <f aca="false">P73-'War credit'!T73-Abroad!U73-S73</f>
        <v>2646.71067816083</v>
      </c>
      <c r="U73" s="117" t="str">
        <f aca="false">IF(A73=1901,"Carnegie Steel bought for $480m in Pacifica Steel 5% gold bonds and 7% preference shares","No separately priced acquisition")</f>
        <v>No separately priced acquisition</v>
      </c>
      <c r="V73" s="117" t="n">
        <f aca="false">Y72</f>
        <v>0</v>
      </c>
      <c r="W73" s="117" t="n">
        <f aca="false">V73+K73</f>
        <v>98.837266931144</v>
      </c>
      <c r="X73" s="117" t="n">
        <f aca="false">MIN('Champion funding'!D73-'Champion funding'!F73,W73)</f>
        <v>98.837266931144</v>
      </c>
      <c r="Y73" s="117" t="n">
        <f aca="false">W73-X73</f>
        <v>0</v>
      </c>
      <c r="Z73" s="133" t="n">
        <f aca="false">V73+K73-X73-Y73</f>
        <v>0</v>
      </c>
    </row>
    <row r="74" customFormat="false" ht="19.5" hidden="false" customHeight="true" outlineLevel="0" collapsed="false">
      <c r="A74" s="121" t="n">
        <v>1914</v>
      </c>
      <c r="B74" s="117" t="n">
        <f aca="false">C73</f>
        <v>2648.95299668169</v>
      </c>
      <c r="C74" s="132" t="n">
        <f aca="false">Champions!AY74-Champions!Q74</f>
        <v>2781.36293359534</v>
      </c>
      <c r="D74" s="117" t="n">
        <f aca="false">MAX(0,C74-B74)</f>
        <v>132.409936913648</v>
      </c>
      <c r="E74" s="117" t="n">
        <f aca="false">MAX(0,B74-C74)</f>
        <v>0</v>
      </c>
      <c r="F74" s="133" t="n">
        <f aca="false">B74+D74-E74-C74</f>
        <v>0</v>
      </c>
      <c r="G74" s="117" t="n">
        <f aca="false">H73</f>
        <v>509.36763880172</v>
      </c>
      <c r="H74" s="132" t="n">
        <f aca="false">Champions!Q74</f>
        <v>628.621733433312</v>
      </c>
      <c r="I74" s="117" t="n">
        <f aca="false">H74-G74</f>
        <v>119.254094631592</v>
      </c>
      <c r="J74" s="132" t="n">
        <f aca="false">MAX(0,Champions!BA74)*(1-crown_payout)</f>
        <v>231.041415540401</v>
      </c>
      <c r="K74" s="132" t="n">
        <f aca="false">J74*'Sources &amp; uses'!$E$28</f>
        <v>115.5207077702</v>
      </c>
      <c r="L74" s="117" t="n">
        <f aca="false">ABS('Champion funding'!S74)</f>
        <v>0</v>
      </c>
      <c r="M74" s="132" t="n">
        <f aca="false">Abroad!C74+Abroad!D74</f>
        <v>525.459764542688</v>
      </c>
      <c r="N74" s="132" t="n">
        <f aca="false">Abroad!F74</f>
        <v>86.6013203448248</v>
      </c>
      <c r="O74" s="132" t="n">
        <f aca="false">Abroad!G74</f>
        <v>0</v>
      </c>
      <c r="P74" s="132" t="n">
        <f aca="false">Abroad!H74</f>
        <v>3325.56912235869</v>
      </c>
      <c r="Q74" s="132" t="n">
        <f aca="false">Abroad!S74</f>
        <v>0</v>
      </c>
      <c r="R74" s="132" t="n">
        <f aca="false">Abroad!C74-Q74</f>
        <v>185.459764542688</v>
      </c>
      <c r="S74" s="132" t="n">
        <f aca="false">'Japan expansion'!T53</f>
        <v>258</v>
      </c>
      <c r="T74" s="132" t="n">
        <f aca="false">P74-'War credit'!T74-Abroad!U74-S74</f>
        <v>2727.56912235869</v>
      </c>
      <c r="U74" s="117" t="str">
        <f aca="false">IF(A74=1901,"Carnegie Steel bought for $480m in Pacifica Steel 5% gold bonds and 7% preference shares","No separately priced acquisition")</f>
        <v>No separately priced acquisition</v>
      </c>
      <c r="V74" s="117" t="n">
        <f aca="false">Y73</f>
        <v>0</v>
      </c>
      <c r="W74" s="117" t="n">
        <f aca="false">V74+K74</f>
        <v>115.5207077702</v>
      </c>
      <c r="X74" s="117" t="n">
        <f aca="false">MIN('Champion funding'!D74-'Champion funding'!F74,W74)</f>
        <v>115.5207077702</v>
      </c>
      <c r="Y74" s="117" t="n">
        <f aca="false">W74-X74</f>
        <v>0</v>
      </c>
      <c r="Z74" s="133" t="n">
        <f aca="false">V74+K74-X74-Y74</f>
        <v>0</v>
      </c>
    </row>
    <row r="75" customFormat="false" ht="19.5" hidden="false" customHeight="true" outlineLevel="0" collapsed="false">
      <c r="A75" s="121" t="n">
        <v>1915</v>
      </c>
      <c r="B75" s="117" t="n">
        <f aca="false">C74</f>
        <v>2781.36293359534</v>
      </c>
      <c r="C75" s="132" t="n">
        <f aca="false">Champions!AY75-Champions!Q75</f>
        <v>2911.93647916699</v>
      </c>
      <c r="D75" s="117" t="n">
        <f aca="false">MAX(0,C75-B75)</f>
        <v>130.573545571647</v>
      </c>
      <c r="E75" s="117" t="n">
        <f aca="false">MAX(0,B75-C75)</f>
        <v>0</v>
      </c>
      <c r="F75" s="133" t="n">
        <f aca="false">B75+D75-E75-C75</f>
        <v>0</v>
      </c>
      <c r="G75" s="117" t="n">
        <f aca="false">H74</f>
        <v>628.621733433312</v>
      </c>
      <c r="H75" s="132" t="n">
        <f aca="false">Champions!Q75</f>
        <v>758.76447252816</v>
      </c>
      <c r="I75" s="117" t="n">
        <f aca="false">H75-G75</f>
        <v>130.142739094848</v>
      </c>
      <c r="J75" s="132" t="n">
        <f aca="false">MAX(0,Champions!BA75)*(1-crown_payout)</f>
        <v>267.443445507232</v>
      </c>
      <c r="K75" s="132" t="n">
        <f aca="false">J75*'Sources &amp; uses'!$E$28</f>
        <v>133.721722753616</v>
      </c>
      <c r="L75" s="117" t="n">
        <f aca="false">ABS('Champion funding'!S75)</f>
        <v>0</v>
      </c>
      <c r="M75" s="132" t="n">
        <f aca="false">Abroad!C75+Abroad!D75</f>
        <v>589.330480133639</v>
      </c>
      <c r="N75" s="132" t="n">
        <f aca="false">Abroad!F75</f>
        <v>89.5670736707607</v>
      </c>
      <c r="O75" s="132" t="n">
        <f aca="false">Abroad!G75</f>
        <v>0</v>
      </c>
      <c r="P75" s="132" t="n">
        <f aca="false">Abroad!H75</f>
        <v>3825.33252882157</v>
      </c>
      <c r="Q75" s="132" t="n">
        <f aca="false">Abroad!S75</f>
        <v>0</v>
      </c>
      <c r="R75" s="132" t="n">
        <f aca="false">Abroad!C75-Q75</f>
        <v>207.890480133639</v>
      </c>
      <c r="S75" s="132" t="n">
        <f aca="false">'Japan expansion'!T54</f>
        <v>305.988</v>
      </c>
      <c r="T75" s="132" t="n">
        <f aca="false">P75-'War credit'!T75-Abroad!U75-S75</f>
        <v>2797.90452882157</v>
      </c>
      <c r="U75" s="117" t="str">
        <f aca="false">IF(A75=1901,"Carnegie Steel bought for $480m in Pacifica Steel 5% gold bonds and 7% preference shares","No separately priced acquisition")</f>
        <v>No separately priced acquisition</v>
      </c>
      <c r="V75" s="117" t="n">
        <f aca="false">Y74</f>
        <v>0</v>
      </c>
      <c r="W75" s="117" t="n">
        <f aca="false">V75+K75</f>
        <v>133.721722753616</v>
      </c>
      <c r="X75" s="117" t="n">
        <f aca="false">MIN('Champion funding'!D75-'Champion funding'!F75,W75)</f>
        <v>133.721722753616</v>
      </c>
      <c r="Y75" s="117" t="n">
        <f aca="false">W75-X75</f>
        <v>0</v>
      </c>
      <c r="Z75" s="133" t="n">
        <f aca="false">V75+K75-X75-Y75</f>
        <v>0</v>
      </c>
    </row>
    <row r="76" customFormat="false" ht="19.5" hidden="false" customHeight="true" outlineLevel="0" collapsed="false">
      <c r="A76" s="121" t="n">
        <v>1916</v>
      </c>
      <c r="B76" s="117" t="n">
        <f aca="false">C75</f>
        <v>2911.93647916699</v>
      </c>
      <c r="C76" s="132" t="n">
        <f aca="false">Champions!AY76-Champions!Q76</f>
        <v>3044.95264702186</v>
      </c>
      <c r="D76" s="117" t="n">
        <f aca="false">MAX(0,C76-B76)</f>
        <v>133.016167854871</v>
      </c>
      <c r="E76" s="117" t="n">
        <f aca="false">MAX(0,B76-C76)</f>
        <v>0</v>
      </c>
      <c r="F76" s="133" t="n">
        <f aca="false">B76+D76-E76-C76</f>
        <v>0</v>
      </c>
      <c r="G76" s="117" t="n">
        <f aca="false">H75</f>
        <v>758.76447252816</v>
      </c>
      <c r="H76" s="132" t="n">
        <f aca="false">Champions!Q76</f>
        <v>904.72419976573</v>
      </c>
      <c r="I76" s="117" t="n">
        <f aca="false">H76-G76</f>
        <v>145.95972723757</v>
      </c>
      <c r="J76" s="132" t="n">
        <f aca="false">MAX(0,Champions!BA76)*(1-crown_payout)</f>
        <v>309.023935166395</v>
      </c>
      <c r="K76" s="132" t="n">
        <f aca="false">J76*'Sources &amp; uses'!$E$28</f>
        <v>154.511967583197</v>
      </c>
      <c r="L76" s="117" t="n">
        <f aca="false">ABS('Champion funding'!S76)</f>
        <v>0</v>
      </c>
      <c r="M76" s="132" t="n">
        <f aca="false">Abroad!C76+Abroad!D76</f>
        <v>783.509707240909</v>
      </c>
      <c r="N76" s="132" t="n">
        <f aca="false">Abroad!F76</f>
        <v>93.116775864647</v>
      </c>
      <c r="O76" s="132" t="n">
        <f aca="false">Abroad!G76</f>
        <v>0</v>
      </c>
      <c r="P76" s="132" t="n">
        <f aca="false">Abroad!H76</f>
        <v>4515.72546019783</v>
      </c>
      <c r="Q76" s="132" t="n">
        <f aca="false">Abroad!S76</f>
        <v>0</v>
      </c>
      <c r="R76" s="132" t="n">
        <f aca="false">Abroad!C76-Q76</f>
        <v>247.069707240908</v>
      </c>
      <c r="S76" s="132" t="n">
        <f aca="false">'Japan expansion'!T55</f>
        <v>389.976</v>
      </c>
      <c r="T76" s="132" t="n">
        <f aca="false">P76-'War credit'!T76-Abroad!U76-S76</f>
        <v>2867.86946019783</v>
      </c>
      <c r="U76" s="117" t="str">
        <f aca="false">IF(A76=1901,"Carnegie Steel bought for $480m in Pacifica Steel 5% gold bonds and 7% preference shares","No separately priced acquisition")</f>
        <v>No separately priced acquisition</v>
      </c>
      <c r="V76" s="117" t="n">
        <f aca="false">Y75</f>
        <v>0</v>
      </c>
      <c r="W76" s="117" t="n">
        <f aca="false">V76+K76</f>
        <v>154.511967583197</v>
      </c>
      <c r="X76" s="117" t="n">
        <f aca="false">MIN('Champion funding'!D76-'Champion funding'!F76,W76)</f>
        <v>154.511967583197</v>
      </c>
      <c r="Y76" s="117" t="n">
        <f aca="false">W76-X76</f>
        <v>0</v>
      </c>
      <c r="Z76" s="133" t="n">
        <f aca="false">V76+K76-X76-Y76</f>
        <v>0</v>
      </c>
    </row>
    <row r="77" customFormat="false" ht="19.5" hidden="false" customHeight="true" outlineLevel="0" collapsed="false">
      <c r="A77" s="121" t="n">
        <v>1917</v>
      </c>
      <c r="B77" s="117" t="n">
        <f aca="false">C76</f>
        <v>3044.95264702186</v>
      </c>
      <c r="C77" s="132" t="n">
        <f aca="false">Champions!AY77-Champions!Q77</f>
        <v>3181.48656175566</v>
      </c>
      <c r="D77" s="117" t="n">
        <f aca="false">MAX(0,C77-B77)</f>
        <v>136.533914733802</v>
      </c>
      <c r="E77" s="117" t="n">
        <f aca="false">MAX(0,B77-C77)</f>
        <v>0</v>
      </c>
      <c r="F77" s="133" t="n">
        <f aca="false">B77+D77-E77-C77</f>
        <v>0</v>
      </c>
      <c r="G77" s="117" t="n">
        <f aca="false">H76</f>
        <v>904.72419976573</v>
      </c>
      <c r="H77" s="132" t="n">
        <f aca="false">Champions!Q77</f>
        <v>1056.3542652093</v>
      </c>
      <c r="I77" s="117" t="n">
        <f aca="false">H77-G77</f>
        <v>151.630065443572</v>
      </c>
      <c r="J77" s="132" t="n">
        <f aca="false">MAX(0,Champions!BA77)*(1-crown_payout)</f>
        <v>347.835093997187</v>
      </c>
      <c r="K77" s="132" t="n">
        <f aca="false">J77*'Sources &amp; uses'!$E$28</f>
        <v>173.917546998593</v>
      </c>
      <c r="L77" s="117" t="n">
        <f aca="false">ABS('Champion funding'!S77)</f>
        <v>0</v>
      </c>
      <c r="M77" s="132" t="n">
        <f aca="false">Abroad!C77+Abroad!D77</f>
        <v>1152.75526889807</v>
      </c>
      <c r="N77" s="132" t="n">
        <f aca="false">Abroad!F77</f>
        <v>97.7353638059348</v>
      </c>
      <c r="O77" s="132" t="n">
        <f aca="false">Abroad!G77</f>
        <v>0</v>
      </c>
      <c r="P77" s="132" t="n">
        <f aca="false">Abroad!H77</f>
        <v>5570.74536528996</v>
      </c>
      <c r="Q77" s="132" t="n">
        <f aca="false">Abroad!S77</f>
        <v>0</v>
      </c>
      <c r="R77" s="132" t="n">
        <f aca="false">Abroad!C77-Q77</f>
        <v>312.755268898069</v>
      </c>
      <c r="S77" s="132" t="n">
        <f aca="false">'Japan expansion'!T56</f>
        <v>497.976</v>
      </c>
      <c r="T77" s="132" t="n">
        <f aca="false">P77-'War credit'!T77-Abroad!U77-S77</f>
        <v>2974.88936528996</v>
      </c>
      <c r="U77" s="117" t="str">
        <f aca="false">IF(A77=1901,"Carnegie Steel bought for $480m in Pacifica Steel 5% gold bonds and 7% preference shares","No separately priced acquisition")</f>
        <v>No separately priced acquisition</v>
      </c>
      <c r="V77" s="117" t="n">
        <f aca="false">Y76</f>
        <v>0</v>
      </c>
      <c r="W77" s="117" t="n">
        <f aca="false">V77+K77</f>
        <v>173.917546998593</v>
      </c>
      <c r="X77" s="117" t="n">
        <f aca="false">MIN('Champion funding'!D77-'Champion funding'!F77,W77)</f>
        <v>173.917546998593</v>
      </c>
      <c r="Y77" s="117" t="n">
        <f aca="false">W77-X77</f>
        <v>0</v>
      </c>
      <c r="Z77" s="133" t="n">
        <f aca="false">V77+K77-X77-Y77</f>
        <v>0</v>
      </c>
    </row>
    <row r="78" customFormat="false" ht="19.5" hidden="false" customHeight="true" outlineLevel="0" collapsed="false">
      <c r="A78" s="121" t="n">
        <v>1918</v>
      </c>
      <c r="B78" s="117" t="n">
        <f aca="false">C77</f>
        <v>3181.48656175566</v>
      </c>
      <c r="C78" s="132" t="n">
        <f aca="false">Champions!AY78-Champions!Q78</f>
        <v>3317.94389458135</v>
      </c>
      <c r="D78" s="117" t="n">
        <f aca="false">MAX(0,C78-B78)</f>
        <v>136.457332825687</v>
      </c>
      <c r="E78" s="117" t="n">
        <f aca="false">MAX(0,B78-C78)</f>
        <v>0</v>
      </c>
      <c r="F78" s="133" t="n">
        <f aca="false">B78+D78-E78-C78</f>
        <v>0</v>
      </c>
      <c r="G78" s="117" t="n">
        <f aca="false">H77</f>
        <v>1056.3542652093</v>
      </c>
      <c r="H78" s="132" t="n">
        <f aca="false">Champions!Q78</f>
        <v>1283.57433477622</v>
      </c>
      <c r="I78" s="117" t="n">
        <f aca="false">H78-G78</f>
        <v>227.220069566922</v>
      </c>
      <c r="J78" s="132" t="n">
        <f aca="false">MAX(0,Champions!BA78)*(1-crown_payout)</f>
        <v>392.127293344553</v>
      </c>
      <c r="K78" s="132" t="n">
        <f aca="false">J78*'Sources &amp; uses'!$E$28</f>
        <v>196.063646672277</v>
      </c>
      <c r="L78" s="117" t="n">
        <f aca="false">ABS('Champion funding'!S78)</f>
        <v>0</v>
      </c>
      <c r="M78" s="132" t="n">
        <f aca="false">Abroad!C78+Abroad!D78</f>
        <v>1132.66540147725</v>
      </c>
      <c r="N78" s="132" t="n">
        <f aca="false">Abroad!F78</f>
        <v>104.185960958699</v>
      </c>
      <c r="O78" s="132" t="n">
        <f aca="false">Abroad!G78</f>
        <v>342</v>
      </c>
      <c r="P78" s="132" t="n">
        <f aca="false">Abroad!H78</f>
        <v>6257.22480580851</v>
      </c>
      <c r="Q78" s="132" t="n">
        <f aca="false">Abroad!S78</f>
        <v>0</v>
      </c>
      <c r="R78" s="132" t="n">
        <f aca="false">Abroad!C78-Q78</f>
        <v>380.545401477249</v>
      </c>
      <c r="S78" s="132" t="n">
        <f aca="false">'Japan expansion'!T57</f>
        <v>600</v>
      </c>
      <c r="T78" s="132" t="n">
        <f aca="false">P78-'War credit'!T78-Abroad!U78-S78</f>
        <v>3149.22480580851</v>
      </c>
      <c r="U78" s="117" t="str">
        <f aca="false">IF(A78=1901,"Carnegie Steel bought for $480m in Pacifica Steel 5% gold bonds and 7% preference shares","No separately priced acquisition")</f>
        <v>No separately priced acquisition</v>
      </c>
      <c r="V78" s="117" t="n">
        <f aca="false">Y77</f>
        <v>0</v>
      </c>
      <c r="W78" s="117" t="n">
        <f aca="false">V78+K78</f>
        <v>196.063646672277</v>
      </c>
      <c r="X78" s="117" t="n">
        <f aca="false">MIN('Champion funding'!D78-'Champion funding'!F78,W78)</f>
        <v>196.063646672277</v>
      </c>
      <c r="Y78" s="117" t="n">
        <f aca="false">W78-X78</f>
        <v>0</v>
      </c>
      <c r="Z78" s="133" t="n">
        <f aca="false">V78+K78-X78-Y78</f>
        <v>0</v>
      </c>
    </row>
    <row r="79" customFormat="false" ht="19.5" hidden="false" customHeight="true" outlineLevel="0" collapsed="false">
      <c r="A79" s="121" t="n">
        <v>1919</v>
      </c>
      <c r="B79" s="117" t="n">
        <f aca="false">C78</f>
        <v>3317.94389458135</v>
      </c>
      <c r="C79" s="132" t="n">
        <f aca="false">Champions!AY79-Champions!Q79</f>
        <v>3502.19259737833</v>
      </c>
      <c r="D79" s="117" t="n">
        <f aca="false">MAX(0,C79-B79)</f>
        <v>184.248702796987</v>
      </c>
      <c r="E79" s="117" t="n">
        <f aca="false">MAX(0,B79-C79)</f>
        <v>0</v>
      </c>
      <c r="F79" s="133" t="n">
        <f aca="false">B79+D79-E79-C79</f>
        <v>0</v>
      </c>
      <c r="G79" s="117" t="n">
        <f aca="false">H78</f>
        <v>1283.57433477622</v>
      </c>
      <c r="H79" s="132" t="n">
        <f aca="false">Champions!Q79</f>
        <v>1529.59092226141</v>
      </c>
      <c r="I79" s="117" t="n">
        <f aca="false">H79-G79</f>
        <v>246.016587485188</v>
      </c>
      <c r="J79" s="132" t="n">
        <f aca="false">MAX(0,Champions!BA79)*(1-crown_payout)</f>
        <v>427.073635427282</v>
      </c>
      <c r="K79" s="132" t="n">
        <f aca="false">J79*'Sources &amp; uses'!$E$28</f>
        <v>213.536817713641</v>
      </c>
      <c r="L79" s="117" t="n">
        <f aca="false">ABS('Champion funding'!S79)</f>
        <v>0</v>
      </c>
      <c r="M79" s="132" t="n">
        <f aca="false">Abroad!C79+Abroad!D79</f>
        <v>1527.72625419198</v>
      </c>
      <c r="N79" s="132" t="n">
        <f aca="false">Abroad!F79</f>
        <v>112.476744174255</v>
      </c>
      <c r="O79" s="132" t="n">
        <f aca="false">Abroad!G79</f>
        <v>0</v>
      </c>
      <c r="P79" s="132" t="n">
        <f aca="false">Abroad!H79</f>
        <v>7672.47431582624</v>
      </c>
      <c r="Q79" s="132" t="n">
        <f aca="false">Abroad!S79</f>
        <v>0</v>
      </c>
      <c r="R79" s="132" t="n">
        <f aca="false">Abroad!C79-Q79</f>
        <v>1527.72625419198</v>
      </c>
      <c r="S79" s="132" t="n">
        <f aca="false">'Japan expansion'!T58</f>
        <v>660</v>
      </c>
      <c r="T79" s="132" t="n">
        <f aca="false">P79-'War credit'!T79-Abroad!U79-S79</f>
        <v>4504.47431582624</v>
      </c>
      <c r="U79" s="117" t="str">
        <f aca="false">IF(A79=1901,"Carnegie Steel bought for $480m in Pacifica Steel 5% gold bonds and 7% preference shares","No separately priced acquisition")</f>
        <v>No separately priced acquisition</v>
      </c>
      <c r="V79" s="117" t="n">
        <f aca="false">Y78</f>
        <v>0</v>
      </c>
      <c r="W79" s="117" t="n">
        <f aca="false">V79+K79</f>
        <v>213.536817713641</v>
      </c>
      <c r="X79" s="117" t="n">
        <f aca="false">MIN('Champion funding'!D79-'Champion funding'!F79,W79)</f>
        <v>213.536817713641</v>
      </c>
      <c r="Y79" s="117" t="n">
        <f aca="false">W79-X79</f>
        <v>0</v>
      </c>
      <c r="Z79" s="133" t="n">
        <f aca="false">V79+K79-X79-Y79</f>
        <v>0</v>
      </c>
    </row>
    <row r="80" customFormat="false" ht="19.5" hidden="false" customHeight="true" outlineLevel="0" collapsed="false">
      <c r="A80" s="121" t="n">
        <v>1920</v>
      </c>
      <c r="B80" s="117" t="n">
        <f aca="false">C79</f>
        <v>3502.19259737833</v>
      </c>
      <c r="C80" s="132" t="n">
        <f aca="false">Champions!AY80-Champions!Q80</f>
        <v>3693.48866918718</v>
      </c>
      <c r="D80" s="117" t="n">
        <f aca="false">MAX(0,C80-B80)</f>
        <v>191.296071808849</v>
      </c>
      <c r="E80" s="117" t="n">
        <f aca="false">MAX(0,B80-C80)</f>
        <v>0</v>
      </c>
      <c r="F80" s="133" t="n">
        <f aca="false">B80+D80-E80-C80</f>
        <v>0</v>
      </c>
      <c r="G80" s="117" t="n">
        <f aca="false">H79</f>
        <v>1529.59092226141</v>
      </c>
      <c r="H80" s="132" t="n">
        <f aca="false">Champions!Q80</f>
        <v>1805.93612645089</v>
      </c>
      <c r="I80" s="117" t="n">
        <f aca="false">H80-G80</f>
        <v>276.345204189473</v>
      </c>
      <c r="J80" s="132" t="n">
        <f aca="false">MAX(0,Champions!BA80)*(1-crown_payout)</f>
        <v>464.980690501334</v>
      </c>
      <c r="K80" s="132" t="n">
        <f aca="false">J80*'Sources &amp; uses'!$E$28</f>
        <v>232.490345250667</v>
      </c>
      <c r="L80" s="117" t="n">
        <f aca="false">ABS('Champion funding'!S80)</f>
        <v>0</v>
      </c>
      <c r="M80" s="132" t="n">
        <f aca="false">Abroad!C80+Abroad!D80</f>
        <v>1794.44465226768</v>
      </c>
      <c r="N80" s="132" t="n">
        <f aca="false">Abroad!F80</f>
        <v>154.934229474787</v>
      </c>
      <c r="O80" s="132" t="n">
        <f aca="false">Abroad!G80</f>
        <v>0</v>
      </c>
      <c r="P80" s="132" t="n">
        <f aca="false">Abroad!H80</f>
        <v>9311.98473861914</v>
      </c>
      <c r="Q80" s="132" t="n">
        <f aca="false">Abroad!S80</f>
        <v>0</v>
      </c>
      <c r="R80" s="132" t="n">
        <f aca="false">Abroad!C80-Q80</f>
        <v>1794.44465226768</v>
      </c>
      <c r="S80" s="132" t="n">
        <f aca="false">'Japan expansion'!T59</f>
        <v>720</v>
      </c>
      <c r="T80" s="132" t="n">
        <f aca="false">P80-'War credit'!T80-Abroad!U80-S80</f>
        <v>6083.98473861914</v>
      </c>
      <c r="U80" s="117" t="str">
        <f aca="false">IF(A80=1901,"Carnegie Steel bought for $480m in Pacifica Steel 5% gold bonds and 7% preference shares","No separately priced acquisition")</f>
        <v>No separately priced acquisition</v>
      </c>
      <c r="V80" s="117" t="n">
        <f aca="false">Y79</f>
        <v>0</v>
      </c>
      <c r="W80" s="117" t="n">
        <f aca="false">V80+K80</f>
        <v>232.490345250667</v>
      </c>
      <c r="X80" s="117" t="n">
        <f aca="false">MIN('Champion funding'!D80-'Champion funding'!F80,W80)</f>
        <v>232.490345250667</v>
      </c>
      <c r="Y80" s="117" t="n">
        <f aca="false">W80-X80</f>
        <v>0</v>
      </c>
      <c r="Z80" s="133" t="n">
        <f aca="false">V80+K80-X80-Y80</f>
        <v>0</v>
      </c>
    </row>
    <row r="81" customFormat="false" ht="19.5" hidden="false" customHeight="true" outlineLevel="0" collapsed="false">
      <c r="A81" s="121" t="n">
        <v>1921</v>
      </c>
      <c r="B81" s="117" t="n">
        <f aca="false">C80</f>
        <v>3693.48866918718</v>
      </c>
      <c r="C81" s="132" t="n">
        <f aca="false">Champions!AY81-Champions!Q81</f>
        <v>4071.44215149199</v>
      </c>
      <c r="D81" s="117" t="n">
        <f aca="false">MAX(0,C81-B81)</f>
        <v>377.953482304813</v>
      </c>
      <c r="E81" s="117" t="n">
        <f aca="false">MAX(0,B81-C81)</f>
        <v>0</v>
      </c>
      <c r="F81" s="133" t="n">
        <f aca="false">B81+D81-E81-C81</f>
        <v>0</v>
      </c>
      <c r="G81" s="117" t="n">
        <f aca="false">H80</f>
        <v>1805.93612645089</v>
      </c>
      <c r="H81" s="132" t="n">
        <f aca="false">Champions!Q81</f>
        <v>1962.60377431345</v>
      </c>
      <c r="I81" s="117" t="n">
        <f aca="false">H81-G81</f>
        <v>156.66764786256</v>
      </c>
      <c r="J81" s="132" t="n">
        <f aca="false">MAX(0,Champions!BA81)*(1-crown_payout)</f>
        <v>468.207954675627</v>
      </c>
      <c r="K81" s="132" t="n">
        <f aca="false">J81*'Sources &amp; uses'!$E$28</f>
        <v>234.103977337814</v>
      </c>
      <c r="L81" s="117" t="n">
        <f aca="false">ABS('Champion funding'!S81)</f>
        <v>0</v>
      </c>
      <c r="M81" s="132" t="n">
        <f aca="false">Abroad!C81+Abroad!D81</f>
        <v>1467.02873321385</v>
      </c>
      <c r="N81" s="132" t="n">
        <f aca="false">Abroad!F81</f>
        <v>204.119542158574</v>
      </c>
      <c r="O81" s="132" t="n">
        <f aca="false">Abroad!G81</f>
        <v>0</v>
      </c>
      <c r="P81" s="132" t="n">
        <f aca="false">Abroad!H81</f>
        <v>10574.8939296744</v>
      </c>
      <c r="Q81" s="132" t="n">
        <f aca="false">Abroad!S81</f>
        <v>0</v>
      </c>
      <c r="R81" s="132" t="n">
        <f aca="false">Abroad!C81-Q81</f>
        <v>1467.02873321385</v>
      </c>
      <c r="S81" s="132" t="n">
        <f aca="false">'Japan expansion'!T60</f>
        <v>765</v>
      </c>
      <c r="T81" s="132" t="n">
        <f aca="false">P81-'War credit'!T81-Abroad!U81-S81</f>
        <v>7301.89392967441</v>
      </c>
      <c r="U81" s="117" t="str">
        <f aca="false">IF(A81=1901,"Carnegie Steel bought for $480m in Pacifica Steel 5% gold bonds and 7% preference shares","No separately priced acquisition")</f>
        <v>No separately priced acquisition</v>
      </c>
      <c r="V81" s="117" t="n">
        <f aca="false">Y80</f>
        <v>0</v>
      </c>
      <c r="W81" s="117" t="n">
        <f aca="false">V81+K81</f>
        <v>234.103977337814</v>
      </c>
      <c r="X81" s="117" t="n">
        <f aca="false">MIN('Champion funding'!D81-'Champion funding'!F81,W81)</f>
        <v>234.103977337814</v>
      </c>
      <c r="Y81" s="117" t="n">
        <f aca="false">W81-X81</f>
        <v>0</v>
      </c>
      <c r="Z81" s="133" t="n">
        <f aca="false">V81+K81-X81-Y81</f>
        <v>0</v>
      </c>
    </row>
    <row r="82" customFormat="false" ht="19.5" hidden="false" customHeight="true" outlineLevel="0" collapsed="false">
      <c r="A82" s="121" t="n">
        <v>1922</v>
      </c>
      <c r="B82" s="117" t="n">
        <f aca="false">C81</f>
        <v>4071.44215149199</v>
      </c>
      <c r="C82" s="132" t="n">
        <f aca="false">Champions!AY82-Champions!Q82</f>
        <v>4455.19271538255</v>
      </c>
      <c r="D82" s="117" t="n">
        <f aca="false">MAX(0,C82-B82)</f>
        <v>383.75056389056</v>
      </c>
      <c r="E82" s="117" t="n">
        <f aca="false">MAX(0,B82-C82)</f>
        <v>0</v>
      </c>
      <c r="F82" s="133" t="n">
        <f aca="false">B82+D82-E82-C82</f>
        <v>0</v>
      </c>
      <c r="G82" s="117" t="n">
        <f aca="false">H81</f>
        <v>1962.60377431345</v>
      </c>
      <c r="H82" s="132" t="n">
        <f aca="false">Champions!Q82</f>
        <v>2111.24860872768</v>
      </c>
      <c r="I82" s="117" t="n">
        <f aca="false">H82-G82</f>
        <v>148.644834414234</v>
      </c>
      <c r="J82" s="132" t="n">
        <f aca="false">MAX(0,Champions!BA82)*(1-crown_payout)</f>
        <v>529.700013846546</v>
      </c>
      <c r="K82" s="132" t="n">
        <f aca="false">J82*'Sources &amp; uses'!$E$28</f>
        <v>264.850006923273</v>
      </c>
      <c r="L82" s="117" t="n">
        <f aca="false">ABS('Champion funding'!S82)</f>
        <v>0</v>
      </c>
      <c r="M82" s="132" t="n">
        <f aca="false">Abroad!C82+Abroad!D82</f>
        <v>1518.48813467468</v>
      </c>
      <c r="N82" s="132" t="n">
        <f aca="false">Abroad!F82</f>
        <v>242.006817890232</v>
      </c>
      <c r="O82" s="132" t="n">
        <f aca="false">Abroad!G82</f>
        <v>-256.5</v>
      </c>
      <c r="P82" s="132" t="n">
        <f aca="false">Abroad!H82</f>
        <v>12107.8752464589</v>
      </c>
      <c r="Q82" s="132" t="n">
        <f aca="false">Abroad!S82</f>
        <v>0</v>
      </c>
      <c r="R82" s="132" t="n">
        <f aca="false">Abroad!C82-Q82</f>
        <v>1518.48813467468</v>
      </c>
      <c r="S82" s="132" t="n">
        <f aca="false">'Japan expansion'!T61</f>
        <v>810</v>
      </c>
      <c r="T82" s="132" t="n">
        <f aca="false">P82-'War credit'!T82-Abroad!U82-S82</f>
        <v>8533.37524645886</v>
      </c>
      <c r="U82" s="117" t="str">
        <f aca="false">IF(A82=1901,"Carnegie Steel bought for $480m in Pacifica Steel 5% gold bonds and 7% preference shares","No separately priced acquisition")</f>
        <v>No separately priced acquisition</v>
      </c>
      <c r="V82" s="117" t="n">
        <f aca="false">Y81</f>
        <v>0</v>
      </c>
      <c r="W82" s="117" t="n">
        <f aca="false">V82+K82</f>
        <v>264.850006923273</v>
      </c>
      <c r="X82" s="117" t="n">
        <f aca="false">MIN('Champion funding'!D82-'Champion funding'!F82,W82)</f>
        <v>264.850006923273</v>
      </c>
      <c r="Y82" s="117" t="n">
        <f aca="false">W82-X82</f>
        <v>0</v>
      </c>
      <c r="Z82" s="133" t="n">
        <f aca="false">V82+K82-X82-Y82</f>
        <v>0</v>
      </c>
    </row>
    <row r="83" customFormat="false" ht="19.5" hidden="false" customHeight="true" outlineLevel="0" collapsed="false">
      <c r="A83" s="121" t="n">
        <v>1923</v>
      </c>
      <c r="B83" s="117" t="n">
        <f aca="false">C82</f>
        <v>4455.19271538255</v>
      </c>
      <c r="C83" s="132" t="n">
        <f aca="false">Champions!AY83-Champions!Q83</f>
        <v>4852.64006443241</v>
      </c>
      <c r="D83" s="117" t="n">
        <f aca="false">MAX(0,C83-B83)</f>
        <v>397.447349049859</v>
      </c>
      <c r="E83" s="117" t="n">
        <f aca="false">MAX(0,B83-C83)</f>
        <v>0</v>
      </c>
      <c r="F83" s="133" t="n">
        <f aca="false">B83+D83-E83-C83</f>
        <v>0</v>
      </c>
      <c r="G83" s="117" t="n">
        <f aca="false">H82</f>
        <v>2111.24860872768</v>
      </c>
      <c r="H83" s="132" t="n">
        <f aca="false">Champions!Q83</f>
        <v>2257.1807583232</v>
      </c>
      <c r="I83" s="117" t="n">
        <f aca="false">H83-G83</f>
        <v>145.932149595525</v>
      </c>
      <c r="J83" s="132" t="n">
        <f aca="false">MAX(0,Champions!BA83)*(1-crown_payout)</f>
        <v>593.797123577089</v>
      </c>
      <c r="K83" s="132" t="n">
        <f aca="false">J83*'Sources &amp; uses'!$E$28</f>
        <v>296.898561788544</v>
      </c>
      <c r="L83" s="117" t="n">
        <f aca="false">ABS('Champion funding'!S83)</f>
        <v>0</v>
      </c>
      <c r="M83" s="132" t="n">
        <f aca="false">Abroad!C83+Abroad!D83</f>
        <v>1713.97374506361</v>
      </c>
      <c r="N83" s="132" t="n">
        <f aca="false">Abroad!F83</f>
        <v>324.533257393766</v>
      </c>
      <c r="O83" s="132" t="n">
        <f aca="false">Abroad!G83</f>
        <v>0</v>
      </c>
      <c r="P83" s="132" t="n">
        <f aca="false">Abroad!H83</f>
        <v>13497.3157341287</v>
      </c>
      <c r="Q83" s="132" t="n">
        <f aca="false">Abroad!S83</f>
        <v>0</v>
      </c>
      <c r="R83" s="132" t="n">
        <f aca="false">Abroad!C83-Q83</f>
        <v>1713.97374506361</v>
      </c>
      <c r="S83" s="132" t="n">
        <f aca="false">'Japan expansion'!T62</f>
        <v>990</v>
      </c>
      <c r="T83" s="132" t="n">
        <f aca="false">P83-'War credit'!T83-Abroad!U83-S83</f>
        <v>9787.0477341287</v>
      </c>
      <c r="U83" s="117" t="str">
        <f aca="false">IF(A83=1901,"Carnegie Steel bought for $480m in Pacifica Steel 5% gold bonds and 7% preference shares","No separately priced acquisition")</f>
        <v>No separately priced acquisition</v>
      </c>
      <c r="V83" s="117" t="n">
        <f aca="false">Y82</f>
        <v>0</v>
      </c>
      <c r="W83" s="117" t="n">
        <f aca="false">V83+K83</f>
        <v>296.898561788544</v>
      </c>
      <c r="X83" s="117" t="n">
        <f aca="false">MIN('Champion funding'!D83-'Champion funding'!F83,W83)</f>
        <v>296.898561788544</v>
      </c>
      <c r="Y83" s="117" t="n">
        <f aca="false">W83-X83</f>
        <v>0</v>
      </c>
      <c r="Z83" s="133" t="n">
        <f aca="false">V83+K83-X83-Y83</f>
        <v>0</v>
      </c>
    </row>
    <row r="84" customFormat="false" ht="19.5" hidden="false" customHeight="true" outlineLevel="0" collapsed="false">
      <c r="A84" s="121" t="n">
        <v>1924</v>
      </c>
      <c r="B84" s="117" t="n">
        <f aca="false">C83</f>
        <v>4852.64006443241</v>
      </c>
      <c r="C84" s="132" t="n">
        <f aca="false">Champions!AY84-Champions!Q84</f>
        <v>5248.37525909294</v>
      </c>
      <c r="D84" s="117" t="n">
        <f aca="false">MAX(0,C84-B84)</f>
        <v>395.735194660528</v>
      </c>
      <c r="E84" s="117" t="n">
        <f aca="false">MAX(0,B84-C84)</f>
        <v>0</v>
      </c>
      <c r="F84" s="133" t="n">
        <f aca="false">B84+D84-E84-C84</f>
        <v>0</v>
      </c>
      <c r="G84" s="117" t="n">
        <f aca="false">H83</f>
        <v>2257.1807583232</v>
      </c>
      <c r="H84" s="132" t="n">
        <f aca="false">Champions!Q84</f>
        <v>2380.74998466436</v>
      </c>
      <c r="I84" s="117" t="n">
        <f aca="false">H84-G84</f>
        <v>123.569226341158</v>
      </c>
      <c r="J84" s="132" t="n">
        <f aca="false">MAX(0,Champions!BA84)*(1-crown_payout)</f>
        <v>648.99504281157</v>
      </c>
      <c r="K84" s="132" t="n">
        <f aca="false">J84*'Sources &amp; uses'!$E$28</f>
        <v>324.497521405785</v>
      </c>
      <c r="L84" s="117" t="n">
        <f aca="false">ABS('Champion funding'!S84)</f>
        <v>0</v>
      </c>
      <c r="M84" s="132" t="n">
        <f aca="false">Abroad!C84+Abroad!D84</f>
        <v>1829.1028366608</v>
      </c>
      <c r="N84" s="132" t="n">
        <f aca="false">Abroad!F84</f>
        <v>366.835720023861</v>
      </c>
      <c r="O84" s="132" t="n">
        <f aca="false">Abroad!G84</f>
        <v>0</v>
      </c>
      <c r="P84" s="132" t="n">
        <f aca="false">Abroad!H84</f>
        <v>14959.5828507656</v>
      </c>
      <c r="Q84" s="132" t="n">
        <f aca="false">Abroad!S84</f>
        <v>0</v>
      </c>
      <c r="R84" s="132" t="n">
        <f aca="false">Abroad!C84-Q84</f>
        <v>1829.1028366608</v>
      </c>
      <c r="S84" s="132" t="n">
        <f aca="false">'Japan expansion'!T63</f>
        <v>1110</v>
      </c>
      <c r="T84" s="132" t="n">
        <f aca="false">P84-'War credit'!T84-Abroad!U84-S84</f>
        <v>11172.8391387656</v>
      </c>
      <c r="U84" s="117" t="str">
        <f aca="false">IF(A84=1901,"Carnegie Steel bought for $480m in Pacifica Steel 5% gold bonds and 7% preference shares","No separately priced acquisition")</f>
        <v>No separately priced acquisition</v>
      </c>
      <c r="V84" s="117" t="n">
        <f aca="false">Y83</f>
        <v>0</v>
      </c>
      <c r="W84" s="117" t="n">
        <f aca="false">V84+K84</f>
        <v>324.497521405785</v>
      </c>
      <c r="X84" s="117" t="n">
        <f aca="false">MIN('Champion funding'!D84-'Champion funding'!F84,W84)</f>
        <v>324.497521405785</v>
      </c>
      <c r="Y84" s="117" t="n">
        <f aca="false">W84-X84</f>
        <v>0</v>
      </c>
      <c r="Z84" s="133" t="n">
        <f aca="false">V84+K84-X84-Y84</f>
        <v>0</v>
      </c>
    </row>
    <row r="85" customFormat="false" ht="19.5" hidden="false" customHeight="true" outlineLevel="0" collapsed="false">
      <c r="A85" s="121" t="n">
        <v>1925</v>
      </c>
      <c r="B85" s="117" t="n">
        <f aca="false">C84</f>
        <v>5248.37525909294</v>
      </c>
      <c r="C85" s="132" t="n">
        <f aca="false">Champions!AY85-Champions!Q85</f>
        <v>5644.32937264284</v>
      </c>
      <c r="D85" s="117" t="n">
        <f aca="false">MAX(0,C85-B85)</f>
        <v>395.954113549898</v>
      </c>
      <c r="E85" s="117" t="n">
        <f aca="false">MAX(0,B85-C85)</f>
        <v>0</v>
      </c>
      <c r="F85" s="133" t="n">
        <f aca="false">B85+D85-E85-C85</f>
        <v>0</v>
      </c>
      <c r="G85" s="117" t="n">
        <f aca="false">H84</f>
        <v>2380.74998466436</v>
      </c>
      <c r="H85" s="132" t="n">
        <f aca="false">Champions!Q85</f>
        <v>2489.55806528565</v>
      </c>
      <c r="I85" s="117" t="n">
        <f aca="false">H85-G85</f>
        <v>108.808080621286</v>
      </c>
      <c r="J85" s="132" t="n">
        <f aca="false">MAX(0,Champions!BA85)*(1-crown_payout)</f>
        <v>698.667410315056</v>
      </c>
      <c r="K85" s="132" t="n">
        <f aca="false">J85*'Sources &amp; uses'!$E$28</f>
        <v>349.333705157528</v>
      </c>
      <c r="L85" s="117" t="n">
        <f aca="false">ABS('Champion funding'!S85)</f>
        <v>0</v>
      </c>
      <c r="M85" s="132" t="n">
        <f aca="false">Abroad!C85+Abroad!D85</f>
        <v>1977.29149931573</v>
      </c>
      <c r="N85" s="132" t="n">
        <f aca="false">Abroad!F85</f>
        <v>411.313073554969</v>
      </c>
      <c r="O85" s="132" t="n">
        <f aca="false">Abroad!G85</f>
        <v>0</v>
      </c>
      <c r="P85" s="132" t="n">
        <f aca="false">Abroad!H85</f>
        <v>16525.5612765264</v>
      </c>
      <c r="Q85" s="132" t="n">
        <f aca="false">Abroad!S85</f>
        <v>0</v>
      </c>
      <c r="R85" s="132" t="n">
        <f aca="false">Abroad!C85-Q85</f>
        <v>1977.29149931573</v>
      </c>
      <c r="S85" s="132" t="n">
        <f aca="false">'Japan expansion'!T64</f>
        <v>1155</v>
      </c>
      <c r="T85" s="132" t="n">
        <f aca="false">P85-'War credit'!T85-Abroad!U85-S85</f>
        <v>12736.6454639184</v>
      </c>
      <c r="U85" s="117" t="str">
        <f aca="false">IF(A85=1901,"Carnegie Steel bought for $480m in Pacifica Steel 5% gold bonds and 7% preference shares","No separately priced acquisition")</f>
        <v>No separately priced acquisition</v>
      </c>
      <c r="V85" s="117" t="n">
        <f aca="false">Y84</f>
        <v>0</v>
      </c>
      <c r="W85" s="117" t="n">
        <f aca="false">V85+K85</f>
        <v>349.333705157528</v>
      </c>
      <c r="X85" s="117" t="n">
        <f aca="false">MIN('Champion funding'!D85-'Champion funding'!F85,W85)</f>
        <v>349.333705157528</v>
      </c>
      <c r="Y85" s="117" t="n">
        <f aca="false">W85-X85</f>
        <v>0</v>
      </c>
      <c r="Z85" s="133" t="n">
        <f aca="false">V85+K85-X85-Y85</f>
        <v>0</v>
      </c>
    </row>
    <row r="86" customFormat="false" ht="19.5" hidden="false" customHeight="true" outlineLevel="0" collapsed="false">
      <c r="A86" s="121" t="n">
        <v>1926</v>
      </c>
      <c r="B86" s="117" t="n">
        <f aca="false">C85</f>
        <v>5644.32937264284</v>
      </c>
      <c r="C86" s="132" t="n">
        <f aca="false">Champions!AY86-Champions!Q86</f>
        <v>6244.09386444097</v>
      </c>
      <c r="D86" s="117" t="n">
        <f aca="false">MAX(0,C86-B86)</f>
        <v>599.764491798129</v>
      </c>
      <c r="E86" s="117" t="n">
        <f aca="false">MAX(0,B86-C86)</f>
        <v>0</v>
      </c>
      <c r="F86" s="133" t="n">
        <f aca="false">B86+D86-E86-C86</f>
        <v>0</v>
      </c>
      <c r="G86" s="117" t="n">
        <f aca="false">H85</f>
        <v>2489.55806528565</v>
      </c>
      <c r="H86" s="132" t="n">
        <f aca="false">Champions!Q86</f>
        <v>2603.48766943336</v>
      </c>
      <c r="I86" s="117" t="n">
        <f aca="false">H86-G86</f>
        <v>113.929604147713</v>
      </c>
      <c r="J86" s="132" t="n">
        <f aca="false">MAX(0,Champions!BA86)*(1-crown_payout)</f>
        <v>755.757967818534</v>
      </c>
      <c r="K86" s="132" t="n">
        <f aca="false">J86*'Sources &amp; uses'!$E$28</f>
        <v>377.878983909267</v>
      </c>
      <c r="L86" s="117" t="n">
        <f aca="false">ABS('Champion funding'!S86)</f>
        <v>0</v>
      </c>
      <c r="M86" s="132" t="n">
        <f aca="false">Abroad!C86+Abroad!D86</f>
        <v>2062.54610724569</v>
      </c>
      <c r="N86" s="132" t="n">
        <f aca="false">Abroad!F86</f>
        <v>458.89201691928</v>
      </c>
      <c r="O86" s="132" t="n">
        <f aca="false">Abroad!G86</f>
        <v>0</v>
      </c>
      <c r="P86" s="132" t="n">
        <f aca="false">Abroad!H86</f>
        <v>18129.2153668528</v>
      </c>
      <c r="Q86" s="132" t="n">
        <f aca="false">Abroad!S86</f>
        <v>0</v>
      </c>
      <c r="R86" s="132" t="n">
        <f aca="false">Abroad!C86-Q86</f>
        <v>2062.54610724569</v>
      </c>
      <c r="S86" s="132" t="n">
        <f aca="false">'Japan expansion'!T65</f>
        <v>1200</v>
      </c>
      <c r="T86" s="132" t="n">
        <f aca="false">P86-'War credit'!T86-Abroad!U86-S86</f>
        <v>14337.4422072465</v>
      </c>
      <c r="U86" s="117" t="str">
        <f aca="false">IF(A86=1901,"Carnegie Steel bought for $480m in Pacifica Steel 5% gold bonds and 7% preference shares","No separately priced acquisition")</f>
        <v>No separately priced acquisition</v>
      </c>
      <c r="V86" s="117" t="n">
        <f aca="false">Y85</f>
        <v>0</v>
      </c>
      <c r="W86" s="117" t="n">
        <f aca="false">V86+K86</f>
        <v>377.878983909267</v>
      </c>
      <c r="X86" s="117" t="n">
        <f aca="false">MIN('Champion funding'!D86-'Champion funding'!F86,W86)</f>
        <v>377.878983909267</v>
      </c>
      <c r="Y86" s="117" t="n">
        <f aca="false">W86-X86</f>
        <v>0</v>
      </c>
      <c r="Z86" s="133" t="n">
        <f aca="false">V86+K86-X86-Y86</f>
        <v>0</v>
      </c>
    </row>
    <row r="87" customFormat="false" ht="19.5" hidden="false" customHeight="true" outlineLevel="0" collapsed="false">
      <c r="A87" s="121" t="n">
        <v>1927</v>
      </c>
      <c r="B87" s="117" t="n">
        <f aca="false">C86</f>
        <v>6244.09386444097</v>
      </c>
      <c r="C87" s="132" t="n">
        <f aca="false">Champions!AY87-Champions!Q87</f>
        <v>6855.07299244806</v>
      </c>
      <c r="D87" s="117" t="n">
        <f aca="false">MAX(0,C87-B87)</f>
        <v>610.979128007091</v>
      </c>
      <c r="E87" s="117" t="n">
        <f aca="false">MAX(0,B87-C87)</f>
        <v>0</v>
      </c>
      <c r="F87" s="133" t="n">
        <f aca="false">B87+D87-E87-C87</f>
        <v>0</v>
      </c>
      <c r="G87" s="117" t="n">
        <f aca="false">H86</f>
        <v>2603.48766943336</v>
      </c>
      <c r="H87" s="132" t="n">
        <f aca="false">Champions!Q87</f>
        <v>2917.74363490067</v>
      </c>
      <c r="I87" s="117" t="n">
        <f aca="false">H87-G87</f>
        <v>314.255965467306</v>
      </c>
      <c r="J87" s="132" t="n">
        <f aca="false">MAX(0,Champions!BA87)*(1-crown_payout)</f>
        <v>831.411073026236</v>
      </c>
      <c r="K87" s="132" t="n">
        <f aca="false">J87*'Sources &amp; uses'!$E$28</f>
        <v>415.705536513118</v>
      </c>
      <c r="L87" s="117" t="n">
        <f aca="false">ABS('Champion funding'!S87)</f>
        <v>0</v>
      </c>
      <c r="M87" s="132" t="n">
        <f aca="false">Abroad!C87+Abroad!D87</f>
        <v>2137.32310902482</v>
      </c>
      <c r="N87" s="132" t="n">
        <f aca="false">Abroad!F87</f>
        <v>507.591636771096</v>
      </c>
      <c r="O87" s="132" t="n">
        <f aca="false">Abroad!G87</f>
        <v>0</v>
      </c>
      <c r="P87" s="132" t="n">
        <f aca="false">Abroad!H87</f>
        <v>19758.9468391065</v>
      </c>
      <c r="Q87" s="132" t="n">
        <f aca="false">Abroad!S87</f>
        <v>331.399556631746</v>
      </c>
      <c r="R87" s="132" t="n">
        <f aca="false">Abroad!C87-Q87</f>
        <v>1805.92355239308</v>
      </c>
      <c r="S87" s="117" t="n">
        <f aca="false">0</f>
        <v>0</v>
      </c>
      <c r="T87" s="132" t="n">
        <f aca="false">P87-'War credit'!T87-Abroad!U87-S87</f>
        <v>16877.2424934222</v>
      </c>
      <c r="U87" s="117" t="str">
        <f aca="false">IF(A87=1901,"Carnegie Steel bought for $480m in Pacifica Steel 5% gold bonds and 7% preference shares","No separately priced acquisition")</f>
        <v>No separately priced acquisition</v>
      </c>
      <c r="V87" s="117" t="n">
        <f aca="false">Y86</f>
        <v>0</v>
      </c>
      <c r="W87" s="117" t="n">
        <f aca="false">V87+K87</f>
        <v>415.705536513118</v>
      </c>
      <c r="X87" s="117" t="n">
        <f aca="false">MIN('Champion funding'!D87-'Champion funding'!F87,W87)</f>
        <v>415.705536513118</v>
      </c>
      <c r="Y87" s="117" t="n">
        <f aca="false">W87-X87</f>
        <v>0</v>
      </c>
      <c r="Z87" s="133" t="n">
        <f aca="false">V87+K87-X87-Y87</f>
        <v>0</v>
      </c>
    </row>
    <row r="88" customFormat="false" ht="19.5" hidden="false" customHeight="true" outlineLevel="0" collapsed="false">
      <c r="A88" s="121" t="n">
        <v>1928</v>
      </c>
      <c r="B88" s="117" t="n">
        <f aca="false">C87</f>
        <v>6855.07299244806</v>
      </c>
      <c r="C88" s="132" t="n">
        <f aca="false">Champions!AY88-Champions!Q88</f>
        <v>7466.93181421005</v>
      </c>
      <c r="D88" s="117" t="n">
        <f aca="false">MAX(0,C88-B88)</f>
        <v>611.858821761985</v>
      </c>
      <c r="E88" s="117" t="n">
        <f aca="false">MAX(0,B88-C88)</f>
        <v>0</v>
      </c>
      <c r="F88" s="133" t="n">
        <f aca="false">B88+D88-E88-C88</f>
        <v>0</v>
      </c>
      <c r="G88" s="117" t="n">
        <f aca="false">H87</f>
        <v>2917.74363490067</v>
      </c>
      <c r="H88" s="132" t="n">
        <f aca="false">Champions!Q88</f>
        <v>3212.78968850619</v>
      </c>
      <c r="I88" s="117" t="n">
        <f aca="false">H88-G88</f>
        <v>295.046053605522</v>
      </c>
      <c r="J88" s="132" t="n">
        <f aca="false">MAX(0,Champions!BA88)*(1-crown_payout)</f>
        <v>906.125300953316</v>
      </c>
      <c r="K88" s="132" t="n">
        <f aca="false">J88*'Sources &amp; uses'!$E$28</f>
        <v>453.062650476658</v>
      </c>
      <c r="L88" s="117" t="n">
        <f aca="false">ABS('Champion funding'!S88)</f>
        <v>0</v>
      </c>
      <c r="M88" s="132" t="n">
        <f aca="false">Abroad!C88+Abroad!D88</f>
        <v>2293.14795354865</v>
      </c>
      <c r="N88" s="132" t="n">
        <f aca="false">Abroad!F88</f>
        <v>547.122151427508</v>
      </c>
      <c r="O88" s="132" t="n">
        <f aca="false">Abroad!G88</f>
        <v>0</v>
      </c>
      <c r="P88" s="132" t="n">
        <f aca="false">Abroad!H88</f>
        <v>21504.9726412277</v>
      </c>
      <c r="Q88" s="132" t="n">
        <f aca="false">Abroad!S88</f>
        <v>0</v>
      </c>
      <c r="R88" s="132" t="n">
        <f aca="false">Abroad!C88-Q88</f>
        <v>2293.14795354865</v>
      </c>
      <c r="S88" s="117" t="n">
        <f aca="false">0</f>
        <v>0</v>
      </c>
      <c r="T88" s="132" t="n">
        <f aca="false">P88-'War credit'!T88-Abroad!U88-S88</f>
        <v>18664.0731721682</v>
      </c>
      <c r="U88" s="117" t="str">
        <f aca="false">IF(A88=1901,"Carnegie Steel bought for $480m in Pacifica Steel 5% gold bonds and 7% preference shares","No separately priced acquisition")</f>
        <v>No separately priced acquisition</v>
      </c>
      <c r="V88" s="117" t="n">
        <f aca="false">Y87</f>
        <v>0</v>
      </c>
      <c r="W88" s="117" t="n">
        <f aca="false">V88+K88</f>
        <v>453.062650476658</v>
      </c>
      <c r="X88" s="117" t="n">
        <f aca="false">MIN('Champion funding'!D88-'Champion funding'!F88,W88)</f>
        <v>453.062650476658</v>
      </c>
      <c r="Y88" s="117" t="n">
        <f aca="false">W88-X88</f>
        <v>0</v>
      </c>
      <c r="Z88" s="133" t="n">
        <f aca="false">V88+K88-X88-Y88</f>
        <v>0</v>
      </c>
    </row>
    <row r="89" customFormat="false" ht="19.5" hidden="false" customHeight="true" outlineLevel="0" collapsed="false">
      <c r="A89" s="121" t="n">
        <v>1929</v>
      </c>
      <c r="B89" s="117" t="n">
        <f aca="false">C88</f>
        <v>7466.93181421005</v>
      </c>
      <c r="C89" s="132" t="n">
        <f aca="false">Champions!AY89-Champions!Q89</f>
        <v>8095.91479171605</v>
      </c>
      <c r="D89" s="117" t="n">
        <f aca="false">MAX(0,C89-B89)</f>
        <v>628.982977506001</v>
      </c>
      <c r="E89" s="117" t="n">
        <f aca="false">MAX(0,B89-C89)</f>
        <v>0</v>
      </c>
      <c r="F89" s="133" t="n">
        <f aca="false">B89+D89-E89-C89</f>
        <v>0</v>
      </c>
      <c r="G89" s="117" t="n">
        <f aca="false">H88</f>
        <v>3212.78968850619</v>
      </c>
      <c r="H89" s="132" t="n">
        <f aca="false">Champions!Q89</f>
        <v>3506.73878271015</v>
      </c>
      <c r="I89" s="117" t="n">
        <f aca="false">H89-G89</f>
        <v>293.949094203967</v>
      </c>
      <c r="J89" s="132" t="n">
        <f aca="false">MAX(0,Champions!BA89)*(1-crown_payout)</f>
        <v>980.429354995169</v>
      </c>
      <c r="K89" s="132" t="n">
        <f aca="false">J89*'Sources &amp; uses'!$E$28</f>
        <v>490.214677497585</v>
      </c>
      <c r="L89" s="117" t="n">
        <f aca="false">ABS('Champion funding'!S89)</f>
        <v>0</v>
      </c>
      <c r="M89" s="132" t="n">
        <f aca="false">Abroad!C89+Abroad!D89</f>
        <v>2431.53196367027</v>
      </c>
      <c r="N89" s="132" t="n">
        <f aca="false">Abroad!F89</f>
        <v>666.354105090239</v>
      </c>
      <c r="O89" s="132" t="n">
        <f aca="false">Abroad!G89</f>
        <v>0</v>
      </c>
      <c r="P89" s="132" t="n">
        <f aca="false">Abroad!H89</f>
        <v>23270.1504998077</v>
      </c>
      <c r="Q89" s="132" t="n">
        <f aca="false">Abroad!S89</f>
        <v>0</v>
      </c>
      <c r="R89" s="132" t="n">
        <f aca="false">Abroad!C89-Q89</f>
        <v>2431.53196367027</v>
      </c>
      <c r="S89" s="117" t="n">
        <f aca="false">0</f>
        <v>0</v>
      </c>
      <c r="T89" s="132" t="n">
        <f aca="false">P89-'War credit'!T89-Abroad!U89-S89</f>
        <v>20535.6829406734</v>
      </c>
      <c r="U89" s="117" t="str">
        <f aca="false">IF(A89=1901,"Carnegie Steel bought for $480m in Pacifica Steel 5% gold bonds and 7% preference shares","No separately priced acquisition")</f>
        <v>No separately priced acquisition</v>
      </c>
      <c r="V89" s="117" t="n">
        <f aca="false">Y88</f>
        <v>0</v>
      </c>
      <c r="W89" s="117" t="n">
        <f aca="false">V89+K89</f>
        <v>490.214677497585</v>
      </c>
      <c r="X89" s="117" t="n">
        <f aca="false">MIN('Champion funding'!D89-'Champion funding'!F89,W89)</f>
        <v>490.214677497585</v>
      </c>
      <c r="Y89" s="117" t="n">
        <f aca="false">W89-X89</f>
        <v>0</v>
      </c>
      <c r="Z89" s="133" t="n">
        <f aca="false">V89+K89-X89-Y89</f>
        <v>0</v>
      </c>
    </row>
    <row r="90" customFormat="false" ht="19.5" hidden="false" customHeight="true" outlineLevel="0" collapsed="false">
      <c r="A90" s="121" t="n">
        <v>1930</v>
      </c>
      <c r="B90" s="117" t="n">
        <f aca="false">C89</f>
        <v>8095.91479171605</v>
      </c>
      <c r="C90" s="132" t="n">
        <f aca="false">Champions!AY90-Champions!Q90</f>
        <v>8010.46597081645</v>
      </c>
      <c r="D90" s="117" t="n">
        <f aca="false">MAX(0,C90-B90)</f>
        <v>0</v>
      </c>
      <c r="E90" s="117" t="n">
        <f aca="false">MAX(0,B90-C90)</f>
        <v>85.4488208995972</v>
      </c>
      <c r="F90" s="133" t="n">
        <f aca="false">B90+D90-E90-C90</f>
        <v>0</v>
      </c>
      <c r="G90" s="117" t="n">
        <f aca="false">H89</f>
        <v>3506.73878271015</v>
      </c>
      <c r="H90" s="132" t="n">
        <f aca="false">Champions!Q90</f>
        <v>2966.09344510201</v>
      </c>
      <c r="I90" s="117" t="n">
        <f aca="false">H90-G90</f>
        <v>-540.645337608145</v>
      </c>
      <c r="J90" s="132" t="n">
        <f aca="false">MAX(0,Champions!BA90)*(1-crown_payout)</f>
        <v>873.888658335</v>
      </c>
      <c r="K90" s="132" t="n">
        <f aca="false">J90*'Sources &amp; uses'!$E$28</f>
        <v>436.9443291675</v>
      </c>
      <c r="L90" s="117" t="n">
        <f aca="false">ABS('Champion funding'!S90)</f>
        <v>0</v>
      </c>
      <c r="M90" s="132" t="n">
        <f aca="false">Abroad!C90+Abroad!D90</f>
        <v>326.947385773646</v>
      </c>
      <c r="N90" s="132" t="n">
        <f aca="false">Abroad!F90</f>
        <v>721.859966167814</v>
      </c>
      <c r="O90" s="132" t="n">
        <f aca="false">Abroad!G90</f>
        <v>0</v>
      </c>
      <c r="P90" s="132" t="n">
        <f aca="false">Abroad!H90</f>
        <v>22875.2379194135</v>
      </c>
      <c r="Q90" s="132" t="n">
        <f aca="false">Abroad!S90</f>
        <v>0</v>
      </c>
      <c r="R90" s="132" t="n">
        <f aca="false">Abroad!C90-Q90</f>
        <v>326.947385773646</v>
      </c>
      <c r="S90" s="117" t="n">
        <f aca="false">0</f>
        <v>0</v>
      </c>
      <c r="T90" s="132" t="n">
        <f aca="false">P90-'War credit'!T90-Abroad!U90-S90</f>
        <v>20246.5598382269</v>
      </c>
      <c r="U90" s="117" t="str">
        <f aca="false">IF(A90=1901,"Carnegie Steel bought for $480m in Pacifica Steel 5% gold bonds and 7% preference shares","No separately priced acquisition")</f>
        <v>No separately priced acquisition</v>
      </c>
      <c r="V90" s="117" t="n">
        <f aca="false">Y89</f>
        <v>0</v>
      </c>
      <c r="W90" s="117" t="n">
        <f aca="false">V90+K90</f>
        <v>436.9443291675</v>
      </c>
      <c r="X90" s="117" t="n">
        <f aca="false">MIN('Champion funding'!D90-'Champion funding'!F90,W90)</f>
        <v>0</v>
      </c>
      <c r="Y90" s="117" t="n">
        <f aca="false">W90-X90</f>
        <v>436.9443291675</v>
      </c>
      <c r="Z90" s="133" t="n">
        <f aca="false">V90+K90-X90-Y90</f>
        <v>0</v>
      </c>
    </row>
    <row r="91" customFormat="false" ht="19.5" hidden="false" customHeight="true" outlineLevel="0" collapsed="false">
      <c r="A91" s="121" t="n">
        <v>1931</v>
      </c>
      <c r="B91" s="117" t="n">
        <f aca="false">C90</f>
        <v>8010.46597081645</v>
      </c>
      <c r="C91" s="132" t="n">
        <f aca="false">Champions!AY91-Champions!Q91</f>
        <v>7918.53612943984</v>
      </c>
      <c r="D91" s="117" t="n">
        <f aca="false">MAX(0,C91-B91)</f>
        <v>0</v>
      </c>
      <c r="E91" s="117" t="n">
        <f aca="false">MAX(0,B91-C91)</f>
        <v>91.9298413766037</v>
      </c>
      <c r="F91" s="133" t="n">
        <f aca="false">B91+D91-E91-C91</f>
        <v>0</v>
      </c>
      <c r="G91" s="117" t="n">
        <f aca="false">H90</f>
        <v>2966.09344510201</v>
      </c>
      <c r="H91" s="132" t="n">
        <f aca="false">Champions!Q91</f>
        <v>2445.276704307</v>
      </c>
      <c r="I91" s="117" t="n">
        <f aca="false">H91-G91</f>
        <v>-520.816740795012</v>
      </c>
      <c r="J91" s="132" t="n">
        <f aca="false">MAX(0,Champions!BA91)*(1-crown_payout)</f>
        <v>693.016692794436</v>
      </c>
      <c r="K91" s="132" t="n">
        <f aca="false">J91*'Sources &amp; uses'!$E$28</f>
        <v>346.508346397218</v>
      </c>
      <c r="L91" s="117" t="n">
        <f aca="false">ABS('Champion funding'!S91)</f>
        <v>0</v>
      </c>
      <c r="M91" s="132" t="n">
        <f aca="false">Abroad!C91+Abroad!D91</f>
        <v>296.651417362517</v>
      </c>
      <c r="N91" s="132" t="n">
        <f aca="false">Abroad!F91</f>
        <v>673.676706473155</v>
      </c>
      <c r="O91" s="132" t="n">
        <f aca="false">Abroad!G91</f>
        <v>809.862393529075</v>
      </c>
      <c r="P91" s="132" t="n">
        <f aca="false">Abroad!H91</f>
        <v>21688.3502367738</v>
      </c>
      <c r="Q91" s="132" t="n">
        <f aca="false">Abroad!S91</f>
        <v>0</v>
      </c>
      <c r="R91" s="132" t="n">
        <f aca="false">Abroad!C91-Q91</f>
        <v>296.651417362517</v>
      </c>
      <c r="S91" s="117" t="n">
        <f aca="false">0</f>
        <v>0</v>
      </c>
      <c r="T91" s="132" t="n">
        <f aca="false">P91-'War credit'!T91-Abroad!U91-S91</f>
        <v>19125.9520669135</v>
      </c>
      <c r="U91" s="117" t="str">
        <f aca="false">IF(A91=1901,"Carnegie Steel bought for $480m in Pacifica Steel 5% gold bonds and 7% preference shares","No separately priced acquisition")</f>
        <v>No separately priced acquisition</v>
      </c>
      <c r="V91" s="117" t="n">
        <f aca="false">Y90</f>
        <v>436.9443291675</v>
      </c>
      <c r="W91" s="117" t="n">
        <f aca="false">V91+K91</f>
        <v>783.452675564718</v>
      </c>
      <c r="X91" s="117" t="n">
        <f aca="false">MIN('Champion funding'!D91-'Champion funding'!F91,W91)</f>
        <v>0</v>
      </c>
      <c r="Y91" s="117" t="n">
        <f aca="false">W91-X91</f>
        <v>783.452675564718</v>
      </c>
      <c r="Z91" s="133" t="n">
        <f aca="false">V91+K91-X91-Y91</f>
        <v>0</v>
      </c>
    </row>
    <row r="92" customFormat="false" ht="19.5" hidden="false" customHeight="true" outlineLevel="0" collapsed="false">
      <c r="A92" s="121" t="n">
        <v>1932</v>
      </c>
      <c r="B92" s="117" t="n">
        <f aca="false">C91</f>
        <v>7918.53612943984</v>
      </c>
      <c r="C92" s="132" t="n">
        <f aca="false">Champions!AY92-Champions!Q92</f>
        <v>7834.48081285045</v>
      </c>
      <c r="D92" s="117" t="n">
        <f aca="false">MAX(0,C92-B92)</f>
        <v>0</v>
      </c>
      <c r="E92" s="117" t="n">
        <f aca="false">MAX(0,B92-C92)</f>
        <v>84.0553165893934</v>
      </c>
      <c r="F92" s="133" t="n">
        <f aca="false">B92+D92-E92-C92</f>
        <v>0</v>
      </c>
      <c r="G92" s="117" t="n">
        <f aca="false">H91</f>
        <v>2445.276704307</v>
      </c>
      <c r="H92" s="132" t="n">
        <f aca="false">Champions!Q92</f>
        <v>1882.22636442715</v>
      </c>
      <c r="I92" s="117" t="n">
        <f aca="false">H92-G92</f>
        <v>-563.050339879846</v>
      </c>
      <c r="J92" s="132" t="n">
        <f aca="false">MAX(0,Champions!BA92)*(1-crown_payout)</f>
        <v>602.668397967215</v>
      </c>
      <c r="K92" s="132" t="n">
        <f aca="false">J92*'Sources &amp; uses'!$E$28</f>
        <v>301.334198983607</v>
      </c>
      <c r="L92" s="117" t="n">
        <f aca="false">ABS('Champion funding'!S92)</f>
        <v>0</v>
      </c>
      <c r="M92" s="132" t="n">
        <f aca="false">Abroad!C92+Abroad!D92</f>
        <v>274.230595058149</v>
      </c>
      <c r="N92" s="132" t="n">
        <f aca="false">Abroad!F92</f>
        <v>640.058473333754</v>
      </c>
      <c r="O92" s="132" t="n">
        <f aca="false">Abroad!G92</f>
        <v>765.03808267654</v>
      </c>
      <c r="P92" s="132" t="n">
        <f aca="false">Abroad!H92</f>
        <v>20557.4842758217</v>
      </c>
      <c r="Q92" s="132" t="n">
        <f aca="false">Abroad!S92</f>
        <v>0</v>
      </c>
      <c r="R92" s="132" t="n">
        <f aca="false">Abroad!C92-Q92</f>
        <v>274.230595058149</v>
      </c>
      <c r="S92" s="117" t="n">
        <f aca="false">0</f>
        <v>0</v>
      </c>
      <c r="T92" s="132" t="n">
        <f aca="false">P92-'War credit'!T92-Abroad!U92-S92</f>
        <v>18061.3660172877</v>
      </c>
      <c r="U92" s="117" t="str">
        <f aca="false">IF(A92=1901,"Carnegie Steel bought for $480m in Pacifica Steel 5% gold bonds and 7% preference shares","No separately priced acquisition")</f>
        <v>No separately priced acquisition</v>
      </c>
      <c r="V92" s="117" t="n">
        <f aca="false">Y91</f>
        <v>783.452675564718</v>
      </c>
      <c r="W92" s="117" t="n">
        <f aca="false">V92+K92</f>
        <v>1084.78687454833</v>
      </c>
      <c r="X92" s="117" t="n">
        <f aca="false">MIN('Champion funding'!D92-'Champion funding'!F92,W92)</f>
        <v>0</v>
      </c>
      <c r="Y92" s="117" t="n">
        <f aca="false">W92-X92</f>
        <v>1084.78687454833</v>
      </c>
      <c r="Z92" s="133" t="n">
        <f aca="false">V92+K92-X92-Y92</f>
        <v>0</v>
      </c>
    </row>
    <row r="93" customFormat="false" ht="19.5" hidden="false" customHeight="true" outlineLevel="0" collapsed="false">
      <c r="A93" s="110"/>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customFormat="false" ht="19.5" hidden="false" customHeight="true" outlineLevel="0" collapsed="false">
      <c r="A94" s="110"/>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customFormat="false" ht="19.5" hidden="false" customHeight="true" outlineLevel="0" collapsed="false">
      <c r="A95" s="110" t="s">
        <v>2618</v>
      </c>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customFormat="false" ht="19.5" hidden="false" customHeight="true" outlineLevel="0" collapsed="false">
      <c r="A96" s="110" t="s">
        <v>2619</v>
      </c>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customFormat="false" ht="19.5" hidden="false" customHeight="true" outlineLevel="0" collapsed="false">
      <c r="A97" s="110" t="s">
        <v>2620</v>
      </c>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customFormat="false" ht="19.5" hidden="false" customHeight="true" outlineLevel="0" collapsed="false">
      <c r="A98" s="110" t="s">
        <v>2621</v>
      </c>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customFormat="false" ht="19.5" hidden="false" customHeight="true" outlineLevel="0" collapsed="false">
      <c r="A99" s="110" t="s">
        <v>2622</v>
      </c>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false" outlineLevelRow="0" outlineLevelCol="0"/>
  <sheetData>
    <row r="1" customFormat="false" ht="13.5" hidden="false" customHeight="true" outlineLevel="0" collapsed="false">
      <c r="A1" s="28" t="s">
        <v>2623</v>
      </c>
    </row>
    <row r="2" customFormat="false" ht="13.5" hidden="false" customHeight="true" outlineLevel="0" collapsed="false">
      <c r="A2" s="1" t="s">
        <v>2624</v>
      </c>
    </row>
    <row r="3" customFormat="false" ht="13.5" hidden="false" customHeight="true" outlineLevel="0" collapsed="false">
      <c r="A3" s="1" t="s">
        <v>2246</v>
      </c>
      <c r="E3" s="1" t="str">
        <f aca="false">IF(Levers!$E$4=1,"Story case","Stress case")</f>
        <v>Story case</v>
      </c>
    </row>
    <row r="4" customFormat="false" ht="13.5" hidden="false" customHeight="true" outlineLevel="0" collapsed="false"/>
    <row r="5" customFormat="false" ht="13.5" hidden="false" customHeight="true" outlineLevel="0" collapsed="false">
      <c r="A5" s="28" t="s">
        <v>103</v>
      </c>
      <c r="B5" s="28" t="s">
        <v>2625</v>
      </c>
      <c r="C5" s="28" t="s">
        <v>2626</v>
      </c>
      <c r="D5" s="28" t="s">
        <v>2627</v>
      </c>
      <c r="E5" s="28" t="s">
        <v>2628</v>
      </c>
      <c r="F5" s="28" t="s">
        <v>2629</v>
      </c>
      <c r="G5" s="28" t="s">
        <v>2630</v>
      </c>
      <c r="H5" s="28" t="s">
        <v>2631</v>
      </c>
      <c r="I5" s="28" t="s">
        <v>2632</v>
      </c>
      <c r="J5" s="28" t="s">
        <v>2633</v>
      </c>
      <c r="K5" s="28" t="s">
        <v>2634</v>
      </c>
      <c r="L5" s="28" t="s">
        <v>2635</v>
      </c>
      <c r="M5" s="28" t="s">
        <v>2636</v>
      </c>
      <c r="N5" s="28" t="s">
        <v>2637</v>
      </c>
      <c r="O5" s="28" t="s">
        <v>2638</v>
      </c>
      <c r="P5" s="28" t="s">
        <v>2639</v>
      </c>
      <c r="Q5" s="28" t="s">
        <v>2640</v>
      </c>
      <c r="R5" s="28" t="s">
        <v>2641</v>
      </c>
      <c r="S5" s="28" t="s">
        <v>2642</v>
      </c>
    </row>
    <row r="6" customFormat="false" ht="13.5" hidden="false" customHeight="true" outlineLevel="0" collapsed="false">
      <c r="A6" s="1" t="n">
        <v>1846</v>
      </c>
      <c r="B6" s="136" t="n">
        <f aca="false">'Capital accounts'!D6</f>
        <v>0</v>
      </c>
      <c r="C6" s="89" t="n">
        <f aca="false">MAX(0,'Capital accounts'!I6)*$E$106/oil_book</f>
        <v>0</v>
      </c>
      <c r="D6" s="89" t="n">
        <f aca="false">B6+C6</f>
        <v>0</v>
      </c>
      <c r="E6" s="136" t="n">
        <f aca="false">'Capital accounts'!X6</f>
        <v>0</v>
      </c>
      <c r="F6" s="89" t="n">
        <f aca="false">IF(A6=1901,MIN($E$98,B6),0)</f>
        <v>0</v>
      </c>
      <c r="G6" s="89" t="n">
        <f aca="false">MIN(MAX(0,D6-E6-F6),$E$97*(D6-F6))</f>
        <v>0</v>
      </c>
      <c r="H6" s="89" t="n">
        <f aca="false">IF(AND(A6&gt;=1880,A6&lt;=1899),$E$101,IF(AND(A6&gt;=1900,A6&lt;=1913),$E$102,IF(AND(A6&gt;=1919,A6&lt;=1929),$E$103,0)))</f>
        <v>0</v>
      </c>
      <c r="I6" s="89" t="n">
        <f aca="false">MIN(H6,MAX(0,D6-E6-F6-G6))</f>
        <v>0</v>
      </c>
      <c r="J6" s="89" t="n">
        <f aca="false">MAX(0,D6-E6-F6-G6-I6)</f>
        <v>0</v>
      </c>
      <c r="K6" s="89" t="n">
        <f aca="false">F6+G6+I6</f>
        <v>0</v>
      </c>
      <c r="L6" s="89" t="n">
        <f aca="false">I6</f>
        <v>0</v>
      </c>
      <c r="M6" s="89" t="n">
        <f aca="false">G6</f>
        <v>0</v>
      </c>
      <c r="N6" s="89" t="n">
        <f aca="false">F6</f>
        <v>0</v>
      </c>
      <c r="O6" s="137" t="n">
        <f aca="false">IF(Champions!AY6&gt;0,Champions!AZ6/Champions!AY6,0)</f>
        <v>0</v>
      </c>
      <c r="P6" s="89" t="n">
        <v>0</v>
      </c>
      <c r="Q6" s="89" t="n">
        <v>0</v>
      </c>
      <c r="R6" s="89" t="n">
        <v>0</v>
      </c>
      <c r="S6" s="89" t="n">
        <f aca="false">D6-E6-F6-G6-I6-J6</f>
        <v>0</v>
      </c>
    </row>
    <row r="7" customFormat="false" ht="13.5" hidden="false" customHeight="true" outlineLevel="0" collapsed="false">
      <c r="A7" s="1" t="n">
        <v>1847</v>
      </c>
      <c r="B7" s="136" t="n">
        <f aca="false">'Capital accounts'!D7</f>
        <v>0</v>
      </c>
      <c r="C7" s="89" t="n">
        <f aca="false">MAX(0,'Capital accounts'!I7)*$E$106/oil_book</f>
        <v>0</v>
      </c>
      <c r="D7" s="89" t="n">
        <f aca="false">B7+C7</f>
        <v>0</v>
      </c>
      <c r="E7" s="136" t="n">
        <f aca="false">'Capital accounts'!X7</f>
        <v>0</v>
      </c>
      <c r="F7" s="89" t="n">
        <f aca="false">IF(A7=1901,MIN($E$98,B7),0)</f>
        <v>0</v>
      </c>
      <c r="G7" s="89" t="n">
        <f aca="false">MIN(MAX(0,D7-E7-F7),$E$97*(D7-F7))</f>
        <v>0</v>
      </c>
      <c r="H7" s="89" t="n">
        <f aca="false">IF(AND(A7&gt;=1880,A7&lt;=1899),$E$101,IF(AND(A7&gt;=1900,A7&lt;=1913),$E$102,IF(AND(A7&gt;=1919,A7&lt;=1929),$E$103,0)))</f>
        <v>0</v>
      </c>
      <c r="I7" s="89" t="n">
        <f aca="false">MIN(H7,MAX(0,D7-E7-F7-G7))</f>
        <v>0</v>
      </c>
      <c r="J7" s="89" t="n">
        <f aca="false">MAX(0,D7-E7-F7-G7-I7)</f>
        <v>0</v>
      </c>
      <c r="K7" s="89" t="n">
        <f aca="false">F7+G7+I7</f>
        <v>0</v>
      </c>
      <c r="L7" s="89" t="n">
        <f aca="false">L6*(1-$E$105)+I7</f>
        <v>0</v>
      </c>
      <c r="M7" s="89" t="n">
        <f aca="false">M6+G7</f>
        <v>0</v>
      </c>
      <c r="N7" s="89" t="n">
        <f aca="false">N6*(1-$E$100)+F7</f>
        <v>0</v>
      </c>
      <c r="O7" s="137" t="n">
        <f aca="false">IF(Champions!AY7&gt;0,Champions!AZ7/Champions!AY7,0)</f>
        <v>0</v>
      </c>
      <c r="P7" s="89" t="n">
        <f aca="false">L6*$E$104+N6*$E$99+M6*O7</f>
        <v>0</v>
      </c>
      <c r="Q7" s="89" t="n">
        <f aca="false">L6*$E$105</f>
        <v>0</v>
      </c>
      <c r="R7" s="89" t="n">
        <f aca="false">N6*$E$100</f>
        <v>0</v>
      </c>
      <c r="S7" s="89" t="n">
        <f aca="false">D7-E7-F7-G7-I7-J7</f>
        <v>0</v>
      </c>
    </row>
    <row r="8" customFormat="false" ht="13.5" hidden="false" customHeight="true" outlineLevel="0" collapsed="false">
      <c r="A8" s="1" t="n">
        <v>1848</v>
      </c>
      <c r="B8" s="136" t="n">
        <f aca="false">'Capital accounts'!D8</f>
        <v>0</v>
      </c>
      <c r="C8" s="89" t="n">
        <f aca="false">MAX(0,'Capital accounts'!I8)*$E$106/oil_book</f>
        <v>0</v>
      </c>
      <c r="D8" s="89" t="n">
        <f aca="false">B8+C8</f>
        <v>0</v>
      </c>
      <c r="E8" s="136" t="n">
        <f aca="false">'Capital accounts'!X8</f>
        <v>0</v>
      </c>
      <c r="F8" s="89" t="n">
        <f aca="false">IF(A8=1901,MIN($E$98,B8),0)</f>
        <v>0</v>
      </c>
      <c r="G8" s="89" t="n">
        <f aca="false">MIN(MAX(0,D8-E8-F8),$E$97*(D8-F8))</f>
        <v>0</v>
      </c>
      <c r="H8" s="89" t="n">
        <f aca="false">IF(AND(A8&gt;=1880,A8&lt;=1899),$E$101,IF(AND(A8&gt;=1900,A8&lt;=1913),$E$102,IF(AND(A8&gt;=1919,A8&lt;=1929),$E$103,0)))</f>
        <v>0</v>
      </c>
      <c r="I8" s="89" t="n">
        <f aca="false">MIN(H8,MAX(0,D8-E8-F8-G8))</f>
        <v>0</v>
      </c>
      <c r="J8" s="89" t="n">
        <f aca="false">MAX(0,D8-E8-F8-G8-I8)</f>
        <v>0</v>
      </c>
      <c r="K8" s="89" t="n">
        <f aca="false">F8+G8+I8</f>
        <v>0</v>
      </c>
      <c r="L8" s="89" t="n">
        <f aca="false">L7*(1-$E$105)+I8</f>
        <v>0</v>
      </c>
      <c r="M8" s="89" t="n">
        <f aca="false">M7+G8</f>
        <v>0</v>
      </c>
      <c r="N8" s="89" t="n">
        <f aca="false">N7*(1-$E$100)+F8</f>
        <v>0</v>
      </c>
      <c r="O8" s="137" t="n">
        <f aca="false">IF(Champions!AY8&gt;0,Champions!AZ8/Champions!AY8,0)</f>
        <v>0</v>
      </c>
      <c r="P8" s="89" t="n">
        <f aca="false">L7*$E$104+N7*$E$99+M7*O8</f>
        <v>0</v>
      </c>
      <c r="Q8" s="89" t="n">
        <f aca="false">L7*$E$105</f>
        <v>0</v>
      </c>
      <c r="R8" s="89" t="n">
        <f aca="false">N7*$E$100</f>
        <v>0</v>
      </c>
      <c r="S8" s="89" t="n">
        <f aca="false">D8-E8-F8-G8-I8-J8</f>
        <v>0</v>
      </c>
    </row>
    <row r="9" customFormat="false" ht="13.5" hidden="false" customHeight="true" outlineLevel="0" collapsed="false">
      <c r="A9" s="1" t="n">
        <v>1849</v>
      </c>
      <c r="B9" s="136" t="n">
        <f aca="false">'Capital accounts'!D9</f>
        <v>0</v>
      </c>
      <c r="C9" s="89" t="n">
        <f aca="false">MAX(0,'Capital accounts'!I9)*$E$106/oil_book</f>
        <v>0</v>
      </c>
      <c r="D9" s="89" t="n">
        <f aca="false">B9+C9</f>
        <v>0</v>
      </c>
      <c r="E9" s="136" t="n">
        <f aca="false">'Capital accounts'!X9</f>
        <v>0</v>
      </c>
      <c r="F9" s="89" t="n">
        <f aca="false">IF(A9=1901,MIN($E$98,B9),0)</f>
        <v>0</v>
      </c>
      <c r="G9" s="89" t="n">
        <f aca="false">MIN(MAX(0,D9-E9-F9),$E$97*(D9-F9))</f>
        <v>0</v>
      </c>
      <c r="H9" s="89" t="n">
        <f aca="false">IF(AND(A9&gt;=1880,A9&lt;=1899),$E$101,IF(AND(A9&gt;=1900,A9&lt;=1913),$E$102,IF(AND(A9&gt;=1919,A9&lt;=1929),$E$103,0)))</f>
        <v>0</v>
      </c>
      <c r="I9" s="89" t="n">
        <f aca="false">MIN(H9,MAX(0,D9-E9-F9-G9))</f>
        <v>0</v>
      </c>
      <c r="J9" s="89" t="n">
        <f aca="false">MAX(0,D9-E9-F9-G9-I9)</f>
        <v>0</v>
      </c>
      <c r="K9" s="89" t="n">
        <f aca="false">F9+G9+I9</f>
        <v>0</v>
      </c>
      <c r="L9" s="89" t="n">
        <f aca="false">L8*(1-$E$105)+I9</f>
        <v>0</v>
      </c>
      <c r="M9" s="89" t="n">
        <f aca="false">M8+G9</f>
        <v>0</v>
      </c>
      <c r="N9" s="89" t="n">
        <f aca="false">N8*(1-$E$100)+F9</f>
        <v>0</v>
      </c>
      <c r="O9" s="137" t="n">
        <f aca="false">IF(Champions!AY9&gt;0,Champions!AZ9/Champions!AY9,0)</f>
        <v>0</v>
      </c>
      <c r="P9" s="89" t="n">
        <f aca="false">L8*$E$104+N8*$E$99+M8*O9</f>
        <v>0</v>
      </c>
      <c r="Q9" s="89" t="n">
        <f aca="false">L8*$E$105</f>
        <v>0</v>
      </c>
      <c r="R9" s="89" t="n">
        <f aca="false">N8*$E$100</f>
        <v>0</v>
      </c>
      <c r="S9" s="89" t="n">
        <f aca="false">D9-E9-F9-G9-I9-J9</f>
        <v>0</v>
      </c>
    </row>
    <row r="10" customFormat="false" ht="13.5" hidden="false" customHeight="true" outlineLevel="0" collapsed="false">
      <c r="A10" s="1" t="n">
        <v>1850</v>
      </c>
      <c r="B10" s="136" t="n">
        <f aca="false">'Capital accounts'!D10</f>
        <v>0</v>
      </c>
      <c r="C10" s="89" t="n">
        <f aca="false">MAX(0,'Capital accounts'!I10)*$E$106/oil_book</f>
        <v>0</v>
      </c>
      <c r="D10" s="89" t="n">
        <f aca="false">B10+C10</f>
        <v>0</v>
      </c>
      <c r="E10" s="136" t="n">
        <f aca="false">'Capital accounts'!X10</f>
        <v>0</v>
      </c>
      <c r="F10" s="89" t="n">
        <f aca="false">IF(A10=1901,MIN($E$98,B10),0)</f>
        <v>0</v>
      </c>
      <c r="G10" s="89" t="n">
        <f aca="false">MIN(MAX(0,D10-E10-F10),$E$97*(D10-F10))</f>
        <v>0</v>
      </c>
      <c r="H10" s="89" t="n">
        <f aca="false">IF(AND(A10&gt;=1880,A10&lt;=1899),$E$101,IF(AND(A10&gt;=1900,A10&lt;=1913),$E$102,IF(AND(A10&gt;=1919,A10&lt;=1929),$E$103,0)))</f>
        <v>0</v>
      </c>
      <c r="I10" s="89" t="n">
        <f aca="false">MIN(H10,MAX(0,D10-E10-F10-G10))</f>
        <v>0</v>
      </c>
      <c r="J10" s="89" t="n">
        <f aca="false">MAX(0,D10-E10-F10-G10-I10)</f>
        <v>0</v>
      </c>
      <c r="K10" s="89" t="n">
        <f aca="false">F10+G10+I10</f>
        <v>0</v>
      </c>
      <c r="L10" s="89" t="n">
        <f aca="false">L9*(1-$E$105)+I10</f>
        <v>0</v>
      </c>
      <c r="M10" s="89" t="n">
        <f aca="false">M9+G10</f>
        <v>0</v>
      </c>
      <c r="N10" s="89" t="n">
        <f aca="false">N9*(1-$E$100)+F10</f>
        <v>0</v>
      </c>
      <c r="O10" s="137" t="n">
        <f aca="false">IF(Champions!AY10&gt;0,Champions!AZ10/Champions!AY10,0)</f>
        <v>0</v>
      </c>
      <c r="P10" s="89" t="n">
        <f aca="false">L9*$E$104+N9*$E$99+M9*O10</f>
        <v>0</v>
      </c>
      <c r="Q10" s="89" t="n">
        <f aca="false">L9*$E$105</f>
        <v>0</v>
      </c>
      <c r="R10" s="89" t="n">
        <f aca="false">N9*$E$100</f>
        <v>0</v>
      </c>
      <c r="S10" s="89" t="n">
        <f aca="false">D10-E10-F10-G10-I10-J10</f>
        <v>0</v>
      </c>
    </row>
    <row r="11" customFormat="false" ht="13.5" hidden="false" customHeight="true" outlineLevel="0" collapsed="false">
      <c r="A11" s="1" t="n">
        <v>1851</v>
      </c>
      <c r="B11" s="136" t="n">
        <f aca="false">'Capital accounts'!D11</f>
        <v>0</v>
      </c>
      <c r="C11" s="89" t="n">
        <f aca="false">MAX(0,'Capital accounts'!I11)*$E$106/oil_book</f>
        <v>0</v>
      </c>
      <c r="D11" s="89" t="n">
        <f aca="false">B11+C11</f>
        <v>0</v>
      </c>
      <c r="E11" s="136" t="n">
        <f aca="false">'Capital accounts'!X11</f>
        <v>0</v>
      </c>
      <c r="F11" s="89" t="n">
        <f aca="false">IF(A11=1901,MIN($E$98,B11),0)</f>
        <v>0</v>
      </c>
      <c r="G11" s="89" t="n">
        <f aca="false">MIN(MAX(0,D11-E11-F11),$E$97*(D11-F11))</f>
        <v>0</v>
      </c>
      <c r="H11" s="89" t="n">
        <f aca="false">IF(AND(A11&gt;=1880,A11&lt;=1899),$E$101,IF(AND(A11&gt;=1900,A11&lt;=1913),$E$102,IF(AND(A11&gt;=1919,A11&lt;=1929),$E$103,0)))</f>
        <v>0</v>
      </c>
      <c r="I11" s="89" t="n">
        <f aca="false">MIN(H11,MAX(0,D11-E11-F11-G11))</f>
        <v>0</v>
      </c>
      <c r="J11" s="89" t="n">
        <f aca="false">MAX(0,D11-E11-F11-G11-I11)</f>
        <v>0</v>
      </c>
      <c r="K11" s="89" t="n">
        <f aca="false">F11+G11+I11</f>
        <v>0</v>
      </c>
      <c r="L11" s="89" t="n">
        <f aca="false">L10*(1-$E$105)+I11</f>
        <v>0</v>
      </c>
      <c r="M11" s="89" t="n">
        <f aca="false">M10+G11</f>
        <v>0</v>
      </c>
      <c r="N11" s="89" t="n">
        <f aca="false">N10*(1-$E$100)+F11</f>
        <v>0</v>
      </c>
      <c r="O11" s="137" t="n">
        <f aca="false">IF(Champions!AY11&gt;0,Champions!AZ11/Champions!AY11,0)</f>
        <v>0</v>
      </c>
      <c r="P11" s="89" t="n">
        <f aca="false">L10*$E$104+N10*$E$99+M10*O11</f>
        <v>0</v>
      </c>
      <c r="Q11" s="89" t="n">
        <f aca="false">L10*$E$105</f>
        <v>0</v>
      </c>
      <c r="R11" s="89" t="n">
        <f aca="false">N10*$E$100</f>
        <v>0</v>
      </c>
      <c r="S11" s="89" t="n">
        <f aca="false">D11-E11-F11-G11-I11-J11</f>
        <v>0</v>
      </c>
    </row>
    <row r="12" customFormat="false" ht="13.5" hidden="false" customHeight="true" outlineLevel="0" collapsed="false">
      <c r="A12" s="1" t="n">
        <v>1852</v>
      </c>
      <c r="B12" s="136" t="n">
        <f aca="false">'Capital accounts'!D12</f>
        <v>0</v>
      </c>
      <c r="C12" s="89" t="n">
        <f aca="false">MAX(0,'Capital accounts'!I12)*$E$106/oil_book</f>
        <v>0</v>
      </c>
      <c r="D12" s="89" t="n">
        <f aca="false">B12+C12</f>
        <v>0</v>
      </c>
      <c r="E12" s="136" t="n">
        <f aca="false">'Capital accounts'!X12</f>
        <v>0</v>
      </c>
      <c r="F12" s="89" t="n">
        <f aca="false">IF(A12=1901,MIN($E$98,B12),0)</f>
        <v>0</v>
      </c>
      <c r="G12" s="89" t="n">
        <f aca="false">MIN(MAX(0,D12-E12-F12),$E$97*(D12-F12))</f>
        <v>0</v>
      </c>
      <c r="H12" s="89" t="n">
        <f aca="false">IF(AND(A12&gt;=1880,A12&lt;=1899),$E$101,IF(AND(A12&gt;=1900,A12&lt;=1913),$E$102,IF(AND(A12&gt;=1919,A12&lt;=1929),$E$103,0)))</f>
        <v>0</v>
      </c>
      <c r="I12" s="89" t="n">
        <f aca="false">MIN(H12,MAX(0,D12-E12-F12-G12))</f>
        <v>0</v>
      </c>
      <c r="J12" s="89" t="n">
        <f aca="false">MAX(0,D12-E12-F12-G12-I12)</f>
        <v>0</v>
      </c>
      <c r="K12" s="89" t="n">
        <f aca="false">F12+G12+I12</f>
        <v>0</v>
      </c>
      <c r="L12" s="89" t="n">
        <f aca="false">L11*(1-$E$105)+I12</f>
        <v>0</v>
      </c>
      <c r="M12" s="89" t="n">
        <f aca="false">M11+G12</f>
        <v>0</v>
      </c>
      <c r="N12" s="89" t="n">
        <f aca="false">N11*(1-$E$100)+F12</f>
        <v>0</v>
      </c>
      <c r="O12" s="137" t="n">
        <f aca="false">IF(Champions!AY12&gt;0,Champions!AZ12/Champions!AY12,0)</f>
        <v>0</v>
      </c>
      <c r="P12" s="89" t="n">
        <f aca="false">L11*$E$104+N11*$E$99+M11*O12</f>
        <v>0</v>
      </c>
      <c r="Q12" s="89" t="n">
        <f aca="false">L11*$E$105</f>
        <v>0</v>
      </c>
      <c r="R12" s="89" t="n">
        <f aca="false">N11*$E$100</f>
        <v>0</v>
      </c>
      <c r="S12" s="89" t="n">
        <f aca="false">D12-E12-F12-G12-I12-J12</f>
        <v>0</v>
      </c>
    </row>
    <row r="13" customFormat="false" ht="13.5" hidden="false" customHeight="true" outlineLevel="0" collapsed="false">
      <c r="A13" s="1" t="n">
        <v>1853</v>
      </c>
      <c r="B13" s="136" t="n">
        <f aca="false">'Capital accounts'!D13</f>
        <v>0</v>
      </c>
      <c r="C13" s="89" t="n">
        <f aca="false">MAX(0,'Capital accounts'!I13)*$E$106/oil_book</f>
        <v>0</v>
      </c>
      <c r="D13" s="89" t="n">
        <f aca="false">B13+C13</f>
        <v>0</v>
      </c>
      <c r="E13" s="136" t="n">
        <f aca="false">'Capital accounts'!X13</f>
        <v>0</v>
      </c>
      <c r="F13" s="89" t="n">
        <f aca="false">IF(A13=1901,MIN($E$98,B13),0)</f>
        <v>0</v>
      </c>
      <c r="G13" s="89" t="n">
        <f aca="false">MIN(MAX(0,D13-E13-F13),$E$97*(D13-F13))</f>
        <v>0</v>
      </c>
      <c r="H13" s="89" t="n">
        <f aca="false">IF(AND(A13&gt;=1880,A13&lt;=1899),$E$101,IF(AND(A13&gt;=1900,A13&lt;=1913),$E$102,IF(AND(A13&gt;=1919,A13&lt;=1929),$E$103,0)))</f>
        <v>0</v>
      </c>
      <c r="I13" s="89" t="n">
        <f aca="false">MIN(H13,MAX(0,D13-E13-F13-G13))</f>
        <v>0</v>
      </c>
      <c r="J13" s="89" t="n">
        <f aca="false">MAX(0,D13-E13-F13-G13-I13)</f>
        <v>0</v>
      </c>
      <c r="K13" s="89" t="n">
        <f aca="false">F13+G13+I13</f>
        <v>0</v>
      </c>
      <c r="L13" s="89" t="n">
        <f aca="false">L12*(1-$E$105)+I13</f>
        <v>0</v>
      </c>
      <c r="M13" s="89" t="n">
        <f aca="false">M12+G13</f>
        <v>0</v>
      </c>
      <c r="N13" s="89" t="n">
        <f aca="false">N12*(1-$E$100)+F13</f>
        <v>0</v>
      </c>
      <c r="O13" s="137" t="n">
        <f aca="false">IF(Champions!AY13&gt;0,Champions!AZ13/Champions!AY13,0)</f>
        <v>0</v>
      </c>
      <c r="P13" s="89" t="n">
        <f aca="false">L12*$E$104+N12*$E$99+M12*O13</f>
        <v>0</v>
      </c>
      <c r="Q13" s="89" t="n">
        <f aca="false">L12*$E$105</f>
        <v>0</v>
      </c>
      <c r="R13" s="89" t="n">
        <f aca="false">N12*$E$100</f>
        <v>0</v>
      </c>
      <c r="S13" s="89" t="n">
        <f aca="false">D13-E13-F13-G13-I13-J13</f>
        <v>0</v>
      </c>
    </row>
    <row r="14" customFormat="false" ht="13.5" hidden="false" customHeight="true" outlineLevel="0" collapsed="false">
      <c r="A14" s="1" t="n">
        <v>1854</v>
      </c>
      <c r="B14" s="136" t="n">
        <f aca="false">'Capital accounts'!D14</f>
        <v>0</v>
      </c>
      <c r="C14" s="89" t="n">
        <f aca="false">MAX(0,'Capital accounts'!I14)*$E$106/oil_book</f>
        <v>0</v>
      </c>
      <c r="D14" s="89" t="n">
        <f aca="false">B14+C14</f>
        <v>0</v>
      </c>
      <c r="E14" s="136" t="n">
        <f aca="false">'Capital accounts'!X14</f>
        <v>0</v>
      </c>
      <c r="F14" s="89" t="n">
        <f aca="false">IF(A14=1901,MIN($E$98,B14),0)</f>
        <v>0</v>
      </c>
      <c r="G14" s="89" t="n">
        <f aca="false">MIN(MAX(0,D14-E14-F14),$E$97*(D14-F14))</f>
        <v>0</v>
      </c>
      <c r="H14" s="89" t="n">
        <f aca="false">IF(AND(A14&gt;=1880,A14&lt;=1899),$E$101,IF(AND(A14&gt;=1900,A14&lt;=1913),$E$102,IF(AND(A14&gt;=1919,A14&lt;=1929),$E$103,0)))</f>
        <v>0</v>
      </c>
      <c r="I14" s="89" t="n">
        <f aca="false">MIN(H14,MAX(0,D14-E14-F14-G14))</f>
        <v>0</v>
      </c>
      <c r="J14" s="89" t="n">
        <f aca="false">MAX(0,D14-E14-F14-G14-I14)</f>
        <v>0</v>
      </c>
      <c r="K14" s="89" t="n">
        <f aca="false">F14+G14+I14</f>
        <v>0</v>
      </c>
      <c r="L14" s="89" t="n">
        <f aca="false">L13*(1-$E$105)+I14</f>
        <v>0</v>
      </c>
      <c r="M14" s="89" t="n">
        <f aca="false">M13+G14</f>
        <v>0</v>
      </c>
      <c r="N14" s="89" t="n">
        <f aca="false">N13*(1-$E$100)+F14</f>
        <v>0</v>
      </c>
      <c r="O14" s="137" t="n">
        <f aca="false">IF(Champions!AY14&gt;0,Champions!AZ14/Champions!AY14,0)</f>
        <v>0</v>
      </c>
      <c r="P14" s="89" t="n">
        <f aca="false">L13*$E$104+N13*$E$99+M13*O14</f>
        <v>0</v>
      </c>
      <c r="Q14" s="89" t="n">
        <f aca="false">L13*$E$105</f>
        <v>0</v>
      </c>
      <c r="R14" s="89" t="n">
        <f aca="false">N13*$E$100</f>
        <v>0</v>
      </c>
      <c r="S14" s="89" t="n">
        <f aca="false">D14-E14-F14-G14-I14-J14</f>
        <v>0</v>
      </c>
    </row>
    <row r="15" customFormat="false" ht="13.5" hidden="false" customHeight="true" outlineLevel="0" collapsed="false">
      <c r="A15" s="1" t="n">
        <v>1855</v>
      </c>
      <c r="B15" s="136" t="n">
        <f aca="false">'Capital accounts'!D15</f>
        <v>0</v>
      </c>
      <c r="C15" s="89" t="n">
        <f aca="false">MAX(0,'Capital accounts'!I15)*$E$106/oil_book</f>
        <v>0</v>
      </c>
      <c r="D15" s="89" t="n">
        <f aca="false">B15+C15</f>
        <v>0</v>
      </c>
      <c r="E15" s="136" t="n">
        <f aca="false">'Capital accounts'!X15</f>
        <v>0</v>
      </c>
      <c r="F15" s="89" t="n">
        <f aca="false">IF(A15=1901,MIN($E$98,B15),0)</f>
        <v>0</v>
      </c>
      <c r="G15" s="89" t="n">
        <f aca="false">MIN(MAX(0,D15-E15-F15),$E$97*(D15-F15))</f>
        <v>0</v>
      </c>
      <c r="H15" s="89" t="n">
        <f aca="false">IF(AND(A15&gt;=1880,A15&lt;=1899),$E$101,IF(AND(A15&gt;=1900,A15&lt;=1913),$E$102,IF(AND(A15&gt;=1919,A15&lt;=1929),$E$103,0)))</f>
        <v>0</v>
      </c>
      <c r="I15" s="89" t="n">
        <f aca="false">MIN(H15,MAX(0,D15-E15-F15-G15))</f>
        <v>0</v>
      </c>
      <c r="J15" s="89" t="n">
        <f aca="false">MAX(0,D15-E15-F15-G15-I15)</f>
        <v>0</v>
      </c>
      <c r="K15" s="89" t="n">
        <f aca="false">F15+G15+I15</f>
        <v>0</v>
      </c>
      <c r="L15" s="89" t="n">
        <f aca="false">L14*(1-$E$105)+I15</f>
        <v>0</v>
      </c>
      <c r="M15" s="89" t="n">
        <f aca="false">M14+G15</f>
        <v>0</v>
      </c>
      <c r="N15" s="89" t="n">
        <f aca="false">N14*(1-$E$100)+F15</f>
        <v>0</v>
      </c>
      <c r="O15" s="137" t="n">
        <f aca="false">IF(Champions!AY15&gt;0,Champions!AZ15/Champions!AY15,0)</f>
        <v>0</v>
      </c>
      <c r="P15" s="89" t="n">
        <f aca="false">L14*$E$104+N14*$E$99+M14*O15</f>
        <v>0</v>
      </c>
      <c r="Q15" s="89" t="n">
        <f aca="false">L14*$E$105</f>
        <v>0</v>
      </c>
      <c r="R15" s="89" t="n">
        <f aca="false">N14*$E$100</f>
        <v>0</v>
      </c>
      <c r="S15" s="89" t="n">
        <f aca="false">D15-E15-F15-G15-I15-J15</f>
        <v>0</v>
      </c>
    </row>
    <row r="16" customFormat="false" ht="13.5" hidden="false" customHeight="true" outlineLevel="0" collapsed="false">
      <c r="A16" s="1" t="n">
        <v>1856</v>
      </c>
      <c r="B16" s="136" t="n">
        <f aca="false">'Capital accounts'!D16</f>
        <v>0</v>
      </c>
      <c r="C16" s="89" t="n">
        <f aca="false">MAX(0,'Capital accounts'!I16)*$E$106/oil_book</f>
        <v>0</v>
      </c>
      <c r="D16" s="89" t="n">
        <f aca="false">B16+C16</f>
        <v>0</v>
      </c>
      <c r="E16" s="136" t="n">
        <f aca="false">'Capital accounts'!X16</f>
        <v>0</v>
      </c>
      <c r="F16" s="89" t="n">
        <f aca="false">IF(A16=1901,MIN($E$98,B16),0)</f>
        <v>0</v>
      </c>
      <c r="G16" s="89" t="n">
        <f aca="false">MIN(MAX(0,D16-E16-F16),$E$97*(D16-F16))</f>
        <v>0</v>
      </c>
      <c r="H16" s="89" t="n">
        <f aca="false">IF(AND(A16&gt;=1880,A16&lt;=1899),$E$101,IF(AND(A16&gt;=1900,A16&lt;=1913),$E$102,IF(AND(A16&gt;=1919,A16&lt;=1929),$E$103,0)))</f>
        <v>0</v>
      </c>
      <c r="I16" s="89" t="n">
        <f aca="false">MIN(H16,MAX(0,D16-E16-F16-G16))</f>
        <v>0</v>
      </c>
      <c r="J16" s="89" t="n">
        <f aca="false">MAX(0,D16-E16-F16-G16-I16)</f>
        <v>0</v>
      </c>
      <c r="K16" s="89" t="n">
        <f aca="false">F16+G16+I16</f>
        <v>0</v>
      </c>
      <c r="L16" s="89" t="n">
        <f aca="false">L15*(1-$E$105)+I16</f>
        <v>0</v>
      </c>
      <c r="M16" s="89" t="n">
        <f aca="false">M15+G16</f>
        <v>0</v>
      </c>
      <c r="N16" s="89" t="n">
        <f aca="false">N15*(1-$E$100)+F16</f>
        <v>0</v>
      </c>
      <c r="O16" s="137" t="n">
        <f aca="false">IF(Champions!AY16&gt;0,Champions!AZ16/Champions!AY16,0)</f>
        <v>0</v>
      </c>
      <c r="P16" s="89" t="n">
        <f aca="false">L15*$E$104+N15*$E$99+M15*O16</f>
        <v>0</v>
      </c>
      <c r="Q16" s="89" t="n">
        <f aca="false">L15*$E$105</f>
        <v>0</v>
      </c>
      <c r="R16" s="89" t="n">
        <f aca="false">N15*$E$100</f>
        <v>0</v>
      </c>
      <c r="S16" s="89" t="n">
        <f aca="false">D16-E16-F16-G16-I16-J16</f>
        <v>0</v>
      </c>
    </row>
    <row r="17" customFormat="false" ht="13.5" hidden="false" customHeight="true" outlineLevel="0" collapsed="false">
      <c r="A17" s="1" t="n">
        <v>1857</v>
      </c>
      <c r="B17" s="136" t="n">
        <f aca="false">'Capital accounts'!D17</f>
        <v>0</v>
      </c>
      <c r="C17" s="89" t="n">
        <f aca="false">MAX(0,'Capital accounts'!I17)*$E$106/oil_book</f>
        <v>0</v>
      </c>
      <c r="D17" s="89" t="n">
        <f aca="false">B17+C17</f>
        <v>0</v>
      </c>
      <c r="E17" s="136" t="n">
        <f aca="false">'Capital accounts'!X17</f>
        <v>0</v>
      </c>
      <c r="F17" s="89" t="n">
        <f aca="false">IF(A17=1901,MIN($E$98,B17),0)</f>
        <v>0</v>
      </c>
      <c r="G17" s="89" t="n">
        <f aca="false">MIN(MAX(0,D17-E17-F17),$E$97*(D17-F17))</f>
        <v>0</v>
      </c>
      <c r="H17" s="89" t="n">
        <f aca="false">IF(AND(A17&gt;=1880,A17&lt;=1899),$E$101,IF(AND(A17&gt;=1900,A17&lt;=1913),$E$102,IF(AND(A17&gt;=1919,A17&lt;=1929),$E$103,0)))</f>
        <v>0</v>
      </c>
      <c r="I17" s="89" t="n">
        <f aca="false">MIN(H17,MAX(0,D17-E17-F17-G17))</f>
        <v>0</v>
      </c>
      <c r="J17" s="89" t="n">
        <f aca="false">MAX(0,D17-E17-F17-G17-I17)</f>
        <v>0</v>
      </c>
      <c r="K17" s="89" t="n">
        <f aca="false">F17+G17+I17</f>
        <v>0</v>
      </c>
      <c r="L17" s="89" t="n">
        <f aca="false">L16*(1-$E$105)+I17</f>
        <v>0</v>
      </c>
      <c r="M17" s="89" t="n">
        <f aca="false">M16+G17</f>
        <v>0</v>
      </c>
      <c r="N17" s="89" t="n">
        <f aca="false">N16*(1-$E$100)+F17</f>
        <v>0</v>
      </c>
      <c r="O17" s="137" t="n">
        <f aca="false">IF(Champions!AY17&gt;0,Champions!AZ17/Champions!AY17,0)</f>
        <v>0</v>
      </c>
      <c r="P17" s="89" t="n">
        <f aca="false">L16*$E$104+N16*$E$99+M16*O17</f>
        <v>0</v>
      </c>
      <c r="Q17" s="89" t="n">
        <f aca="false">L16*$E$105</f>
        <v>0</v>
      </c>
      <c r="R17" s="89" t="n">
        <f aca="false">N16*$E$100</f>
        <v>0</v>
      </c>
      <c r="S17" s="89" t="n">
        <f aca="false">D17-E17-F17-G17-I17-J17</f>
        <v>0</v>
      </c>
    </row>
    <row r="18" customFormat="false" ht="13.5" hidden="false" customHeight="true" outlineLevel="0" collapsed="false">
      <c r="A18" s="1" t="n">
        <v>1858</v>
      </c>
      <c r="B18" s="136" t="n">
        <f aca="false">'Capital accounts'!D18</f>
        <v>0</v>
      </c>
      <c r="C18" s="89" t="n">
        <f aca="false">MAX(0,'Capital accounts'!I18)*$E$106/oil_book</f>
        <v>0</v>
      </c>
      <c r="D18" s="89" t="n">
        <f aca="false">B18+C18</f>
        <v>0</v>
      </c>
      <c r="E18" s="136" t="n">
        <f aca="false">'Capital accounts'!X18</f>
        <v>0</v>
      </c>
      <c r="F18" s="89" t="n">
        <f aca="false">IF(A18=1901,MIN($E$98,B18),0)</f>
        <v>0</v>
      </c>
      <c r="G18" s="89" t="n">
        <f aca="false">MIN(MAX(0,D18-E18-F18),$E$97*(D18-F18))</f>
        <v>0</v>
      </c>
      <c r="H18" s="89" t="n">
        <f aca="false">IF(AND(A18&gt;=1880,A18&lt;=1899),$E$101,IF(AND(A18&gt;=1900,A18&lt;=1913),$E$102,IF(AND(A18&gt;=1919,A18&lt;=1929),$E$103,0)))</f>
        <v>0</v>
      </c>
      <c r="I18" s="89" t="n">
        <f aca="false">MIN(H18,MAX(0,D18-E18-F18-G18))</f>
        <v>0</v>
      </c>
      <c r="J18" s="89" t="n">
        <f aca="false">MAX(0,D18-E18-F18-G18-I18)</f>
        <v>0</v>
      </c>
      <c r="K18" s="89" t="n">
        <f aca="false">F18+G18+I18</f>
        <v>0</v>
      </c>
      <c r="L18" s="89" t="n">
        <f aca="false">L17*(1-$E$105)+I18</f>
        <v>0</v>
      </c>
      <c r="M18" s="89" t="n">
        <f aca="false">M17+G18</f>
        <v>0</v>
      </c>
      <c r="N18" s="89" t="n">
        <f aca="false">N17*(1-$E$100)+F18</f>
        <v>0</v>
      </c>
      <c r="O18" s="137" t="n">
        <f aca="false">IF(Champions!AY18&gt;0,Champions!AZ18/Champions!AY18,0)</f>
        <v>0</v>
      </c>
      <c r="P18" s="89" t="n">
        <f aca="false">L17*$E$104+N17*$E$99+M17*O18</f>
        <v>0</v>
      </c>
      <c r="Q18" s="89" t="n">
        <f aca="false">L17*$E$105</f>
        <v>0</v>
      </c>
      <c r="R18" s="89" t="n">
        <f aca="false">N17*$E$100</f>
        <v>0</v>
      </c>
      <c r="S18" s="89" t="n">
        <f aca="false">D18-E18-F18-G18-I18-J18</f>
        <v>0</v>
      </c>
    </row>
    <row r="19" customFormat="false" ht="13.5" hidden="false" customHeight="true" outlineLevel="0" collapsed="false">
      <c r="A19" s="1" t="n">
        <v>1859</v>
      </c>
      <c r="B19" s="136" t="n">
        <f aca="false">'Capital accounts'!D19</f>
        <v>0</v>
      </c>
      <c r="C19" s="89" t="n">
        <f aca="false">MAX(0,'Capital accounts'!I19)*$E$106/oil_book</f>
        <v>0</v>
      </c>
      <c r="D19" s="89" t="n">
        <f aca="false">B19+C19</f>
        <v>0</v>
      </c>
      <c r="E19" s="136" t="n">
        <f aca="false">'Capital accounts'!X19</f>
        <v>0</v>
      </c>
      <c r="F19" s="89" t="n">
        <f aca="false">IF(A19=1901,MIN($E$98,B19),0)</f>
        <v>0</v>
      </c>
      <c r="G19" s="89" t="n">
        <f aca="false">MIN(MAX(0,D19-E19-F19),$E$97*(D19-F19))</f>
        <v>0</v>
      </c>
      <c r="H19" s="89" t="n">
        <f aca="false">IF(AND(A19&gt;=1880,A19&lt;=1899),$E$101,IF(AND(A19&gt;=1900,A19&lt;=1913),$E$102,IF(AND(A19&gt;=1919,A19&lt;=1929),$E$103,0)))</f>
        <v>0</v>
      </c>
      <c r="I19" s="89" t="n">
        <f aca="false">MIN(H19,MAX(0,D19-E19-F19-G19))</f>
        <v>0</v>
      </c>
      <c r="J19" s="89" t="n">
        <f aca="false">MAX(0,D19-E19-F19-G19-I19)</f>
        <v>0</v>
      </c>
      <c r="K19" s="89" t="n">
        <f aca="false">F19+G19+I19</f>
        <v>0</v>
      </c>
      <c r="L19" s="89" t="n">
        <f aca="false">L18*(1-$E$105)+I19</f>
        <v>0</v>
      </c>
      <c r="M19" s="89" t="n">
        <f aca="false">M18+G19</f>
        <v>0</v>
      </c>
      <c r="N19" s="89" t="n">
        <f aca="false">N18*(1-$E$100)+F19</f>
        <v>0</v>
      </c>
      <c r="O19" s="137" t="n">
        <f aca="false">IF(Champions!AY19&gt;0,Champions!AZ19/Champions!AY19,0)</f>
        <v>0</v>
      </c>
      <c r="P19" s="89" t="n">
        <f aca="false">L18*$E$104+N18*$E$99+M18*O19</f>
        <v>0</v>
      </c>
      <c r="Q19" s="89" t="n">
        <f aca="false">L18*$E$105</f>
        <v>0</v>
      </c>
      <c r="R19" s="89" t="n">
        <f aca="false">N18*$E$100</f>
        <v>0</v>
      </c>
      <c r="S19" s="89" t="n">
        <f aca="false">D19-E19-F19-G19-I19-J19</f>
        <v>0</v>
      </c>
    </row>
    <row r="20" customFormat="false" ht="13.5" hidden="false" customHeight="true" outlineLevel="0" collapsed="false">
      <c r="A20" s="1" t="n">
        <v>1860</v>
      </c>
      <c r="B20" s="136" t="n">
        <f aca="false">'Capital accounts'!D20</f>
        <v>0</v>
      </c>
      <c r="C20" s="89" t="n">
        <f aca="false">MAX(0,'Capital accounts'!I20)*$E$106/oil_book</f>
        <v>0</v>
      </c>
      <c r="D20" s="89" t="n">
        <f aca="false">B20+C20</f>
        <v>0</v>
      </c>
      <c r="E20" s="136" t="n">
        <f aca="false">'Capital accounts'!X20</f>
        <v>0</v>
      </c>
      <c r="F20" s="89" t="n">
        <f aca="false">IF(A20=1901,MIN($E$98,B20),0)</f>
        <v>0</v>
      </c>
      <c r="G20" s="89" t="n">
        <f aca="false">MIN(MAX(0,D20-E20-F20),$E$97*(D20-F20))</f>
        <v>0</v>
      </c>
      <c r="H20" s="89" t="n">
        <f aca="false">IF(AND(A20&gt;=1880,A20&lt;=1899),$E$101,IF(AND(A20&gt;=1900,A20&lt;=1913),$E$102,IF(AND(A20&gt;=1919,A20&lt;=1929),$E$103,0)))</f>
        <v>0</v>
      </c>
      <c r="I20" s="89" t="n">
        <f aca="false">MIN(H20,MAX(0,D20-E20-F20-G20))</f>
        <v>0</v>
      </c>
      <c r="J20" s="89" t="n">
        <f aca="false">MAX(0,D20-E20-F20-G20-I20)</f>
        <v>0</v>
      </c>
      <c r="K20" s="89" t="n">
        <f aca="false">F20+G20+I20</f>
        <v>0</v>
      </c>
      <c r="L20" s="89" t="n">
        <f aca="false">L19*(1-$E$105)+I20</f>
        <v>0</v>
      </c>
      <c r="M20" s="89" t="n">
        <f aca="false">M19+G20</f>
        <v>0</v>
      </c>
      <c r="N20" s="89" t="n">
        <f aca="false">N19*(1-$E$100)+F20</f>
        <v>0</v>
      </c>
      <c r="O20" s="137" t="n">
        <f aca="false">IF(Champions!AY20&gt;0,Champions!AZ20/Champions!AY20,0)</f>
        <v>0</v>
      </c>
      <c r="P20" s="89" t="n">
        <f aca="false">L19*$E$104+N19*$E$99+M19*O20</f>
        <v>0</v>
      </c>
      <c r="Q20" s="89" t="n">
        <f aca="false">L19*$E$105</f>
        <v>0</v>
      </c>
      <c r="R20" s="89" t="n">
        <f aca="false">N19*$E$100</f>
        <v>0</v>
      </c>
      <c r="S20" s="89" t="n">
        <f aca="false">D20-E20-F20-G20-I20-J20</f>
        <v>0</v>
      </c>
    </row>
    <row r="21" customFormat="false" ht="13.5" hidden="false" customHeight="true" outlineLevel="0" collapsed="false">
      <c r="A21" s="1" t="n">
        <v>1861</v>
      </c>
      <c r="B21" s="136" t="n">
        <f aca="false">'Capital accounts'!D21</f>
        <v>0</v>
      </c>
      <c r="C21" s="89" t="n">
        <f aca="false">MAX(0,'Capital accounts'!I21)*$E$106/oil_book</f>
        <v>0</v>
      </c>
      <c r="D21" s="89" t="n">
        <f aca="false">B21+C21</f>
        <v>0</v>
      </c>
      <c r="E21" s="136" t="n">
        <f aca="false">'Capital accounts'!X21</f>
        <v>0</v>
      </c>
      <c r="F21" s="89" t="n">
        <f aca="false">IF(A21=1901,MIN($E$98,B21),0)</f>
        <v>0</v>
      </c>
      <c r="G21" s="89" t="n">
        <f aca="false">MIN(MAX(0,D21-E21-F21),$E$97*(D21-F21))</f>
        <v>0</v>
      </c>
      <c r="H21" s="89" t="n">
        <f aca="false">IF(AND(A21&gt;=1880,A21&lt;=1899),$E$101,IF(AND(A21&gt;=1900,A21&lt;=1913),$E$102,IF(AND(A21&gt;=1919,A21&lt;=1929),$E$103,0)))</f>
        <v>0</v>
      </c>
      <c r="I21" s="89" t="n">
        <f aca="false">MIN(H21,MAX(0,D21-E21-F21-G21))</f>
        <v>0</v>
      </c>
      <c r="J21" s="89" t="n">
        <f aca="false">MAX(0,D21-E21-F21-G21-I21)</f>
        <v>0</v>
      </c>
      <c r="K21" s="89" t="n">
        <f aca="false">F21+G21+I21</f>
        <v>0</v>
      </c>
      <c r="L21" s="89" t="n">
        <f aca="false">L20*(1-$E$105)+I21</f>
        <v>0</v>
      </c>
      <c r="M21" s="89" t="n">
        <f aca="false">M20+G21</f>
        <v>0</v>
      </c>
      <c r="N21" s="89" t="n">
        <f aca="false">N20*(1-$E$100)+F21</f>
        <v>0</v>
      </c>
      <c r="O21" s="137" t="n">
        <f aca="false">IF(Champions!AY21&gt;0,Champions!AZ21/Champions!AY21,0)</f>
        <v>0</v>
      </c>
      <c r="P21" s="89" t="n">
        <f aca="false">L20*$E$104+N20*$E$99+M20*O21</f>
        <v>0</v>
      </c>
      <c r="Q21" s="89" t="n">
        <f aca="false">L20*$E$105</f>
        <v>0</v>
      </c>
      <c r="R21" s="89" t="n">
        <f aca="false">N20*$E$100</f>
        <v>0</v>
      </c>
      <c r="S21" s="89" t="n">
        <f aca="false">D21-E21-F21-G21-I21-J21</f>
        <v>0</v>
      </c>
    </row>
    <row r="22" customFormat="false" ht="13.5" hidden="false" customHeight="true" outlineLevel="0" collapsed="false">
      <c r="A22" s="1" t="n">
        <v>1862</v>
      </c>
      <c r="B22" s="136" t="n">
        <f aca="false">'Capital accounts'!D22</f>
        <v>0</v>
      </c>
      <c r="C22" s="89" t="n">
        <f aca="false">MAX(0,'Capital accounts'!I22)*$E$106/oil_book</f>
        <v>0</v>
      </c>
      <c r="D22" s="89" t="n">
        <f aca="false">B22+C22</f>
        <v>0</v>
      </c>
      <c r="E22" s="136" t="n">
        <f aca="false">'Capital accounts'!X22</f>
        <v>0</v>
      </c>
      <c r="F22" s="89" t="n">
        <f aca="false">IF(A22=1901,MIN($E$98,B22),0)</f>
        <v>0</v>
      </c>
      <c r="G22" s="89" t="n">
        <f aca="false">MIN(MAX(0,D22-E22-F22),$E$97*(D22-F22))</f>
        <v>0</v>
      </c>
      <c r="H22" s="89" t="n">
        <f aca="false">IF(AND(A22&gt;=1880,A22&lt;=1899),$E$101,IF(AND(A22&gt;=1900,A22&lt;=1913),$E$102,IF(AND(A22&gt;=1919,A22&lt;=1929),$E$103,0)))</f>
        <v>0</v>
      </c>
      <c r="I22" s="89" t="n">
        <f aca="false">MIN(H22,MAX(0,D22-E22-F22-G22))</f>
        <v>0</v>
      </c>
      <c r="J22" s="89" t="n">
        <f aca="false">MAX(0,D22-E22-F22-G22-I22)</f>
        <v>0</v>
      </c>
      <c r="K22" s="89" t="n">
        <f aca="false">F22+G22+I22</f>
        <v>0</v>
      </c>
      <c r="L22" s="89" t="n">
        <f aca="false">L21*(1-$E$105)+I22</f>
        <v>0</v>
      </c>
      <c r="M22" s="89" t="n">
        <f aca="false">M21+G22</f>
        <v>0</v>
      </c>
      <c r="N22" s="89" t="n">
        <f aca="false">N21*(1-$E$100)+F22</f>
        <v>0</v>
      </c>
      <c r="O22" s="137" t="n">
        <f aca="false">IF(Champions!AY22&gt;0,Champions!AZ22/Champions!AY22,0)</f>
        <v>0</v>
      </c>
      <c r="P22" s="89" t="n">
        <f aca="false">L21*$E$104+N21*$E$99+M21*O22</f>
        <v>0</v>
      </c>
      <c r="Q22" s="89" t="n">
        <f aca="false">L21*$E$105</f>
        <v>0</v>
      </c>
      <c r="R22" s="89" t="n">
        <f aca="false">N21*$E$100</f>
        <v>0</v>
      </c>
      <c r="S22" s="89" t="n">
        <f aca="false">D22-E22-F22-G22-I22-J22</f>
        <v>0</v>
      </c>
    </row>
    <row r="23" customFormat="false" ht="13.5" hidden="false" customHeight="true" outlineLevel="0" collapsed="false">
      <c r="A23" s="1" t="n">
        <v>1863</v>
      </c>
      <c r="B23" s="136" t="n">
        <f aca="false">'Capital accounts'!D23</f>
        <v>0</v>
      </c>
      <c r="C23" s="89" t="n">
        <f aca="false">MAX(0,'Capital accounts'!I23)*$E$106/oil_book</f>
        <v>0</v>
      </c>
      <c r="D23" s="89" t="n">
        <f aca="false">B23+C23</f>
        <v>0</v>
      </c>
      <c r="E23" s="136" t="n">
        <f aca="false">'Capital accounts'!X23</f>
        <v>0</v>
      </c>
      <c r="F23" s="89" t="n">
        <f aca="false">IF(A23=1901,MIN($E$98,B23),0)</f>
        <v>0</v>
      </c>
      <c r="G23" s="89" t="n">
        <f aca="false">MIN(MAX(0,D23-E23-F23),$E$97*(D23-F23))</f>
        <v>0</v>
      </c>
      <c r="H23" s="89" t="n">
        <f aca="false">IF(AND(A23&gt;=1880,A23&lt;=1899),$E$101,IF(AND(A23&gt;=1900,A23&lt;=1913),$E$102,IF(AND(A23&gt;=1919,A23&lt;=1929),$E$103,0)))</f>
        <v>0</v>
      </c>
      <c r="I23" s="89" t="n">
        <f aca="false">MIN(H23,MAX(0,D23-E23-F23-G23))</f>
        <v>0</v>
      </c>
      <c r="J23" s="89" t="n">
        <f aca="false">MAX(0,D23-E23-F23-G23-I23)</f>
        <v>0</v>
      </c>
      <c r="K23" s="89" t="n">
        <f aca="false">F23+G23+I23</f>
        <v>0</v>
      </c>
      <c r="L23" s="89" t="n">
        <f aca="false">L22*(1-$E$105)+I23</f>
        <v>0</v>
      </c>
      <c r="M23" s="89" t="n">
        <f aca="false">M22+G23</f>
        <v>0</v>
      </c>
      <c r="N23" s="89" t="n">
        <f aca="false">N22*(1-$E$100)+F23</f>
        <v>0</v>
      </c>
      <c r="O23" s="137" t="n">
        <f aca="false">IF(Champions!AY23&gt;0,Champions!AZ23/Champions!AY23,0)</f>
        <v>0</v>
      </c>
      <c r="P23" s="89" t="n">
        <f aca="false">L22*$E$104+N22*$E$99+M22*O23</f>
        <v>0</v>
      </c>
      <c r="Q23" s="89" t="n">
        <f aca="false">L22*$E$105</f>
        <v>0</v>
      </c>
      <c r="R23" s="89" t="n">
        <f aca="false">N22*$E$100</f>
        <v>0</v>
      </c>
      <c r="S23" s="89" t="n">
        <f aca="false">D23-E23-F23-G23-I23-J23</f>
        <v>0</v>
      </c>
    </row>
    <row r="24" customFormat="false" ht="13.5" hidden="false" customHeight="true" outlineLevel="0" collapsed="false">
      <c r="A24" s="1" t="n">
        <v>1864</v>
      </c>
      <c r="B24" s="136" t="n">
        <f aca="false">'Capital accounts'!D24</f>
        <v>0</v>
      </c>
      <c r="C24" s="89" t="n">
        <f aca="false">MAX(0,'Capital accounts'!I24)*$E$106/oil_book</f>
        <v>0</v>
      </c>
      <c r="D24" s="89" t="n">
        <f aca="false">B24+C24</f>
        <v>0</v>
      </c>
      <c r="E24" s="136" t="n">
        <f aca="false">'Capital accounts'!X24</f>
        <v>0</v>
      </c>
      <c r="F24" s="89" t="n">
        <f aca="false">IF(A24=1901,MIN($E$98,B24),0)</f>
        <v>0</v>
      </c>
      <c r="G24" s="89" t="n">
        <f aca="false">MIN(MAX(0,D24-E24-F24),$E$97*(D24-F24))</f>
        <v>0</v>
      </c>
      <c r="H24" s="89" t="n">
        <f aca="false">IF(AND(A24&gt;=1880,A24&lt;=1899),$E$101,IF(AND(A24&gt;=1900,A24&lt;=1913),$E$102,IF(AND(A24&gt;=1919,A24&lt;=1929),$E$103,0)))</f>
        <v>0</v>
      </c>
      <c r="I24" s="89" t="n">
        <f aca="false">MIN(H24,MAX(0,D24-E24-F24-G24))</f>
        <v>0</v>
      </c>
      <c r="J24" s="89" t="n">
        <f aca="false">MAX(0,D24-E24-F24-G24-I24)</f>
        <v>0</v>
      </c>
      <c r="K24" s="89" t="n">
        <f aca="false">F24+G24+I24</f>
        <v>0</v>
      </c>
      <c r="L24" s="89" t="n">
        <f aca="false">L23*(1-$E$105)+I24</f>
        <v>0</v>
      </c>
      <c r="M24" s="89" t="n">
        <f aca="false">M23+G24</f>
        <v>0</v>
      </c>
      <c r="N24" s="89" t="n">
        <f aca="false">N23*(1-$E$100)+F24</f>
        <v>0</v>
      </c>
      <c r="O24" s="137" t="n">
        <f aca="false">IF(Champions!AY24&gt;0,Champions!AZ24/Champions!AY24,0)</f>
        <v>0</v>
      </c>
      <c r="P24" s="89" t="n">
        <f aca="false">L23*$E$104+N23*$E$99+M23*O24</f>
        <v>0</v>
      </c>
      <c r="Q24" s="89" t="n">
        <f aca="false">L23*$E$105</f>
        <v>0</v>
      </c>
      <c r="R24" s="89" t="n">
        <f aca="false">N23*$E$100</f>
        <v>0</v>
      </c>
      <c r="S24" s="89" t="n">
        <f aca="false">D24-E24-F24-G24-I24-J24</f>
        <v>0</v>
      </c>
    </row>
    <row r="25" customFormat="false" ht="13.5" hidden="false" customHeight="true" outlineLevel="0" collapsed="false">
      <c r="A25" s="1" t="n">
        <v>1865</v>
      </c>
      <c r="B25" s="136" t="n">
        <f aca="false">'Capital accounts'!D25</f>
        <v>0</v>
      </c>
      <c r="C25" s="89" t="n">
        <f aca="false">MAX(0,'Capital accounts'!I25)*$E$106/oil_book</f>
        <v>0</v>
      </c>
      <c r="D25" s="89" t="n">
        <f aca="false">B25+C25</f>
        <v>0</v>
      </c>
      <c r="E25" s="136" t="n">
        <f aca="false">'Capital accounts'!X25</f>
        <v>0</v>
      </c>
      <c r="F25" s="89" t="n">
        <f aca="false">IF(A25=1901,MIN($E$98,B25),0)</f>
        <v>0</v>
      </c>
      <c r="G25" s="89" t="n">
        <f aca="false">MIN(MAX(0,D25-E25-F25),$E$97*(D25-F25))</f>
        <v>0</v>
      </c>
      <c r="H25" s="89" t="n">
        <f aca="false">IF(AND(A25&gt;=1880,A25&lt;=1899),$E$101,IF(AND(A25&gt;=1900,A25&lt;=1913),$E$102,IF(AND(A25&gt;=1919,A25&lt;=1929),$E$103,0)))</f>
        <v>0</v>
      </c>
      <c r="I25" s="89" t="n">
        <f aca="false">MIN(H25,MAX(0,D25-E25-F25-G25))</f>
        <v>0</v>
      </c>
      <c r="J25" s="89" t="n">
        <f aca="false">MAX(0,D25-E25-F25-G25-I25)</f>
        <v>0</v>
      </c>
      <c r="K25" s="89" t="n">
        <f aca="false">F25+G25+I25</f>
        <v>0</v>
      </c>
      <c r="L25" s="89" t="n">
        <f aca="false">L24*(1-$E$105)+I25</f>
        <v>0</v>
      </c>
      <c r="M25" s="89" t="n">
        <f aca="false">M24+G25</f>
        <v>0</v>
      </c>
      <c r="N25" s="89" t="n">
        <f aca="false">N24*(1-$E$100)+F25</f>
        <v>0</v>
      </c>
      <c r="O25" s="137" t="n">
        <f aca="false">IF(Champions!AY25&gt;0,Champions!AZ25/Champions!AY25,0)</f>
        <v>0</v>
      </c>
      <c r="P25" s="89" t="n">
        <f aca="false">L24*$E$104+N24*$E$99+M24*O25</f>
        <v>0</v>
      </c>
      <c r="Q25" s="89" t="n">
        <f aca="false">L24*$E$105</f>
        <v>0</v>
      </c>
      <c r="R25" s="89" t="n">
        <f aca="false">N24*$E$100</f>
        <v>0</v>
      </c>
      <c r="S25" s="89" t="n">
        <f aca="false">D25-E25-F25-G25-I25-J25</f>
        <v>0</v>
      </c>
    </row>
    <row r="26" customFormat="false" ht="13.5" hidden="false" customHeight="true" outlineLevel="0" collapsed="false">
      <c r="A26" s="1" t="n">
        <v>1866</v>
      </c>
      <c r="B26" s="136" t="n">
        <f aca="false">'Capital accounts'!D26</f>
        <v>0</v>
      </c>
      <c r="C26" s="89" t="n">
        <f aca="false">MAX(0,'Capital accounts'!I26)*$E$106/oil_book</f>
        <v>0</v>
      </c>
      <c r="D26" s="89" t="n">
        <f aca="false">B26+C26</f>
        <v>0</v>
      </c>
      <c r="E26" s="136" t="n">
        <f aca="false">'Capital accounts'!X26</f>
        <v>0</v>
      </c>
      <c r="F26" s="89" t="n">
        <f aca="false">IF(A26=1901,MIN($E$98,B26),0)</f>
        <v>0</v>
      </c>
      <c r="G26" s="89" t="n">
        <f aca="false">MIN(MAX(0,D26-E26-F26),$E$97*(D26-F26))</f>
        <v>0</v>
      </c>
      <c r="H26" s="89" t="n">
        <f aca="false">IF(AND(A26&gt;=1880,A26&lt;=1899),$E$101,IF(AND(A26&gt;=1900,A26&lt;=1913),$E$102,IF(AND(A26&gt;=1919,A26&lt;=1929),$E$103,0)))</f>
        <v>0</v>
      </c>
      <c r="I26" s="89" t="n">
        <f aca="false">MIN(H26,MAX(0,D26-E26-F26-G26))</f>
        <v>0</v>
      </c>
      <c r="J26" s="89" t="n">
        <f aca="false">MAX(0,D26-E26-F26-G26-I26)</f>
        <v>0</v>
      </c>
      <c r="K26" s="89" t="n">
        <f aca="false">F26+G26+I26</f>
        <v>0</v>
      </c>
      <c r="L26" s="89" t="n">
        <f aca="false">L25*(1-$E$105)+I26</f>
        <v>0</v>
      </c>
      <c r="M26" s="89" t="n">
        <f aca="false">M25+G26</f>
        <v>0</v>
      </c>
      <c r="N26" s="89" t="n">
        <f aca="false">N25*(1-$E$100)+F26</f>
        <v>0</v>
      </c>
      <c r="O26" s="137" t="n">
        <f aca="false">IF(Champions!AY26&gt;0,Champions!AZ26/Champions!AY26,0)</f>
        <v>0</v>
      </c>
      <c r="P26" s="89" t="n">
        <f aca="false">L25*$E$104+N25*$E$99+M25*O26</f>
        <v>0</v>
      </c>
      <c r="Q26" s="89" t="n">
        <f aca="false">L25*$E$105</f>
        <v>0</v>
      </c>
      <c r="R26" s="89" t="n">
        <f aca="false">N25*$E$100</f>
        <v>0</v>
      </c>
      <c r="S26" s="89" t="n">
        <f aca="false">D26-E26-F26-G26-I26-J26</f>
        <v>0</v>
      </c>
    </row>
    <row r="27" customFormat="false" ht="13.5" hidden="false" customHeight="true" outlineLevel="0" collapsed="false">
      <c r="A27" s="1" t="n">
        <v>1867</v>
      </c>
      <c r="B27" s="136" t="n">
        <f aca="false">'Capital accounts'!D27</f>
        <v>0</v>
      </c>
      <c r="C27" s="89" t="n">
        <f aca="false">MAX(0,'Capital accounts'!I27)*$E$106/oil_book</f>
        <v>0</v>
      </c>
      <c r="D27" s="89" t="n">
        <f aca="false">B27+C27</f>
        <v>0</v>
      </c>
      <c r="E27" s="136" t="n">
        <f aca="false">'Capital accounts'!X27</f>
        <v>0</v>
      </c>
      <c r="F27" s="89" t="n">
        <f aca="false">IF(A27=1901,MIN($E$98,B27),0)</f>
        <v>0</v>
      </c>
      <c r="G27" s="89" t="n">
        <f aca="false">MIN(MAX(0,D27-E27-F27),$E$97*(D27-F27))</f>
        <v>0</v>
      </c>
      <c r="H27" s="89" t="n">
        <f aca="false">IF(AND(A27&gt;=1880,A27&lt;=1899),$E$101,IF(AND(A27&gt;=1900,A27&lt;=1913),$E$102,IF(AND(A27&gt;=1919,A27&lt;=1929),$E$103,0)))</f>
        <v>0</v>
      </c>
      <c r="I27" s="89" t="n">
        <f aca="false">MIN(H27,MAX(0,D27-E27-F27-G27))</f>
        <v>0</v>
      </c>
      <c r="J27" s="89" t="n">
        <f aca="false">MAX(0,D27-E27-F27-G27-I27)</f>
        <v>0</v>
      </c>
      <c r="K27" s="89" t="n">
        <f aca="false">F27+G27+I27</f>
        <v>0</v>
      </c>
      <c r="L27" s="89" t="n">
        <f aca="false">L26*(1-$E$105)+I27</f>
        <v>0</v>
      </c>
      <c r="M27" s="89" t="n">
        <f aca="false">M26+G27</f>
        <v>0</v>
      </c>
      <c r="N27" s="89" t="n">
        <f aca="false">N26*(1-$E$100)+F27</f>
        <v>0</v>
      </c>
      <c r="O27" s="137" t="n">
        <f aca="false">IF(Champions!AY27&gt;0,Champions!AZ27/Champions!AY27,0)</f>
        <v>0</v>
      </c>
      <c r="P27" s="89" t="n">
        <f aca="false">L26*$E$104+N26*$E$99+M26*O27</f>
        <v>0</v>
      </c>
      <c r="Q27" s="89" t="n">
        <f aca="false">L26*$E$105</f>
        <v>0</v>
      </c>
      <c r="R27" s="89" t="n">
        <f aca="false">N26*$E$100</f>
        <v>0</v>
      </c>
      <c r="S27" s="89" t="n">
        <f aca="false">D27-E27-F27-G27-I27-J27</f>
        <v>0</v>
      </c>
    </row>
    <row r="28" customFormat="false" ht="13.5" hidden="false" customHeight="true" outlineLevel="0" collapsed="false">
      <c r="A28" s="1" t="n">
        <v>1868</v>
      </c>
      <c r="B28" s="136" t="n">
        <f aca="false">'Capital accounts'!D28</f>
        <v>0</v>
      </c>
      <c r="C28" s="89" t="n">
        <f aca="false">MAX(0,'Capital accounts'!I28)*$E$106/oil_book</f>
        <v>0</v>
      </c>
      <c r="D28" s="89" t="n">
        <f aca="false">B28+C28</f>
        <v>0</v>
      </c>
      <c r="E28" s="136" t="n">
        <f aca="false">'Capital accounts'!X28</f>
        <v>0</v>
      </c>
      <c r="F28" s="89" t="n">
        <f aca="false">IF(A28=1901,MIN($E$98,B28),0)</f>
        <v>0</v>
      </c>
      <c r="G28" s="89" t="n">
        <f aca="false">MIN(MAX(0,D28-E28-F28),$E$97*(D28-F28))</f>
        <v>0</v>
      </c>
      <c r="H28" s="89" t="n">
        <f aca="false">IF(AND(A28&gt;=1880,A28&lt;=1899),$E$101,IF(AND(A28&gt;=1900,A28&lt;=1913),$E$102,IF(AND(A28&gt;=1919,A28&lt;=1929),$E$103,0)))</f>
        <v>0</v>
      </c>
      <c r="I28" s="89" t="n">
        <f aca="false">MIN(H28,MAX(0,D28-E28-F28-G28))</f>
        <v>0</v>
      </c>
      <c r="J28" s="89" t="n">
        <f aca="false">MAX(0,D28-E28-F28-G28-I28)</f>
        <v>0</v>
      </c>
      <c r="K28" s="89" t="n">
        <f aca="false">F28+G28+I28</f>
        <v>0</v>
      </c>
      <c r="L28" s="89" t="n">
        <f aca="false">L27*(1-$E$105)+I28</f>
        <v>0</v>
      </c>
      <c r="M28" s="89" t="n">
        <f aca="false">M27+G28</f>
        <v>0</v>
      </c>
      <c r="N28" s="89" t="n">
        <f aca="false">N27*(1-$E$100)+F28</f>
        <v>0</v>
      </c>
      <c r="O28" s="137" t="n">
        <f aca="false">IF(Champions!AY28&gt;0,Champions!AZ28/Champions!AY28,0)</f>
        <v>0</v>
      </c>
      <c r="P28" s="89" t="n">
        <f aca="false">L27*$E$104+N27*$E$99+M27*O28</f>
        <v>0</v>
      </c>
      <c r="Q28" s="89" t="n">
        <f aca="false">L27*$E$105</f>
        <v>0</v>
      </c>
      <c r="R28" s="89" t="n">
        <f aca="false">N27*$E$100</f>
        <v>0</v>
      </c>
      <c r="S28" s="89" t="n">
        <f aca="false">D28-E28-F28-G28-I28-J28</f>
        <v>0</v>
      </c>
    </row>
    <row r="29" customFormat="false" ht="13.5" hidden="false" customHeight="true" outlineLevel="0" collapsed="false">
      <c r="A29" s="1" t="n">
        <v>1869</v>
      </c>
      <c r="B29" s="136" t="n">
        <f aca="false">'Capital accounts'!D29</f>
        <v>0</v>
      </c>
      <c r="C29" s="89" t="n">
        <f aca="false">MAX(0,'Capital accounts'!I29)*$E$106/oil_book</f>
        <v>0</v>
      </c>
      <c r="D29" s="89" t="n">
        <f aca="false">B29+C29</f>
        <v>0</v>
      </c>
      <c r="E29" s="136" t="n">
        <f aca="false">'Capital accounts'!X29</f>
        <v>0</v>
      </c>
      <c r="F29" s="89" t="n">
        <f aca="false">IF(A29=1901,MIN($E$98,B29),0)</f>
        <v>0</v>
      </c>
      <c r="G29" s="89" t="n">
        <f aca="false">MIN(MAX(0,D29-E29-F29),$E$97*(D29-F29))</f>
        <v>0</v>
      </c>
      <c r="H29" s="89" t="n">
        <f aca="false">IF(AND(A29&gt;=1880,A29&lt;=1899),$E$101,IF(AND(A29&gt;=1900,A29&lt;=1913),$E$102,IF(AND(A29&gt;=1919,A29&lt;=1929),$E$103,0)))</f>
        <v>0</v>
      </c>
      <c r="I29" s="89" t="n">
        <f aca="false">MIN(H29,MAX(0,D29-E29-F29-G29))</f>
        <v>0</v>
      </c>
      <c r="J29" s="89" t="n">
        <f aca="false">MAX(0,D29-E29-F29-G29-I29)</f>
        <v>0</v>
      </c>
      <c r="K29" s="89" t="n">
        <f aca="false">F29+G29+I29</f>
        <v>0</v>
      </c>
      <c r="L29" s="89" t="n">
        <f aca="false">L28*(1-$E$105)+I29</f>
        <v>0</v>
      </c>
      <c r="M29" s="89" t="n">
        <f aca="false">M28+G29</f>
        <v>0</v>
      </c>
      <c r="N29" s="89" t="n">
        <f aca="false">N28*(1-$E$100)+F29</f>
        <v>0</v>
      </c>
      <c r="O29" s="137" t="n">
        <f aca="false">IF(Champions!AY29&gt;0,Champions!AZ29/Champions!AY29,0)</f>
        <v>0</v>
      </c>
      <c r="P29" s="89" t="n">
        <f aca="false">L28*$E$104+N28*$E$99+M28*O29</f>
        <v>0</v>
      </c>
      <c r="Q29" s="89" t="n">
        <f aca="false">L28*$E$105</f>
        <v>0</v>
      </c>
      <c r="R29" s="89" t="n">
        <f aca="false">N28*$E$100</f>
        <v>0</v>
      </c>
      <c r="S29" s="89" t="n">
        <f aca="false">D29-E29-F29-G29-I29-J29</f>
        <v>0</v>
      </c>
    </row>
    <row r="30" customFormat="false" ht="13.5" hidden="false" customHeight="true" outlineLevel="0" collapsed="false">
      <c r="A30" s="1" t="n">
        <v>1870</v>
      </c>
      <c r="B30" s="136" t="n">
        <f aca="false">'Capital accounts'!D30</f>
        <v>7.62741913001372</v>
      </c>
      <c r="C30" s="89" t="n">
        <f aca="false">MAX(0,'Capital accounts'!I30)*$E$106/oil_book</f>
        <v>0</v>
      </c>
      <c r="D30" s="89" t="n">
        <f aca="false">B30+C30</f>
        <v>7.62741913001372</v>
      </c>
      <c r="E30" s="136" t="n">
        <f aca="false">'Capital accounts'!X30</f>
        <v>1.67352276121531</v>
      </c>
      <c r="F30" s="89" t="n">
        <f aca="false">IF(A30=1901,MIN($E$98,B30),0)</f>
        <v>0</v>
      </c>
      <c r="G30" s="89" t="n">
        <f aca="false">MIN(MAX(0,D30-E30-F30),$E$97*(D30-F30))</f>
        <v>1.90685478250343</v>
      </c>
      <c r="H30" s="89" t="n">
        <f aca="false">IF(AND(A30&gt;=1880,A30&lt;=1899),$E$101,IF(AND(A30&gt;=1900,A30&lt;=1913),$E$102,IF(AND(A30&gt;=1919,A30&lt;=1929),$E$103,0)))</f>
        <v>0</v>
      </c>
      <c r="I30" s="89" t="n">
        <f aca="false">MIN(H30,MAX(0,D30-E30-F30-G30))</f>
        <v>0</v>
      </c>
      <c r="J30" s="89" t="n">
        <f aca="false">MAX(0,D30-E30-F30-G30-I30)</f>
        <v>4.04704158629498</v>
      </c>
      <c r="K30" s="89" t="n">
        <f aca="false">F30+G30+I30</f>
        <v>1.90685478250343</v>
      </c>
      <c r="L30" s="89" t="n">
        <f aca="false">L29*(1-$E$105)+I30</f>
        <v>0</v>
      </c>
      <c r="M30" s="89" t="n">
        <f aca="false">M29+G30</f>
        <v>1.90685478250343</v>
      </c>
      <c r="N30" s="89" t="n">
        <f aca="false">N29*(1-$E$100)+F30</f>
        <v>0</v>
      </c>
      <c r="O30" s="137" t="n">
        <f aca="false">IF(Champions!AY30&gt;0,Champions!AZ30/Champions!AY30,0)</f>
        <v>0.06903</v>
      </c>
      <c r="P30" s="89" t="n">
        <f aca="false">L29*$E$104+N29*$E$99+M29*O30</f>
        <v>0</v>
      </c>
      <c r="Q30" s="89" t="n">
        <f aca="false">L29*$E$105</f>
        <v>0</v>
      </c>
      <c r="R30" s="89" t="n">
        <f aca="false">N29*$E$100</f>
        <v>0</v>
      </c>
      <c r="S30" s="89" t="n">
        <f aca="false">D30-E30-F30-G30-I30-J30</f>
        <v>0</v>
      </c>
    </row>
    <row r="31" customFormat="false" ht="13.5" hidden="false" customHeight="true" outlineLevel="0" collapsed="false">
      <c r="A31" s="1" t="n">
        <v>1871</v>
      </c>
      <c r="B31" s="136" t="n">
        <f aca="false">'Capital accounts'!D31</f>
        <v>4.44860774884362</v>
      </c>
      <c r="C31" s="89" t="n">
        <f aca="false">MAX(0,'Capital accounts'!I31)*$E$106/oil_book</f>
        <v>0</v>
      </c>
      <c r="D31" s="89" t="n">
        <f aca="false">B31+C31</f>
        <v>4.44860774884362</v>
      </c>
      <c r="E31" s="136" t="n">
        <f aca="false">'Capital accounts'!X31</f>
        <v>0.689815589939092</v>
      </c>
      <c r="F31" s="89" t="n">
        <f aca="false">IF(A31=1901,MIN($E$98,B31),0)</f>
        <v>0</v>
      </c>
      <c r="G31" s="89" t="n">
        <f aca="false">MIN(MAX(0,D31-E31-F31),$E$97*(D31-F31))</f>
        <v>1.1121519372109</v>
      </c>
      <c r="H31" s="89" t="n">
        <f aca="false">IF(AND(A31&gt;=1880,A31&lt;=1899),$E$101,IF(AND(A31&gt;=1900,A31&lt;=1913),$E$102,IF(AND(A31&gt;=1919,A31&lt;=1929),$E$103,0)))</f>
        <v>0</v>
      </c>
      <c r="I31" s="89" t="n">
        <f aca="false">MIN(H31,MAX(0,D31-E31-F31-G31))</f>
        <v>0</v>
      </c>
      <c r="J31" s="89" t="n">
        <f aca="false">MAX(0,D31-E31-F31-G31-I31)</f>
        <v>2.64664022169362</v>
      </c>
      <c r="K31" s="89" t="n">
        <f aca="false">F31+G31+I31</f>
        <v>1.1121519372109</v>
      </c>
      <c r="L31" s="89" t="n">
        <f aca="false">L30*(1-$E$105)+I31</f>
        <v>0</v>
      </c>
      <c r="M31" s="89" t="n">
        <f aca="false">M30+G31</f>
        <v>3.01900671971433</v>
      </c>
      <c r="N31" s="89" t="n">
        <f aca="false">N30*(1-$E$100)+F31</f>
        <v>0</v>
      </c>
      <c r="O31" s="137" t="n">
        <f aca="false">IF(Champions!AY31&gt;0,Champions!AZ31/Champions!AY31,0)</f>
        <v>0.0668436363636364</v>
      </c>
      <c r="P31" s="89" t="n">
        <f aca="false">L30*$E$104+N30*$E$99+M30*O31</f>
        <v>0.12746110767992</v>
      </c>
      <c r="Q31" s="89" t="n">
        <f aca="false">L30*$E$105</f>
        <v>0</v>
      </c>
      <c r="R31" s="89" t="n">
        <f aca="false">N30*$E$100</f>
        <v>0</v>
      </c>
      <c r="S31" s="89" t="n">
        <f aca="false">D31-E31-F31-G31-I31-J31</f>
        <v>0</v>
      </c>
    </row>
    <row r="32" customFormat="false" ht="13.5" hidden="false" customHeight="true" outlineLevel="0" collapsed="false">
      <c r="A32" s="1" t="n">
        <v>1872</v>
      </c>
      <c r="B32" s="136" t="n">
        <f aca="false">'Capital accounts'!D32</f>
        <v>3.40120919036472</v>
      </c>
      <c r="C32" s="89" t="n">
        <f aca="false">MAX(0,'Capital accounts'!I32)*$E$106/oil_book</f>
        <v>0</v>
      </c>
      <c r="D32" s="89" t="n">
        <f aca="false">B32+C32</f>
        <v>3.40120919036472</v>
      </c>
      <c r="E32" s="136" t="n">
        <f aca="false">'Capital accounts'!X32</f>
        <v>0.841450340616964</v>
      </c>
      <c r="F32" s="89" t="n">
        <f aca="false">IF(A32=1901,MIN($E$98,B32),0)</f>
        <v>0</v>
      </c>
      <c r="G32" s="89" t="n">
        <f aca="false">MIN(MAX(0,D32-E32-F32),$E$97*(D32-F32))</f>
        <v>0.85030229759118</v>
      </c>
      <c r="H32" s="89" t="n">
        <f aca="false">IF(AND(A32&gt;=1880,A32&lt;=1899),$E$101,IF(AND(A32&gt;=1900,A32&lt;=1913),$E$102,IF(AND(A32&gt;=1919,A32&lt;=1929),$E$103,0)))</f>
        <v>0</v>
      </c>
      <c r="I32" s="89" t="n">
        <f aca="false">MIN(H32,MAX(0,D32-E32-F32-G32))</f>
        <v>0</v>
      </c>
      <c r="J32" s="89" t="n">
        <f aca="false">MAX(0,D32-E32-F32-G32-I32)</f>
        <v>1.70945655215658</v>
      </c>
      <c r="K32" s="89" t="n">
        <f aca="false">F32+G32+I32</f>
        <v>0.85030229759118</v>
      </c>
      <c r="L32" s="89" t="n">
        <f aca="false">L31*(1-$E$105)+I32</f>
        <v>0</v>
      </c>
      <c r="M32" s="89" t="n">
        <f aca="false">M31+G32</f>
        <v>3.86930901730551</v>
      </c>
      <c r="N32" s="89" t="n">
        <f aca="false">N31*(1-$E$100)+F32</f>
        <v>0</v>
      </c>
      <c r="O32" s="137" t="n">
        <f aca="false">IF(Champions!AY32&gt;0,Champions!AZ32/Champions!AY32,0)</f>
        <v>0.0678428571428572</v>
      </c>
      <c r="P32" s="89" t="n">
        <f aca="false">L31*$E$104+N31*$E$99+M31*O32</f>
        <v>0.204818041598905</v>
      </c>
      <c r="Q32" s="89" t="n">
        <f aca="false">L31*$E$105</f>
        <v>0</v>
      </c>
      <c r="R32" s="89" t="n">
        <f aca="false">N31*$E$100</f>
        <v>0</v>
      </c>
      <c r="S32" s="89" t="n">
        <f aca="false">D32-E32-F32-G32-I32-J32</f>
        <v>0</v>
      </c>
    </row>
    <row r="33" customFormat="false" ht="13.5" hidden="false" customHeight="true" outlineLevel="0" collapsed="false">
      <c r="A33" s="1" t="n">
        <v>1873</v>
      </c>
      <c r="B33" s="136" t="n">
        <f aca="false">'Capital accounts'!D33</f>
        <v>2.33772812418604</v>
      </c>
      <c r="C33" s="89" t="n">
        <f aca="false">MAX(0,'Capital accounts'!I33)*$E$106/oil_book</f>
        <v>0</v>
      </c>
      <c r="D33" s="89" t="n">
        <f aca="false">B33+C33</f>
        <v>2.33772812418604</v>
      </c>
      <c r="E33" s="136" t="n">
        <f aca="false">'Capital accounts'!X33</f>
        <v>0.962865411595845</v>
      </c>
      <c r="F33" s="89" t="n">
        <f aca="false">IF(A33=1901,MIN($E$98,B33),0)</f>
        <v>0</v>
      </c>
      <c r="G33" s="89" t="n">
        <f aca="false">MIN(MAX(0,D33-E33-F33),$E$97*(D33-F33))</f>
        <v>0.58443203104651</v>
      </c>
      <c r="H33" s="89" t="n">
        <f aca="false">IF(AND(A33&gt;=1880,A33&lt;=1899),$E$101,IF(AND(A33&gt;=1900,A33&lt;=1913),$E$102,IF(AND(A33&gt;=1919,A33&lt;=1929),$E$103,0)))</f>
        <v>0</v>
      </c>
      <c r="I33" s="89" t="n">
        <f aca="false">MIN(H33,MAX(0,D33-E33-F33-G33))</f>
        <v>0</v>
      </c>
      <c r="J33" s="89" t="n">
        <f aca="false">MAX(0,D33-E33-F33-G33-I33)</f>
        <v>0.790430681543686</v>
      </c>
      <c r="K33" s="89" t="n">
        <f aca="false">F33+G33+I33</f>
        <v>0.58443203104651</v>
      </c>
      <c r="L33" s="89" t="n">
        <f aca="false">L32*(1-$E$105)+I33</f>
        <v>0</v>
      </c>
      <c r="M33" s="89" t="n">
        <f aca="false">M32+G33</f>
        <v>4.45374104835202</v>
      </c>
      <c r="N33" s="89" t="n">
        <f aca="false">N32*(1-$E$100)+F33</f>
        <v>0</v>
      </c>
      <c r="O33" s="137" t="n">
        <f aca="false">IF(Champions!AY33&gt;0,Champions!AZ33/Champions!AY33,0)</f>
        <v>0.065785</v>
      </c>
      <c r="P33" s="89" t="n">
        <f aca="false">L32*$E$104+N32*$E$99+M32*O33</f>
        <v>0.254542493703443</v>
      </c>
      <c r="Q33" s="89" t="n">
        <f aca="false">L32*$E$105</f>
        <v>0</v>
      </c>
      <c r="R33" s="89" t="n">
        <f aca="false">N32*$E$100</f>
        <v>0</v>
      </c>
      <c r="S33" s="89" t="n">
        <f aca="false">D33-E33-F33-G33-I33-J33</f>
        <v>0</v>
      </c>
    </row>
    <row r="34" customFormat="false" ht="13.5" hidden="false" customHeight="true" outlineLevel="0" collapsed="false">
      <c r="A34" s="1" t="n">
        <v>1874</v>
      </c>
      <c r="B34" s="136" t="n">
        <f aca="false">'Capital accounts'!D34</f>
        <v>4.60824254262463</v>
      </c>
      <c r="C34" s="89" t="n">
        <f aca="false">MAX(0,'Capital accounts'!I34)*$E$106/oil_book</f>
        <v>0</v>
      </c>
      <c r="D34" s="89" t="n">
        <f aca="false">B34+C34</f>
        <v>4.60824254262463</v>
      </c>
      <c r="E34" s="136" t="n">
        <f aca="false">'Capital accounts'!X34</f>
        <v>1.1177744325845</v>
      </c>
      <c r="F34" s="89" t="n">
        <f aca="false">IF(A34=1901,MIN($E$98,B34),0)</f>
        <v>0</v>
      </c>
      <c r="G34" s="89" t="n">
        <f aca="false">MIN(MAX(0,D34-E34-F34),$E$97*(D34-F34))</f>
        <v>1.15206063565616</v>
      </c>
      <c r="H34" s="89" t="n">
        <f aca="false">IF(AND(A34&gt;=1880,A34&lt;=1899),$E$101,IF(AND(A34&gt;=1900,A34&lt;=1913),$E$102,IF(AND(A34&gt;=1919,A34&lt;=1929),$E$103,0)))</f>
        <v>0</v>
      </c>
      <c r="I34" s="89" t="n">
        <f aca="false">MIN(H34,MAX(0,D34-E34-F34-G34))</f>
        <v>0</v>
      </c>
      <c r="J34" s="89" t="n">
        <f aca="false">MAX(0,D34-E34-F34-G34-I34)</f>
        <v>2.33840747438398</v>
      </c>
      <c r="K34" s="89" t="n">
        <f aca="false">F34+G34+I34</f>
        <v>1.15206063565616</v>
      </c>
      <c r="L34" s="89" t="n">
        <f aca="false">L33*(1-$E$105)+I34</f>
        <v>0</v>
      </c>
      <c r="M34" s="89" t="n">
        <f aca="false">M33+G34</f>
        <v>5.60580168400818</v>
      </c>
      <c r="N34" s="89" t="n">
        <f aca="false">N33*(1-$E$100)+F34</f>
        <v>0</v>
      </c>
      <c r="O34" s="137" t="n">
        <f aca="false">IF(Champions!AY34&gt;0,Champions!AZ34/Champions!AY34,0)</f>
        <v>0.065272</v>
      </c>
      <c r="P34" s="89" t="n">
        <f aca="false">L33*$E$104+N33*$E$99+M33*O34</f>
        <v>0.290704585708033</v>
      </c>
      <c r="Q34" s="89" t="n">
        <f aca="false">L33*$E$105</f>
        <v>0</v>
      </c>
      <c r="R34" s="89" t="n">
        <f aca="false">N33*$E$100</f>
        <v>0</v>
      </c>
      <c r="S34" s="89" t="n">
        <f aca="false">D34-E34-F34-G34-I34-J34</f>
        <v>0</v>
      </c>
    </row>
    <row r="35" customFormat="false" ht="13.5" hidden="false" customHeight="true" outlineLevel="0" collapsed="false">
      <c r="A35" s="1" t="n">
        <v>1875</v>
      </c>
      <c r="B35" s="136" t="n">
        <f aca="false">'Capital accounts'!D35</f>
        <v>4.64247480907797</v>
      </c>
      <c r="C35" s="89" t="n">
        <f aca="false">MAX(0,'Capital accounts'!I35)*$E$106/oil_book</f>
        <v>0</v>
      </c>
      <c r="D35" s="89" t="n">
        <f aca="false">B35+C35</f>
        <v>4.64247480907797</v>
      </c>
      <c r="E35" s="136" t="n">
        <f aca="false">'Capital accounts'!X35</f>
        <v>1.2885237954752</v>
      </c>
      <c r="F35" s="89" t="n">
        <f aca="false">IF(A35=1901,MIN($E$98,B35),0)</f>
        <v>0</v>
      </c>
      <c r="G35" s="89" t="n">
        <f aca="false">MIN(MAX(0,D35-E35-F35),$E$97*(D35-F35))</f>
        <v>1.16061870226949</v>
      </c>
      <c r="H35" s="89" t="n">
        <f aca="false">IF(AND(A35&gt;=1880,A35&lt;=1899),$E$101,IF(AND(A35&gt;=1900,A35&lt;=1913),$E$102,IF(AND(A35&gt;=1919,A35&lt;=1929),$E$103,0)))</f>
        <v>0</v>
      </c>
      <c r="I35" s="89" t="n">
        <f aca="false">MIN(H35,MAX(0,D35-E35-F35-G35))</f>
        <v>0</v>
      </c>
      <c r="J35" s="89" t="n">
        <f aca="false">MAX(0,D35-E35-F35-G35-I35)</f>
        <v>2.19333231133328</v>
      </c>
      <c r="K35" s="89" t="n">
        <f aca="false">F35+G35+I35</f>
        <v>1.16061870226949</v>
      </c>
      <c r="L35" s="89" t="n">
        <f aca="false">L34*(1-$E$105)+I35</f>
        <v>0</v>
      </c>
      <c r="M35" s="89" t="n">
        <f aca="false">M34+G35</f>
        <v>6.76642038627767</v>
      </c>
      <c r="N35" s="89" t="n">
        <f aca="false">N34*(1-$E$100)+F35</f>
        <v>0</v>
      </c>
      <c r="O35" s="137" t="n">
        <f aca="false">IF(Champions!AY35&gt;0,Champions!AZ35/Champions!AY35,0)</f>
        <v>0.06553125</v>
      </c>
      <c r="P35" s="89" t="n">
        <f aca="false">L34*$E$104+N34*$E$99+M34*O35</f>
        <v>0.367355191605161</v>
      </c>
      <c r="Q35" s="89" t="n">
        <f aca="false">L34*$E$105</f>
        <v>0</v>
      </c>
      <c r="R35" s="89" t="n">
        <f aca="false">N34*$E$100</f>
        <v>0</v>
      </c>
      <c r="S35" s="89" t="n">
        <f aca="false">D35-E35-F35-G35-I35-J35</f>
        <v>0</v>
      </c>
    </row>
    <row r="36" customFormat="false" ht="13.5" hidden="false" customHeight="true" outlineLevel="0" collapsed="false">
      <c r="A36" s="1" t="n">
        <v>1876</v>
      </c>
      <c r="B36" s="136" t="n">
        <f aca="false">'Capital accounts'!D36</f>
        <v>3.55649771520261</v>
      </c>
      <c r="C36" s="89" t="n">
        <f aca="false">MAX(0,'Capital accounts'!I36)*$E$106/oil_book</f>
        <v>0</v>
      </c>
      <c r="D36" s="89" t="n">
        <f aca="false">B36+C36</f>
        <v>3.55649771520261</v>
      </c>
      <c r="E36" s="136" t="n">
        <f aca="false">'Capital accounts'!X36</f>
        <v>1.44291708674596</v>
      </c>
      <c r="F36" s="89" t="n">
        <f aca="false">IF(A36=1901,MIN($E$98,B36),0)</f>
        <v>0</v>
      </c>
      <c r="G36" s="89" t="n">
        <f aca="false">MIN(MAX(0,D36-E36-F36),$E$97*(D36-F36))</f>
        <v>0.889124428800653</v>
      </c>
      <c r="H36" s="89" t="n">
        <f aca="false">IF(AND(A36&gt;=1880,A36&lt;=1899),$E$101,IF(AND(A36&gt;=1900,A36&lt;=1913),$E$102,IF(AND(A36&gt;=1919,A36&lt;=1929),$E$103,0)))</f>
        <v>0</v>
      </c>
      <c r="I36" s="89" t="n">
        <f aca="false">MIN(H36,MAX(0,D36-E36-F36-G36))</f>
        <v>0</v>
      </c>
      <c r="J36" s="89" t="n">
        <f aca="false">MAX(0,D36-E36-F36-G36-I36)</f>
        <v>1.22445619965599</v>
      </c>
      <c r="K36" s="89" t="n">
        <f aca="false">F36+G36+I36</f>
        <v>0.889124428800653</v>
      </c>
      <c r="L36" s="89" t="n">
        <f aca="false">L35*(1-$E$105)+I36</f>
        <v>0</v>
      </c>
      <c r="M36" s="89" t="n">
        <f aca="false">M35+G36</f>
        <v>7.65554481507833</v>
      </c>
      <c r="N36" s="89" t="n">
        <f aca="false">N35*(1-$E$100)+F36</f>
        <v>0</v>
      </c>
      <c r="O36" s="137" t="n">
        <f aca="false">IF(Champions!AY36&gt;0,Champions!AZ36/Champions!AY36,0)</f>
        <v>0.0657851851851852</v>
      </c>
      <c r="P36" s="89" t="n">
        <f aca="false">L35*$E$104+N35*$E$99+M35*O36</f>
        <v>0.445130218152089</v>
      </c>
      <c r="Q36" s="89" t="n">
        <f aca="false">L35*$E$105</f>
        <v>0</v>
      </c>
      <c r="R36" s="89" t="n">
        <f aca="false">N35*$E$100</f>
        <v>0</v>
      </c>
      <c r="S36" s="89" t="n">
        <f aca="false">D36-E36-F36-G36-I36-J36</f>
        <v>0</v>
      </c>
    </row>
    <row r="37" customFormat="false" ht="13.5" hidden="false" customHeight="true" outlineLevel="0" collapsed="false">
      <c r="A37" s="1" t="n">
        <v>1877</v>
      </c>
      <c r="B37" s="136" t="n">
        <f aca="false">'Capital accounts'!D37</f>
        <v>3.62580155495809</v>
      </c>
      <c r="C37" s="89" t="n">
        <f aca="false">MAX(0,'Capital accounts'!I37)*$E$106/oil_book</f>
        <v>0</v>
      </c>
      <c r="D37" s="89" t="n">
        <f aca="false">B37+C37</f>
        <v>3.62580155495809</v>
      </c>
      <c r="E37" s="136" t="n">
        <f aca="false">'Capital accounts'!X37</f>
        <v>1.58681454911237</v>
      </c>
      <c r="F37" s="89" t="n">
        <f aca="false">IF(A37=1901,MIN($E$98,B37),0)</f>
        <v>0</v>
      </c>
      <c r="G37" s="89" t="n">
        <f aca="false">MIN(MAX(0,D37-E37-F37),$E$97*(D37-F37))</f>
        <v>0.906450388739524</v>
      </c>
      <c r="H37" s="89" t="n">
        <f aca="false">IF(AND(A37&gt;=1880,A37&lt;=1899),$E$101,IF(AND(A37&gt;=1900,A37&lt;=1913),$E$102,IF(AND(A37&gt;=1919,A37&lt;=1929),$E$103,0)))</f>
        <v>0</v>
      </c>
      <c r="I37" s="89" t="n">
        <f aca="false">MIN(H37,MAX(0,D37-E37-F37-G37))</f>
        <v>0</v>
      </c>
      <c r="J37" s="89" t="n">
        <f aca="false">MAX(0,D37-E37-F37-G37-I37)</f>
        <v>1.1325366171062</v>
      </c>
      <c r="K37" s="89" t="n">
        <f aca="false">F37+G37+I37</f>
        <v>0.906450388739524</v>
      </c>
      <c r="L37" s="89" t="n">
        <f aca="false">L36*(1-$E$105)+I37</f>
        <v>0</v>
      </c>
      <c r="M37" s="89" t="n">
        <f aca="false">M36+G37</f>
        <v>8.56199520381785</v>
      </c>
      <c r="N37" s="89" t="n">
        <f aca="false">N36*(1-$E$100)+F37</f>
        <v>0</v>
      </c>
      <c r="O37" s="137" t="n">
        <f aca="false">IF(Champions!AY37&gt;0,Champions!AZ37/Champions!AY37,0)</f>
        <v>0.0659883333333333</v>
      </c>
      <c r="P37" s="89" t="n">
        <f aca="false">L36*$E$104+N36*$E$99+M36*O37</f>
        <v>0.50517664310566</v>
      </c>
      <c r="Q37" s="89" t="n">
        <f aca="false">L36*$E$105</f>
        <v>0</v>
      </c>
      <c r="R37" s="89" t="n">
        <f aca="false">N36*$E$100</f>
        <v>0</v>
      </c>
      <c r="S37" s="89" t="n">
        <f aca="false">D37-E37-F37-G37-I37-J37</f>
        <v>0</v>
      </c>
    </row>
    <row r="38" customFormat="false" ht="13.5" hidden="false" customHeight="true" outlineLevel="0" collapsed="false">
      <c r="A38" s="1" t="n">
        <v>1878</v>
      </c>
      <c r="B38" s="136" t="n">
        <f aca="false">'Capital accounts'!D38</f>
        <v>3.63710933951499</v>
      </c>
      <c r="C38" s="89" t="n">
        <f aca="false">MAX(0,'Capital accounts'!I38)*$E$106/oil_book</f>
        <v>0</v>
      </c>
      <c r="D38" s="89" t="n">
        <f aca="false">B38+C38</f>
        <v>3.63710933951499</v>
      </c>
      <c r="E38" s="136" t="n">
        <f aca="false">'Capital accounts'!X38</f>
        <v>1.73308789012175</v>
      </c>
      <c r="F38" s="89" t="n">
        <f aca="false">IF(A38=1901,MIN($E$98,B38),0)</f>
        <v>0</v>
      </c>
      <c r="G38" s="89" t="n">
        <f aca="false">MIN(MAX(0,D38-E38-F38),$E$97*(D38-F38))</f>
        <v>0.909277334878746</v>
      </c>
      <c r="H38" s="89" t="n">
        <f aca="false">IF(AND(A38&gt;=1880,A38&lt;=1899),$E$101,IF(AND(A38&gt;=1900,A38&lt;=1913),$E$102,IF(AND(A38&gt;=1919,A38&lt;=1929),$E$103,0)))</f>
        <v>0</v>
      </c>
      <c r="I38" s="89" t="n">
        <f aca="false">MIN(H38,MAX(0,D38-E38-F38-G38))</f>
        <v>0</v>
      </c>
      <c r="J38" s="89" t="n">
        <f aca="false">MAX(0,D38-E38-F38-G38-I38)</f>
        <v>0.994744114514486</v>
      </c>
      <c r="K38" s="89" t="n">
        <f aca="false">F38+G38+I38</f>
        <v>0.909277334878746</v>
      </c>
      <c r="L38" s="89" t="n">
        <f aca="false">L37*(1-$E$105)+I38</f>
        <v>0</v>
      </c>
      <c r="M38" s="89" t="n">
        <f aca="false">M37+G38</f>
        <v>9.4712725386966</v>
      </c>
      <c r="N38" s="89" t="n">
        <f aca="false">N37*(1-$E$100)+F38</f>
        <v>0</v>
      </c>
      <c r="O38" s="137" t="n">
        <f aca="false">IF(Champions!AY38&gt;0,Champions!AZ38/Champions!AY38,0)</f>
        <v>0.0651430303030303</v>
      </c>
      <c r="P38" s="89" t="n">
        <f aca="false">L37*$E$104+N37*$E$99+M37*O38</f>
        <v>0.557754313016706</v>
      </c>
      <c r="Q38" s="89" t="n">
        <f aca="false">L37*$E$105</f>
        <v>0</v>
      </c>
      <c r="R38" s="89" t="n">
        <f aca="false">N37*$E$100</f>
        <v>0</v>
      </c>
      <c r="S38" s="89" t="n">
        <f aca="false">D38-E38-F38-G38-I38-J38</f>
        <v>0</v>
      </c>
    </row>
    <row r="39" customFormat="false" ht="13.5" hidden="false" customHeight="true" outlineLevel="0" collapsed="false">
      <c r="A39" s="1" t="n">
        <v>1879</v>
      </c>
      <c r="B39" s="136" t="n">
        <f aca="false">'Capital accounts'!D39</f>
        <v>4.70901338796327</v>
      </c>
      <c r="C39" s="89" t="n">
        <f aca="false">MAX(0,'Capital accounts'!I39)*$E$106/oil_book</f>
        <v>0</v>
      </c>
      <c r="D39" s="89" t="n">
        <f aca="false">B39+C39</f>
        <v>4.70901338796327</v>
      </c>
      <c r="E39" s="136" t="n">
        <f aca="false">'Capital accounts'!X39</f>
        <v>1.88629426529051</v>
      </c>
      <c r="F39" s="89" t="n">
        <f aca="false">IF(A39=1901,MIN($E$98,B39),0)</f>
        <v>0</v>
      </c>
      <c r="G39" s="89" t="n">
        <f aca="false">MIN(MAX(0,D39-E39-F39),$E$97*(D39-F39))</f>
        <v>1.17725334699082</v>
      </c>
      <c r="H39" s="89" t="n">
        <f aca="false">IF(AND(A39&gt;=1880,A39&lt;=1899),$E$101,IF(AND(A39&gt;=1900,A39&lt;=1913),$E$102,IF(AND(A39&gt;=1919,A39&lt;=1929),$E$103,0)))</f>
        <v>0</v>
      </c>
      <c r="I39" s="89" t="n">
        <f aca="false">MIN(H39,MAX(0,D39-E39-F39-G39))</f>
        <v>0</v>
      </c>
      <c r="J39" s="89" t="n">
        <f aca="false">MAX(0,D39-E39-F39-G39-I39)</f>
        <v>1.64546577568194</v>
      </c>
      <c r="K39" s="89" t="n">
        <f aca="false">F39+G39+I39</f>
        <v>1.17725334699082</v>
      </c>
      <c r="L39" s="89" t="n">
        <f aca="false">L38*(1-$E$105)+I39</f>
        <v>0</v>
      </c>
      <c r="M39" s="89" t="n">
        <f aca="false">M38+G39</f>
        <v>10.6485258856874</v>
      </c>
      <c r="N39" s="89" t="n">
        <f aca="false">N38*(1-$E$100)+F39</f>
        <v>0</v>
      </c>
      <c r="O39" s="137" t="n">
        <f aca="false">IF(Champions!AY39&gt;0,Champions!AZ39/Champions!AY39,0)</f>
        <v>0.0649691891891892</v>
      </c>
      <c r="P39" s="89" t="n">
        <f aca="false">L38*$E$104+N38*$E$99+M38*O39</f>
        <v>0.615340897428952</v>
      </c>
      <c r="Q39" s="89" t="n">
        <f aca="false">L38*$E$105</f>
        <v>0</v>
      </c>
      <c r="R39" s="89" t="n">
        <f aca="false">N38*$E$100</f>
        <v>0</v>
      </c>
      <c r="S39" s="89" t="n">
        <f aca="false">D39-E39-F39-G39-I39-J39</f>
        <v>0</v>
      </c>
    </row>
    <row r="40" customFormat="false" ht="13.5" hidden="false" customHeight="true" outlineLevel="0" collapsed="false">
      <c r="A40" s="1" t="n">
        <v>1880</v>
      </c>
      <c r="B40" s="136" t="n">
        <f aca="false">'Capital accounts'!D40</f>
        <v>4.68390789129706</v>
      </c>
      <c r="C40" s="89" t="n">
        <f aca="false">MAX(0,'Capital accounts'!I40)*$E$106/oil_book</f>
        <v>2.76749335223688</v>
      </c>
      <c r="D40" s="89" t="n">
        <f aca="false">B40+C40</f>
        <v>7.45140124353394</v>
      </c>
      <c r="E40" s="136" t="n">
        <f aca="false">'Capital accounts'!X40</f>
        <v>2.25089459315266</v>
      </c>
      <c r="F40" s="89" t="n">
        <f aca="false">IF(A40=1901,MIN($E$98,B40),0)</f>
        <v>0</v>
      </c>
      <c r="G40" s="89" t="n">
        <f aca="false">MIN(MAX(0,D40-E40-F40),$E$97*(D40-F40))</f>
        <v>1.86285031088349</v>
      </c>
      <c r="H40" s="89" t="n">
        <f aca="false">IF(AND(A40&gt;=1880,A40&lt;=1899),$E$101,IF(AND(A40&gt;=1900,A40&lt;=1913),$E$102,IF(AND(A40&gt;=1919,A40&lt;=1929),$E$103,0)))</f>
        <v>40</v>
      </c>
      <c r="I40" s="89" t="n">
        <f aca="false">MIN(H40,MAX(0,D40-E40-F40-G40))</f>
        <v>3.33765633949779</v>
      </c>
      <c r="J40" s="89" t="n">
        <f aca="false">MAX(0,D40-E40-F40-G40-I40)</f>
        <v>0</v>
      </c>
      <c r="K40" s="89" t="n">
        <f aca="false">F40+G40+I40</f>
        <v>5.20050665038128</v>
      </c>
      <c r="L40" s="89" t="n">
        <f aca="false">L39*(1-$E$105)+I40</f>
        <v>3.33765633949779</v>
      </c>
      <c r="M40" s="89" t="n">
        <f aca="false">M39+G40</f>
        <v>12.5113761965709</v>
      </c>
      <c r="N40" s="89" t="n">
        <f aca="false">N39*(1-$E$100)+F40</f>
        <v>0</v>
      </c>
      <c r="O40" s="137" t="n">
        <f aca="false">IF(Champions!AY40&gt;0,Champions!AZ40/Champions!AY40,0)</f>
        <v>0.0740265486725664</v>
      </c>
      <c r="P40" s="89" t="n">
        <f aca="false">L39*$E$104+N39*$E$99+M39*O40</f>
        <v>0.788273619767923</v>
      </c>
      <c r="Q40" s="89" t="n">
        <f aca="false">L39*$E$105</f>
        <v>0</v>
      </c>
      <c r="R40" s="89" t="n">
        <f aca="false">N39*$E$100</f>
        <v>0</v>
      </c>
      <c r="S40" s="89" t="n">
        <f aca="false">D40-E40-F40-G40-I40-J40</f>
        <v>0</v>
      </c>
    </row>
    <row r="41" customFormat="false" ht="13.5" hidden="false" customHeight="true" outlineLevel="0" collapsed="false">
      <c r="A41" s="1" t="n">
        <v>1881</v>
      </c>
      <c r="B41" s="136" t="n">
        <f aca="false">'Capital accounts'!D41</f>
        <v>8.06767118441043</v>
      </c>
      <c r="C41" s="89" t="n">
        <f aca="false">MAX(0,'Capital accounts'!I41)*$E$106/oil_book</f>
        <v>0</v>
      </c>
      <c r="D41" s="89" t="n">
        <f aca="false">B41+C41</f>
        <v>8.06767118441043</v>
      </c>
      <c r="E41" s="136" t="n">
        <f aca="false">'Capital accounts'!X41</f>
        <v>2.5684432357655</v>
      </c>
      <c r="F41" s="89" t="n">
        <f aca="false">IF(A41=1901,MIN($E$98,B41),0)</f>
        <v>0</v>
      </c>
      <c r="G41" s="89" t="n">
        <f aca="false">MIN(MAX(0,D41-E41-F41),$E$97*(D41-F41))</f>
        <v>2.01691779610261</v>
      </c>
      <c r="H41" s="89" t="n">
        <f aca="false">IF(AND(A41&gt;=1880,A41&lt;=1899),$E$101,IF(AND(A41&gt;=1900,A41&lt;=1913),$E$102,IF(AND(A41&gt;=1919,A41&lt;=1929),$E$103,0)))</f>
        <v>40</v>
      </c>
      <c r="I41" s="89" t="n">
        <f aca="false">MIN(H41,MAX(0,D41-E41-F41-G41))</f>
        <v>3.48231015254232</v>
      </c>
      <c r="J41" s="89" t="n">
        <f aca="false">MAX(0,D41-E41-F41-G41-I41)</f>
        <v>0</v>
      </c>
      <c r="K41" s="89" t="n">
        <f aca="false">F41+G41+I41</f>
        <v>5.49922794864493</v>
      </c>
      <c r="L41" s="89" t="n">
        <f aca="false">L40*(1-$E$105)+I41</f>
        <v>6.71983680185518</v>
      </c>
      <c r="M41" s="89" t="n">
        <f aca="false">M40+G41</f>
        <v>14.5282939926735</v>
      </c>
      <c r="N41" s="89" t="n">
        <f aca="false">N40*(1-$E$100)+F41</f>
        <v>0</v>
      </c>
      <c r="O41" s="137" t="n">
        <f aca="false">IF(Champions!AY41&gt;0,Champions!AZ41/Champions!AY41,0)</f>
        <v>0.0728222128540222</v>
      </c>
      <c r="P41" s="89" t="n">
        <f aca="false">L40*$E$104+N40*$E$99+M40*O41</f>
        <v>1.07798891745832</v>
      </c>
      <c r="Q41" s="89" t="n">
        <f aca="false">L40*$E$105</f>
        <v>0.100129690184934</v>
      </c>
      <c r="R41" s="89" t="n">
        <f aca="false">N40*$E$100</f>
        <v>0</v>
      </c>
      <c r="S41" s="89" t="n">
        <f aca="false">D41-E41-F41-G41-I41-J41</f>
        <v>0</v>
      </c>
    </row>
    <row r="42" customFormat="false" ht="13.5" hidden="false" customHeight="true" outlineLevel="0" collapsed="false">
      <c r="A42" s="1" t="n">
        <v>1882</v>
      </c>
      <c r="B42" s="136" t="n">
        <f aca="false">'Capital accounts'!D42</f>
        <v>6.81009369156544</v>
      </c>
      <c r="C42" s="89" t="n">
        <f aca="false">MAX(0,'Capital accounts'!I42)*$E$106/oil_book</f>
        <v>2.72085672795258</v>
      </c>
      <c r="D42" s="89" t="n">
        <f aca="false">B42+C42</f>
        <v>9.53095041951802</v>
      </c>
      <c r="E42" s="136" t="n">
        <f aca="false">'Capital accounts'!X42</f>
        <v>2.98059968064451</v>
      </c>
      <c r="F42" s="89" t="n">
        <f aca="false">IF(A42=1901,MIN($E$98,B42),0)</f>
        <v>0</v>
      </c>
      <c r="G42" s="89" t="n">
        <f aca="false">MIN(MAX(0,D42-E42-F42),$E$97*(D42-F42))</f>
        <v>2.38273760487951</v>
      </c>
      <c r="H42" s="89" t="n">
        <f aca="false">IF(AND(A42&gt;=1880,A42&lt;=1899),$E$101,IF(AND(A42&gt;=1900,A42&lt;=1913),$E$102,IF(AND(A42&gt;=1919,A42&lt;=1929),$E$103,0)))</f>
        <v>40</v>
      </c>
      <c r="I42" s="89" t="n">
        <f aca="false">MIN(H42,MAX(0,D42-E42-F42-G42))</f>
        <v>4.16761313399401</v>
      </c>
      <c r="J42" s="89" t="n">
        <f aca="false">MAX(0,D42-E42-F42-G42-I42)</f>
        <v>0</v>
      </c>
      <c r="K42" s="89" t="n">
        <f aca="false">F42+G42+I42</f>
        <v>6.55035073887351</v>
      </c>
      <c r="L42" s="89" t="n">
        <f aca="false">L41*(1-$E$105)+I42</f>
        <v>10.6858548317935</v>
      </c>
      <c r="M42" s="89" t="n">
        <f aca="false">M41+G42</f>
        <v>16.911031597553</v>
      </c>
      <c r="N42" s="89" t="n">
        <f aca="false">N41*(1-$E$100)+F42</f>
        <v>0</v>
      </c>
      <c r="O42" s="137" t="n">
        <f aca="false">IF(Champions!AY42&gt;0,Champions!AZ42/Champions!AY42,0)</f>
        <v>0.0761848227177924</v>
      </c>
      <c r="P42" s="89" t="n">
        <f aca="false">L41*$E$104+N41*$E$99+M41*O42</f>
        <v>1.44282734231656</v>
      </c>
      <c r="Q42" s="89" t="n">
        <f aca="false">L41*$E$105</f>
        <v>0.201595104055655</v>
      </c>
      <c r="R42" s="89" t="n">
        <f aca="false">N41*$E$100</f>
        <v>0</v>
      </c>
      <c r="S42" s="89" t="n">
        <f aca="false">D42-E42-F42-G42-I42-J42</f>
        <v>0</v>
      </c>
    </row>
    <row r="43" customFormat="false" ht="13.5" hidden="false" customHeight="true" outlineLevel="0" collapsed="false">
      <c r="A43" s="1" t="n">
        <v>1883</v>
      </c>
      <c r="B43" s="136" t="n">
        <f aca="false">'Capital accounts'!D43</f>
        <v>8.03147846679877</v>
      </c>
      <c r="C43" s="89" t="n">
        <f aca="false">MAX(0,'Capital accounts'!I43)*$E$106/oil_book</f>
        <v>0</v>
      </c>
      <c r="D43" s="89" t="n">
        <f aca="false">B43+C43</f>
        <v>8.03147846679877</v>
      </c>
      <c r="E43" s="136" t="n">
        <f aca="false">'Capital accounts'!X43</f>
        <v>3.26431141775757</v>
      </c>
      <c r="F43" s="89" t="n">
        <f aca="false">IF(A43=1901,MIN($E$98,B43),0)</f>
        <v>0</v>
      </c>
      <c r="G43" s="89" t="n">
        <f aca="false">MIN(MAX(0,D43-E43-F43),$E$97*(D43-F43))</f>
        <v>2.00786961669969</v>
      </c>
      <c r="H43" s="89" t="n">
        <f aca="false">IF(AND(A43&gt;=1880,A43&lt;=1899),$E$101,IF(AND(A43&gt;=1900,A43&lt;=1913),$E$102,IF(AND(A43&gt;=1919,A43&lt;=1929),$E$103,0)))</f>
        <v>40</v>
      </c>
      <c r="I43" s="89" t="n">
        <f aca="false">MIN(H43,MAX(0,D43-E43-F43-G43))</f>
        <v>2.75929743234151</v>
      </c>
      <c r="J43" s="89" t="n">
        <f aca="false">MAX(0,D43-E43-F43-G43-I43)</f>
        <v>0</v>
      </c>
      <c r="K43" s="89" t="n">
        <f aca="false">F43+G43+I43</f>
        <v>4.76716704904121</v>
      </c>
      <c r="L43" s="89" t="n">
        <f aca="false">L42*(1-$E$105)+I43</f>
        <v>13.1245766191812</v>
      </c>
      <c r="M43" s="89" t="n">
        <f aca="false">M42+G43</f>
        <v>18.9189012142527</v>
      </c>
      <c r="N43" s="89" t="n">
        <f aca="false">N42*(1-$E$100)+F43</f>
        <v>0</v>
      </c>
      <c r="O43" s="137" t="n">
        <f aca="false">IF(Champions!AY43&gt;0,Champions!AZ43/Champions!AY43,0)</f>
        <v>0.0756341808317221</v>
      </c>
      <c r="P43" s="89" t="n">
        <f aca="false">L42*$E$104+N42*$E$99+M42*O43</f>
        <v>1.81334476348997</v>
      </c>
      <c r="Q43" s="89" t="n">
        <f aca="false">L42*$E$105</f>
        <v>0.320575644953806</v>
      </c>
      <c r="R43" s="89" t="n">
        <f aca="false">N42*$E$100</f>
        <v>0</v>
      </c>
      <c r="S43" s="89" t="n">
        <f aca="false">D43-E43-F43-G43-I43-J43</f>
        <v>0</v>
      </c>
    </row>
    <row r="44" customFormat="false" ht="13.5" hidden="false" customHeight="true" outlineLevel="0" collapsed="false">
      <c r="A44" s="1" t="n">
        <v>1884</v>
      </c>
      <c r="B44" s="136" t="n">
        <f aca="false">'Capital accounts'!D44</f>
        <v>8.09111335239584</v>
      </c>
      <c r="C44" s="89" t="n">
        <f aca="false">MAX(0,'Capital accounts'!I44)*$E$106/oil_book</f>
        <v>2.69166218290308</v>
      </c>
      <c r="D44" s="89" t="n">
        <f aca="false">B44+C44</f>
        <v>10.7827755352989</v>
      </c>
      <c r="E44" s="136" t="n">
        <f aca="false">'Capital accounts'!X44</f>
        <v>3.68921344383111</v>
      </c>
      <c r="F44" s="89" t="n">
        <f aca="false">IF(A44=1901,MIN($E$98,B44),0)</f>
        <v>0</v>
      </c>
      <c r="G44" s="89" t="n">
        <f aca="false">MIN(MAX(0,D44-E44-F44),$E$97*(D44-F44))</f>
        <v>2.69569388382473</v>
      </c>
      <c r="H44" s="89" t="n">
        <f aca="false">IF(AND(A44&gt;=1880,A44&lt;=1899),$E$101,IF(AND(A44&gt;=1900,A44&lt;=1913),$E$102,IF(AND(A44&gt;=1919,A44&lt;=1929),$E$103,0)))</f>
        <v>40</v>
      </c>
      <c r="I44" s="89" t="n">
        <f aca="false">MIN(H44,MAX(0,D44-E44-F44-G44))</f>
        <v>4.39786820764308</v>
      </c>
      <c r="J44" s="89" t="n">
        <f aca="false">MAX(0,D44-E44-F44-G44-I44)</f>
        <v>0</v>
      </c>
      <c r="K44" s="89" t="n">
        <f aca="false">F44+G44+I44</f>
        <v>7.09356209146781</v>
      </c>
      <c r="L44" s="89" t="n">
        <f aca="false">L43*(1-$E$105)+I44</f>
        <v>17.1287075282489</v>
      </c>
      <c r="M44" s="89" t="n">
        <f aca="false">M43+G44</f>
        <v>21.6145950980774</v>
      </c>
      <c r="N44" s="89" t="n">
        <f aca="false">N43*(1-$E$100)+F44</f>
        <v>0</v>
      </c>
      <c r="O44" s="137" t="n">
        <f aca="false">IF(Champions!AY44&gt;0,Champions!AZ44/Champions!AY44,0)</f>
        <v>0.0781539992536385</v>
      </c>
      <c r="P44" s="89" t="n">
        <f aca="false">L43*$E$104+N43*$E$99+M43*O44</f>
        <v>2.13481662233743</v>
      </c>
      <c r="Q44" s="89" t="n">
        <f aca="false">L43*$E$105</f>
        <v>0.393737298575437</v>
      </c>
      <c r="R44" s="89" t="n">
        <f aca="false">N43*$E$100</f>
        <v>0</v>
      </c>
      <c r="S44" s="89" t="n">
        <f aca="false">D44-E44-F44-G44-I44-J44</f>
        <v>0</v>
      </c>
    </row>
    <row r="45" customFormat="false" ht="13.5" hidden="false" customHeight="true" outlineLevel="0" collapsed="false">
      <c r="A45" s="1" t="n">
        <v>1885</v>
      </c>
      <c r="B45" s="136" t="n">
        <f aca="false">'Capital accounts'!D45</f>
        <v>8.18966547429329</v>
      </c>
      <c r="C45" s="89" t="n">
        <f aca="false">MAX(0,'Capital accounts'!I45)*$E$106/oil_book</f>
        <v>0</v>
      </c>
      <c r="D45" s="89" t="n">
        <f aca="false">B45+C45</f>
        <v>8.18966547429329</v>
      </c>
      <c r="E45" s="136" t="n">
        <f aca="false">'Capital accounts'!X45</f>
        <v>4.14037767571476</v>
      </c>
      <c r="F45" s="89" t="n">
        <f aca="false">IF(A45=1901,MIN($E$98,B45),0)</f>
        <v>0</v>
      </c>
      <c r="G45" s="89" t="n">
        <f aca="false">MIN(MAX(0,D45-E45-F45),$E$97*(D45-F45))</f>
        <v>2.04741636857332</v>
      </c>
      <c r="H45" s="89" t="n">
        <f aca="false">IF(AND(A45&gt;=1880,A45&lt;=1899),$E$101,IF(AND(A45&gt;=1900,A45&lt;=1913),$E$102,IF(AND(A45&gt;=1919,A45&lt;=1929),$E$103,0)))</f>
        <v>40</v>
      </c>
      <c r="I45" s="89" t="n">
        <f aca="false">MIN(H45,MAX(0,D45-E45-F45-G45))</f>
        <v>2.00187143000521</v>
      </c>
      <c r="J45" s="89" t="n">
        <f aca="false">MAX(0,D45-E45-F45-G45-I45)</f>
        <v>0</v>
      </c>
      <c r="K45" s="89" t="n">
        <f aca="false">F45+G45+I45</f>
        <v>4.04928779857853</v>
      </c>
      <c r="L45" s="89" t="n">
        <f aca="false">L44*(1-$E$105)+I45</f>
        <v>18.6167177324066</v>
      </c>
      <c r="M45" s="89" t="n">
        <f aca="false">M44+G45</f>
        <v>23.6620114666508</v>
      </c>
      <c r="N45" s="89" t="n">
        <f aca="false">N44*(1-$E$100)+F45</f>
        <v>0</v>
      </c>
      <c r="O45" s="137" t="n">
        <f aca="false">IF(Champions!AY45&gt;0,Champions!AZ45/Champions!AY45,0)</f>
        <v>0.077093923157943</v>
      </c>
      <c r="P45" s="89" t="n">
        <f aca="false">L44*$E$104+N44*$E$99+M44*O45</f>
        <v>2.52278930999368</v>
      </c>
      <c r="Q45" s="89" t="n">
        <f aca="false">L44*$E$105</f>
        <v>0.513861225847466</v>
      </c>
      <c r="R45" s="89" t="n">
        <f aca="false">N44*$E$100</f>
        <v>0</v>
      </c>
      <c r="S45" s="89" t="n">
        <f aca="false">D45-E45-F45-G45-I45-J45</f>
        <v>0</v>
      </c>
    </row>
    <row r="46" customFormat="false" ht="13.5" hidden="false" customHeight="true" outlineLevel="0" collapsed="false">
      <c r="A46" s="1" t="n">
        <v>1886</v>
      </c>
      <c r="B46" s="136" t="n">
        <f aca="false">'Capital accounts'!D46</f>
        <v>7.02781871447093</v>
      </c>
      <c r="C46" s="89" t="n">
        <f aca="false">MAX(0,'Capital accounts'!I46)*$E$106/oil_book</f>
        <v>2.66905255532625</v>
      </c>
      <c r="D46" s="89" t="n">
        <f aca="false">B46+C46</f>
        <v>9.69687126979718</v>
      </c>
      <c r="E46" s="136" t="n">
        <f aca="false">'Capital accounts'!X46</f>
        <v>4.66913669396872</v>
      </c>
      <c r="F46" s="89" t="n">
        <f aca="false">IF(A46=1901,MIN($E$98,B46),0)</f>
        <v>0</v>
      </c>
      <c r="G46" s="89" t="n">
        <f aca="false">MIN(MAX(0,D46-E46-F46),$E$97*(D46-F46))</f>
        <v>2.42421781744929</v>
      </c>
      <c r="H46" s="89" t="n">
        <f aca="false">IF(AND(A46&gt;=1880,A46&lt;=1899),$E$101,IF(AND(A46&gt;=1900,A46&lt;=1913),$E$102,IF(AND(A46&gt;=1919,A46&lt;=1929),$E$103,0)))</f>
        <v>40</v>
      </c>
      <c r="I46" s="89" t="n">
        <f aca="false">MIN(H46,MAX(0,D46-E46-F46-G46))</f>
        <v>2.60351675837916</v>
      </c>
      <c r="J46" s="89" t="n">
        <f aca="false">MAX(0,D46-E46-F46-G46-I46)</f>
        <v>0</v>
      </c>
      <c r="K46" s="89" t="n">
        <f aca="false">F46+G46+I46</f>
        <v>5.02773457582845</v>
      </c>
      <c r="L46" s="89" t="n">
        <f aca="false">L45*(1-$E$105)+I46</f>
        <v>20.6617329588136</v>
      </c>
      <c r="M46" s="89" t="n">
        <f aca="false">M45+G46</f>
        <v>26.0862292841001</v>
      </c>
      <c r="N46" s="89" t="n">
        <f aca="false">N45*(1-$E$100)+F46</f>
        <v>0</v>
      </c>
      <c r="O46" s="137" t="n">
        <f aca="false">IF(Champions!AY46&gt;0,Champions!AZ46/Champions!AY46,0)</f>
        <v>0.0791107003491477</v>
      </c>
      <c r="P46" s="89" t="n">
        <f aca="false">L45*$E$104+N45*$E$99+M45*O46</f>
        <v>2.80275418541664</v>
      </c>
      <c r="Q46" s="89" t="n">
        <f aca="false">L45*$E$105</f>
        <v>0.558501531972198</v>
      </c>
      <c r="R46" s="89" t="n">
        <f aca="false">N45*$E$100</f>
        <v>0</v>
      </c>
      <c r="S46" s="89" t="n">
        <f aca="false">D46-E46-F46-G46-I46-J46</f>
        <v>0</v>
      </c>
    </row>
    <row r="47" customFormat="false" ht="13.5" hidden="false" customHeight="true" outlineLevel="0" collapsed="false">
      <c r="A47" s="1" t="n">
        <v>1887</v>
      </c>
      <c r="B47" s="136" t="n">
        <f aca="false">'Capital accounts'!D47</f>
        <v>7.15963758799886</v>
      </c>
      <c r="C47" s="89" t="n">
        <f aca="false">MAX(0,'Capital accounts'!I47)*$E$106/oil_book</f>
        <v>0</v>
      </c>
      <c r="D47" s="89" t="n">
        <f aca="false">B47+C47</f>
        <v>7.15963758799886</v>
      </c>
      <c r="E47" s="136" t="n">
        <f aca="false">'Capital accounts'!X47</f>
        <v>5.00037962498445</v>
      </c>
      <c r="F47" s="89" t="n">
        <f aca="false">IF(A47=1901,MIN($E$98,B47),0)</f>
        <v>0</v>
      </c>
      <c r="G47" s="89" t="n">
        <f aca="false">MIN(MAX(0,D47-E47-F47),$E$97*(D47-F47))</f>
        <v>1.78990939699971</v>
      </c>
      <c r="H47" s="89" t="n">
        <f aca="false">IF(AND(A47&gt;=1880,A47&lt;=1899),$E$101,IF(AND(A47&gt;=1900,A47&lt;=1913),$E$102,IF(AND(A47&gt;=1919,A47&lt;=1929),$E$103,0)))</f>
        <v>40</v>
      </c>
      <c r="I47" s="89" t="n">
        <f aca="false">MIN(H47,MAX(0,D47-E47-F47-G47))</f>
        <v>0.369348566014699</v>
      </c>
      <c r="J47" s="89" t="n">
        <f aca="false">MAX(0,D47-E47-F47-G47-I47)</f>
        <v>0</v>
      </c>
      <c r="K47" s="89" t="n">
        <f aca="false">F47+G47+I47</f>
        <v>2.15925796301441</v>
      </c>
      <c r="L47" s="89" t="n">
        <f aca="false">L46*(1-$E$105)+I47</f>
        <v>20.4112295360639</v>
      </c>
      <c r="M47" s="89" t="n">
        <f aca="false">M46+G47</f>
        <v>27.8761386810998</v>
      </c>
      <c r="N47" s="89" t="n">
        <f aca="false">N46*(1-$E$100)+F47</f>
        <v>0</v>
      </c>
      <c r="O47" s="137" t="n">
        <f aca="false">IF(Champions!AY47&gt;0,Champions!AZ47/Champions!AY47,0)</f>
        <v>0.0781570593472959</v>
      </c>
      <c r="P47" s="89" t="n">
        <f aca="false">L46*$E$104+N46*$E$99+M46*O47</f>
        <v>3.07190961824525</v>
      </c>
      <c r="Q47" s="89" t="n">
        <f aca="false">L46*$E$105</f>
        <v>0.619851988764407</v>
      </c>
      <c r="R47" s="89" t="n">
        <f aca="false">N46*$E$100</f>
        <v>0</v>
      </c>
      <c r="S47" s="89" t="n">
        <f aca="false">D47-E47-F47-G47-I47-J47</f>
        <v>0</v>
      </c>
    </row>
    <row r="48" customFormat="false" ht="13.5" hidden="false" customHeight="true" outlineLevel="0" collapsed="false">
      <c r="A48" s="1" t="n">
        <v>1888</v>
      </c>
      <c r="B48" s="136" t="n">
        <f aca="false">'Capital accounts'!D48</f>
        <v>9.74604515783767</v>
      </c>
      <c r="C48" s="89" t="n">
        <f aca="false">MAX(0,'Capital accounts'!I48)*$E$106/oil_book</f>
        <v>2.6884888386354</v>
      </c>
      <c r="D48" s="89" t="n">
        <f aca="false">B48+C48</f>
        <v>12.4345339964731</v>
      </c>
      <c r="E48" s="136" t="n">
        <f aca="false">'Capital accounts'!X48</f>
        <v>5.56284282151036</v>
      </c>
      <c r="F48" s="89" t="n">
        <f aca="false">IF(A48=1901,MIN($E$98,B48),0)</f>
        <v>0</v>
      </c>
      <c r="G48" s="89" t="n">
        <f aca="false">MIN(MAX(0,D48-E48-F48),$E$97*(D48-F48))</f>
        <v>3.10863349911827</v>
      </c>
      <c r="H48" s="89" t="n">
        <f aca="false">IF(AND(A48&gt;=1880,A48&lt;=1899),$E$101,IF(AND(A48&gt;=1900,A48&lt;=1913),$E$102,IF(AND(A48&gt;=1919,A48&lt;=1929),$E$103,0)))</f>
        <v>40</v>
      </c>
      <c r="I48" s="89" t="n">
        <f aca="false">MIN(H48,MAX(0,D48-E48-F48-G48))</f>
        <v>3.76305767584445</v>
      </c>
      <c r="J48" s="89" t="n">
        <f aca="false">MAX(0,D48-E48-F48-G48-I48)</f>
        <v>0</v>
      </c>
      <c r="K48" s="89" t="n">
        <f aca="false">F48+G48+I48</f>
        <v>6.87169117496272</v>
      </c>
      <c r="L48" s="89" t="n">
        <f aca="false">L47*(1-$E$105)+I48</f>
        <v>23.5619503258264</v>
      </c>
      <c r="M48" s="89" t="n">
        <f aca="false">M47+G48</f>
        <v>30.984772180218</v>
      </c>
      <c r="N48" s="89" t="n">
        <f aca="false">N47*(1-$E$100)+F48</f>
        <v>0</v>
      </c>
      <c r="O48" s="137" t="n">
        <f aca="false">IF(Champions!AY48&gt;0,Champions!AZ48/Champions!AY48,0)</f>
        <v>0.0802393755420642</v>
      </c>
      <c r="P48" s="89" t="n">
        <f aca="false">L47*$E$104+N47*$E$99+M47*O48</f>
        <v>3.25732543709862</v>
      </c>
      <c r="Q48" s="89" t="n">
        <f aca="false">L47*$E$105</f>
        <v>0.612336886081916</v>
      </c>
      <c r="R48" s="89" t="n">
        <f aca="false">N47*$E$100</f>
        <v>0</v>
      </c>
      <c r="S48" s="89" t="n">
        <f aca="false">D48-E48-F48-G48-I48-J48</f>
        <v>0</v>
      </c>
    </row>
    <row r="49" customFormat="false" ht="13.5" hidden="false" customHeight="true" outlineLevel="0" collapsed="false">
      <c r="A49" s="1" t="n">
        <v>1889</v>
      </c>
      <c r="B49" s="136" t="n">
        <f aca="false">'Capital accounts'!D49</f>
        <v>8.82339826963145</v>
      </c>
      <c r="C49" s="89" t="n">
        <f aca="false">MAX(0,'Capital accounts'!I49)*$E$106/oil_book</f>
        <v>0.0315506191212316</v>
      </c>
      <c r="D49" s="89" t="n">
        <f aca="false">B49+C49</f>
        <v>8.85494888875269</v>
      </c>
      <c r="E49" s="136" t="n">
        <f aca="false">'Capital accounts'!X49</f>
        <v>5.97252628046333</v>
      </c>
      <c r="F49" s="89" t="n">
        <f aca="false">IF(A49=1901,MIN($E$98,B49),0)</f>
        <v>0</v>
      </c>
      <c r="G49" s="89" t="n">
        <f aca="false">MIN(MAX(0,D49-E49-F49),$E$97*(D49-F49))</f>
        <v>2.21373722218817</v>
      </c>
      <c r="H49" s="89" t="n">
        <f aca="false">IF(AND(A49&gt;=1880,A49&lt;=1899),$E$101,IF(AND(A49&gt;=1900,A49&lt;=1913),$E$102,IF(AND(A49&gt;=1919,A49&lt;=1929),$E$103,0)))</f>
        <v>40</v>
      </c>
      <c r="I49" s="89" t="n">
        <f aca="false">MIN(H49,MAX(0,D49-E49-F49-G49))</f>
        <v>0.668685386101183</v>
      </c>
      <c r="J49" s="89" t="n">
        <f aca="false">MAX(0,D49-E49-F49-G49-I49)</f>
        <v>0</v>
      </c>
      <c r="K49" s="89" t="n">
        <f aca="false">F49+G49+I49</f>
        <v>2.88242260828936</v>
      </c>
      <c r="L49" s="89" t="n">
        <f aca="false">L48*(1-$E$105)+I49</f>
        <v>23.5237772021528</v>
      </c>
      <c r="M49" s="89" t="n">
        <f aca="false">M48+G49</f>
        <v>33.1985094024062</v>
      </c>
      <c r="N49" s="89" t="n">
        <f aca="false">N48*(1-$E$100)+F49</f>
        <v>0</v>
      </c>
      <c r="O49" s="137" t="n">
        <f aca="false">IF(Champions!AY49&gt;0,Champions!AZ49/Champions!AY49,0)</f>
        <v>0.0798838255747362</v>
      </c>
      <c r="P49" s="89" t="n">
        <f aca="false">L48*$E$104+N48*$E$99+M48*O49</f>
        <v>3.65327965260879</v>
      </c>
      <c r="Q49" s="89" t="n">
        <f aca="false">L48*$E$105</f>
        <v>0.706858509774792</v>
      </c>
      <c r="R49" s="89" t="n">
        <f aca="false">N48*$E$100</f>
        <v>0</v>
      </c>
      <c r="S49" s="89" t="n">
        <f aca="false">D49-E49-F49-G49-I49-J49</f>
        <v>0</v>
      </c>
    </row>
    <row r="50" customFormat="false" ht="13.5" hidden="false" customHeight="true" outlineLevel="0" collapsed="false">
      <c r="A50" s="1" t="n">
        <v>1890</v>
      </c>
      <c r="B50" s="136" t="n">
        <f aca="false">'Capital accounts'!D50</f>
        <v>13.7991046308414</v>
      </c>
      <c r="C50" s="89" t="n">
        <f aca="false">MAX(0,'Capital accounts'!I50)*$E$106/oil_book</f>
        <v>2.73325437478027</v>
      </c>
      <c r="D50" s="89" t="n">
        <f aca="false">B50+C50</f>
        <v>16.5323590056217</v>
      </c>
      <c r="E50" s="136" t="n">
        <f aca="false">'Capital accounts'!X50</f>
        <v>6.74390670343302</v>
      </c>
      <c r="F50" s="89" t="n">
        <f aca="false">IF(A50=1901,MIN($E$98,B50),0)</f>
        <v>0</v>
      </c>
      <c r="G50" s="89" t="n">
        <f aca="false">MIN(MAX(0,D50-E50-F50),$E$97*(D50-F50))</f>
        <v>4.13308975140541</v>
      </c>
      <c r="H50" s="89" t="n">
        <f aca="false">IF(AND(A50&gt;=1880,A50&lt;=1899),$E$101,IF(AND(A50&gt;=1900,A50&lt;=1913),$E$102,IF(AND(A50&gt;=1919,A50&lt;=1929),$E$103,0)))</f>
        <v>40</v>
      </c>
      <c r="I50" s="89" t="n">
        <f aca="false">MIN(H50,MAX(0,D50-E50-F50-G50))</f>
        <v>5.65536255078323</v>
      </c>
      <c r="J50" s="89" t="n">
        <f aca="false">MAX(0,D50-E50-F50-G50-I50)</f>
        <v>0</v>
      </c>
      <c r="K50" s="89" t="n">
        <f aca="false">F50+G50+I50</f>
        <v>9.78845230218864</v>
      </c>
      <c r="L50" s="89" t="n">
        <f aca="false">L49*(1-$E$105)+I50</f>
        <v>28.4734264368714</v>
      </c>
      <c r="M50" s="89" t="n">
        <f aca="false">M49+G50</f>
        <v>37.3315991538116</v>
      </c>
      <c r="N50" s="89" t="n">
        <f aca="false">N49*(1-$E$100)+F50</f>
        <v>0</v>
      </c>
      <c r="O50" s="137" t="n">
        <f aca="false">IF(Champions!AY50&gt;0,Champions!AZ50/Champions!AY50,0)</f>
        <v>0.0807874589865111</v>
      </c>
      <c r="P50" s="89" t="n">
        <f aca="false">L49*$E$104+N49*$E$99+M49*O50</f>
        <v>3.85821207686783</v>
      </c>
      <c r="Q50" s="89" t="n">
        <f aca="false">L49*$E$105</f>
        <v>0.705713316064584</v>
      </c>
      <c r="R50" s="89" t="n">
        <f aca="false">N49*$E$100</f>
        <v>0</v>
      </c>
      <c r="S50" s="89" t="n">
        <f aca="false">D50-E50-F50-G50-I50-J50</f>
        <v>0</v>
      </c>
    </row>
    <row r="51" customFormat="false" ht="13.5" hidden="false" customHeight="true" outlineLevel="0" collapsed="false">
      <c r="A51" s="1" t="n">
        <v>1891</v>
      </c>
      <c r="B51" s="136" t="n">
        <f aca="false">'Capital accounts'!D51</f>
        <v>30.7709413932354</v>
      </c>
      <c r="C51" s="89" t="n">
        <f aca="false">MAX(0,'Capital accounts'!I51)*$E$106/oil_book</f>
        <v>2.79753324461829</v>
      </c>
      <c r="D51" s="89" t="n">
        <f aca="false">B51+C51</f>
        <v>33.5684746378537</v>
      </c>
      <c r="E51" s="136" t="n">
        <f aca="false">'Capital accounts'!X51</f>
        <v>8.02877292385193</v>
      </c>
      <c r="F51" s="89" t="n">
        <f aca="false">IF(A51=1901,MIN($E$98,B51),0)</f>
        <v>0</v>
      </c>
      <c r="G51" s="89" t="n">
        <f aca="false">MIN(MAX(0,D51-E51-F51),$E$97*(D51-F51))</f>
        <v>8.39211865946342</v>
      </c>
      <c r="H51" s="89" t="n">
        <f aca="false">IF(AND(A51&gt;=1880,A51&lt;=1899),$E$101,IF(AND(A51&gt;=1900,A51&lt;=1913),$E$102,IF(AND(A51&gt;=1919,A51&lt;=1929),$E$103,0)))</f>
        <v>40</v>
      </c>
      <c r="I51" s="89" t="n">
        <f aca="false">MIN(H51,MAX(0,D51-E51-F51-G51))</f>
        <v>17.1475830545383</v>
      </c>
      <c r="J51" s="89" t="n">
        <f aca="false">MAX(0,D51-E51-F51-G51-I51)</f>
        <v>0</v>
      </c>
      <c r="K51" s="89" t="n">
        <f aca="false">F51+G51+I51</f>
        <v>25.5397017140018</v>
      </c>
      <c r="L51" s="89" t="n">
        <f aca="false">L50*(1-$E$105)+I51</f>
        <v>44.7668066983036</v>
      </c>
      <c r="M51" s="89" t="n">
        <f aca="false">M50+G51</f>
        <v>45.723717813275</v>
      </c>
      <c r="N51" s="89" t="n">
        <f aca="false">N50*(1-$E$100)+F51</f>
        <v>0</v>
      </c>
      <c r="O51" s="137" t="n">
        <f aca="false">IF(Champions!AY51&gt;0,Champions!AZ51/Champions!AY51,0)</f>
        <v>0.0801573968701265</v>
      </c>
      <c r="P51" s="89" t="n">
        <f aca="false">L50*$E$104+N50*$E$99+M50*O51</f>
        <v>4.41607513101213</v>
      </c>
      <c r="Q51" s="89" t="n">
        <f aca="false">L50*$E$105</f>
        <v>0.854202793106143</v>
      </c>
      <c r="R51" s="89" t="n">
        <f aca="false">N50*$E$100</f>
        <v>0</v>
      </c>
      <c r="S51" s="89" t="n">
        <f aca="false">D51-E51-F51-G51-I51-J51</f>
        <v>0</v>
      </c>
    </row>
    <row r="52" customFormat="false" ht="13.5" hidden="false" customHeight="true" outlineLevel="0" collapsed="false">
      <c r="A52" s="1" t="n">
        <v>1892</v>
      </c>
      <c r="B52" s="136" t="n">
        <f aca="false">'Capital accounts'!D52</f>
        <v>31.4102680390068</v>
      </c>
      <c r="C52" s="89" t="n">
        <f aca="false">MAX(0,'Capital accounts'!I52)*$E$106/oil_book</f>
        <v>2.80087972661067</v>
      </c>
      <c r="D52" s="89" t="n">
        <f aca="false">B52+C52</f>
        <v>34.2111477656174</v>
      </c>
      <c r="E52" s="136" t="n">
        <f aca="false">'Capital accounts'!X52</f>
        <v>9.34248721305192</v>
      </c>
      <c r="F52" s="89" t="n">
        <f aca="false">IF(A52=1901,MIN($E$98,B52),0)</f>
        <v>0</v>
      </c>
      <c r="G52" s="89" t="n">
        <f aca="false">MIN(MAX(0,D52-E52-F52),$E$97*(D52-F52))</f>
        <v>8.55278694140436</v>
      </c>
      <c r="H52" s="89" t="n">
        <f aca="false">IF(AND(A52&gt;=1880,A52&lt;=1899),$E$101,IF(AND(A52&gt;=1900,A52&lt;=1913),$E$102,IF(AND(A52&gt;=1919,A52&lt;=1929),$E$103,0)))</f>
        <v>40</v>
      </c>
      <c r="I52" s="89" t="n">
        <f aca="false">MIN(H52,MAX(0,D52-E52-F52-G52))</f>
        <v>16.3158736111611</v>
      </c>
      <c r="J52" s="89" t="n">
        <f aca="false">MAX(0,D52-E52-F52-G52-I52)</f>
        <v>0</v>
      </c>
      <c r="K52" s="89" t="n">
        <f aca="false">F52+G52+I52</f>
        <v>24.8686605525655</v>
      </c>
      <c r="L52" s="89" t="n">
        <f aca="false">L51*(1-$E$105)+I52</f>
        <v>59.7396761085157</v>
      </c>
      <c r="M52" s="89" t="n">
        <f aca="false">M51+G52</f>
        <v>54.2765047546794</v>
      </c>
      <c r="N52" s="89" t="n">
        <f aca="false">N51*(1-$E$100)+F52</f>
        <v>0</v>
      </c>
      <c r="O52" s="137" t="n">
        <f aca="false">IF(Champions!AY52&gt;0,Champions!AZ52/Champions!AY52,0)</f>
        <v>0.0795977837061359</v>
      </c>
      <c r="P52" s="89" t="n">
        <f aca="false">L51*$E$104+N51*$E$99+M51*O52</f>
        <v>5.87784693565664</v>
      </c>
      <c r="Q52" s="89" t="n">
        <f aca="false">L51*$E$105</f>
        <v>1.34300420094911</v>
      </c>
      <c r="R52" s="89" t="n">
        <f aca="false">N51*$E$100</f>
        <v>0</v>
      </c>
      <c r="S52" s="89" t="n">
        <f aca="false">D52-E52-F52-G52-I52-J52</f>
        <v>0</v>
      </c>
    </row>
    <row r="53" customFormat="false" ht="13.5" hidden="false" customHeight="true" outlineLevel="0" collapsed="false">
      <c r="A53" s="1" t="n">
        <v>1893</v>
      </c>
      <c r="B53" s="136" t="n">
        <f aca="false">'Capital accounts'!D53</f>
        <v>33.2078757311593</v>
      </c>
      <c r="C53" s="89" t="n">
        <f aca="false">MAX(0,'Capital accounts'!I53)*$E$106/oil_book</f>
        <v>2.86829810220539</v>
      </c>
      <c r="D53" s="89" t="n">
        <f aca="false">B53+C53</f>
        <v>36.0761738333647</v>
      </c>
      <c r="E53" s="136" t="n">
        <f aca="false">'Capital accounts'!X53</f>
        <v>10.755242804382</v>
      </c>
      <c r="F53" s="89" t="n">
        <f aca="false">IF(A53=1901,MIN($E$98,B53),0)</f>
        <v>0</v>
      </c>
      <c r="G53" s="89" t="n">
        <f aca="false">MIN(MAX(0,D53-E53-F53),$E$97*(D53-F53))</f>
        <v>9.01904345834118</v>
      </c>
      <c r="H53" s="89" t="n">
        <f aca="false">IF(AND(A53&gt;=1880,A53&lt;=1899),$E$101,IF(AND(A53&gt;=1900,A53&lt;=1913),$E$102,IF(AND(A53&gt;=1919,A53&lt;=1929),$E$103,0)))</f>
        <v>40</v>
      </c>
      <c r="I53" s="89" t="n">
        <f aca="false">MIN(H53,MAX(0,D53-E53-F53-G53))</f>
        <v>16.3018875706415</v>
      </c>
      <c r="J53" s="89" t="n">
        <f aca="false">MAX(0,D53-E53-F53-G53-I53)</f>
        <v>0</v>
      </c>
      <c r="K53" s="89" t="n">
        <f aca="false">F53+G53+I53</f>
        <v>25.3209310289827</v>
      </c>
      <c r="L53" s="89" t="n">
        <f aca="false">L52*(1-$E$105)+I53</f>
        <v>74.2493733959017</v>
      </c>
      <c r="M53" s="89" t="n">
        <f aca="false">M52+G53</f>
        <v>63.2955482130206</v>
      </c>
      <c r="N53" s="89" t="n">
        <f aca="false">N52*(1-$E$100)+F53</f>
        <v>0</v>
      </c>
      <c r="O53" s="137" t="n">
        <f aca="false">IF(Champions!AY53&gt;0,Champions!AZ53/Champions!AY53,0)</f>
        <v>0.0794260267634707</v>
      </c>
      <c r="P53" s="89" t="n">
        <f aca="false">L52*$E$104+N52*$E$99+M52*O53</f>
        <v>7.2979509246986</v>
      </c>
      <c r="Q53" s="89" t="n">
        <f aca="false">L52*$E$105</f>
        <v>1.79219028325547</v>
      </c>
      <c r="R53" s="89" t="n">
        <f aca="false">N52*$E$100</f>
        <v>0</v>
      </c>
      <c r="S53" s="89" t="n">
        <f aca="false">D53-E53-F53-G53-I53-J53</f>
        <v>0</v>
      </c>
    </row>
    <row r="54" customFormat="false" ht="13.5" hidden="false" customHeight="true" outlineLevel="0" collapsed="false">
      <c r="A54" s="1" t="n">
        <v>1894</v>
      </c>
      <c r="B54" s="136" t="n">
        <f aca="false">'Capital accounts'!D54</f>
        <v>32.4780410046949</v>
      </c>
      <c r="C54" s="89" t="n">
        <f aca="false">MAX(0,'Capital accounts'!I54)*$E$106/oil_book</f>
        <v>2.83993296118424</v>
      </c>
      <c r="D54" s="89" t="n">
        <f aca="false">B54+C54</f>
        <v>35.3179739658791</v>
      </c>
      <c r="E54" s="136" t="n">
        <f aca="false">'Capital accounts'!X54</f>
        <v>12.1492028945512</v>
      </c>
      <c r="F54" s="89" t="n">
        <f aca="false">IF(A54=1901,MIN($E$98,B54),0)</f>
        <v>0</v>
      </c>
      <c r="G54" s="89" t="n">
        <f aca="false">MIN(MAX(0,D54-E54-F54),$E$97*(D54-F54))</f>
        <v>8.82949349146978</v>
      </c>
      <c r="H54" s="89" t="n">
        <f aca="false">IF(AND(A54&gt;=1880,A54&lt;=1899),$E$101,IF(AND(A54&gt;=1900,A54&lt;=1913),$E$102,IF(AND(A54&gt;=1919,A54&lt;=1929),$E$103,0)))</f>
        <v>40</v>
      </c>
      <c r="I54" s="89" t="n">
        <f aca="false">MIN(H54,MAX(0,D54-E54-F54-G54))</f>
        <v>14.3392775798581</v>
      </c>
      <c r="J54" s="89" t="n">
        <f aca="false">MAX(0,D54-E54-F54-G54-I54)</f>
        <v>0</v>
      </c>
      <c r="K54" s="89" t="n">
        <f aca="false">F54+G54+I54</f>
        <v>23.1687710713279</v>
      </c>
      <c r="L54" s="89" t="n">
        <f aca="false">L53*(1-$E$105)+I54</f>
        <v>86.3611697738828</v>
      </c>
      <c r="M54" s="89" t="n">
        <f aca="false">M53+G54</f>
        <v>72.1250417044904</v>
      </c>
      <c r="N54" s="89" t="n">
        <f aca="false">N53*(1-$E$100)+F54</f>
        <v>0</v>
      </c>
      <c r="O54" s="137" t="n">
        <f aca="false">IF(Champions!AY54&gt;0,Champions!AZ54/Champions!AY54,0)</f>
        <v>0.0792774600670479</v>
      </c>
      <c r="P54" s="89" t="n">
        <f aca="false">L53*$E$104+N53*$E$99+M53*O54</f>
        <v>8.73037896567473</v>
      </c>
      <c r="Q54" s="89" t="n">
        <f aca="false">L53*$E$105</f>
        <v>2.22748120187705</v>
      </c>
      <c r="R54" s="89" t="n">
        <f aca="false">N53*$E$100</f>
        <v>0</v>
      </c>
      <c r="S54" s="89" t="n">
        <f aca="false">D54-E54-F54-G54-I54-J54</f>
        <v>0</v>
      </c>
    </row>
    <row r="55" customFormat="false" ht="13.5" hidden="false" customHeight="true" outlineLevel="0" collapsed="false">
      <c r="A55" s="1" t="n">
        <v>1895</v>
      </c>
      <c r="B55" s="136" t="n">
        <f aca="false">'Capital accounts'!D55</f>
        <v>39.1285245809406</v>
      </c>
      <c r="C55" s="89" t="n">
        <f aca="false">MAX(0,'Capital accounts'!I55)*$E$106/oil_book</f>
        <v>0.0891006855244427</v>
      </c>
      <c r="D55" s="89" t="n">
        <f aca="false">B55+C55</f>
        <v>39.217625266465</v>
      </c>
      <c r="E55" s="136" t="n">
        <f aca="false">'Capital accounts'!X55</f>
        <v>13.4973509240463</v>
      </c>
      <c r="F55" s="89" t="n">
        <f aca="false">IF(A55=1901,MIN($E$98,B55),0)</f>
        <v>0</v>
      </c>
      <c r="G55" s="89" t="n">
        <f aca="false">MIN(MAX(0,D55-E55-F55),$E$97*(D55-F55))</f>
        <v>9.80440631661625</v>
      </c>
      <c r="H55" s="89" t="n">
        <f aca="false">IF(AND(A55&gt;=1880,A55&lt;=1899),$E$101,IF(AND(A55&gt;=1900,A55&lt;=1913),$E$102,IF(AND(A55&gt;=1919,A55&lt;=1929),$E$103,0)))</f>
        <v>40</v>
      </c>
      <c r="I55" s="89" t="n">
        <f aca="false">MIN(H55,MAX(0,D55-E55-F55-G55))</f>
        <v>15.9158680258025</v>
      </c>
      <c r="J55" s="89" t="n">
        <f aca="false">MAX(0,D55-E55-F55-G55-I55)</f>
        <v>0</v>
      </c>
      <c r="K55" s="89" t="n">
        <f aca="false">F55+G55+I55</f>
        <v>25.7202743424187</v>
      </c>
      <c r="L55" s="89" t="n">
        <f aca="false">L54*(1-$E$105)+I55</f>
        <v>99.6862027064688</v>
      </c>
      <c r="M55" s="89" t="n">
        <f aca="false">M54+G55</f>
        <v>81.9294480211066</v>
      </c>
      <c r="N55" s="89" t="n">
        <f aca="false">N54*(1-$E$100)+F55</f>
        <v>0</v>
      </c>
      <c r="O55" s="137" t="n">
        <f aca="false">IF(Champions!AY55&gt;0,Champions!AZ55/Champions!AY55,0)</f>
        <v>0.0779716947836521</v>
      </c>
      <c r="P55" s="89" t="n">
        <f aca="false">L54*$E$104+N54*$E$99+M54*O55</f>
        <v>9.94177022673484</v>
      </c>
      <c r="Q55" s="89" t="n">
        <f aca="false">L54*$E$105</f>
        <v>2.59083509321648</v>
      </c>
      <c r="R55" s="89" t="n">
        <f aca="false">N54*$E$100</f>
        <v>0</v>
      </c>
      <c r="S55" s="89" t="n">
        <f aca="false">D55-E55-F55-G55-I55-J55</f>
        <v>0</v>
      </c>
    </row>
    <row r="56" customFormat="false" ht="13.5" hidden="false" customHeight="true" outlineLevel="0" collapsed="false">
      <c r="A56" s="1" t="n">
        <v>1896</v>
      </c>
      <c r="B56" s="136" t="n">
        <f aca="false">'Capital accounts'!D56</f>
        <v>34.8127105742192</v>
      </c>
      <c r="C56" s="89" t="n">
        <f aca="false">MAX(0,'Capital accounts'!I56)*$E$106/oil_book</f>
        <v>2.91539852893448</v>
      </c>
      <c r="D56" s="89" t="n">
        <f aca="false">B56+C56</f>
        <v>37.7281091031537</v>
      </c>
      <c r="E56" s="136" t="n">
        <f aca="false">'Capital accounts'!X56</f>
        <v>14.9998794888634</v>
      </c>
      <c r="F56" s="89" t="n">
        <f aca="false">IF(A56=1901,MIN($E$98,B56),0)</f>
        <v>0</v>
      </c>
      <c r="G56" s="89" t="n">
        <f aca="false">MIN(MAX(0,D56-E56-F56),$E$97*(D56-F56))</f>
        <v>9.43202727578842</v>
      </c>
      <c r="H56" s="89" t="n">
        <f aca="false">IF(AND(A56&gt;=1880,A56&lt;=1899),$E$101,IF(AND(A56&gt;=1900,A56&lt;=1913),$E$102,IF(AND(A56&gt;=1919,A56&lt;=1929),$E$103,0)))</f>
        <v>40</v>
      </c>
      <c r="I56" s="89" t="n">
        <f aca="false">MIN(H56,MAX(0,D56-E56-F56-G56))</f>
        <v>13.2962023385018</v>
      </c>
      <c r="J56" s="89" t="n">
        <f aca="false">MAX(0,D56-E56-F56-G56-I56)</f>
        <v>0</v>
      </c>
      <c r="K56" s="89" t="n">
        <f aca="false">F56+G56+I56</f>
        <v>22.7282296142903</v>
      </c>
      <c r="L56" s="89" t="n">
        <f aca="false">L55*(1-$E$105)+I56</f>
        <v>109.991818963777</v>
      </c>
      <c r="M56" s="89" t="n">
        <f aca="false">M55+G56</f>
        <v>91.361475296895</v>
      </c>
      <c r="N56" s="89" t="n">
        <f aca="false">N55*(1-$E$100)+F56</f>
        <v>0</v>
      </c>
      <c r="O56" s="137" t="n">
        <f aca="false">IF(Champions!AY56&gt;0,Champions!AZ56/Champions!AY56,0)</f>
        <v>0.0779151762902402</v>
      </c>
      <c r="P56" s="89" t="n">
        <f aca="false">L55*$E$104+N55*$E$99+M55*O56</f>
        <v>11.36785752125</v>
      </c>
      <c r="Q56" s="89" t="n">
        <f aca="false">L55*$E$105</f>
        <v>2.99058608119406</v>
      </c>
      <c r="R56" s="89" t="n">
        <f aca="false">N55*$E$100</f>
        <v>0</v>
      </c>
      <c r="S56" s="89" t="n">
        <f aca="false">D56-E56-F56-G56-I56-J56</f>
        <v>0</v>
      </c>
    </row>
    <row r="57" customFormat="false" ht="13.5" hidden="false" customHeight="true" outlineLevel="0" collapsed="false">
      <c r="A57" s="1" t="n">
        <v>1897</v>
      </c>
      <c r="B57" s="136" t="n">
        <f aca="false">'Capital accounts'!D57</f>
        <v>35.2907601021879</v>
      </c>
      <c r="C57" s="89" t="n">
        <f aca="false">MAX(0,'Capital accounts'!I57)*$E$106/oil_book</f>
        <v>2.87456755367994</v>
      </c>
      <c r="D57" s="89" t="n">
        <f aca="false">B57+C57</f>
        <v>38.1653276558679</v>
      </c>
      <c r="E57" s="136" t="n">
        <f aca="false">'Capital accounts'!X57</f>
        <v>16.5971902557945</v>
      </c>
      <c r="F57" s="89" t="n">
        <f aca="false">IF(A57=1901,MIN($E$98,B57),0)</f>
        <v>0</v>
      </c>
      <c r="G57" s="89" t="n">
        <f aca="false">MIN(MAX(0,D57-E57-F57),$E$97*(D57-F57))</f>
        <v>9.54133191396696</v>
      </c>
      <c r="H57" s="89" t="n">
        <f aca="false">IF(AND(A57&gt;=1880,A57&lt;=1899),$E$101,IF(AND(A57&gt;=1900,A57&lt;=1913),$E$102,IF(AND(A57&gt;=1919,A57&lt;=1929),$E$103,0)))</f>
        <v>40</v>
      </c>
      <c r="I57" s="89" t="n">
        <f aca="false">MIN(H57,MAX(0,D57-E57-F57-G57))</f>
        <v>12.0268054861063</v>
      </c>
      <c r="J57" s="89" t="n">
        <f aca="false">MAX(0,D57-E57-F57-G57-I57)</f>
        <v>0</v>
      </c>
      <c r="K57" s="89" t="n">
        <f aca="false">F57+G57+I57</f>
        <v>21.5681374000733</v>
      </c>
      <c r="L57" s="89" t="n">
        <f aca="false">L56*(1-$E$105)+I57</f>
        <v>118.71886988097</v>
      </c>
      <c r="M57" s="89" t="n">
        <f aca="false">M56+G57</f>
        <v>100.902807210862</v>
      </c>
      <c r="N57" s="89" t="n">
        <f aca="false">N56*(1-$E$100)+F57</f>
        <v>0</v>
      </c>
      <c r="O57" s="137" t="n">
        <f aca="false">IF(Champions!AY57&gt;0,Champions!AZ57/Champions!AY57,0)</f>
        <v>0.0778839982729851</v>
      </c>
      <c r="P57" s="89" t="n">
        <f aca="false">L56*$E$104+N56*$E$99+M56*O57</f>
        <v>12.6151879324296</v>
      </c>
      <c r="Q57" s="89" t="n">
        <f aca="false">L56*$E$105</f>
        <v>3.2997545689133</v>
      </c>
      <c r="R57" s="89" t="n">
        <f aca="false">N56*$E$100</f>
        <v>0</v>
      </c>
      <c r="S57" s="89" t="n">
        <f aca="false">D57-E57-F57-G57-I57-J57</f>
        <v>0</v>
      </c>
    </row>
    <row r="58" customFormat="false" ht="13.5" hidden="false" customHeight="true" outlineLevel="0" collapsed="false">
      <c r="A58" s="1" t="n">
        <v>1898</v>
      </c>
      <c r="B58" s="136" t="n">
        <f aca="false">'Capital accounts'!D58</f>
        <v>37.0685197229522</v>
      </c>
      <c r="C58" s="89" t="n">
        <f aca="false">MAX(0,'Capital accounts'!I58)*$E$106/oil_book</f>
        <v>2.95138920728893</v>
      </c>
      <c r="D58" s="89" t="n">
        <f aca="false">B58+C58</f>
        <v>40.0199089302411</v>
      </c>
      <c r="E58" s="136" t="n">
        <f aca="false">'Capital accounts'!X58</f>
        <v>18.1437300411564</v>
      </c>
      <c r="F58" s="89" t="n">
        <f aca="false">IF(A58=1901,MIN($E$98,B58),0)</f>
        <v>0</v>
      </c>
      <c r="G58" s="89" t="n">
        <f aca="false">MIN(MAX(0,D58-E58-F58),$E$97*(D58-F58))</f>
        <v>10.0049772325603</v>
      </c>
      <c r="H58" s="89" t="n">
        <f aca="false">IF(AND(A58&gt;=1880,A58&lt;=1899),$E$101,IF(AND(A58&gt;=1900,A58&lt;=1913),$E$102,IF(AND(A58&gt;=1919,A58&lt;=1929),$E$103,0)))</f>
        <v>40</v>
      </c>
      <c r="I58" s="89" t="n">
        <f aca="false">MIN(H58,MAX(0,D58-E58-F58-G58))</f>
        <v>11.8712016565244</v>
      </c>
      <c r="J58" s="89" t="n">
        <f aca="false">MAX(0,D58-E58-F58-G58-I58)</f>
        <v>0</v>
      </c>
      <c r="K58" s="89" t="n">
        <f aca="false">F58+G58+I58</f>
        <v>21.8761788890847</v>
      </c>
      <c r="L58" s="89" t="n">
        <f aca="false">L57*(1-$E$105)+I58</f>
        <v>127.028505441065</v>
      </c>
      <c r="M58" s="89" t="n">
        <f aca="false">M57+G58</f>
        <v>110.907784443422</v>
      </c>
      <c r="N58" s="89" t="n">
        <f aca="false">N57*(1-$E$100)+F58</f>
        <v>0</v>
      </c>
      <c r="O58" s="137" t="n">
        <f aca="false">IF(Champions!AY58&gt;0,Champions!AZ58/Champions!AY58,0)</f>
        <v>0.0780931982168914</v>
      </c>
      <c r="P58" s="89" t="n">
        <f aca="false">L57*$E$104+N57*$E$99+M57*O58</f>
        <v>13.8157664182071</v>
      </c>
      <c r="Q58" s="89" t="n">
        <f aca="false">L57*$E$105</f>
        <v>3.56156609642909</v>
      </c>
      <c r="R58" s="89" t="n">
        <f aca="false">N57*$E$100</f>
        <v>0</v>
      </c>
      <c r="S58" s="89" t="n">
        <f aca="false">D58-E58-F58-G58-I58-J58</f>
        <v>0</v>
      </c>
    </row>
    <row r="59" customFormat="false" ht="13.5" hidden="false" customHeight="true" outlineLevel="0" collapsed="false">
      <c r="A59" s="1" t="n">
        <v>1899</v>
      </c>
      <c r="B59" s="136" t="n">
        <f aca="false">'Capital accounts'!D59</f>
        <v>36.3827835883357</v>
      </c>
      <c r="C59" s="89" t="n">
        <f aca="false">MAX(0,'Capital accounts'!I59)*$E$106/oil_book</f>
        <v>2.90623662156773</v>
      </c>
      <c r="D59" s="89" t="n">
        <f aca="false">B59+C59</f>
        <v>39.2890202099034</v>
      </c>
      <c r="E59" s="136" t="n">
        <f aca="false">'Capital accounts'!X59</f>
        <v>19.714660639812</v>
      </c>
      <c r="F59" s="89" t="n">
        <f aca="false">IF(A59=1901,MIN($E$98,B59),0)</f>
        <v>0</v>
      </c>
      <c r="G59" s="89" t="n">
        <f aca="false">MIN(MAX(0,D59-E59-F59),$E$97*(D59-F59))</f>
        <v>9.82225505247585</v>
      </c>
      <c r="H59" s="89" t="n">
        <f aca="false">IF(AND(A59&gt;=1880,A59&lt;=1899),$E$101,IF(AND(A59&gt;=1900,A59&lt;=1913),$E$102,IF(AND(A59&gt;=1919,A59&lt;=1929),$E$103,0)))</f>
        <v>40</v>
      </c>
      <c r="I59" s="89" t="n">
        <f aca="false">MIN(H59,MAX(0,D59-E59-F59-G59))</f>
        <v>9.75210451761559</v>
      </c>
      <c r="J59" s="89" t="n">
        <f aca="false">MAX(0,D59-E59-F59-G59-I59)</f>
        <v>0</v>
      </c>
      <c r="K59" s="89" t="n">
        <f aca="false">F59+G59+I59</f>
        <v>19.5743595700914</v>
      </c>
      <c r="L59" s="89" t="n">
        <f aca="false">L58*(1-$E$105)+I59</f>
        <v>132.969754795449</v>
      </c>
      <c r="M59" s="89" t="n">
        <f aca="false">M58+G59</f>
        <v>120.730039495898</v>
      </c>
      <c r="N59" s="89" t="n">
        <f aca="false">N58*(1-$E$100)+F59</f>
        <v>0</v>
      </c>
      <c r="O59" s="137" t="n">
        <f aca="false">IF(Champions!AY59&gt;0,Champions!AZ59/Champions!AY59,0)</f>
        <v>0.0781781511104055</v>
      </c>
      <c r="P59" s="89" t="n">
        <f aca="false">L58*$E$104+N58*$E$99+M58*O59</f>
        <v>15.0219908035914</v>
      </c>
      <c r="Q59" s="89" t="n">
        <f aca="false">L58*$E$105</f>
        <v>3.81085516323195</v>
      </c>
      <c r="R59" s="89" t="n">
        <f aca="false">N58*$E$100</f>
        <v>0</v>
      </c>
      <c r="S59" s="89" t="n">
        <f aca="false">D59-E59-F59-G59-I59-J59</f>
        <v>0</v>
      </c>
    </row>
    <row r="60" customFormat="false" ht="13.5" hidden="false" customHeight="true" outlineLevel="0" collapsed="false">
      <c r="A60" s="1" t="n">
        <v>1900</v>
      </c>
      <c r="B60" s="136" t="n">
        <f aca="false">'Capital accounts'!D60</f>
        <v>36.9509491649482</v>
      </c>
      <c r="C60" s="89" t="n">
        <f aca="false">MAX(0,'Capital accounts'!I60)*$E$106/oil_book</f>
        <v>2.99748612668677</v>
      </c>
      <c r="D60" s="89" t="n">
        <f aca="false">B60+C60</f>
        <v>39.9484352916349</v>
      </c>
      <c r="E60" s="136" t="n">
        <f aca="false">'Capital accounts'!X60</f>
        <v>21.51346839668</v>
      </c>
      <c r="F60" s="89" t="n">
        <f aca="false">IF(A60=1901,MIN($E$98,B60),0)</f>
        <v>0</v>
      </c>
      <c r="G60" s="89" t="n">
        <f aca="false">MIN(MAX(0,D60-E60-F60),$E$97*(D60-F60))</f>
        <v>9.98710882290873</v>
      </c>
      <c r="H60" s="89" t="n">
        <f aca="false">IF(AND(A60&gt;=1880,A60&lt;=1899),$E$101,IF(AND(A60&gt;=1900,A60&lt;=1913),$E$102,IF(AND(A60&gt;=1919,A60&lt;=1929),$E$103,0)))</f>
        <v>150</v>
      </c>
      <c r="I60" s="89" t="n">
        <f aca="false">MIN(H60,MAX(0,D60-E60-F60-G60))</f>
        <v>8.44785807204617</v>
      </c>
      <c r="J60" s="89" t="n">
        <f aca="false">MAX(0,D60-E60-F60-G60-I60)</f>
        <v>0</v>
      </c>
      <c r="K60" s="89" t="n">
        <f aca="false">F60+G60+I60</f>
        <v>18.4349668949549</v>
      </c>
      <c r="L60" s="89" t="n">
        <f aca="false">L59*(1-$E$105)+I60</f>
        <v>137.428520223631</v>
      </c>
      <c r="M60" s="89" t="n">
        <f aca="false">M59+G60</f>
        <v>130.717148318807</v>
      </c>
      <c r="N60" s="89" t="n">
        <f aca="false">N59*(1-$E$100)+F60</f>
        <v>0</v>
      </c>
      <c r="O60" s="137" t="n">
        <f aca="false">IF(Champions!AY60&gt;0,Champions!AZ60/Champions!AY60,0)</f>
        <v>0.0782206816868862</v>
      </c>
      <c r="P60" s="89" t="n">
        <f aca="false">L59*$E$104+N59*$E$99+M59*O60</f>
        <v>16.0920737292263</v>
      </c>
      <c r="Q60" s="89" t="n">
        <f aca="false">L59*$E$105</f>
        <v>3.98909264386346</v>
      </c>
      <c r="R60" s="89" t="n">
        <f aca="false">N59*$E$100</f>
        <v>0</v>
      </c>
      <c r="S60" s="89" t="n">
        <f aca="false">D60-E60-F60-G60-I60-J60</f>
        <v>0</v>
      </c>
    </row>
    <row r="61" customFormat="false" ht="13.5" hidden="false" customHeight="true" outlineLevel="0" collapsed="false">
      <c r="A61" s="1" t="n">
        <v>1901</v>
      </c>
      <c r="B61" s="136" t="n">
        <f aca="false">'Capital accounts'!D61</f>
        <v>710.524393240813</v>
      </c>
      <c r="C61" s="89" t="n">
        <f aca="false">MAX(0,'Capital accounts'!I61)*$E$106/oil_book</f>
        <v>10.9591156505553</v>
      </c>
      <c r="D61" s="89" t="n">
        <f aca="false">B61+C61</f>
        <v>721.483508891368</v>
      </c>
      <c r="E61" s="136" t="n">
        <f aca="false">'Capital accounts'!X61</f>
        <v>34.5881647541567</v>
      </c>
      <c r="F61" s="89" t="n">
        <f aca="false">IF(A61=1901,MIN($E$98,B61),0)</f>
        <v>480</v>
      </c>
      <c r="G61" s="89" t="n">
        <f aca="false">MIN(MAX(0,D61-E61-F61),$E$97*(D61-F61))</f>
        <v>60.370877222842</v>
      </c>
      <c r="H61" s="89" t="n">
        <f aca="false">IF(AND(A61&gt;=1880,A61&lt;=1899),$E$101,IF(AND(A61&gt;=1900,A61&lt;=1913),$E$102,IF(AND(A61&gt;=1919,A61&lt;=1929),$E$103,0)))</f>
        <v>150</v>
      </c>
      <c r="I61" s="89" t="n">
        <f aca="false">MIN(H61,MAX(0,D61-E61-F61-G61))</f>
        <v>146.524466914369</v>
      </c>
      <c r="J61" s="89" t="n">
        <f aca="false">MAX(0,D61-E61-F61-G61-I61)</f>
        <v>0</v>
      </c>
      <c r="K61" s="89" t="n">
        <f aca="false">F61+G61+I61</f>
        <v>686.895344137211</v>
      </c>
      <c r="L61" s="89" t="n">
        <f aca="false">L60*(1-$E$105)+I61</f>
        <v>279.830131531292</v>
      </c>
      <c r="M61" s="89" t="n">
        <f aca="false">M60+G61</f>
        <v>191.088025541649</v>
      </c>
      <c r="N61" s="89" t="n">
        <f aca="false">N60*(1-$E$100)+F61</f>
        <v>480</v>
      </c>
      <c r="O61" s="137" t="n">
        <f aca="false">IF(Champions!AY61&gt;0,Champions!AZ61/Champions!AY61,0)</f>
        <v>0.069739434690083</v>
      </c>
      <c r="P61" s="89" t="n">
        <f aca="false">L60*$E$104+N60*$E$99+M60*O61</f>
        <v>15.9875660392349</v>
      </c>
      <c r="Q61" s="89" t="n">
        <f aca="false">L60*$E$105</f>
        <v>4.12285560670894</v>
      </c>
      <c r="R61" s="89" t="n">
        <f aca="false">N60*$E$100</f>
        <v>0</v>
      </c>
      <c r="S61" s="89" t="n">
        <f aca="false">D61-E61-F61-G61-I61-J61</f>
        <v>0</v>
      </c>
    </row>
    <row r="62" customFormat="false" ht="13.5" hidden="false" customHeight="true" outlineLevel="0" collapsed="false">
      <c r="A62" s="1" t="n">
        <v>1902</v>
      </c>
      <c r="B62" s="136" t="n">
        <f aca="false">'Capital accounts'!D62</f>
        <v>107.931745314977</v>
      </c>
      <c r="C62" s="89" t="n">
        <f aca="false">MAX(0,'Capital accounts'!I62)*$E$106/oil_book</f>
        <v>13.3752519616067</v>
      </c>
      <c r="D62" s="89" t="n">
        <f aca="false">B62+C62</f>
        <v>121.306997276584</v>
      </c>
      <c r="E62" s="136" t="n">
        <f aca="false">'Capital accounts'!X62</f>
        <v>38.8392205288055</v>
      </c>
      <c r="F62" s="89" t="n">
        <f aca="false">IF(A62=1901,MIN($E$98,B62),0)</f>
        <v>0</v>
      </c>
      <c r="G62" s="89" t="n">
        <f aca="false">MIN(MAX(0,D62-E62-F62),$E$97*(D62-F62))</f>
        <v>30.326749319146</v>
      </c>
      <c r="H62" s="89" t="n">
        <f aca="false">IF(AND(A62&gt;=1880,A62&lt;=1899),$E$101,IF(AND(A62&gt;=1900,A62&lt;=1913),$E$102,IF(AND(A62&gt;=1919,A62&lt;=1929),$E$103,0)))</f>
        <v>150</v>
      </c>
      <c r="I62" s="89" t="n">
        <f aca="false">MIN(H62,MAX(0,D62-E62-F62-G62))</f>
        <v>52.1410274286324</v>
      </c>
      <c r="J62" s="89" t="n">
        <f aca="false">MAX(0,D62-E62-F62-G62-I62)</f>
        <v>0</v>
      </c>
      <c r="K62" s="89" t="n">
        <f aca="false">F62+G62+I62</f>
        <v>82.4677767477784</v>
      </c>
      <c r="L62" s="89" t="n">
        <f aca="false">L61*(1-$E$105)+I62</f>
        <v>323.576255013985</v>
      </c>
      <c r="M62" s="89" t="n">
        <f aca="false">M61+G62</f>
        <v>221.414774860795</v>
      </c>
      <c r="N62" s="89" t="n">
        <f aca="false">N61*(1-$E$100)+F62</f>
        <v>470.4</v>
      </c>
      <c r="O62" s="137" t="n">
        <f aca="false">IF(Champions!AY62&gt;0,Champions!AZ62/Champions!AY62,0)</f>
        <v>0.0708232358292523</v>
      </c>
      <c r="P62" s="89" t="n">
        <f aca="false">L61*$E$104+N61*$E$99+M61*O62</f>
        <v>53.924978873647</v>
      </c>
      <c r="Q62" s="89" t="n">
        <f aca="false">L61*$E$105</f>
        <v>8.39490394593875</v>
      </c>
      <c r="R62" s="89" t="n">
        <f aca="false">N61*$E$100</f>
        <v>9.6</v>
      </c>
      <c r="S62" s="89" t="n">
        <f aca="false">D62-E62-F62-G62-I62-J62</f>
        <v>0</v>
      </c>
    </row>
    <row r="63" customFormat="false" ht="13.5" hidden="false" customHeight="true" outlineLevel="0" collapsed="false">
      <c r="A63" s="1" t="n">
        <v>1903</v>
      </c>
      <c r="B63" s="136" t="n">
        <f aca="false">'Capital accounts'!D63</f>
        <v>109.014086466915</v>
      </c>
      <c r="C63" s="89" t="n">
        <f aca="false">MAX(0,'Capital accounts'!I63)*$E$106/oil_book</f>
        <v>17.194623343521</v>
      </c>
      <c r="D63" s="89" t="n">
        <f aca="false">B63+C63</f>
        <v>126.208709810436</v>
      </c>
      <c r="E63" s="136" t="n">
        <f aca="false">'Capital accounts'!X63</f>
        <v>43.3686283887605</v>
      </c>
      <c r="F63" s="89" t="n">
        <f aca="false">IF(A63=1901,MIN($E$98,B63),0)</f>
        <v>0</v>
      </c>
      <c r="G63" s="89" t="n">
        <f aca="false">MIN(MAX(0,D63-E63-F63),$E$97*(D63-F63))</f>
        <v>31.5521774526089</v>
      </c>
      <c r="H63" s="89" t="n">
        <f aca="false">IF(AND(A63&gt;=1880,A63&lt;=1899),$E$101,IF(AND(A63&gt;=1900,A63&lt;=1913),$E$102,IF(AND(A63&gt;=1919,A63&lt;=1929),$E$103,0)))</f>
        <v>150</v>
      </c>
      <c r="I63" s="89" t="n">
        <f aca="false">MIN(H63,MAX(0,D63-E63-F63-G63))</f>
        <v>51.2879039690663</v>
      </c>
      <c r="J63" s="89" t="n">
        <f aca="false">MAX(0,D63-E63-F63-G63-I63)</f>
        <v>0</v>
      </c>
      <c r="K63" s="89" t="n">
        <f aca="false">F63+G63+I63</f>
        <v>82.8400814216752</v>
      </c>
      <c r="L63" s="89" t="n">
        <f aca="false">L62*(1-$E$105)+I63</f>
        <v>365.156871332632</v>
      </c>
      <c r="M63" s="89" t="n">
        <f aca="false">M62+G63</f>
        <v>252.966952313404</v>
      </c>
      <c r="N63" s="89" t="n">
        <f aca="false">N62*(1-$E$100)+F63</f>
        <v>460.992</v>
      </c>
      <c r="O63" s="137" t="n">
        <f aca="false">IF(Champions!AY63&gt;0,Champions!AZ63/Champions!AY63,0)</f>
        <v>0.0720352285018076</v>
      </c>
      <c r="P63" s="89" t="n">
        <f aca="false">L62*$E$104+N62*$E$99+M62*O63</f>
        <v>58.0004766514729</v>
      </c>
      <c r="Q63" s="89" t="n">
        <f aca="false">L62*$E$105</f>
        <v>9.70728765041955</v>
      </c>
      <c r="R63" s="89" t="n">
        <f aca="false">N62*$E$100</f>
        <v>9.408</v>
      </c>
      <c r="S63" s="89" t="n">
        <f aca="false">D63-E63-F63-G63-I63-J63</f>
        <v>0</v>
      </c>
    </row>
    <row r="64" customFormat="false" ht="13.5" hidden="false" customHeight="true" outlineLevel="0" collapsed="false">
      <c r="A64" s="1" t="n">
        <v>1904</v>
      </c>
      <c r="B64" s="136" t="n">
        <f aca="false">'Capital accounts'!D64</f>
        <v>105.369655711266</v>
      </c>
      <c r="C64" s="89" t="n">
        <f aca="false">MAX(0,'Capital accounts'!I64)*$E$106/oil_book</f>
        <v>23.4332828330075</v>
      </c>
      <c r="D64" s="89" t="n">
        <f aca="false">B64+C64</f>
        <v>128.802938544273</v>
      </c>
      <c r="E64" s="136" t="n">
        <f aca="false">'Capital accounts'!X64</f>
        <v>48.339403515478</v>
      </c>
      <c r="F64" s="89" t="n">
        <f aca="false">IF(A64=1901,MIN($E$98,B64),0)</f>
        <v>0</v>
      </c>
      <c r="G64" s="89" t="n">
        <f aca="false">MIN(MAX(0,D64-E64-F64),$E$97*(D64-F64))</f>
        <v>32.2007346360683</v>
      </c>
      <c r="H64" s="89" t="n">
        <f aca="false">IF(AND(A64&gt;=1880,A64&lt;=1899),$E$101,IF(AND(A64&gt;=1900,A64&lt;=1913),$E$102,IF(AND(A64&gt;=1919,A64&lt;=1929),$E$103,0)))</f>
        <v>150</v>
      </c>
      <c r="I64" s="89" t="n">
        <f aca="false">MIN(H64,MAX(0,D64-E64-F64-G64))</f>
        <v>48.2628003927269</v>
      </c>
      <c r="J64" s="89" t="n">
        <f aca="false">MAX(0,D64-E64-F64-G64-I64)</f>
        <v>0</v>
      </c>
      <c r="K64" s="89" t="n">
        <f aca="false">F64+G64+I64</f>
        <v>80.4635350287953</v>
      </c>
      <c r="L64" s="89" t="n">
        <f aca="false">L63*(1-$E$105)+I64</f>
        <v>402.46496558538</v>
      </c>
      <c r="M64" s="89" t="n">
        <f aca="false">M63+G64</f>
        <v>285.167686949472</v>
      </c>
      <c r="N64" s="89" t="n">
        <f aca="false">N63*(1-$E$100)+F64</f>
        <v>451.77216</v>
      </c>
      <c r="O64" s="137" t="n">
        <f aca="false">IF(Champions!AY64&gt;0,Champions!AZ64/Champions!AY64,0)</f>
        <v>0.073430387151527</v>
      </c>
      <c r="P64" s="89" t="n">
        <f aca="false">L63*$E$104+N63*$E$99+M63*O64</f>
        <v>62.1878648115467</v>
      </c>
      <c r="Q64" s="89" t="n">
        <f aca="false">L63*$E$105</f>
        <v>10.954706139979</v>
      </c>
      <c r="R64" s="89" t="n">
        <f aca="false">N63*$E$100</f>
        <v>9.21984</v>
      </c>
      <c r="S64" s="89" t="n">
        <f aca="false">D64-E64-F64-G64-I64-J64</f>
        <v>0</v>
      </c>
    </row>
    <row r="65" customFormat="false" ht="13.5" hidden="false" customHeight="true" outlineLevel="0" collapsed="false">
      <c r="A65" s="1" t="n">
        <v>1905</v>
      </c>
      <c r="B65" s="136" t="n">
        <f aca="false">'Capital accounts'!D65</f>
        <v>100.142229953343</v>
      </c>
      <c r="C65" s="89" t="n">
        <f aca="false">MAX(0,'Capital accounts'!I65)*$E$106/oil_book</f>
        <v>27.9224257034019</v>
      </c>
      <c r="D65" s="89" t="n">
        <f aca="false">B65+C65</f>
        <v>128.064655656745</v>
      </c>
      <c r="E65" s="136" t="n">
        <f aca="false">'Capital accounts'!X65</f>
        <v>53.2721894562405</v>
      </c>
      <c r="F65" s="89" t="n">
        <f aca="false">IF(A65=1901,MIN($E$98,B65),0)</f>
        <v>0</v>
      </c>
      <c r="G65" s="89" t="n">
        <f aca="false">MIN(MAX(0,D65-E65-F65),$E$97*(D65-F65))</f>
        <v>32.0161639141863</v>
      </c>
      <c r="H65" s="89" t="n">
        <f aca="false">IF(AND(A65&gt;=1880,A65&lt;=1899),$E$101,IF(AND(A65&gt;=1900,A65&lt;=1913),$E$102,IF(AND(A65&gt;=1919,A65&lt;=1929),$E$103,0)))</f>
        <v>150</v>
      </c>
      <c r="I65" s="89" t="n">
        <f aca="false">MIN(H65,MAX(0,D65-E65-F65-G65))</f>
        <v>42.7763022863184</v>
      </c>
      <c r="J65" s="89" t="n">
        <f aca="false">MAX(0,D65-E65-F65-G65-I65)</f>
        <v>0</v>
      </c>
      <c r="K65" s="89" t="n">
        <f aca="false">F65+G65+I65</f>
        <v>74.7924662005047</v>
      </c>
      <c r="L65" s="89" t="n">
        <f aca="false">L64*(1-$E$105)+I65</f>
        <v>433.167318904137</v>
      </c>
      <c r="M65" s="89" t="n">
        <f aca="false">M64+G65</f>
        <v>317.183850863658</v>
      </c>
      <c r="N65" s="89" t="n">
        <f aca="false">N64*(1-$E$100)+F65</f>
        <v>442.7367168</v>
      </c>
      <c r="O65" s="137" t="n">
        <f aca="false">IF(Champions!AY65&gt;0,Champions!AZ65/Champions!AY65,0)</f>
        <v>0.0748932801954566</v>
      </c>
      <c r="P65" s="89" t="n">
        <f aca="false">L64*$E$104+N64*$E$99+M64*O65</f>
        <v>66.3278605606661</v>
      </c>
      <c r="Q65" s="89" t="n">
        <f aca="false">L64*$E$105</f>
        <v>12.0739489675614</v>
      </c>
      <c r="R65" s="89" t="n">
        <f aca="false">N64*$E$100</f>
        <v>9.0354432</v>
      </c>
      <c r="S65" s="89" t="n">
        <f aca="false">D65-E65-F65-G65-I65-J65</f>
        <v>0</v>
      </c>
    </row>
    <row r="66" customFormat="false" ht="13.5" hidden="false" customHeight="true" outlineLevel="0" collapsed="false">
      <c r="A66" s="1" t="n">
        <v>1906</v>
      </c>
      <c r="B66" s="136" t="n">
        <f aca="false">'Capital accounts'!D66</f>
        <v>123.876105707134</v>
      </c>
      <c r="C66" s="89" t="n">
        <f aca="false">MAX(0,'Capital accounts'!I66)*$E$106/oil_book</f>
        <v>16.901840271484</v>
      </c>
      <c r="D66" s="89" t="n">
        <f aca="false">B66+C66</f>
        <v>140.777945978618</v>
      </c>
      <c r="E66" s="136" t="n">
        <f aca="false">'Capital accounts'!X66</f>
        <v>57.7505672191402</v>
      </c>
      <c r="F66" s="89" t="n">
        <f aca="false">IF(A66=1901,MIN($E$98,B66),0)</f>
        <v>0</v>
      </c>
      <c r="G66" s="89" t="n">
        <f aca="false">MIN(MAX(0,D66-E66-F66),$E$97*(D66-F66))</f>
        <v>35.1944864946544</v>
      </c>
      <c r="H66" s="89" t="n">
        <f aca="false">IF(AND(A66&gt;=1880,A66&lt;=1899),$E$101,IF(AND(A66&gt;=1900,A66&lt;=1913),$E$102,IF(AND(A66&gt;=1919,A66&lt;=1929),$E$103,0)))</f>
        <v>150</v>
      </c>
      <c r="I66" s="89" t="n">
        <f aca="false">MIN(H66,MAX(0,D66-E66-F66-G66))</f>
        <v>47.832892264823</v>
      </c>
      <c r="J66" s="89" t="n">
        <f aca="false">MAX(0,D66-E66-F66-G66-I66)</f>
        <v>0</v>
      </c>
      <c r="K66" s="89" t="n">
        <f aca="false">F66+G66+I66</f>
        <v>83.0273787594774</v>
      </c>
      <c r="L66" s="89" t="n">
        <f aca="false">L65*(1-$E$105)+I66</f>
        <v>468.005191601836</v>
      </c>
      <c r="M66" s="89" t="n">
        <f aca="false">M65+G66</f>
        <v>352.378337358313</v>
      </c>
      <c r="N66" s="89" t="n">
        <f aca="false">N65*(1-$E$100)+F66</f>
        <v>433.881982464</v>
      </c>
      <c r="O66" s="137" t="n">
        <f aca="false">IF(Champions!AY66&gt;0,Champions!AZ66/Champions!AY66,0)</f>
        <v>0.0752199482840702</v>
      </c>
      <c r="P66" s="89" t="n">
        <f aca="false">L65*$E$104+N65*$E$99+M65*O66</f>
        <v>69.8674382277134</v>
      </c>
      <c r="Q66" s="89" t="n">
        <f aca="false">L65*$E$105</f>
        <v>12.9950195671241</v>
      </c>
      <c r="R66" s="89" t="n">
        <f aca="false">N65*$E$100</f>
        <v>8.854734336</v>
      </c>
      <c r="S66" s="89" t="n">
        <f aca="false">D66-E66-F66-G66-I66-J66</f>
        <v>0</v>
      </c>
    </row>
    <row r="67" customFormat="false" ht="13.5" hidden="false" customHeight="true" outlineLevel="0" collapsed="false">
      <c r="A67" s="1" t="n">
        <v>1907</v>
      </c>
      <c r="B67" s="136" t="n">
        <f aca="false">'Capital accounts'!D67</f>
        <v>122.768549936288</v>
      </c>
      <c r="C67" s="89" t="n">
        <f aca="false">MAX(0,'Capital accounts'!I67)*$E$106/oil_book</f>
        <v>21.992987459684</v>
      </c>
      <c r="D67" s="89" t="n">
        <f aca="false">B67+C67</f>
        <v>144.761537395972</v>
      </c>
      <c r="E67" s="136" t="n">
        <f aca="false">'Capital accounts'!X67</f>
        <v>62.8867292904094</v>
      </c>
      <c r="F67" s="89" t="n">
        <f aca="false">IF(A67=1901,MIN($E$98,B67),0)</f>
        <v>0</v>
      </c>
      <c r="G67" s="89" t="n">
        <f aca="false">MIN(MAX(0,D67-E67-F67),$E$97*(D67-F67))</f>
        <v>36.190384348993</v>
      </c>
      <c r="H67" s="89" t="n">
        <f aca="false">IF(AND(A67&gt;=1880,A67&lt;=1899),$E$101,IF(AND(A67&gt;=1900,A67&lt;=1913),$E$102,IF(AND(A67&gt;=1919,A67&lt;=1929),$E$103,0)))</f>
        <v>150</v>
      </c>
      <c r="I67" s="89" t="n">
        <f aca="false">MIN(H67,MAX(0,D67-E67-F67-G67))</f>
        <v>45.6844237565697</v>
      </c>
      <c r="J67" s="89" t="n">
        <f aca="false">MAX(0,D67-E67-F67-G67-I67)</f>
        <v>0</v>
      </c>
      <c r="K67" s="89" t="n">
        <f aca="false">F67+G67+I67</f>
        <v>81.8748081055628</v>
      </c>
      <c r="L67" s="89" t="n">
        <f aca="false">L66*(1-$E$105)+I67</f>
        <v>499.64945961035</v>
      </c>
      <c r="M67" s="89" t="n">
        <f aca="false">M66+G67</f>
        <v>388.568721707306</v>
      </c>
      <c r="N67" s="89" t="n">
        <f aca="false">N66*(1-$E$100)+F67</f>
        <v>425.20434281472</v>
      </c>
      <c r="O67" s="137" t="n">
        <f aca="false">IF(Champions!AY67&gt;0,Champions!AZ67/Champions!AY67,0)</f>
        <v>0.0757373358011415</v>
      </c>
      <c r="P67" s="89" t="n">
        <f aca="false">L66*$E$104+N66*$E$99+M66*O67</f>
        <v>73.9519650811663</v>
      </c>
      <c r="Q67" s="89" t="n">
        <f aca="false">L66*$E$105</f>
        <v>14.0401557480551</v>
      </c>
      <c r="R67" s="89" t="n">
        <f aca="false">N66*$E$100</f>
        <v>8.67763964928</v>
      </c>
      <c r="S67" s="89" t="n">
        <f aca="false">D67-E67-F67-G67-I67-J67</f>
        <v>0</v>
      </c>
    </row>
    <row r="68" customFormat="false" ht="13.5" hidden="false" customHeight="true" outlineLevel="0" collapsed="false">
      <c r="A68" s="1" t="n">
        <v>1908</v>
      </c>
      <c r="B68" s="136" t="n">
        <f aca="false">'Capital accounts'!D68</f>
        <v>124.667371673464</v>
      </c>
      <c r="C68" s="89" t="n">
        <f aca="false">MAX(0,'Capital accounts'!I68)*$E$106/oil_book</f>
        <v>18.3094799568916</v>
      </c>
      <c r="D68" s="89" t="n">
        <f aca="false">B68+C68</f>
        <v>142.976851630355</v>
      </c>
      <c r="E68" s="136" t="n">
        <f aca="false">'Capital accounts'!X68</f>
        <v>67.8343615668916</v>
      </c>
      <c r="F68" s="89" t="n">
        <f aca="false">IF(A68=1901,MIN($E$98,B68),0)</f>
        <v>0</v>
      </c>
      <c r="G68" s="89" t="n">
        <f aca="false">MIN(MAX(0,D68-E68-F68),$E$97*(D68-F68))</f>
        <v>35.7442129075888</v>
      </c>
      <c r="H68" s="89" t="n">
        <f aca="false">IF(AND(A68&gt;=1880,A68&lt;=1899),$E$101,IF(AND(A68&gt;=1900,A68&lt;=1913),$E$102,IF(AND(A68&gt;=1919,A68&lt;=1929),$E$103,0)))</f>
        <v>150</v>
      </c>
      <c r="I68" s="89" t="n">
        <f aca="false">MIN(H68,MAX(0,D68-E68-F68-G68))</f>
        <v>39.3982771558749</v>
      </c>
      <c r="J68" s="89" t="n">
        <f aca="false">MAX(0,D68-E68-F68-G68-I68)</f>
        <v>0</v>
      </c>
      <c r="K68" s="89" t="n">
        <f aca="false">F68+G68+I68</f>
        <v>75.1424900634638</v>
      </c>
      <c r="L68" s="89" t="n">
        <f aca="false">L67*(1-$E$105)+I68</f>
        <v>524.058252977915</v>
      </c>
      <c r="M68" s="89" t="n">
        <f aca="false">M67+G68</f>
        <v>424.312934614895</v>
      </c>
      <c r="N68" s="89" t="n">
        <f aca="false">N67*(1-$E$100)+F68</f>
        <v>416.700255958426</v>
      </c>
      <c r="O68" s="137" t="n">
        <f aca="false">IF(Champions!AY68&gt;0,Champions!AZ68/Champions!AY68,0)</f>
        <v>0.0759972621460064</v>
      </c>
      <c r="P68" s="89" t="n">
        <f aca="false">L67*$E$104+N67*$E$99+M67*O68</f>
        <v>77.8988708406558</v>
      </c>
      <c r="Q68" s="89" t="n">
        <f aca="false">L67*$E$105</f>
        <v>14.9894837883105</v>
      </c>
      <c r="R68" s="89" t="n">
        <f aca="false">N67*$E$100</f>
        <v>8.5040868562944</v>
      </c>
      <c r="S68" s="89" t="n">
        <f aca="false">D68-E68-F68-G68-I68-J68</f>
        <v>0</v>
      </c>
    </row>
    <row r="69" customFormat="false" ht="13.5" hidden="false" customHeight="true" outlineLevel="0" collapsed="false">
      <c r="A69" s="1" t="n">
        <v>1909</v>
      </c>
      <c r="B69" s="136" t="n">
        <f aca="false">'Capital accounts'!D69</f>
        <v>118.729014368286</v>
      </c>
      <c r="C69" s="89" t="n">
        <f aca="false">MAX(0,'Capital accounts'!I69)*$E$106/oil_book</f>
        <v>20.4666445222585</v>
      </c>
      <c r="D69" s="89" t="n">
        <f aca="false">B69+C69</f>
        <v>139.195658890544</v>
      </c>
      <c r="E69" s="136" t="n">
        <f aca="false">'Capital accounts'!X69</f>
        <v>72.73204803815</v>
      </c>
      <c r="F69" s="89" t="n">
        <f aca="false">IF(A69=1901,MIN($E$98,B69),0)</f>
        <v>0</v>
      </c>
      <c r="G69" s="89" t="n">
        <f aca="false">MIN(MAX(0,D69-E69-F69),$E$97*(D69-F69))</f>
        <v>34.7989147226361</v>
      </c>
      <c r="H69" s="89" t="n">
        <f aca="false">IF(AND(A69&gt;=1880,A69&lt;=1899),$E$101,IF(AND(A69&gt;=1900,A69&lt;=1913),$E$102,IF(AND(A69&gt;=1919,A69&lt;=1929),$E$103,0)))</f>
        <v>150</v>
      </c>
      <c r="I69" s="89" t="n">
        <f aca="false">MIN(H69,MAX(0,D69-E69-F69-G69))</f>
        <v>31.6646961297582</v>
      </c>
      <c r="J69" s="89" t="n">
        <f aca="false">MAX(0,D69-E69-F69-G69-I69)</f>
        <v>0</v>
      </c>
      <c r="K69" s="89" t="n">
        <f aca="false">F69+G69+I69</f>
        <v>66.4636108523943</v>
      </c>
      <c r="L69" s="89" t="n">
        <f aca="false">L68*(1-$E$105)+I69</f>
        <v>540.001201518335</v>
      </c>
      <c r="M69" s="89" t="n">
        <f aca="false">M68+G69</f>
        <v>459.111849337531</v>
      </c>
      <c r="N69" s="89" t="n">
        <f aca="false">N68*(1-$E$100)+F69</f>
        <v>408.366250839257</v>
      </c>
      <c r="O69" s="137" t="n">
        <f aca="false">IF(Champions!AY69&gt;0,Champions!AZ69/Champions!AY69,0)</f>
        <v>0.076325173883795</v>
      </c>
      <c r="P69" s="89" t="n">
        <f aca="false">L68*$E$104+N68*$E$99+M68*O69</f>
        <v>81.5071852422343</v>
      </c>
      <c r="Q69" s="89" t="n">
        <f aca="false">L68*$E$105</f>
        <v>15.7217475893374</v>
      </c>
      <c r="R69" s="89" t="n">
        <f aca="false">N68*$E$100</f>
        <v>8.33400511916851</v>
      </c>
      <c r="S69" s="89" t="n">
        <f aca="false">D69-E69-F69-G69-I69-J69</f>
        <v>0</v>
      </c>
    </row>
    <row r="70" customFormat="false" ht="13.5" hidden="false" customHeight="true" outlineLevel="0" collapsed="false">
      <c r="A70" s="1" t="n">
        <v>1910</v>
      </c>
      <c r="B70" s="136" t="n">
        <f aca="false">'Capital accounts'!D70</f>
        <v>122.551432976346</v>
      </c>
      <c r="C70" s="89" t="n">
        <f aca="false">MAX(0,'Capital accounts'!I70)*$E$106/oil_book</f>
        <v>17.42148036033</v>
      </c>
      <c r="D70" s="89" t="n">
        <f aca="false">B70+C70</f>
        <v>139.972913336676</v>
      </c>
      <c r="E70" s="136" t="n">
        <f aca="false">'Capital accounts'!X70</f>
        <v>78.1610987319218</v>
      </c>
      <c r="F70" s="89" t="n">
        <f aca="false">IF(A70=1901,MIN($E$98,B70),0)</f>
        <v>0</v>
      </c>
      <c r="G70" s="89" t="n">
        <f aca="false">MIN(MAX(0,D70-E70-F70),$E$97*(D70-F70))</f>
        <v>34.9932283341689</v>
      </c>
      <c r="H70" s="89" t="n">
        <f aca="false">IF(AND(A70&gt;=1880,A70&lt;=1899),$E$101,IF(AND(A70&gt;=1900,A70&lt;=1913),$E$102,IF(AND(A70&gt;=1919,A70&lt;=1929),$E$103,0)))</f>
        <v>150</v>
      </c>
      <c r="I70" s="89" t="n">
        <f aca="false">MIN(H70,MAX(0,D70-E70-F70-G70))</f>
        <v>26.8185862705848</v>
      </c>
      <c r="J70" s="89" t="n">
        <f aca="false">MAX(0,D70-E70-F70-G70-I70)</f>
        <v>0</v>
      </c>
      <c r="K70" s="89" t="n">
        <f aca="false">F70+G70+I70</f>
        <v>61.8118146047537</v>
      </c>
      <c r="L70" s="89" t="n">
        <f aca="false">L69*(1-$E$105)+I70</f>
        <v>550.61975174337</v>
      </c>
      <c r="M70" s="89" t="n">
        <f aca="false">M69+G70</f>
        <v>494.1050776717</v>
      </c>
      <c r="N70" s="89" t="n">
        <f aca="false">N69*(1-$E$100)+F70</f>
        <v>400.198925822472</v>
      </c>
      <c r="O70" s="137" t="n">
        <f aca="false">IF(Champions!AY70&gt;0,Champions!AZ70/Champions!AY70,0)</f>
        <v>0.0765193367928895</v>
      </c>
      <c r="P70" s="89" t="n">
        <f aca="false">L69*$E$104+N69*$E$99+M69*O70</f>
        <v>84.5911380971408</v>
      </c>
      <c r="Q70" s="89" t="n">
        <f aca="false">L69*$E$105</f>
        <v>16.2000360455501</v>
      </c>
      <c r="R70" s="89" t="n">
        <f aca="false">N69*$E$100</f>
        <v>8.16732501678514</v>
      </c>
      <c r="S70" s="89" t="n">
        <f aca="false">D70-E70-F70-G70-I70-J70</f>
        <v>0</v>
      </c>
    </row>
    <row r="71" customFormat="false" ht="13.5" hidden="false" customHeight="true" outlineLevel="0" collapsed="false">
      <c r="A71" s="1" t="n">
        <v>1911</v>
      </c>
      <c r="B71" s="136" t="n">
        <f aca="false">'Capital accounts'!D71</f>
        <v>140.683616960858</v>
      </c>
      <c r="C71" s="89" t="n">
        <f aca="false">MAX(0,'Capital accounts'!I71)*$E$106/oil_book</f>
        <v>20.8402011270757</v>
      </c>
      <c r="D71" s="89" t="n">
        <f aca="false">B71+C71</f>
        <v>161.523818087934</v>
      </c>
      <c r="E71" s="136" t="n">
        <f aca="false">'Capital accounts'!X71</f>
        <v>84.2781856126939</v>
      </c>
      <c r="F71" s="89" t="n">
        <f aca="false">IF(A71=1901,MIN($E$98,B71),0)</f>
        <v>0</v>
      </c>
      <c r="G71" s="89" t="n">
        <f aca="false">MIN(MAX(0,D71-E71-F71),$E$97*(D71-F71))</f>
        <v>40.3809545219835</v>
      </c>
      <c r="H71" s="89" t="n">
        <f aca="false">IF(AND(A71&gt;=1880,A71&lt;=1899),$E$101,IF(AND(A71&gt;=1900,A71&lt;=1913),$E$102,IF(AND(A71&gt;=1919,A71&lt;=1929),$E$103,0)))</f>
        <v>150</v>
      </c>
      <c r="I71" s="89" t="n">
        <f aca="false">MIN(H71,MAX(0,D71-E71-F71-G71))</f>
        <v>36.8646779532566</v>
      </c>
      <c r="J71" s="89" t="n">
        <f aca="false">MAX(0,D71-E71-F71-G71-I71)</f>
        <v>0</v>
      </c>
      <c r="K71" s="89" t="n">
        <f aca="false">F71+G71+I71</f>
        <v>77.24563247524</v>
      </c>
      <c r="L71" s="89" t="n">
        <f aca="false">L70*(1-$E$105)+I71</f>
        <v>570.965837144326</v>
      </c>
      <c r="M71" s="89" t="n">
        <f aca="false">M70+G71</f>
        <v>534.486032193683</v>
      </c>
      <c r="N71" s="89" t="n">
        <f aca="false">N70*(1-$E$100)+F71</f>
        <v>392.194947306022</v>
      </c>
      <c r="O71" s="137" t="n">
        <f aca="false">IF(Champions!AY71&gt;0,Champions!AZ71/Champions!AY71,0)</f>
        <v>0.0769170695972318</v>
      </c>
      <c r="P71" s="89" t="n">
        <f aca="false">L70*$E$104+N70*$E$99+M70*O71</f>
        <v>87.5470431550242</v>
      </c>
      <c r="Q71" s="89" t="n">
        <f aca="false">L70*$E$105</f>
        <v>16.5185925523011</v>
      </c>
      <c r="R71" s="89" t="n">
        <f aca="false">N70*$E$100</f>
        <v>8.00397851644944</v>
      </c>
      <c r="S71" s="89" t="n">
        <f aca="false">D71-E71-F71-G71-I71-J71</f>
        <v>0</v>
      </c>
    </row>
    <row r="72" customFormat="false" ht="13.5" hidden="false" customHeight="true" outlineLevel="0" collapsed="false">
      <c r="A72" s="1" t="n">
        <v>1912</v>
      </c>
      <c r="B72" s="136" t="n">
        <f aca="false">'Capital accounts'!D72</f>
        <v>140.871659872912</v>
      </c>
      <c r="C72" s="89" t="n">
        <f aca="false">MAX(0,'Capital accounts'!I72)*$E$106/oil_book</f>
        <v>17.949336064021</v>
      </c>
      <c r="D72" s="89" t="n">
        <f aca="false">B72+C72</f>
        <v>158.820995936933</v>
      </c>
      <c r="E72" s="136" t="n">
        <f aca="false">'Capital accounts'!X72</f>
        <v>91.6091980661187</v>
      </c>
      <c r="F72" s="89" t="n">
        <f aca="false">IF(A72=1901,MIN($E$98,B72),0)</f>
        <v>0</v>
      </c>
      <c r="G72" s="89" t="n">
        <f aca="false">MIN(MAX(0,D72-E72-F72),$E$97*(D72-F72))</f>
        <v>39.7052489842334</v>
      </c>
      <c r="H72" s="89" t="n">
        <f aca="false">IF(AND(A72&gt;=1880,A72&lt;=1899),$E$101,IF(AND(A72&gt;=1900,A72&lt;=1913),$E$102,IF(AND(A72&gt;=1919,A72&lt;=1929),$E$103,0)))</f>
        <v>150</v>
      </c>
      <c r="I72" s="89" t="n">
        <f aca="false">MIN(H72,MAX(0,D72-E72-F72-G72))</f>
        <v>27.5065488865814</v>
      </c>
      <c r="J72" s="89" t="n">
        <f aca="false">MAX(0,D72-E72-F72-G72-I72)</f>
        <v>0</v>
      </c>
      <c r="K72" s="89" t="n">
        <f aca="false">F72+G72+I72</f>
        <v>67.2117978708148</v>
      </c>
      <c r="L72" s="89" t="n">
        <f aca="false">L71*(1-$E$105)+I72</f>
        <v>581.343410916577</v>
      </c>
      <c r="M72" s="89" t="n">
        <f aca="false">M71+G72</f>
        <v>574.191281177916</v>
      </c>
      <c r="N72" s="89" t="n">
        <f aca="false">N71*(1-$E$100)+F72</f>
        <v>384.351048359902</v>
      </c>
      <c r="O72" s="137" t="n">
        <f aca="false">IF(Champions!AY72&gt;0,Champions!AZ72/Champions!AY72,0)</f>
        <v>0.0772019159679887</v>
      </c>
      <c r="P72" s="89" t="n">
        <f aca="false">L71*$E$104+N71*$E$99+M71*O72</f>
        <v>91.3823597025279</v>
      </c>
      <c r="Q72" s="89" t="n">
        <f aca="false">L71*$E$105</f>
        <v>17.1289751143298</v>
      </c>
      <c r="R72" s="89" t="n">
        <f aca="false">N71*$E$100</f>
        <v>7.84389894612045</v>
      </c>
      <c r="S72" s="89" t="n">
        <f aca="false">D72-E72-F72-G72-I72-J72</f>
        <v>0</v>
      </c>
    </row>
    <row r="73" customFormat="false" ht="13.5" hidden="false" customHeight="true" outlineLevel="0" collapsed="false">
      <c r="A73" s="1" t="n">
        <v>1913</v>
      </c>
      <c r="B73" s="136" t="n">
        <f aca="false">'Capital accounts'!D73</f>
        <v>141.297722633119</v>
      </c>
      <c r="C73" s="89" t="n">
        <f aca="false">MAX(0,'Capital accounts'!I73)*$E$106/oil_book</f>
        <v>22.0143166743689</v>
      </c>
      <c r="D73" s="89" t="n">
        <f aca="false">B73+C73</f>
        <v>163.312039307488</v>
      </c>
      <c r="E73" s="136" t="n">
        <f aca="false">'Capital accounts'!X73</f>
        <v>98.837266931144</v>
      </c>
      <c r="F73" s="89" t="n">
        <f aca="false">IF(A73=1901,MIN($E$98,B73),0)</f>
        <v>0</v>
      </c>
      <c r="G73" s="89" t="n">
        <f aca="false">MIN(MAX(0,D73-E73-F73),$E$97*(D73-F73))</f>
        <v>40.8280098268719</v>
      </c>
      <c r="H73" s="89" t="n">
        <f aca="false">IF(AND(A73&gt;=1880,A73&lt;=1899),$E$101,IF(AND(A73&gt;=1900,A73&lt;=1913),$E$102,IF(AND(A73&gt;=1919,A73&lt;=1929),$E$103,0)))</f>
        <v>150</v>
      </c>
      <c r="I73" s="89" t="n">
        <f aca="false">MIN(H73,MAX(0,D73-E73-F73-G73))</f>
        <v>23.6467625494716</v>
      </c>
      <c r="J73" s="89" t="n">
        <f aca="false">MAX(0,D73-E73-F73-G73-I73)</f>
        <v>0</v>
      </c>
      <c r="K73" s="89" t="n">
        <f aca="false">F73+G73+I73</f>
        <v>64.4747723763435</v>
      </c>
      <c r="L73" s="89" t="n">
        <f aca="false">L72*(1-$E$105)+I73</f>
        <v>587.549871138552</v>
      </c>
      <c r="M73" s="89" t="n">
        <f aca="false">M72+G73</f>
        <v>615.019291004788</v>
      </c>
      <c r="N73" s="89" t="n">
        <f aca="false">N72*(1-$E$100)+F73</f>
        <v>376.664027392704</v>
      </c>
      <c r="O73" s="137" t="n">
        <f aca="false">IF(Champions!AY73&gt;0,Champions!AZ73/Champions!AY73,0)</f>
        <v>0.0775819961668081</v>
      </c>
      <c r="P73" s="89" t="n">
        <f aca="false">L72*$E$104+N72*$E$99+M72*O73</f>
        <v>94.7533839809832</v>
      </c>
      <c r="Q73" s="89" t="n">
        <f aca="false">L72*$E$105</f>
        <v>17.4403023274973</v>
      </c>
      <c r="R73" s="89" t="n">
        <f aca="false">N72*$E$100</f>
        <v>7.68702096719804</v>
      </c>
      <c r="S73" s="89" t="n">
        <f aca="false">D73-E73-F73-G73-I73-J73</f>
        <v>0</v>
      </c>
    </row>
    <row r="74" customFormat="false" ht="13.5" hidden="false" customHeight="true" outlineLevel="0" collapsed="false">
      <c r="A74" s="1" t="n">
        <v>1914</v>
      </c>
      <c r="B74" s="136" t="n">
        <f aca="false">'Capital accounts'!D74</f>
        <v>132.409936913648</v>
      </c>
      <c r="C74" s="89" t="n">
        <f aca="false">MAX(0,'Capital accounts'!I74)*$E$106/oil_book</f>
        <v>68.145196932338</v>
      </c>
      <c r="D74" s="89" t="n">
        <f aca="false">B74+C74</f>
        <v>200.555133845986</v>
      </c>
      <c r="E74" s="136" t="n">
        <f aca="false">'Capital accounts'!X74</f>
        <v>115.5207077702</v>
      </c>
      <c r="F74" s="89" t="n">
        <f aca="false">IF(A74=1901,MIN($E$98,B74),0)</f>
        <v>0</v>
      </c>
      <c r="G74" s="89" t="n">
        <f aca="false">MIN(MAX(0,D74-E74-F74),$E$97*(D74-F74))</f>
        <v>50.1387834614965</v>
      </c>
      <c r="H74" s="89" t="n">
        <f aca="false">IF(AND(A74&gt;=1880,A74&lt;=1899),$E$101,IF(AND(A74&gt;=1900,A74&lt;=1913),$E$102,IF(AND(A74&gt;=1919,A74&lt;=1929),$E$103,0)))</f>
        <v>0</v>
      </c>
      <c r="I74" s="89" t="n">
        <f aca="false">MIN(H74,MAX(0,D74-E74-F74-G74))</f>
        <v>0</v>
      </c>
      <c r="J74" s="89" t="n">
        <f aca="false">MAX(0,D74-E74-F74-G74-I74)</f>
        <v>34.8956426142892</v>
      </c>
      <c r="K74" s="89" t="n">
        <f aca="false">F74+G74+I74</f>
        <v>50.1387834614965</v>
      </c>
      <c r="L74" s="89" t="n">
        <f aca="false">L73*(1-$E$105)+I74</f>
        <v>569.923375004395</v>
      </c>
      <c r="M74" s="89" t="n">
        <f aca="false">M73+G74</f>
        <v>665.158074466285</v>
      </c>
      <c r="N74" s="89" t="n">
        <f aca="false">N73*(1-$E$100)+F74</f>
        <v>369.13074684485</v>
      </c>
      <c r="O74" s="137" t="n">
        <f aca="false">IF(Champions!AY74&gt;0,Champions!AZ74/Champions!AY74,0)</f>
        <v>0.0804295160603742</v>
      </c>
      <c r="P74" s="89" t="n">
        <f aca="false">L73*$E$104+N73*$E$99+M73*O74</f>
        <v>99.5597190068359</v>
      </c>
      <c r="Q74" s="89" t="n">
        <f aca="false">L73*$E$105</f>
        <v>17.6264961341565</v>
      </c>
      <c r="R74" s="89" t="n">
        <f aca="false">N73*$E$100</f>
        <v>7.53328054785408</v>
      </c>
      <c r="S74" s="89" t="n">
        <f aca="false">D74-E74-F74-G74-I74-J74</f>
        <v>0</v>
      </c>
    </row>
    <row r="75" customFormat="false" ht="13.5" hidden="false" customHeight="true" outlineLevel="0" collapsed="false">
      <c r="A75" s="1" t="n">
        <v>1915</v>
      </c>
      <c r="B75" s="136" t="n">
        <f aca="false">'Capital accounts'!D75</f>
        <v>130.573545571647</v>
      </c>
      <c r="C75" s="89" t="n">
        <f aca="false">MAX(0,'Capital accounts'!I75)*$E$106/oil_book</f>
        <v>74.3672794827703</v>
      </c>
      <c r="D75" s="89" t="n">
        <f aca="false">B75+C75</f>
        <v>204.940825054417</v>
      </c>
      <c r="E75" s="136" t="n">
        <f aca="false">'Capital accounts'!X75</f>
        <v>133.721722753616</v>
      </c>
      <c r="F75" s="89" t="n">
        <f aca="false">IF(A75=1901,MIN($E$98,B75),0)</f>
        <v>0</v>
      </c>
      <c r="G75" s="89" t="n">
        <f aca="false">MIN(MAX(0,D75-E75-F75),$E$97*(D75-F75))</f>
        <v>51.2352062636044</v>
      </c>
      <c r="H75" s="89" t="n">
        <f aca="false">IF(AND(A75&gt;=1880,A75&lt;=1899),$E$101,IF(AND(A75&gt;=1900,A75&lt;=1913),$E$102,IF(AND(A75&gt;=1919,A75&lt;=1929),$E$103,0)))</f>
        <v>0</v>
      </c>
      <c r="I75" s="89" t="n">
        <f aca="false">MIN(H75,MAX(0,D75-E75-F75-G75))</f>
        <v>0</v>
      </c>
      <c r="J75" s="89" t="n">
        <f aca="false">MAX(0,D75-E75-F75-G75-I75)</f>
        <v>19.9838960371972</v>
      </c>
      <c r="K75" s="89" t="n">
        <f aca="false">F75+G75+I75</f>
        <v>51.2352062636044</v>
      </c>
      <c r="L75" s="89" t="n">
        <f aca="false">L74*(1-$E$105)+I75</f>
        <v>552.825673754263</v>
      </c>
      <c r="M75" s="89" t="n">
        <f aca="false">M74+G75</f>
        <v>716.393280729889</v>
      </c>
      <c r="N75" s="89" t="n">
        <f aca="false">N74*(1-$E$100)+F75</f>
        <v>361.748131907953</v>
      </c>
      <c r="O75" s="137" t="n">
        <f aca="false">IF(Champions!AY75&gt;0,Champions!AZ75/Champions!AY75,0)</f>
        <v>0.0831942787863588</v>
      </c>
      <c r="P75" s="89" t="n">
        <f aca="false">L74*$E$104+N74*$E$99+M74*O75</f>
        <v>104.135706110832</v>
      </c>
      <c r="Q75" s="89" t="n">
        <f aca="false">L74*$E$105</f>
        <v>17.0977012501318</v>
      </c>
      <c r="R75" s="89" t="n">
        <f aca="false">N74*$E$100</f>
        <v>7.382614936897</v>
      </c>
      <c r="S75" s="89" t="n">
        <f aca="false">D75-E75-F75-G75-I75-J75</f>
        <v>0</v>
      </c>
    </row>
    <row r="76" customFormat="false" ht="13.5" hidden="false" customHeight="true" outlineLevel="0" collapsed="false">
      <c r="A76" s="1" t="n">
        <v>1916</v>
      </c>
      <c r="B76" s="136" t="n">
        <f aca="false">'Capital accounts'!D76</f>
        <v>133.016167854871</v>
      </c>
      <c r="C76" s="89" t="n">
        <f aca="false">MAX(0,'Capital accounts'!I76)*$E$106/oil_book</f>
        <v>83.4055584214687</v>
      </c>
      <c r="D76" s="89" t="n">
        <f aca="false">B76+C76</f>
        <v>216.421726276339</v>
      </c>
      <c r="E76" s="136" t="n">
        <f aca="false">'Capital accounts'!X76</f>
        <v>154.511967583197</v>
      </c>
      <c r="F76" s="89" t="n">
        <f aca="false">IF(A76=1901,MIN($E$98,B76),0)</f>
        <v>0</v>
      </c>
      <c r="G76" s="89" t="n">
        <f aca="false">MIN(MAX(0,D76-E76-F76),$E$97*(D76-F76))</f>
        <v>54.1054315690849</v>
      </c>
      <c r="H76" s="89" t="n">
        <f aca="false">IF(AND(A76&gt;=1880,A76&lt;=1899),$E$101,IF(AND(A76&gt;=1900,A76&lt;=1913),$E$102,IF(AND(A76&gt;=1919,A76&lt;=1929),$E$103,0)))</f>
        <v>0</v>
      </c>
      <c r="I76" s="89" t="n">
        <f aca="false">MIN(H76,MAX(0,D76-E76-F76-G76))</f>
        <v>0</v>
      </c>
      <c r="J76" s="89" t="n">
        <f aca="false">MAX(0,D76-E76-F76-G76-I76)</f>
        <v>7.80432712405721</v>
      </c>
      <c r="K76" s="89" t="n">
        <f aca="false">F76+G76+I76</f>
        <v>54.1054315690849</v>
      </c>
      <c r="L76" s="89" t="n">
        <f aca="false">L75*(1-$E$105)+I76</f>
        <v>536.240903541635</v>
      </c>
      <c r="M76" s="89" t="n">
        <f aca="false">M75+G76</f>
        <v>770.498712298974</v>
      </c>
      <c r="N76" s="89" t="n">
        <f aca="false">N75*(1-$E$100)+F76</f>
        <v>354.513169269794</v>
      </c>
      <c r="O76" s="137" t="n">
        <f aca="false">IF(Champions!AY76&gt;0,Champions!AZ76/Champions!AY76,0)</f>
        <v>0.0858276670764433</v>
      </c>
      <c r="P76" s="89" t="n">
        <f aca="false">L75*$E$104+N75*$E$99+M75*O76</f>
        <v>109.023794936936</v>
      </c>
      <c r="Q76" s="89" t="n">
        <f aca="false">L75*$E$105</f>
        <v>16.5847702126279</v>
      </c>
      <c r="R76" s="89" t="n">
        <f aca="false">N75*$E$100</f>
        <v>7.23496263815906</v>
      </c>
      <c r="S76" s="89" t="n">
        <f aca="false">D76-E76-F76-G76-I76-J76</f>
        <v>0</v>
      </c>
    </row>
    <row r="77" customFormat="false" ht="13.5" hidden="false" customHeight="true" outlineLevel="0" collapsed="false">
      <c r="A77" s="1" t="n">
        <v>1917</v>
      </c>
      <c r="B77" s="136" t="n">
        <f aca="false">'Capital accounts'!D77</f>
        <v>136.533914733802</v>
      </c>
      <c r="C77" s="89" t="n">
        <f aca="false">MAX(0,'Capital accounts'!I77)*$E$106/oil_book</f>
        <v>86.6457516820414</v>
      </c>
      <c r="D77" s="89" t="n">
        <f aca="false">B77+C77</f>
        <v>223.179666415844</v>
      </c>
      <c r="E77" s="136" t="n">
        <f aca="false">'Capital accounts'!X77</f>
        <v>173.917546998593</v>
      </c>
      <c r="F77" s="89" t="n">
        <f aca="false">IF(A77=1901,MIN($E$98,B77),0)</f>
        <v>0</v>
      </c>
      <c r="G77" s="89" t="n">
        <f aca="false">MIN(MAX(0,D77-E77-F77),$E$97*(D77-F77))</f>
        <v>49.2621194172504</v>
      </c>
      <c r="H77" s="89" t="n">
        <f aca="false">IF(AND(A77&gt;=1880,A77&lt;=1899),$E$101,IF(AND(A77&gt;=1900,A77&lt;=1913),$E$102,IF(AND(A77&gt;=1919,A77&lt;=1929),$E$103,0)))</f>
        <v>0</v>
      </c>
      <c r="I77" s="89" t="n">
        <f aca="false">MIN(H77,MAX(0,D77-E77-F77-G77))</f>
        <v>0</v>
      </c>
      <c r="J77" s="89" t="n">
        <f aca="false">MAX(0,D77-E77-F77-G77-I77)</f>
        <v>0</v>
      </c>
      <c r="K77" s="89" t="n">
        <f aca="false">F77+G77+I77</f>
        <v>49.2621194172504</v>
      </c>
      <c r="L77" s="89" t="n">
        <f aca="false">L76*(1-$E$105)+I77</f>
        <v>520.153676435386</v>
      </c>
      <c r="M77" s="89" t="n">
        <f aca="false">M76+G77</f>
        <v>819.760831716224</v>
      </c>
      <c r="N77" s="89" t="n">
        <f aca="false">N76*(1-$E$100)+F77</f>
        <v>347.422905884398</v>
      </c>
      <c r="O77" s="137" t="n">
        <f aca="false">IF(Champions!AY77&gt;0,Champions!AZ77/Champions!AY77,0)</f>
        <v>0.0882719505634659</v>
      </c>
      <c r="P77" s="89" t="n">
        <f aca="false">L76*$E$104+N76*$E$99+M76*O77</f>
        <v>114.32369372819</v>
      </c>
      <c r="Q77" s="89" t="n">
        <f aca="false">L76*$E$105</f>
        <v>16.0872271062491</v>
      </c>
      <c r="R77" s="89" t="n">
        <f aca="false">N76*$E$100</f>
        <v>7.09026338539587</v>
      </c>
      <c r="S77" s="89" t="n">
        <f aca="false">D77-E77-F77-G77-I77-J77</f>
        <v>0</v>
      </c>
    </row>
    <row r="78" customFormat="false" ht="13.5" hidden="false" customHeight="true" outlineLevel="0" collapsed="false">
      <c r="A78" s="1" t="n">
        <v>1918</v>
      </c>
      <c r="B78" s="136" t="n">
        <f aca="false">'Capital accounts'!D78</f>
        <v>136.457332825687</v>
      </c>
      <c r="C78" s="89" t="n">
        <f aca="false">MAX(0,'Capital accounts'!I78)*$E$106/oil_book</f>
        <v>129.840039752527</v>
      </c>
      <c r="D78" s="89" t="n">
        <f aca="false">B78+C78</f>
        <v>266.297372578213</v>
      </c>
      <c r="E78" s="136" t="n">
        <f aca="false">'Capital accounts'!X78</f>
        <v>196.063646672277</v>
      </c>
      <c r="F78" s="89" t="n">
        <f aca="false">IF(A78=1901,MIN($E$98,B78),0)</f>
        <v>0</v>
      </c>
      <c r="G78" s="89" t="n">
        <f aca="false">MIN(MAX(0,D78-E78-F78),$E$97*(D78-F78))</f>
        <v>66.5743431445533</v>
      </c>
      <c r="H78" s="89" t="n">
        <f aca="false">IF(AND(A78&gt;=1880,A78&lt;=1899),$E$101,IF(AND(A78&gt;=1900,A78&lt;=1913),$E$102,IF(AND(A78&gt;=1919,A78&lt;=1929),$E$103,0)))</f>
        <v>0</v>
      </c>
      <c r="I78" s="89" t="n">
        <f aca="false">MIN(H78,MAX(0,D78-E78-F78-G78))</f>
        <v>0</v>
      </c>
      <c r="J78" s="89" t="n">
        <f aca="false">MAX(0,D78-E78-F78-G78-I78)</f>
        <v>3.65938276138337</v>
      </c>
      <c r="K78" s="89" t="n">
        <f aca="false">F78+G78+I78</f>
        <v>66.5743431445533</v>
      </c>
      <c r="L78" s="89" t="n">
        <f aca="false">L77*(1-$E$105)+I78</f>
        <v>504.549066142325</v>
      </c>
      <c r="M78" s="89" t="n">
        <f aca="false">M77+G78</f>
        <v>886.335174860778</v>
      </c>
      <c r="N78" s="89" t="n">
        <f aca="false">N77*(1-$E$100)+F78</f>
        <v>340.47444776671</v>
      </c>
      <c r="O78" s="137" t="n">
        <f aca="false">IF(Champions!AY78&gt;0,Champions!AZ78/Champions!AY78,0)</f>
        <v>0.0913172486074767</v>
      </c>
      <c r="P78" s="89" t="n">
        <f aca="false">L77*$E$104+N77*$E$99+M77*O78</f>
        <v>119.974247313914</v>
      </c>
      <c r="Q78" s="89" t="n">
        <f aca="false">L77*$E$105</f>
        <v>15.6046102930616</v>
      </c>
      <c r="R78" s="89" t="n">
        <f aca="false">N77*$E$100</f>
        <v>6.94845811768796</v>
      </c>
      <c r="S78" s="89" t="n">
        <f aca="false">D78-E78-F78-G78-I78-J78</f>
        <v>0</v>
      </c>
    </row>
    <row r="79" customFormat="false" ht="13.5" hidden="false" customHeight="true" outlineLevel="0" collapsed="false">
      <c r="A79" s="1" t="n">
        <v>1919</v>
      </c>
      <c r="B79" s="136" t="n">
        <f aca="false">'Capital accounts'!D79</f>
        <v>184.248702796987</v>
      </c>
      <c r="C79" s="89" t="n">
        <f aca="false">MAX(0,'Capital accounts'!I79)*$E$106/oil_book</f>
        <v>140.580907134393</v>
      </c>
      <c r="D79" s="89" t="n">
        <f aca="false">B79+C79</f>
        <v>324.82960993138</v>
      </c>
      <c r="E79" s="136" t="n">
        <f aca="false">'Capital accounts'!X79</f>
        <v>213.536817713641</v>
      </c>
      <c r="F79" s="89" t="n">
        <f aca="false">IF(A79=1901,MIN($E$98,B79),0)</f>
        <v>0</v>
      </c>
      <c r="G79" s="89" t="n">
        <f aca="false">MIN(MAX(0,D79-E79-F79),$E$97*(D79-F79))</f>
        <v>81.207402482845</v>
      </c>
      <c r="H79" s="89" t="n">
        <f aca="false">IF(AND(A79&gt;=1880,A79&lt;=1899),$E$101,IF(AND(A79&gt;=1900,A79&lt;=1913),$E$102,IF(AND(A79&gt;=1919,A79&lt;=1929),$E$103,0)))</f>
        <v>250</v>
      </c>
      <c r="I79" s="89" t="n">
        <f aca="false">MIN(H79,MAX(0,D79-E79-F79-G79))</f>
        <v>30.085389734894</v>
      </c>
      <c r="J79" s="89" t="n">
        <f aca="false">MAX(0,D79-E79-F79-G79-I79)</f>
        <v>0</v>
      </c>
      <c r="K79" s="89" t="n">
        <f aca="false">F79+G79+I79</f>
        <v>111.292792217739</v>
      </c>
      <c r="L79" s="89" t="n">
        <f aca="false">L78*(1-$E$105)+I79</f>
        <v>519.497983892949</v>
      </c>
      <c r="M79" s="89" t="n">
        <f aca="false">M78+G79</f>
        <v>967.542577343623</v>
      </c>
      <c r="N79" s="89" t="n">
        <f aca="false">N78*(1-$E$100)+F79</f>
        <v>333.664958811376</v>
      </c>
      <c r="O79" s="137" t="n">
        <f aca="false">IF(Champions!AY79&gt;0,Champions!AZ79/Champions!AY79,0)</f>
        <v>0.0937067530631302</v>
      </c>
      <c r="P79" s="89" t="n">
        <f aca="false">L78*$E$104+N78*$E$99+M78*O79</f>
        <v>127.009139296131</v>
      </c>
      <c r="Q79" s="89" t="n">
        <f aca="false">L78*$E$105</f>
        <v>15.1364719842697</v>
      </c>
      <c r="R79" s="89" t="n">
        <f aca="false">N78*$E$100</f>
        <v>6.8094889553342</v>
      </c>
      <c r="S79" s="89" t="n">
        <f aca="false">D79-E79-F79-G79-I79-J79</f>
        <v>0</v>
      </c>
    </row>
    <row r="80" customFormat="false" ht="13.5" hidden="false" customHeight="true" outlineLevel="0" collapsed="false">
      <c r="A80" s="1" t="n">
        <v>1920</v>
      </c>
      <c r="B80" s="136" t="n">
        <f aca="false">'Capital accounts'!D80</f>
        <v>191.296071808849</v>
      </c>
      <c r="C80" s="89" t="n">
        <f aca="false">MAX(0,'Capital accounts'!I80)*$E$106/oil_book</f>
        <v>157.911545251128</v>
      </c>
      <c r="D80" s="89" t="n">
        <f aca="false">B80+C80</f>
        <v>349.207617059976</v>
      </c>
      <c r="E80" s="136" t="n">
        <f aca="false">'Capital accounts'!X80</f>
        <v>232.490345250667</v>
      </c>
      <c r="F80" s="89" t="n">
        <f aca="false">IF(A80=1901,MIN($E$98,B80),0)</f>
        <v>0</v>
      </c>
      <c r="G80" s="89" t="n">
        <f aca="false">MIN(MAX(0,D80-E80-F80),$E$97*(D80-F80))</f>
        <v>87.3019042649941</v>
      </c>
      <c r="H80" s="89" t="n">
        <f aca="false">IF(AND(A80&gt;=1880,A80&lt;=1899),$E$101,IF(AND(A80&gt;=1900,A80&lt;=1913),$E$102,IF(AND(A80&gt;=1919,A80&lt;=1929),$E$103,0)))</f>
        <v>250</v>
      </c>
      <c r="I80" s="89" t="n">
        <f aca="false">MIN(H80,MAX(0,D80-E80-F80-G80))</f>
        <v>29.4153675443154</v>
      </c>
      <c r="J80" s="89" t="n">
        <f aca="false">MAX(0,D80-E80-F80-G80-I80)</f>
        <v>0</v>
      </c>
      <c r="K80" s="89" t="n">
        <f aca="false">F80+G80+I80</f>
        <v>116.717271809309</v>
      </c>
      <c r="L80" s="89" t="n">
        <f aca="false">L79*(1-$E$105)+I80</f>
        <v>533.328411920476</v>
      </c>
      <c r="M80" s="89" t="n">
        <f aca="false">M79+G80</f>
        <v>1054.84448160862</v>
      </c>
      <c r="N80" s="89" t="n">
        <f aca="false">N79*(1-$E$100)+F80</f>
        <v>326.991659635148</v>
      </c>
      <c r="O80" s="137" t="n">
        <f aca="false">IF(Champions!AY80&gt;0,Champions!AZ80/Champions!AY80,0)</f>
        <v>0.0958204502578292</v>
      </c>
      <c r="P80" s="89" t="n">
        <f aca="false">L79*$E$104+N79*$E$99+M79*O80</f>
        <v>137.03683733396</v>
      </c>
      <c r="Q80" s="89" t="n">
        <f aca="false">L79*$E$105</f>
        <v>15.5849395167885</v>
      </c>
      <c r="R80" s="89" t="n">
        <f aca="false">N79*$E$100</f>
        <v>6.67329917622751</v>
      </c>
      <c r="S80" s="89" t="n">
        <f aca="false">D80-E80-F80-G80-I80-J80</f>
        <v>0</v>
      </c>
    </row>
    <row r="81" customFormat="false" ht="13.5" hidden="false" customHeight="true" outlineLevel="0" collapsed="false">
      <c r="A81" s="1" t="n">
        <v>1921</v>
      </c>
      <c r="B81" s="136" t="n">
        <f aca="false">'Capital accounts'!D81</f>
        <v>377.953482304813</v>
      </c>
      <c r="C81" s="89" t="n">
        <f aca="false">MAX(0,'Capital accounts'!I81)*$E$106/oil_book</f>
        <v>89.524370207177</v>
      </c>
      <c r="D81" s="89" t="n">
        <f aca="false">B81+C81</f>
        <v>467.47785251199</v>
      </c>
      <c r="E81" s="136" t="n">
        <f aca="false">'Capital accounts'!X81</f>
        <v>234.103977337814</v>
      </c>
      <c r="F81" s="89" t="n">
        <f aca="false">IF(A81=1901,MIN($E$98,B81),0)</f>
        <v>0</v>
      </c>
      <c r="G81" s="89" t="n">
        <f aca="false">MIN(MAX(0,D81-E81-F81),$E$97*(D81-F81))</f>
        <v>116.869463127997</v>
      </c>
      <c r="H81" s="89" t="n">
        <f aca="false">IF(AND(A81&gt;=1880,A81&lt;=1899),$E$101,IF(AND(A81&gt;=1900,A81&lt;=1913),$E$102,IF(AND(A81&gt;=1919,A81&lt;=1929),$E$103,0)))</f>
        <v>250</v>
      </c>
      <c r="I81" s="89" t="n">
        <f aca="false">MIN(H81,MAX(0,D81-E81-F81-G81))</f>
        <v>116.504412046179</v>
      </c>
      <c r="J81" s="89" t="n">
        <f aca="false">MAX(0,D81-E81-F81-G81-I81)</f>
        <v>0</v>
      </c>
      <c r="K81" s="89" t="n">
        <f aca="false">F81+G81+I81</f>
        <v>233.373875174176</v>
      </c>
      <c r="L81" s="89" t="n">
        <f aca="false">L80*(1-$E$105)+I81</f>
        <v>633.83297160904</v>
      </c>
      <c r="M81" s="89" t="n">
        <f aca="false">M80+G81</f>
        <v>1171.71394473661</v>
      </c>
      <c r="N81" s="89" t="n">
        <f aca="false">N80*(1-$E$100)+F81</f>
        <v>320.451826442445</v>
      </c>
      <c r="O81" s="137" t="n">
        <f aca="false">IF(Champions!AY81&gt;0,Champions!AZ81/Champions!AY81,0)</f>
        <v>0.0947595690624893</v>
      </c>
      <c r="P81" s="89" t="n">
        <f aca="false">L80*$E$104+N80*$E$99+M80*O81</f>
        <v>144.607570381134</v>
      </c>
      <c r="Q81" s="89" t="n">
        <f aca="false">L80*$E$105</f>
        <v>15.9998523576143</v>
      </c>
      <c r="R81" s="89" t="n">
        <f aca="false">N80*$E$100</f>
        <v>6.53983319270296</v>
      </c>
      <c r="S81" s="89" t="n">
        <f aca="false">D81-E81-F81-G81-I81-J81</f>
        <v>0</v>
      </c>
    </row>
    <row r="82" customFormat="false" ht="13.5" hidden="false" customHeight="true" outlineLevel="0" collapsed="false">
      <c r="A82" s="1" t="n">
        <v>1922</v>
      </c>
      <c r="B82" s="136" t="n">
        <f aca="false">'Capital accounts'!D82</f>
        <v>383.75056389056</v>
      </c>
      <c r="C82" s="89" t="n">
        <f aca="false">MAX(0,'Capital accounts'!I82)*$E$106/oil_book</f>
        <v>84.9399053795625</v>
      </c>
      <c r="D82" s="89" t="n">
        <f aca="false">B82+C82</f>
        <v>468.690469270123</v>
      </c>
      <c r="E82" s="136" t="n">
        <f aca="false">'Capital accounts'!X82</f>
        <v>264.850006923273</v>
      </c>
      <c r="F82" s="89" t="n">
        <f aca="false">IF(A82=1901,MIN($E$98,B82),0)</f>
        <v>0</v>
      </c>
      <c r="G82" s="89" t="n">
        <f aca="false">MIN(MAX(0,D82-E82-F82),$E$97*(D82-F82))</f>
        <v>117.172617317531</v>
      </c>
      <c r="H82" s="89" t="n">
        <f aca="false">IF(AND(A82&gt;=1880,A82&lt;=1899),$E$101,IF(AND(A82&gt;=1900,A82&lt;=1913),$E$102,IF(AND(A82&gt;=1919,A82&lt;=1929),$E$103,0)))</f>
        <v>250</v>
      </c>
      <c r="I82" s="89" t="n">
        <f aca="false">MIN(H82,MAX(0,D82-E82-F82-G82))</f>
        <v>86.6678450293193</v>
      </c>
      <c r="J82" s="89" t="n">
        <f aca="false">MAX(0,D82-E82-F82-G82-I82)</f>
        <v>0</v>
      </c>
      <c r="K82" s="89" t="n">
        <f aca="false">F82+G82+I82</f>
        <v>203.84046234685</v>
      </c>
      <c r="L82" s="89" t="n">
        <f aca="false">L81*(1-$E$105)+I82</f>
        <v>701.485827490088</v>
      </c>
      <c r="M82" s="89" t="n">
        <f aca="false">M81+G82</f>
        <v>1288.88656205414</v>
      </c>
      <c r="N82" s="89" t="n">
        <f aca="false">N81*(1-$E$100)+F82</f>
        <v>314.042789913596</v>
      </c>
      <c r="O82" s="137" t="n">
        <f aca="false">IF(Champions!AY82&gt;0,Champions!AZ82/Champions!AY82,0)</f>
        <v>0.0952531247435131</v>
      </c>
      <c r="P82" s="89" t="n">
        <f aca="false">L81*$E$104+N81*$E$99+M81*O82</f>
        <v>160.925913576497</v>
      </c>
      <c r="Q82" s="89" t="n">
        <f aca="false">L81*$E$105</f>
        <v>19.0149891482712</v>
      </c>
      <c r="R82" s="89" t="n">
        <f aca="false">N81*$E$100</f>
        <v>6.4090365288489</v>
      </c>
      <c r="S82" s="89" t="n">
        <f aca="false">D82-E82-F82-G82-I82-J82</f>
        <v>0</v>
      </c>
    </row>
    <row r="83" customFormat="false" ht="13.5" hidden="false" customHeight="true" outlineLevel="0" collapsed="false">
      <c r="A83" s="1" t="n">
        <v>1923</v>
      </c>
      <c r="B83" s="136" t="n">
        <f aca="false">'Capital accounts'!D83</f>
        <v>397.447349049859</v>
      </c>
      <c r="C83" s="89" t="n">
        <f aca="false">MAX(0,'Capital accounts'!I83)*$E$106/oil_book</f>
        <v>83.3897997688715</v>
      </c>
      <c r="D83" s="89" t="n">
        <f aca="false">B83+C83</f>
        <v>480.837148818731</v>
      </c>
      <c r="E83" s="136" t="n">
        <f aca="false">'Capital accounts'!X83</f>
        <v>296.898561788544</v>
      </c>
      <c r="F83" s="89" t="n">
        <f aca="false">IF(A83=1901,MIN($E$98,B83),0)</f>
        <v>0</v>
      </c>
      <c r="G83" s="89" t="n">
        <f aca="false">MIN(MAX(0,D83-E83-F83),$E$97*(D83-F83))</f>
        <v>120.209287204683</v>
      </c>
      <c r="H83" s="89" t="n">
        <f aca="false">IF(AND(A83&gt;=1880,A83&lt;=1899),$E$101,IF(AND(A83&gt;=1900,A83&lt;=1913),$E$102,IF(AND(A83&gt;=1919,A83&lt;=1929),$E$103,0)))</f>
        <v>250</v>
      </c>
      <c r="I83" s="89" t="n">
        <f aca="false">MIN(H83,MAX(0,D83-E83-F83-G83))</f>
        <v>63.7292998255038</v>
      </c>
      <c r="J83" s="89" t="n">
        <f aca="false">MAX(0,D83-E83-F83-G83-I83)</f>
        <v>0</v>
      </c>
      <c r="K83" s="89" t="n">
        <f aca="false">F83+G83+I83</f>
        <v>183.938587030187</v>
      </c>
      <c r="L83" s="89" t="n">
        <f aca="false">L82*(1-$E$105)+I83</f>
        <v>744.170552490889</v>
      </c>
      <c r="M83" s="89" t="n">
        <f aca="false">M82+G83</f>
        <v>1409.09584925883</v>
      </c>
      <c r="N83" s="89" t="n">
        <f aca="false">N82*(1-$E$100)+F83</f>
        <v>307.761934115324</v>
      </c>
      <c r="O83" s="137" t="n">
        <f aca="false">IF(Champions!AY83&gt;0,Champions!AZ83/Champions!AY83,0)</f>
        <v>0.0956381425720282</v>
      </c>
      <c r="P83" s="89" t="n">
        <f aca="false">L82*$E$104+N82*$E$99+M82*O83</f>
        <v>175.613361600658</v>
      </c>
      <c r="Q83" s="89" t="n">
        <f aca="false">L82*$E$105</f>
        <v>21.0445748247026</v>
      </c>
      <c r="R83" s="89" t="n">
        <f aca="false">N82*$E$100</f>
        <v>6.28085579827193</v>
      </c>
      <c r="S83" s="89" t="n">
        <f aca="false">D83-E83-F83-G83-I83-J83</f>
        <v>0</v>
      </c>
    </row>
    <row r="84" customFormat="false" ht="13.5" hidden="false" customHeight="true" outlineLevel="0" collapsed="false">
      <c r="A84" s="1" t="n">
        <v>1924</v>
      </c>
      <c r="B84" s="136" t="n">
        <f aca="false">'Capital accounts'!D84</f>
        <v>395.735194660528</v>
      </c>
      <c r="C84" s="89" t="n">
        <f aca="false">MAX(0,'Capital accounts'!I84)*$E$106/oil_book</f>
        <v>70.6109864806617</v>
      </c>
      <c r="D84" s="89" t="n">
        <f aca="false">B84+C84</f>
        <v>466.346181141189</v>
      </c>
      <c r="E84" s="136" t="n">
        <f aca="false">'Capital accounts'!X84</f>
        <v>324.497521405785</v>
      </c>
      <c r="F84" s="89" t="n">
        <f aca="false">IF(A84=1901,MIN($E$98,B84),0)</f>
        <v>0</v>
      </c>
      <c r="G84" s="89" t="n">
        <f aca="false">MIN(MAX(0,D84-E84-F84),$E$97*(D84-F84))</f>
        <v>116.586545285297</v>
      </c>
      <c r="H84" s="89" t="n">
        <f aca="false">IF(AND(A84&gt;=1880,A84&lt;=1899),$E$101,IF(AND(A84&gt;=1900,A84&lt;=1913),$E$102,IF(AND(A84&gt;=1919,A84&lt;=1929),$E$103,0)))</f>
        <v>250</v>
      </c>
      <c r="I84" s="89" t="n">
        <f aca="false">MIN(H84,MAX(0,D84-E84-F84-G84))</f>
        <v>25.2621144501068</v>
      </c>
      <c r="J84" s="89" t="n">
        <f aca="false">MAX(0,D84-E84-F84-G84-I84)</f>
        <v>0</v>
      </c>
      <c r="K84" s="89" t="n">
        <f aca="false">F84+G84+I84</f>
        <v>141.848659735404</v>
      </c>
      <c r="L84" s="89" t="n">
        <f aca="false">L83*(1-$E$105)+I84</f>
        <v>747.107550366269</v>
      </c>
      <c r="M84" s="89" t="n">
        <f aca="false">M83+G84</f>
        <v>1525.68239454413</v>
      </c>
      <c r="N84" s="89" t="n">
        <f aca="false">N83*(1-$E$100)+F84</f>
        <v>301.606695433018</v>
      </c>
      <c r="O84" s="137" t="n">
        <f aca="false">IF(Champions!AY84&gt;0,Champions!AZ84/Champions!AY84,0)</f>
        <v>0.0958422014598337</v>
      </c>
      <c r="P84" s="89" t="n">
        <f aca="false">L83*$E$104+N83*$E$99+M83*O84</f>
        <v>189.186282261767</v>
      </c>
      <c r="Q84" s="89" t="n">
        <f aca="false">L83*$E$105</f>
        <v>22.3251165747267</v>
      </c>
      <c r="R84" s="89" t="n">
        <f aca="false">N83*$E$100</f>
        <v>6.15523868230649</v>
      </c>
      <c r="S84" s="89" t="n">
        <f aca="false">D84-E84-F84-G84-I84-J84</f>
        <v>0</v>
      </c>
    </row>
    <row r="85" customFormat="false" ht="13.5" hidden="false" customHeight="true" outlineLevel="0" collapsed="false">
      <c r="A85" s="1" t="n">
        <v>1925</v>
      </c>
      <c r="B85" s="136" t="n">
        <f aca="false">'Capital accounts'!D85</f>
        <v>395.954113549898</v>
      </c>
      <c r="C85" s="89" t="n">
        <f aca="false">MAX(0,'Capital accounts'!I85)*$E$106/oil_book</f>
        <v>62.1760460693061</v>
      </c>
      <c r="D85" s="89" t="n">
        <f aca="false">B85+C85</f>
        <v>458.130159619205</v>
      </c>
      <c r="E85" s="136" t="n">
        <f aca="false">'Capital accounts'!X85</f>
        <v>349.333705157528</v>
      </c>
      <c r="F85" s="89" t="n">
        <f aca="false">IF(A85=1901,MIN($E$98,B85),0)</f>
        <v>0</v>
      </c>
      <c r="G85" s="89" t="n">
        <f aca="false">MIN(MAX(0,D85-E85-F85),$E$97*(D85-F85))</f>
        <v>108.796454461676</v>
      </c>
      <c r="H85" s="89" t="n">
        <f aca="false">IF(AND(A85&gt;=1880,A85&lt;=1899),$E$101,IF(AND(A85&gt;=1900,A85&lt;=1913),$E$102,IF(AND(A85&gt;=1919,A85&lt;=1929),$E$103,0)))</f>
        <v>250</v>
      </c>
      <c r="I85" s="89" t="n">
        <f aca="false">MIN(H85,MAX(0,D85-E85-F85-G85))</f>
        <v>0</v>
      </c>
      <c r="J85" s="89" t="n">
        <f aca="false">MAX(0,D85-E85-F85-G85-I85)</f>
        <v>0</v>
      </c>
      <c r="K85" s="89" t="n">
        <f aca="false">F85+G85+I85</f>
        <v>108.796454461676</v>
      </c>
      <c r="L85" s="89" t="n">
        <f aca="false">L84*(1-$E$105)+I85</f>
        <v>724.694323855281</v>
      </c>
      <c r="M85" s="89" t="n">
        <f aca="false">M84+G85</f>
        <v>1634.4788490058</v>
      </c>
      <c r="N85" s="89" t="n">
        <f aca="false">N84*(1-$E$100)+F85</f>
        <v>295.574561524358</v>
      </c>
      <c r="O85" s="137" t="n">
        <f aca="false">IF(Champions!AY85&gt;0,Champions!AZ85/Champions!AY85,0)</f>
        <v>0.095987256496222</v>
      </c>
      <c r="P85" s="89" t="n">
        <f aca="false">L84*$E$104+N84*$E$99+M84*O85</f>
        <v>200.389813104006</v>
      </c>
      <c r="Q85" s="89" t="n">
        <f aca="false">L84*$E$105</f>
        <v>22.4132265109881</v>
      </c>
      <c r="R85" s="89" t="n">
        <f aca="false">N84*$E$100</f>
        <v>6.03213390866036</v>
      </c>
      <c r="S85" s="89" t="n">
        <f aca="false">D85-E85-F85-G85-I85-J85</f>
        <v>0</v>
      </c>
    </row>
    <row r="86" customFormat="false" ht="13.5" hidden="false" customHeight="true" outlineLevel="0" collapsed="false">
      <c r="A86" s="1" t="n">
        <v>1926</v>
      </c>
      <c r="B86" s="136" t="n">
        <f aca="false">'Capital accounts'!D86</f>
        <v>599.764491798129</v>
      </c>
      <c r="C86" s="89" t="n">
        <f aca="false">MAX(0,'Capital accounts'!I86)*$E$106/oil_book</f>
        <v>65.1026309415502</v>
      </c>
      <c r="D86" s="89" t="n">
        <f aca="false">B86+C86</f>
        <v>664.867122739679</v>
      </c>
      <c r="E86" s="136" t="n">
        <f aca="false">'Capital accounts'!X86</f>
        <v>377.878983909267</v>
      </c>
      <c r="F86" s="89" t="n">
        <f aca="false">IF(A86=1901,MIN($E$98,B86),0)</f>
        <v>0</v>
      </c>
      <c r="G86" s="89" t="n">
        <f aca="false">MIN(MAX(0,D86-E86-F86),$E$97*(D86-F86))</f>
        <v>166.21678068492</v>
      </c>
      <c r="H86" s="89" t="n">
        <f aca="false">IF(AND(A86&gt;=1880,A86&lt;=1899),$E$101,IF(AND(A86&gt;=1900,A86&lt;=1913),$E$102,IF(AND(A86&gt;=1919,A86&lt;=1929),$E$103,0)))</f>
        <v>250</v>
      </c>
      <c r="I86" s="89" t="n">
        <f aca="false">MIN(H86,MAX(0,D86-E86-F86-G86))</f>
        <v>120.771358145492</v>
      </c>
      <c r="J86" s="89" t="n">
        <f aca="false">MAX(0,D86-E86-F86-G86-I86)</f>
        <v>0</v>
      </c>
      <c r="K86" s="89" t="n">
        <f aca="false">F86+G86+I86</f>
        <v>286.988138830412</v>
      </c>
      <c r="L86" s="89" t="n">
        <f aca="false">L85*(1-$E$105)+I86</f>
        <v>823.724852285115</v>
      </c>
      <c r="M86" s="89" t="n">
        <f aca="false">M85+G86</f>
        <v>1800.69562969072</v>
      </c>
      <c r="N86" s="89" t="n">
        <f aca="false">N85*(1-$E$100)+F86</f>
        <v>289.66307029387</v>
      </c>
      <c r="O86" s="137" t="n">
        <f aca="false">IF(Champions!AY86&gt;0,Champions!AZ86/Champions!AY86,0)</f>
        <v>0.0955312271366329</v>
      </c>
      <c r="P86" s="89" t="n">
        <f aca="false">L85*$E$104+N85*$E$99+M85*O86</f>
        <v>208.635087250999</v>
      </c>
      <c r="Q86" s="89" t="n">
        <f aca="false">L85*$E$105</f>
        <v>21.7408297156584</v>
      </c>
      <c r="R86" s="89" t="n">
        <f aca="false">N85*$E$100</f>
        <v>5.91149123048715</v>
      </c>
      <c r="S86" s="89" t="n">
        <f aca="false">D86-E86-F86-G86-I86-J86</f>
        <v>0</v>
      </c>
    </row>
    <row r="87" customFormat="false" ht="13.5" hidden="false" customHeight="true" outlineLevel="0" collapsed="false">
      <c r="A87" s="1" t="n">
        <v>1927</v>
      </c>
      <c r="B87" s="136" t="n">
        <f aca="false">'Capital accounts'!D87</f>
        <v>610.979128007091</v>
      </c>
      <c r="C87" s="89" t="n">
        <f aca="false">MAX(0,'Capital accounts'!I87)*$E$106/oil_book</f>
        <v>179.574837409889</v>
      </c>
      <c r="D87" s="89" t="n">
        <f aca="false">B87+C87</f>
        <v>790.55396541698</v>
      </c>
      <c r="E87" s="136" t="n">
        <f aca="false">'Capital accounts'!X87</f>
        <v>415.705536513118</v>
      </c>
      <c r="F87" s="89" t="n">
        <f aca="false">IF(A87=1901,MIN($E$98,B87),0)</f>
        <v>0</v>
      </c>
      <c r="G87" s="89" t="n">
        <f aca="false">MIN(MAX(0,D87-E87-F87),$E$97*(D87-F87))</f>
        <v>197.638491354245</v>
      </c>
      <c r="H87" s="89" t="n">
        <f aca="false">IF(AND(A87&gt;=1880,A87&lt;=1899),$E$101,IF(AND(A87&gt;=1900,A87&lt;=1913),$E$102,IF(AND(A87&gt;=1919,A87&lt;=1929),$E$103,0)))</f>
        <v>250</v>
      </c>
      <c r="I87" s="89" t="n">
        <f aca="false">MIN(H87,MAX(0,D87-E87-F87-G87))</f>
        <v>177.209937549617</v>
      </c>
      <c r="J87" s="89" t="n">
        <f aca="false">MAX(0,D87-E87-F87-G87-I87)</f>
        <v>0</v>
      </c>
      <c r="K87" s="89" t="n">
        <f aca="false">F87+G87+I87</f>
        <v>374.848428903862</v>
      </c>
      <c r="L87" s="89" t="n">
        <f aca="false">L86*(1-$E$105)+I87</f>
        <v>976.223044266179</v>
      </c>
      <c r="M87" s="89" t="n">
        <f aca="false">M86+G87</f>
        <v>1998.33412104497</v>
      </c>
      <c r="N87" s="89" t="n">
        <f aca="false">N86*(1-$E$100)+F87</f>
        <v>283.869808887993</v>
      </c>
      <c r="O87" s="137" t="n">
        <f aca="false">IF(Champions!AY87&gt;0,Champions!AZ87/Champions!AY87,0)</f>
        <v>0.0961117443886391</v>
      </c>
      <c r="P87" s="89" t="n">
        <f aca="false">L86*$E$104+N86*$E$99+M86*O87</f>
        <v>230.185709562993</v>
      </c>
      <c r="Q87" s="89" t="n">
        <f aca="false">L86*$E$105</f>
        <v>24.7117455685535</v>
      </c>
      <c r="R87" s="89" t="n">
        <f aca="false">N86*$E$100</f>
        <v>5.79326140587741</v>
      </c>
      <c r="S87" s="89" t="n">
        <f aca="false">D87-E87-F87-G87-I87-J87</f>
        <v>0</v>
      </c>
    </row>
    <row r="88" customFormat="false" ht="13.5" hidden="false" customHeight="true" outlineLevel="0" collapsed="false">
      <c r="A88" s="1" t="n">
        <v>1928</v>
      </c>
      <c r="B88" s="136" t="n">
        <f aca="false">'Capital accounts'!D88</f>
        <v>611.858821761985</v>
      </c>
      <c r="C88" s="89" t="n">
        <f aca="false">MAX(0,'Capital accounts'!I88)*$E$106/oil_book</f>
        <v>168.597744917441</v>
      </c>
      <c r="D88" s="89" t="n">
        <f aca="false">B88+C88</f>
        <v>780.456566679426</v>
      </c>
      <c r="E88" s="136" t="n">
        <f aca="false">'Capital accounts'!X88</f>
        <v>453.062650476658</v>
      </c>
      <c r="F88" s="89" t="n">
        <f aca="false">IF(A88=1901,MIN($E$98,B88),0)</f>
        <v>0</v>
      </c>
      <c r="G88" s="89" t="n">
        <f aca="false">MIN(MAX(0,D88-E88-F88),$E$97*(D88-F88))</f>
        <v>195.114141669857</v>
      </c>
      <c r="H88" s="89" t="n">
        <f aca="false">IF(AND(A88&gt;=1880,A88&lt;=1899),$E$101,IF(AND(A88&gt;=1900,A88&lt;=1913),$E$102,IF(AND(A88&gt;=1919,A88&lt;=1929),$E$103,0)))</f>
        <v>250</v>
      </c>
      <c r="I88" s="89" t="n">
        <f aca="false">MIN(H88,MAX(0,D88-E88-F88-G88))</f>
        <v>132.279774532912</v>
      </c>
      <c r="J88" s="89" t="n">
        <f aca="false">MAX(0,D88-E88-F88-G88-I88)</f>
        <v>0</v>
      </c>
      <c r="K88" s="89" t="n">
        <f aca="false">F88+G88+I88</f>
        <v>327.393916202768</v>
      </c>
      <c r="L88" s="89" t="n">
        <f aca="false">L87*(1-$E$105)+I88</f>
        <v>1079.21612747111</v>
      </c>
      <c r="M88" s="89" t="n">
        <f aca="false">M87+G88</f>
        <v>2193.44826271482</v>
      </c>
      <c r="N88" s="89" t="n">
        <f aca="false">N87*(1-$E$100)+F88</f>
        <v>278.192412710233</v>
      </c>
      <c r="O88" s="137" t="n">
        <f aca="false">IF(Champions!AY88&gt;0,Champions!AZ88/Champions!AY88,0)</f>
        <v>0.0965143775140419</v>
      </c>
      <c r="P88" s="89" t="n">
        <f aca="false">L87*$E$104+N87*$E$99+M87*O88</f>
        <v>257.291965459874</v>
      </c>
      <c r="Q88" s="89" t="n">
        <f aca="false">L87*$E$105</f>
        <v>29.2866913279854</v>
      </c>
      <c r="R88" s="89" t="n">
        <f aca="false">N87*$E$100</f>
        <v>5.67739617775986</v>
      </c>
      <c r="S88" s="89" t="n">
        <f aca="false">D88-E88-F88-G88-I88-J88</f>
        <v>0</v>
      </c>
    </row>
    <row r="89" customFormat="false" ht="13.5" hidden="false" customHeight="true" outlineLevel="0" collapsed="false">
      <c r="A89" s="1" t="n">
        <v>1929</v>
      </c>
      <c r="B89" s="136" t="n">
        <f aca="false">'Capital accounts'!D89</f>
        <v>628.982977506001</v>
      </c>
      <c r="C89" s="89" t="n">
        <f aca="false">MAX(0,'Capital accounts'!I89)*$E$106/oil_book</f>
        <v>167.970910973695</v>
      </c>
      <c r="D89" s="89" t="n">
        <f aca="false">B89+C89</f>
        <v>796.953888479696</v>
      </c>
      <c r="E89" s="136" t="n">
        <f aca="false">'Capital accounts'!X89</f>
        <v>490.214677497585</v>
      </c>
      <c r="F89" s="89" t="n">
        <f aca="false">IF(A89=1901,MIN($E$98,B89),0)</f>
        <v>0</v>
      </c>
      <c r="G89" s="89" t="n">
        <f aca="false">MIN(MAX(0,D89-E89-F89),$E$97*(D89-F89))</f>
        <v>199.238472119924</v>
      </c>
      <c r="H89" s="89" t="n">
        <f aca="false">IF(AND(A89&gt;=1880,A89&lt;=1899),$E$101,IF(AND(A89&gt;=1900,A89&lt;=1913),$E$102,IF(AND(A89&gt;=1919,A89&lt;=1929),$E$103,0)))</f>
        <v>250</v>
      </c>
      <c r="I89" s="89" t="n">
        <f aca="false">MIN(H89,MAX(0,D89-E89-F89-G89))</f>
        <v>107.500738862187</v>
      </c>
      <c r="J89" s="89" t="n">
        <f aca="false">MAX(0,D89-E89-F89-G89-I89)</f>
        <v>0</v>
      </c>
      <c r="K89" s="89" t="n">
        <f aca="false">F89+G89+I89</f>
        <v>306.739210982111</v>
      </c>
      <c r="L89" s="89" t="n">
        <f aca="false">L88*(1-$E$105)+I89</f>
        <v>1154.34038250916</v>
      </c>
      <c r="M89" s="89" t="n">
        <f aca="false">M88+G89</f>
        <v>2392.68673483475</v>
      </c>
      <c r="N89" s="89" t="n">
        <f aca="false">N88*(1-$E$100)+F89</f>
        <v>272.628564456028</v>
      </c>
      <c r="O89" s="137" t="n">
        <f aca="false">IF(Champions!AY89&gt;0,Champions!AZ89/Champions!AY89,0)</f>
        <v>0.0968388589051658</v>
      </c>
      <c r="P89" s="89" t="n">
        <f aca="false">L88*$E$104+N88*$E$99+M88*O89</f>
        <v>281.67241590144</v>
      </c>
      <c r="Q89" s="89" t="n">
        <f aca="false">L88*$E$105</f>
        <v>32.3764838241332</v>
      </c>
      <c r="R89" s="89" t="n">
        <f aca="false">N88*$E$100</f>
        <v>5.56384825420466</v>
      </c>
      <c r="S89" s="89" t="n">
        <f aca="false">D89-E89-F89-G89-I89-J89</f>
        <v>0</v>
      </c>
    </row>
    <row r="90" customFormat="false" ht="13.5" hidden="false" customHeight="true" outlineLevel="0" collapsed="false">
      <c r="A90" s="1" t="n">
        <v>1930</v>
      </c>
      <c r="B90" s="136" t="n">
        <f aca="false">'Capital accounts'!D90</f>
        <v>0</v>
      </c>
      <c r="C90" s="89" t="n">
        <f aca="false">MAX(0,'Capital accounts'!I90)*$E$106/oil_book</f>
        <v>0</v>
      </c>
      <c r="D90" s="89" t="n">
        <f aca="false">B90+C90</f>
        <v>0</v>
      </c>
      <c r="E90" s="136" t="n">
        <f aca="false">'Capital accounts'!X90</f>
        <v>0</v>
      </c>
      <c r="F90" s="89" t="n">
        <f aca="false">IF(A90=1901,MIN($E$98,B90),0)</f>
        <v>0</v>
      </c>
      <c r="G90" s="89" t="n">
        <f aca="false">MIN(MAX(0,D90-E90-F90),$E$97*(D90-F90))</f>
        <v>0</v>
      </c>
      <c r="H90" s="89" t="n">
        <f aca="false">IF(AND(A90&gt;=1880,A90&lt;=1899),$E$101,IF(AND(A90&gt;=1900,A90&lt;=1913),$E$102,IF(AND(A90&gt;=1919,A90&lt;=1929),$E$103,0)))</f>
        <v>0</v>
      </c>
      <c r="I90" s="89" t="n">
        <f aca="false">MIN(H90,MAX(0,D90-E90-F90-G90))</f>
        <v>0</v>
      </c>
      <c r="J90" s="89" t="n">
        <f aca="false">MAX(0,D90-E90-F90-G90-I90)</f>
        <v>0</v>
      </c>
      <c r="K90" s="89" t="n">
        <f aca="false">F90+G90+I90</f>
        <v>0</v>
      </c>
      <c r="L90" s="89" t="n">
        <f aca="false">L89*(1-$E$105)+I90</f>
        <v>1119.71017103388</v>
      </c>
      <c r="M90" s="89" t="n">
        <f aca="false">M89+G90</f>
        <v>2392.68673483475</v>
      </c>
      <c r="N90" s="89" t="n">
        <f aca="false">N89*(1-$E$100)+F90</f>
        <v>267.175993166908</v>
      </c>
      <c r="O90" s="137" t="n">
        <f aca="false">IF(Champions!AY90&gt;0,Champions!AZ90/Champions!AY90,0)</f>
        <v>0.0941159128467873</v>
      </c>
      <c r="P90" s="89" t="n">
        <f aca="false">L89*$E$104+N89*$E$99+M89*O90</f>
        <v>297.901486375911</v>
      </c>
      <c r="Q90" s="89" t="n">
        <f aca="false">L89*$E$105</f>
        <v>34.6302114752748</v>
      </c>
      <c r="R90" s="89" t="n">
        <f aca="false">N89*$E$100</f>
        <v>5.45257128912057</v>
      </c>
      <c r="S90" s="89" t="n">
        <f aca="false">D90-E90-F90-G90-I90-J90</f>
        <v>0</v>
      </c>
    </row>
    <row r="91" customFormat="false" ht="13.5" hidden="false" customHeight="true" outlineLevel="0" collapsed="false">
      <c r="A91" s="1" t="n">
        <v>1931</v>
      </c>
      <c r="B91" s="136" t="n">
        <f aca="false">'Capital accounts'!D91</f>
        <v>0</v>
      </c>
      <c r="C91" s="89" t="n">
        <f aca="false">MAX(0,'Capital accounts'!I91)*$E$106/oil_book</f>
        <v>0</v>
      </c>
      <c r="D91" s="89" t="n">
        <f aca="false">B91+C91</f>
        <v>0</v>
      </c>
      <c r="E91" s="136" t="n">
        <f aca="false">'Capital accounts'!X91</f>
        <v>0</v>
      </c>
      <c r="F91" s="89" t="n">
        <f aca="false">IF(A91=1901,MIN($E$98,B91),0)</f>
        <v>0</v>
      </c>
      <c r="G91" s="89" t="n">
        <f aca="false">MIN(MAX(0,D91-E91-F91),$E$97*(D91-F91))</f>
        <v>0</v>
      </c>
      <c r="H91" s="89" t="n">
        <f aca="false">IF(AND(A91&gt;=1880,A91&lt;=1899),$E$101,IF(AND(A91&gt;=1900,A91&lt;=1913),$E$102,IF(AND(A91&gt;=1919,A91&lt;=1929),$E$103,0)))</f>
        <v>0</v>
      </c>
      <c r="I91" s="89" t="n">
        <f aca="false">MIN(H91,MAX(0,D91-E91-F91-G91))</f>
        <v>0</v>
      </c>
      <c r="J91" s="89" t="n">
        <f aca="false">MAX(0,D91-E91-F91-G91-I91)</f>
        <v>0</v>
      </c>
      <c r="K91" s="89" t="n">
        <f aca="false">F91+G91+I91</f>
        <v>0</v>
      </c>
      <c r="L91" s="89" t="n">
        <f aca="false">L90*(1-$E$105)+I91</f>
        <v>1086.11886590287</v>
      </c>
      <c r="M91" s="89" t="n">
        <f aca="false">M90+G91</f>
        <v>2392.68673483475</v>
      </c>
      <c r="N91" s="89" t="n">
        <f aca="false">N90*(1-$E$100)+F91</f>
        <v>261.83247330357</v>
      </c>
      <c r="O91" s="137" t="n">
        <f aca="false">IF(Champions!AY91&gt;0,Champions!AZ91/Champions!AY91,0)</f>
        <v>0.0751099638320369</v>
      </c>
      <c r="P91" s="89" t="n">
        <f aca="false">L90*$E$104+N90*$E$99+M90*O91</f>
        <v>250.394802290707</v>
      </c>
      <c r="Q91" s="89" t="n">
        <f aca="false">L90*$E$105</f>
        <v>33.5913051310165</v>
      </c>
      <c r="R91" s="89" t="n">
        <f aca="false">N90*$E$100</f>
        <v>5.34351986333816</v>
      </c>
      <c r="S91" s="89" t="n">
        <f aca="false">D91-E91-F91-G91-I91-J91</f>
        <v>0</v>
      </c>
    </row>
    <row r="92" customFormat="false" ht="13.5" hidden="false" customHeight="true" outlineLevel="0" collapsed="false">
      <c r="A92" s="1" t="n">
        <v>1932</v>
      </c>
      <c r="B92" s="136" t="n">
        <f aca="false">'Capital accounts'!D92</f>
        <v>0</v>
      </c>
      <c r="C92" s="89" t="n">
        <f aca="false">MAX(0,'Capital accounts'!I92)*$E$106/oil_book</f>
        <v>0</v>
      </c>
      <c r="D92" s="89" t="n">
        <f aca="false">B92+C92</f>
        <v>0</v>
      </c>
      <c r="E92" s="136" t="n">
        <f aca="false">'Capital accounts'!X92</f>
        <v>0</v>
      </c>
      <c r="F92" s="89" t="n">
        <f aca="false">IF(A92=1901,MIN($E$98,B92),0)</f>
        <v>0</v>
      </c>
      <c r="G92" s="89" t="n">
        <f aca="false">MIN(MAX(0,D92-E92-F92),$E$97*(D92-F92))</f>
        <v>0</v>
      </c>
      <c r="H92" s="89" t="n">
        <f aca="false">IF(AND(A92&gt;=1880,A92&lt;=1899),$E$101,IF(AND(A92&gt;=1900,A92&lt;=1913),$E$102,IF(AND(A92&gt;=1919,A92&lt;=1929),$E$103,0)))</f>
        <v>0</v>
      </c>
      <c r="I92" s="89" t="n">
        <f aca="false">MIN(H92,MAX(0,D92-E92-F92-G92))</f>
        <v>0</v>
      </c>
      <c r="J92" s="89" t="n">
        <f aca="false">MAX(0,D92-E92-F92-G92-I92)</f>
        <v>0</v>
      </c>
      <c r="K92" s="89" t="n">
        <f aca="false">F92+G92+I92</f>
        <v>0</v>
      </c>
      <c r="L92" s="89" t="n">
        <f aca="false">L91*(1-$E$105)+I92</f>
        <v>1053.53529992578</v>
      </c>
      <c r="M92" s="89" t="n">
        <f aca="false">M91+G92</f>
        <v>2392.68673483475</v>
      </c>
      <c r="N92" s="89" t="n">
        <f aca="false">N91*(1-$E$100)+F92</f>
        <v>256.595823837498</v>
      </c>
      <c r="O92" s="137" t="n">
        <f aca="false">IF(Champions!AY92&gt;0,Champions!AZ92/Champions!AY92,0)</f>
        <v>0.0709235717688374</v>
      </c>
      <c r="P92" s="89" t="n">
        <f aca="false">L91*$E$104+N91*$E$99+M91*O92</f>
        <v>238.404618685237</v>
      </c>
      <c r="Q92" s="89" t="n">
        <f aca="false">L91*$E$105</f>
        <v>32.583565977086</v>
      </c>
      <c r="R92" s="89" t="n">
        <f aca="false">N91*$E$100</f>
        <v>5.23664946607139</v>
      </c>
      <c r="S92" s="89" t="n">
        <f aca="false">D92-E92-F92-G92-I92-J92</f>
        <v>0</v>
      </c>
    </row>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c r="A96" s="28" t="s">
        <v>2264</v>
      </c>
      <c r="B96" s="28"/>
      <c r="C96" s="28" t="s">
        <v>2265</v>
      </c>
      <c r="D96" s="28" t="s">
        <v>2266</v>
      </c>
      <c r="E96" s="28" t="s">
        <v>203</v>
      </c>
      <c r="F96" s="28" t="s">
        <v>2147</v>
      </c>
    </row>
    <row r="97" customFormat="false" ht="13.5" hidden="false" customHeight="true" outlineLevel="0" collapsed="false">
      <c r="A97" s="1" t="s">
        <v>2643</v>
      </c>
      <c r="C97" s="1" t="n">
        <v>0.25</v>
      </c>
      <c r="D97" s="1" t="n">
        <v>0.25</v>
      </c>
      <c r="E97" s="1" t="n">
        <f aca="false">IF(Levers!$E$4=1,C97,D97)</f>
        <v>0.25</v>
      </c>
      <c r="F97" s="1" t="s">
        <v>2644</v>
      </c>
    </row>
    <row r="98" customFormat="false" ht="13.5" hidden="false" customHeight="true" outlineLevel="0" collapsed="false">
      <c r="A98" s="1" t="s">
        <v>2645</v>
      </c>
      <c r="C98" s="1" t="n">
        <v>480</v>
      </c>
      <c r="D98" s="1" t="n">
        <v>480</v>
      </c>
      <c r="E98" s="1" t="n">
        <f aca="false">IF(Levers!$E$4=1,C98,D98)</f>
        <v>480</v>
      </c>
      <c r="F98" s="1" t="s">
        <v>2646</v>
      </c>
    </row>
    <row r="99" customFormat="false" ht="13.5" hidden="false" customHeight="true" outlineLevel="0" collapsed="false">
      <c r="A99" s="1" t="s">
        <v>2647</v>
      </c>
      <c r="C99" s="1" t="n">
        <v>0.055</v>
      </c>
      <c r="D99" s="1" t="n">
        <v>0.055</v>
      </c>
      <c r="E99" s="1" t="n">
        <f aca="false">IF(Levers!$E$4=1,C99,D99)</f>
        <v>0.055</v>
      </c>
      <c r="F99" s="1" t="s">
        <v>2648</v>
      </c>
    </row>
    <row r="100" customFormat="false" ht="13.5" hidden="false" customHeight="true" outlineLevel="0" collapsed="false">
      <c r="A100" s="1" t="s">
        <v>2649</v>
      </c>
      <c r="C100" s="1" t="n">
        <v>0.02</v>
      </c>
      <c r="D100" s="1" t="n">
        <v>0.02</v>
      </c>
      <c r="E100" s="1" t="n">
        <f aca="false">IF(Levers!$E$4=1,C100,D100)</f>
        <v>0.02</v>
      </c>
      <c r="F100" s="1" t="s">
        <v>2650</v>
      </c>
    </row>
    <row r="101" customFormat="false" ht="13.5" hidden="false" customHeight="true" outlineLevel="0" collapsed="false">
      <c r="A101" s="1" t="s">
        <v>2651</v>
      </c>
      <c r="C101" s="1" t="n">
        <v>40</v>
      </c>
      <c r="D101" s="1" t="n">
        <v>30</v>
      </c>
      <c r="E101" s="1" t="n">
        <f aca="false">IF(Levers!$E$4=1,C101,D101)</f>
        <v>40</v>
      </c>
      <c r="F101" s="1" t="s">
        <v>2652</v>
      </c>
    </row>
    <row r="102" customFormat="false" ht="13.5" hidden="false" customHeight="true" outlineLevel="0" collapsed="false">
      <c r="A102" s="1" t="s">
        <v>2653</v>
      </c>
      <c r="C102" s="1" t="n">
        <v>150</v>
      </c>
      <c r="D102" s="1" t="n">
        <v>100</v>
      </c>
      <c r="E102" s="1" t="n">
        <f aca="false">IF(Levers!$E$4=1,C102,D102)</f>
        <v>150</v>
      </c>
      <c r="F102" s="1" t="s">
        <v>2654</v>
      </c>
    </row>
    <row r="103" customFormat="false" ht="13.5" hidden="false" customHeight="true" outlineLevel="0" collapsed="false">
      <c r="A103" s="1" t="s">
        <v>2655</v>
      </c>
      <c r="C103" s="1" t="n">
        <v>250</v>
      </c>
      <c r="D103" s="1" t="n">
        <v>150</v>
      </c>
      <c r="E103" s="1" t="n">
        <f aca="false">IF(Levers!$E$4=1,C103,D103)</f>
        <v>250</v>
      </c>
      <c r="F103" s="1" t="s">
        <v>2656</v>
      </c>
    </row>
    <row r="104" customFormat="false" ht="13.5" hidden="false" customHeight="true" outlineLevel="0" collapsed="false">
      <c r="A104" s="1" t="s">
        <v>2657</v>
      </c>
      <c r="C104" s="1" t="n">
        <v>0.05</v>
      </c>
      <c r="D104" s="1" t="n">
        <v>0.055</v>
      </c>
      <c r="E104" s="1" t="n">
        <f aca="false">IF(Levers!$E$4=1,C104,D104)</f>
        <v>0.05</v>
      </c>
      <c r="F104" s="1" t="s">
        <v>2658</v>
      </c>
    </row>
    <row r="105" customFormat="false" ht="13.5" hidden="false" customHeight="true" outlineLevel="0" collapsed="false">
      <c r="A105" s="1" t="s">
        <v>2659</v>
      </c>
      <c r="C105" s="1" t="n">
        <v>0.03</v>
      </c>
      <c r="D105" s="1" t="n">
        <v>0.03</v>
      </c>
      <c r="E105" s="1" t="n">
        <f aca="false">IF(Levers!$E$4=1,C105,D105)</f>
        <v>0.03</v>
      </c>
      <c r="F105" s="1" t="s">
        <v>2660</v>
      </c>
    </row>
    <row r="106" customFormat="false" ht="13.5" hidden="false" customHeight="true" outlineLevel="0" collapsed="false">
      <c r="A106" s="1" t="s">
        <v>2661</v>
      </c>
      <c r="C106" s="1" t="n">
        <v>4</v>
      </c>
      <c r="D106" s="1" t="n">
        <v>4</v>
      </c>
      <c r="E106" s="1" t="n">
        <f aca="false">IF(Levers!$E$4=1,C106,D106)</f>
        <v>4</v>
      </c>
      <c r="F106" s="1" t="s">
        <v>2662</v>
      </c>
    </row>
    <row r="107" customFormat="false" ht="13.5" hidden="false" customHeight="true" outlineLevel="0" collapsed="false"/>
    <row r="108" customFormat="false" ht="13.5" hidden="false" customHeight="true" outlineLevel="0" collapsed="false">
      <c r="A108" s="1" t="s">
        <v>2663</v>
      </c>
    </row>
    <row r="109" customFormat="false" ht="13.5" hidden="false" customHeight="true" outlineLevel="0" collapsed="false">
      <c r="A109" s="1" t="s">
        <v>2664</v>
      </c>
    </row>
    <row r="110" customFormat="false" ht="13.5" hidden="false" customHeight="true" outlineLevel="0" collapsed="false">
      <c r="A110" s="1" t="s">
        <v>2665</v>
      </c>
    </row>
    <row r="111" customFormat="false" ht="13.5" hidden="false" customHeight="true" outlineLevel="0" collapsed="false">
      <c r="A111" s="1" t="s">
        <v>2666</v>
      </c>
    </row>
    <row r="112" customFormat="false" ht="13.5" hidden="false" customHeight="true" outlineLevel="0" collapsed="false">
      <c r="A112" s="1" t="s">
        <v>2667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false" outlineLevelRow="0" outlineLevelCol="0"/>
  <sheetData>
    <row r="1" customFormat="false" ht="13.5" hidden="false" customHeight="true" outlineLevel="0" collapsed="false">
      <c r="A1" s="28" t="s">
        <v>2668</v>
      </c>
    </row>
    <row r="2" customFormat="false" ht="13.5" hidden="false" customHeight="true" outlineLevel="0" collapsed="false">
      <c r="A2" s="1" t="s">
        <v>2669</v>
      </c>
    </row>
    <row r="3" customFormat="false" ht="13.5" hidden="false" customHeight="true" outlineLevel="0" collapsed="false"/>
    <row r="4" customFormat="false" ht="13.5" hidden="false" customHeight="true" outlineLevel="0" collapsed="false"/>
    <row r="5" customFormat="false" ht="13.5" hidden="false" customHeight="true" outlineLevel="0" collapsed="false">
      <c r="A5" s="28" t="s">
        <v>103</v>
      </c>
      <c r="B5" s="28" t="s">
        <v>2670</v>
      </c>
      <c r="C5" s="28" t="s">
        <v>2671</v>
      </c>
      <c r="D5" s="28" t="s">
        <v>41</v>
      </c>
      <c r="E5" s="28" t="s">
        <v>2672</v>
      </c>
      <c r="F5" s="28" t="s">
        <v>2673</v>
      </c>
      <c r="G5" s="28" t="s">
        <v>2674</v>
      </c>
      <c r="H5" s="28" t="s">
        <v>2675</v>
      </c>
      <c r="I5" s="28" t="s">
        <v>2676</v>
      </c>
    </row>
    <row r="6" customFormat="false" ht="13.5" hidden="false" customHeight="true" outlineLevel="0" collapsed="false">
      <c r="A6" s="1" t="n">
        <v>1914</v>
      </c>
      <c r="B6" s="89" t="n">
        <v>0</v>
      </c>
      <c r="C6" s="89" t="n">
        <v>0</v>
      </c>
      <c r="D6" s="89" t="n">
        <v>0</v>
      </c>
      <c r="E6" s="89" t="n">
        <v>0</v>
      </c>
      <c r="F6" s="89" t="n">
        <v>0</v>
      </c>
      <c r="G6" s="89" t="n">
        <f aca="false">SUM(B6:F6)*IF(Levers!$E$4=1,1,$C$13)</f>
        <v>0</v>
      </c>
      <c r="H6" s="89" t="n">
        <f aca="false">'War credit'!E74</f>
        <v>0</v>
      </c>
      <c r="I6" s="89" t="n">
        <f aca="false">MAX(0,H6-G6)</f>
        <v>0</v>
      </c>
    </row>
    <row r="7" customFormat="false" ht="13.5" hidden="false" customHeight="true" outlineLevel="0" collapsed="false">
      <c r="A7" s="1" t="n">
        <v>1915</v>
      </c>
      <c r="B7" s="89" t="n">
        <v>450</v>
      </c>
      <c r="C7" s="89" t="n">
        <v>50</v>
      </c>
      <c r="D7" s="89" t="n">
        <v>0</v>
      </c>
      <c r="E7" s="89" t="n">
        <v>0</v>
      </c>
      <c r="F7" s="89" t="n">
        <v>25</v>
      </c>
      <c r="G7" s="89" t="n">
        <f aca="false">SUM(B7:F7)*IF(Levers!$E$4=1,1,$C$13)</f>
        <v>525</v>
      </c>
      <c r="H7" s="89" t="n">
        <f aca="false">'War credit'!E75</f>
        <v>525</v>
      </c>
      <c r="I7" s="89" t="n">
        <f aca="false">MAX(0,H7-G7)</f>
        <v>0</v>
      </c>
    </row>
    <row r="8" customFormat="false" ht="13.5" hidden="false" customHeight="true" outlineLevel="0" collapsed="false">
      <c r="A8" s="1" t="n">
        <v>1916</v>
      </c>
      <c r="B8" s="89" t="n">
        <v>700</v>
      </c>
      <c r="C8" s="89" t="n">
        <v>250</v>
      </c>
      <c r="D8" s="89" t="n">
        <v>0</v>
      </c>
      <c r="E8" s="89" t="n">
        <v>50</v>
      </c>
      <c r="F8" s="89" t="n">
        <v>50</v>
      </c>
      <c r="G8" s="89" t="n">
        <f aca="false">SUM(B8:F8)*IF(Levers!$E$4=1,1,$C$13)</f>
        <v>1050</v>
      </c>
      <c r="H8" s="89" t="n">
        <f aca="false">'War credit'!E76</f>
        <v>1050</v>
      </c>
      <c r="I8" s="89" t="n">
        <f aca="false">MAX(0,H8-G8)</f>
        <v>0</v>
      </c>
    </row>
    <row r="9" customFormat="false" ht="13.5" hidden="false" customHeight="true" outlineLevel="0" collapsed="false">
      <c r="A9" s="1" t="n">
        <v>1917</v>
      </c>
      <c r="B9" s="89" t="n">
        <v>450</v>
      </c>
      <c r="C9" s="89" t="n">
        <v>300</v>
      </c>
      <c r="D9" s="89" t="n">
        <v>300</v>
      </c>
      <c r="E9" s="89" t="n">
        <v>75</v>
      </c>
      <c r="F9" s="89" t="n">
        <v>75</v>
      </c>
      <c r="G9" s="89" t="n">
        <f aca="false">SUM(B9:F9)*IF(Levers!$E$4=1,1,$C$13)</f>
        <v>1200</v>
      </c>
      <c r="H9" s="89" t="n">
        <f aca="false">'War credit'!E77</f>
        <v>1200</v>
      </c>
      <c r="I9" s="89" t="n">
        <f aca="false">MAX(0,H9-G9)</f>
        <v>0</v>
      </c>
    </row>
    <row r="10" customFormat="false" ht="13.5" hidden="false" customHeight="true" outlineLevel="0" collapsed="false">
      <c r="A10" s="1" t="n">
        <v>1918</v>
      </c>
      <c r="B10" s="89" t="n">
        <v>350</v>
      </c>
      <c r="C10" s="89" t="n">
        <v>200</v>
      </c>
      <c r="D10" s="89" t="n">
        <v>300</v>
      </c>
      <c r="E10" s="89" t="n">
        <v>125</v>
      </c>
      <c r="F10" s="89" t="n">
        <v>200</v>
      </c>
      <c r="G10" s="89" t="n">
        <f aca="false">SUM(B10:F10)*IF(Levers!$E$4=1,1,$C$13)</f>
        <v>1175</v>
      </c>
      <c r="H10" s="89" t="n">
        <f aca="false">'War credit'!E78</f>
        <v>1175</v>
      </c>
      <c r="I10" s="89" t="n">
        <f aca="false">MAX(0,H10-G10)</f>
        <v>0</v>
      </c>
    </row>
    <row r="11" customFormat="false" ht="13.5" hidden="false" customHeight="true" outlineLevel="0" collapsed="false">
      <c r="A11" s="28" t="s">
        <v>2211</v>
      </c>
      <c r="B11" s="138" t="n">
        <f aca="false">SUM(B6:B10)</f>
        <v>1950</v>
      </c>
      <c r="C11" s="138" t="n">
        <f aca="false">SUM(C6:C10)</f>
        <v>800</v>
      </c>
      <c r="D11" s="138" t="n">
        <f aca="false">SUM(D6:D10)</f>
        <v>600</v>
      </c>
      <c r="E11" s="138" t="n">
        <f aca="false">SUM(E6:E10)</f>
        <v>250</v>
      </c>
      <c r="F11" s="138" t="n">
        <f aca="false">SUM(F6:F10)</f>
        <v>350</v>
      </c>
      <c r="G11" s="138" t="n">
        <f aca="false">SUM(G6:G10)</f>
        <v>3950</v>
      </c>
      <c r="H11" s="138" t="n">
        <f aca="false">SUM(H6:H10)</f>
        <v>3950</v>
      </c>
      <c r="I11" s="138" t="n">
        <f aca="false">SUM(I6:I10)</f>
        <v>0</v>
      </c>
    </row>
    <row r="12" customFormat="false" ht="13.5" hidden="false" customHeight="true" outlineLevel="0" collapsed="false"/>
    <row r="13" customFormat="false" ht="13.5" hidden="false" customHeight="true" outlineLevel="0" collapsed="false">
      <c r="A13" s="1" t="s">
        <v>2677</v>
      </c>
      <c r="C13" s="1" t="n">
        <v>0.85</v>
      </c>
    </row>
    <row r="14" customFormat="false" ht="13.5" hidden="false" customHeight="true" outlineLevel="0" collapsed="false"/>
    <row r="15" customFormat="false" ht="13.5" hidden="false" customHeight="true" outlineLevel="0" collapsed="false">
      <c r="A15" s="1" t="s">
        <v>2678</v>
      </c>
    </row>
    <row r="16" customFormat="false" ht="13.5" hidden="false" customHeight="true" outlineLevel="0" collapsed="false">
      <c r="A16" s="1" t="s">
        <v>2679</v>
      </c>
    </row>
    <row r="17" customFormat="false" ht="13.5" hidden="false" customHeight="true" outlineLevel="0" collapsed="false">
      <c r="A17" s="1" t="s">
        <v>2680</v>
      </c>
    </row>
    <row r="18" customFormat="false" ht="13.5" hidden="false" customHeight="true" outlineLevel="0" collapsed="false">
      <c r="A18" s="1" t="s">
        <v>2681</v>
      </c>
    </row>
    <row r="19" customFormat="false" ht="13.5" hidden="false" customHeight="true" outlineLevel="0" collapsed="false">
      <c r="A19" s="1" t="s">
        <v>2682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2026-10-28T10:09:28Z</dcterms:created>
  <dc:creator>openpyxl</dc:creator>
  <dc:description/>
  <dc:language>en-US</dc:language>
  <cp:lastModifiedBy/>
  <dcterms:modified xsi:type="dcterms:W3CDTF">2026-10-30T06:28:10Z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